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randrusz\Castellan Dropbox\Ryan Andrusz\HamAdv-CRP shared folder\CDLAC 2024 - 4% Round 2\Baler Place\Att 40\"/>
    </mc:Choice>
  </mc:AlternateContent>
  <xr:revisionPtr revIDLastSave="0" documentId="13_ncr:1_{89B0606D-259C-4BF2-BB30-F06DF36C2793}" xr6:coauthVersionLast="47" xr6:coauthVersionMax="47" xr10:uidLastSave="{00000000-0000-0000-0000-000000000000}"/>
  <bookViews>
    <workbookView xWindow="-110" yWindow="-110" windowWidth="19420" windowHeight="10420" firstSheet="11" activeTab="12"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4" i="7" l="1"/>
  <c r="H99" i="4"/>
  <c r="E45" i="4"/>
  <c r="C45" i="13"/>
  <c r="C45" i="4"/>
  <c r="AA948" i="3"/>
  <c r="AB50" i="15" l="1"/>
  <c r="AB72" i="15"/>
  <c r="F8" i="8" l="1"/>
  <c r="F6" i="8"/>
  <c r="AO640" i="3" l="1"/>
  <c r="AM558" i="3"/>
  <c r="F32" i="4" l="1"/>
  <c r="I37" i="4" s="1"/>
  <c r="F30" i="4"/>
  <c r="E99" i="4"/>
  <c r="E52" i="4"/>
  <c r="E51" i="4"/>
  <c r="E50" i="4"/>
  <c r="E49" i="4"/>
  <c r="E47" i="4"/>
  <c r="E46" i="4"/>
  <c r="E43" i="4"/>
  <c r="E40" i="4"/>
  <c r="F31" i="4"/>
  <c r="M960" i="3"/>
  <c r="AA582" i="3" l="1"/>
  <c r="Z581" i="3"/>
  <c r="Z580" i="3"/>
  <c r="Z579" i="3"/>
  <c r="Z578" i="3"/>
  <c r="H306" i="3" l="1"/>
  <c r="H305" i="3"/>
  <c r="H304" i="3"/>
  <c r="H303" i="3"/>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I8" i="8"/>
  <c r="J8" i="8" s="1"/>
  <c r="J7" i="8"/>
  <c r="I7" i="8"/>
  <c r="I6" i="8"/>
  <c r="J6" i="8" s="1"/>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0" i="3"/>
  <c r="AH719"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E33" i="7"/>
  <c r="E32" i="7"/>
  <c r="E31" i="7"/>
  <c r="E30" i="7"/>
  <c r="E29" i="7"/>
  <c r="E28" i="7"/>
  <c r="E27" i="7"/>
  <c r="E26" i="7"/>
  <c r="W847" i="3"/>
  <c r="E15" i="7" s="1"/>
  <c r="G15" i="7" s="1"/>
  <c r="E16" i="7"/>
  <c r="G16" i="7" s="1"/>
  <c r="I16" i="7" s="1"/>
  <c r="K16" i="7" s="1"/>
  <c r="M16" i="7" s="1"/>
  <c r="O16" i="7" s="1"/>
  <c r="Q16" i="7" s="1"/>
  <c r="S16" i="7" s="1"/>
  <c r="U16" i="7" s="1"/>
  <c r="W16" i="7" s="1"/>
  <c r="Y16" i="7" s="1"/>
  <c r="AA16" i="7" s="1"/>
  <c r="AC16" i="7" s="1"/>
  <c r="AE16" i="7" s="1"/>
  <c r="AG16"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D89" i="11" s="1"/>
  <c r="C90" i="11"/>
  <c r="D90" i="11" s="1"/>
  <c r="C91" i="11"/>
  <c r="D91" i="11" s="1"/>
  <c r="C92" i="11"/>
  <c r="C93" i="11"/>
  <c r="D93" i="11" s="1"/>
  <c r="C94" i="11"/>
  <c r="C95" i="11"/>
  <c r="C96" i="11"/>
  <c r="D96" i="11" s="1"/>
  <c r="B85" i="11"/>
  <c r="B86" i="11"/>
  <c r="B87" i="11"/>
  <c r="B88" i="11"/>
  <c r="B89" i="11"/>
  <c r="B90" i="11"/>
  <c r="B91" i="11"/>
  <c r="B92" i="11"/>
  <c r="B93" i="11"/>
  <c r="B94" i="11"/>
  <c r="D94" i="11" s="1"/>
  <c r="B95" i="11"/>
  <c r="D95" i="11" s="1"/>
  <c r="B96" i="11"/>
  <c r="A70" i="11"/>
  <c r="C67" i="11"/>
  <c r="C68" i="11"/>
  <c r="C69" i="11"/>
  <c r="C70" i="11"/>
  <c r="D70" i="11" s="1"/>
  <c r="B67" i="11"/>
  <c r="B68" i="11"/>
  <c r="B69" i="11"/>
  <c r="B70" i="11"/>
  <c r="A62" i="11"/>
  <c r="A54" i="11"/>
  <c r="A38" i="11"/>
  <c r="A26" i="11"/>
  <c r="C31" i="11"/>
  <c r="D31" i="11" s="1"/>
  <c r="C32" i="11"/>
  <c r="D32" i="11" s="1"/>
  <c r="C33" i="11"/>
  <c r="C34" i="11"/>
  <c r="C35" i="11"/>
  <c r="C36" i="11"/>
  <c r="C37" i="11"/>
  <c r="C38" i="11"/>
  <c r="B31" i="11"/>
  <c r="B32" i="11"/>
  <c r="B33" i="11"/>
  <c r="B34" i="11"/>
  <c r="B35" i="11"/>
  <c r="D35" i="11" s="1"/>
  <c r="B36" i="11"/>
  <c r="B37" i="11"/>
  <c r="B38" i="11"/>
  <c r="C24" i="11"/>
  <c r="C25" i="11"/>
  <c r="C26" i="11"/>
  <c r="C27" i="11" s="1"/>
  <c r="B25" i="11"/>
  <c r="B26" i="11"/>
  <c r="D70" i="4"/>
  <c r="C70" i="4"/>
  <c r="B70" i="4"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4" s="1"/>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I54" i="7"/>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c r="K57" i="7"/>
  <c r="M57" i="7" s="1"/>
  <c r="O57" i="7" s="1"/>
  <c r="Q57" i="7" s="1"/>
  <c r="S57" i="7" s="1"/>
  <c r="U57" i="7" s="1"/>
  <c r="W57" i="7" s="1"/>
  <c r="Y57" i="7" s="1"/>
  <c r="AA57" i="7" s="1"/>
  <c r="AC57" i="7" s="1"/>
  <c r="AE57" i="7" s="1"/>
  <c r="AG57" i="7" s="1"/>
  <c r="G53" i="7"/>
  <c r="I53" i="7" s="1"/>
  <c r="K53" i="7" s="1"/>
  <c r="M53" i="7" s="1"/>
  <c r="O53" i="7" s="1"/>
  <c r="Q53" i="7" s="1"/>
  <c r="S53" i="7" s="1"/>
  <c r="U53" i="7" s="1"/>
  <c r="W53" i="7" s="1"/>
  <c r="Y53" i="7" s="1"/>
  <c r="AA53" i="7" s="1"/>
  <c r="AC53" i="7" s="1"/>
  <c r="AE53" i="7" s="1"/>
  <c r="AG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D80" i="11" s="1"/>
  <c r="C81" i="11"/>
  <c r="B80" i="11"/>
  <c r="B81" i="11"/>
  <c r="I96" i="13"/>
  <c r="J96" i="13"/>
  <c r="J81" i="13"/>
  <c r="I81" i="13"/>
  <c r="G81" i="13"/>
  <c r="F81" i="13"/>
  <c r="D81" i="13"/>
  <c r="C81" i="13"/>
  <c r="H80" i="13"/>
  <c r="E80" i="13"/>
  <c r="B80" i="13"/>
  <c r="R80" i="4"/>
  <c r="R79" i="4"/>
  <c r="R81" i="4" s="1"/>
  <c r="S70" i="4"/>
  <c r="E70" i="13"/>
  <c r="D81" i="4"/>
  <c r="E81" i="4"/>
  <c r="F81" i="4"/>
  <c r="G81" i="4"/>
  <c r="H81" i="4"/>
  <c r="I81" i="4"/>
  <c r="J81" i="4"/>
  <c r="K81" i="4"/>
  <c r="L81" i="4"/>
  <c r="M81" i="4"/>
  <c r="N81" i="4"/>
  <c r="O81" i="4"/>
  <c r="P81" i="4"/>
  <c r="Q81" i="4"/>
  <c r="S81" i="4"/>
  <c r="E81" i="13"/>
  <c r="T81" i="4"/>
  <c r="H81" i="13"/>
  <c r="C81" i="4"/>
  <c r="B81" i="13" s="1"/>
  <c r="B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4" s="1"/>
  <c r="B42" i="13"/>
  <c r="B41" i="13"/>
  <c r="B40" i="13"/>
  <c r="B37" i="13"/>
  <c r="B35" i="13"/>
  <c r="B34" i="13"/>
  <c r="B33" i="13"/>
  <c r="B32" i="13"/>
  <c r="B31" i="13"/>
  <c r="B30" i="13"/>
  <c r="B29" i="13"/>
  <c r="B27" i="13"/>
  <c r="B25" i="13"/>
  <c r="B23" i="13"/>
  <c r="B22" i="13"/>
  <c r="B21" i="13"/>
  <c r="B20" i="13"/>
  <c r="B19" i="13"/>
  <c r="B18" i="13"/>
  <c r="B17" i="13"/>
  <c r="B5" i="13"/>
  <c r="B6" i="13"/>
  <c r="B7" i="13"/>
  <c r="B9" i="13"/>
  <c r="B10" i="13"/>
  <c r="B13" i="13"/>
  <c r="B14" i="13"/>
  <c r="B15" i="13"/>
  <c r="J104" i="13"/>
  <c r="I104" i="13"/>
  <c r="G104" i="13"/>
  <c r="F104" i="13"/>
  <c r="D104" i="13"/>
  <c r="C104" i="13"/>
  <c r="G96" i="13"/>
  <c r="F96" i="13"/>
  <c r="D96" i="13"/>
  <c r="C96" i="13"/>
  <c r="D77" i="13"/>
  <c r="C77" i="13"/>
  <c r="J70" i="13"/>
  <c r="I70" i="13"/>
  <c r="G70" i="13"/>
  <c r="F70" i="13"/>
  <c r="D70" i="13"/>
  <c r="C70" i="13"/>
  <c r="D62" i="13"/>
  <c r="C62" i="13"/>
  <c r="J54" i="13"/>
  <c r="I54" i="13"/>
  <c r="G54" i="13"/>
  <c r="F54" i="13"/>
  <c r="F63" i="13" s="1"/>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104" i="4" s="1"/>
  <c r="R95" i="4"/>
  <c r="R94" i="4"/>
  <c r="R96" i="4" s="1"/>
  <c r="R93" i="4"/>
  <c r="R92" i="4"/>
  <c r="R90" i="4"/>
  <c r="R89" i="4"/>
  <c r="R88" i="4"/>
  <c r="R87" i="4"/>
  <c r="R86" i="4"/>
  <c r="R85" i="4"/>
  <c r="R83" i="4"/>
  <c r="R76" i="4"/>
  <c r="R75" i="4"/>
  <c r="R77" i="4" s="1"/>
  <c r="R72" i="4"/>
  <c r="R73" i="4"/>
  <c r="R74" i="4"/>
  <c r="R69" i="4"/>
  <c r="R65" i="4"/>
  <c r="R61" i="4"/>
  <c r="R60" i="4"/>
  <c r="R59" i="4"/>
  <c r="R58" i="4"/>
  <c r="R62" i="4" s="1"/>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11" i="4"/>
  <c r="R12" i="4" s="1"/>
  <c r="R7" i="4"/>
  <c r="R6" i="4"/>
  <c r="R5" i="4"/>
  <c r="R4" i="4"/>
  <c r="B6" i="11"/>
  <c r="C6" i="11"/>
  <c r="B7" i="11"/>
  <c r="C7" i="11"/>
  <c r="C8" i="11"/>
  <c r="B8" i="11"/>
  <c r="B10" i="11"/>
  <c r="B11" i="11"/>
  <c r="B12" i="11" s="1"/>
  <c r="C10" i="11"/>
  <c r="C11" i="11"/>
  <c r="C12" i="11" s="1"/>
  <c r="D12" i="11" s="1"/>
  <c r="B14" i="11"/>
  <c r="C14" i="11"/>
  <c r="B15" i="11"/>
  <c r="C15" i="11"/>
  <c r="B16" i="11"/>
  <c r="C16" i="11"/>
  <c r="B18" i="11"/>
  <c r="C18" i="11"/>
  <c r="B19" i="11"/>
  <c r="C19" i="11"/>
  <c r="B20" i="11"/>
  <c r="C20" i="11"/>
  <c r="B21" i="11"/>
  <c r="C21" i="11"/>
  <c r="B22" i="11"/>
  <c r="C22" i="11"/>
  <c r="B23" i="11"/>
  <c r="C23" i="11"/>
  <c r="B24" i="11"/>
  <c r="B28" i="11"/>
  <c r="C28" i="11"/>
  <c r="B30" i="11"/>
  <c r="D30" i="11" s="1"/>
  <c r="C30" i="11"/>
  <c r="B41" i="11"/>
  <c r="C41" i="11"/>
  <c r="C42" i="11"/>
  <c r="B42" i="11"/>
  <c r="B44" i="11"/>
  <c r="C44" i="11"/>
  <c r="D44" i="11" s="1"/>
  <c r="B46" i="11"/>
  <c r="C46" i="11"/>
  <c r="B47" i="11"/>
  <c r="C47" i="11"/>
  <c r="D47" i="11" s="1"/>
  <c r="B48" i="11"/>
  <c r="D48" i="11" s="1"/>
  <c r="B49" i="11"/>
  <c r="D49" i="11" s="1"/>
  <c r="B50" i="11"/>
  <c r="D50" i="11" s="1"/>
  <c r="B51" i="11"/>
  <c r="D51" i="11"/>
  <c r="B52" i="11"/>
  <c r="B53" i="11"/>
  <c r="C48" i="11"/>
  <c r="C49" i="11"/>
  <c r="C50" i="11"/>
  <c r="C51" i="11"/>
  <c r="C52" i="11"/>
  <c r="C53" i="11"/>
  <c r="B57" i="11"/>
  <c r="C57" i="11"/>
  <c r="B58" i="11"/>
  <c r="C58" i="11"/>
  <c r="B59" i="11"/>
  <c r="C59" i="11"/>
  <c r="D59" i="11" s="1"/>
  <c r="B60" i="11"/>
  <c r="C60" i="11"/>
  <c r="B61" i="11"/>
  <c r="C61" i="11"/>
  <c r="B62" i="11"/>
  <c r="C62" i="11"/>
  <c r="B66" i="11"/>
  <c r="C66" i="11"/>
  <c r="B73" i="11"/>
  <c r="C73" i="11"/>
  <c r="B74" i="11"/>
  <c r="C74" i="11"/>
  <c r="B75" i="11"/>
  <c r="C75" i="11"/>
  <c r="B76" i="11"/>
  <c r="B78" i="11" s="1"/>
  <c r="C76" i="11"/>
  <c r="D76" i="11" s="1"/>
  <c r="B77" i="11"/>
  <c r="C77" i="11"/>
  <c r="B84" i="11"/>
  <c r="C84" i="11"/>
  <c r="B100" i="11"/>
  <c r="B105" i="11" s="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c r="T70" i="4"/>
  <c r="H70" i="13"/>
  <c r="T96" i="4"/>
  <c r="H96" i="13"/>
  <c r="C11" i="4"/>
  <c r="B11" i="4" s="1"/>
  <c r="B26" i="13"/>
  <c r="C38" i="4"/>
  <c r="B38" i="13" s="1"/>
  <c r="C54" i="4"/>
  <c r="B54" i="4" s="1"/>
  <c r="C62" i="4"/>
  <c r="B62" i="13" s="1"/>
  <c r="C77" i="4"/>
  <c r="B77" i="13"/>
  <c r="C96" i="4"/>
  <c r="B96" i="13" s="1"/>
  <c r="B104" i="13"/>
  <c r="D8" i="4"/>
  <c r="D11" i="4"/>
  <c r="D26" i="4"/>
  <c r="D38" i="4"/>
  <c r="D42" i="4"/>
  <c r="D54" i="4"/>
  <c r="D62" i="4"/>
  <c r="D77" i="4"/>
  <c r="D96" i="4"/>
  <c r="D104" i="4"/>
  <c r="E26" i="13"/>
  <c r="S38" i="4"/>
  <c r="E38" i="13" s="1"/>
  <c r="S42" i="4"/>
  <c r="E42" i="13" s="1"/>
  <c r="S54" i="4"/>
  <c r="E54" i="13"/>
  <c r="S96" i="4"/>
  <c r="E96" i="13" s="1"/>
  <c r="S104" i="4"/>
  <c r="E104" i="13"/>
  <c r="F2" i="4"/>
  <c r="G2" i="4"/>
  <c r="H2" i="4"/>
  <c r="I2" i="4"/>
  <c r="J2" i="4"/>
  <c r="K2" i="4"/>
  <c r="L2" i="4"/>
  <c r="M2" i="4"/>
  <c r="N2" i="4"/>
  <c r="O2" i="4"/>
  <c r="P2" i="4"/>
  <c r="Q2"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E12" i="4" s="1"/>
  <c r="F11" i="4"/>
  <c r="F26" i="4"/>
  <c r="F38" i="4"/>
  <c r="F63" i="4" s="1"/>
  <c r="F97" i="4" s="1"/>
  <c r="F105" i="4" s="1"/>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G63" i="4" s="1"/>
  <c r="G97" i="4" s="1"/>
  <c r="G105" i="4" s="1"/>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H63" i="4" s="1"/>
  <c r="H97" i="4" s="1"/>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AH721" i="3" s="1"/>
  <c r="G667" i="3"/>
  <c r="Z667" i="3"/>
  <c r="BA671" i="3"/>
  <c r="AH722" i="3" s="1"/>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B77" i="4"/>
  <c r="I63" i="13"/>
  <c r="I97" i="13"/>
  <c r="I105" i="13"/>
  <c r="I107" i="13"/>
  <c r="D54" i="11"/>
  <c r="D53" i="11"/>
  <c r="J63" i="13"/>
  <c r="J97" i="13"/>
  <c r="J105" i="13"/>
  <c r="J107" i="13"/>
  <c r="L12" i="4"/>
  <c r="D52" i="11"/>
  <c r="I12" i="4"/>
  <c r="G12" i="4"/>
  <c r="D46" i="11"/>
  <c r="D6" i="11"/>
  <c r="L63" i="4"/>
  <c r="L97" i="4"/>
  <c r="L105" i="4"/>
  <c r="Q12" i="4"/>
  <c r="O63" i="4"/>
  <c r="O97" i="4"/>
  <c r="O105" i="4"/>
  <c r="D18" i="11"/>
  <c r="R70" i="4"/>
  <c r="D10" i="11"/>
  <c r="D36" i="11"/>
  <c r="G63" i="13"/>
  <c r="G97" i="13"/>
  <c r="G105" i="13"/>
  <c r="G107" i="13"/>
  <c r="D61" i="11"/>
  <c r="D57" i="11"/>
  <c r="D20" i="11"/>
  <c r="D8" i="11"/>
  <c r="D85" i="11"/>
  <c r="B43" i="11"/>
  <c r="D102" i="11"/>
  <c r="K12" i="4"/>
  <c r="C43" i="11"/>
  <c r="D63" i="4"/>
  <c r="D97" i="4"/>
  <c r="D105" i="4"/>
  <c r="D7" i="11"/>
  <c r="J12" i="4"/>
  <c r="D22" i="11"/>
  <c r="O12" i="4"/>
  <c r="I63" i="4"/>
  <c r="I97" i="4"/>
  <c r="I105" i="4"/>
  <c r="D25" i="11"/>
  <c r="B82" i="11"/>
  <c r="B11" i="13"/>
  <c r="D12" i="4"/>
  <c r="H12" i="4"/>
  <c r="D23" i="11"/>
  <c r="D19" i="11"/>
  <c r="D73" i="11"/>
  <c r="D15" i="11"/>
  <c r="D63" i="13"/>
  <c r="D97" i="13" s="1"/>
  <c r="D105" i="13" s="1"/>
  <c r="D14" i="11"/>
  <c r="Q63" i="4"/>
  <c r="Q97" i="4"/>
  <c r="Q105" i="4"/>
  <c r="C105" i="11"/>
  <c r="D87" i="11"/>
  <c r="N63" i="4"/>
  <c r="N97" i="4"/>
  <c r="N105" i="4"/>
  <c r="N12" i="4"/>
  <c r="F12" i="4"/>
  <c r="D60" i="11"/>
  <c r="M12" i="4"/>
  <c r="R8" i="4"/>
  <c r="D84" i="11"/>
  <c r="D74" i="11"/>
  <c r="D38" i="11"/>
  <c r="R42" i="4"/>
  <c r="P63" i="4"/>
  <c r="P97" i="4"/>
  <c r="P105" i="4"/>
  <c r="C63" i="11"/>
  <c r="B63" i="11"/>
  <c r="D12" i="13"/>
  <c r="D58" i="11"/>
  <c r="D100" i="11"/>
  <c r="D62" i="11"/>
  <c r="D24" i="11"/>
  <c r="D101" i="11"/>
  <c r="D66" i="11"/>
  <c r="D92" i="11"/>
  <c r="D75" i="11"/>
  <c r="B71" i="11"/>
  <c r="D28" i="11"/>
  <c r="D103" i="11"/>
  <c r="D88" i="11"/>
  <c r="C78" i="11"/>
  <c r="D42" i="11"/>
  <c r="D21" i="11"/>
  <c r="D16" i="11"/>
  <c r="R26" i="4"/>
  <c r="D81" i="11"/>
  <c r="D86" i="11"/>
  <c r="AD199" i="20"/>
  <c r="D77" i="11"/>
  <c r="C71" i="11"/>
  <c r="D71" i="11" s="1"/>
  <c r="M63" i="4"/>
  <c r="M97" i="4"/>
  <c r="M105" i="4"/>
  <c r="J63" i="4"/>
  <c r="J97" i="4"/>
  <c r="J105" i="4"/>
  <c r="D41" i="11"/>
  <c r="K63" i="4"/>
  <c r="K97" i="4"/>
  <c r="K105" i="4"/>
  <c r="B62" i="4"/>
  <c r="D104" i="11"/>
  <c r="T63" i="4"/>
  <c r="T97" i="4"/>
  <c r="D43" i="11"/>
  <c r="H63" i="13"/>
  <c r="T105" i="4"/>
  <c r="H97" i="13"/>
  <c r="T107" i="4"/>
  <c r="H105" i="13"/>
  <c r="H107" i="13"/>
  <c r="AD11" i="15"/>
  <c r="I58" i="7" l="1"/>
  <c r="K54" i="7"/>
  <c r="G58" i="7"/>
  <c r="D34" i="11"/>
  <c r="F97" i="13"/>
  <c r="F105" i="13" s="1"/>
  <c r="F107" i="13" s="1"/>
  <c r="C63" i="13"/>
  <c r="C97" i="13" s="1"/>
  <c r="C105" i="13" s="1"/>
  <c r="C12" i="13"/>
  <c r="D33" i="11"/>
  <c r="B38" i="4"/>
  <c r="H105" i="4"/>
  <c r="AO629" i="3" s="1"/>
  <c r="R38" i="4"/>
  <c r="E63" i="4"/>
  <c r="E97" i="4" s="1"/>
  <c r="E105" i="4" s="1"/>
  <c r="D105" i="11"/>
  <c r="B97" i="11"/>
  <c r="B96" i="4"/>
  <c r="N186" i="27"/>
  <c r="C97" i="11"/>
  <c r="D97" i="11" s="1"/>
  <c r="C82" i="11"/>
  <c r="D82" i="11" s="1"/>
  <c r="D78" i="11"/>
  <c r="D63" i="11"/>
  <c r="R54" i="4"/>
  <c r="C55" i="11"/>
  <c r="B55" i="11"/>
  <c r="B54" i="13"/>
  <c r="C39" i="11"/>
  <c r="S63" i="4"/>
  <c r="B39" i="11"/>
  <c r="D11" i="11"/>
  <c r="G67" i="21"/>
  <c r="AD23" i="15"/>
  <c r="AD26" i="15"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AD28" i="15" s="1"/>
  <c r="P30" i="21" a="1"/>
  <c r="P30" i="21" s="1"/>
  <c r="DR632" i="3"/>
  <c r="S24" i="21"/>
  <c r="O27"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R25" i="21"/>
  <c r="T39" i="21"/>
  <c r="Q22" i="21" a="1"/>
  <c r="Q22" i="21" s="1"/>
  <c r="R29" i="21"/>
  <c r="S38" i="21"/>
  <c r="S29" i="21"/>
  <c r="S20" i="21"/>
  <c r="P38" i="21" a="1"/>
  <c r="P38" i="21" s="1"/>
  <c r="P29" i="21" a="1"/>
  <c r="P29" i="21" s="1"/>
  <c r="T29" i="21"/>
  <c r="Q38" i="21" a="1"/>
  <c r="Q38" i="21" s="1"/>
  <c r="Q20" i="21" a="1"/>
  <c r="Q20" i="21" s="1"/>
  <c r="R43" i="21"/>
  <c r="P25" i="21" a="1"/>
  <c r="P25" i="21" s="1"/>
  <c r="T43" i="21"/>
  <c r="P33" i="21" a="1"/>
  <c r="P33" i="21" s="1"/>
  <c r="P42" i="21" a="1"/>
  <c r="P42" i="21" s="1"/>
  <c r="R42" i="21"/>
  <c r="R34" i="21"/>
  <c r="O25"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AO639" i="3" l="1"/>
  <c r="H108" i="4"/>
  <c r="M54" i="7"/>
  <c r="K58" i="7"/>
  <c r="D39" i="11"/>
  <c r="R63" i="4"/>
  <c r="R97" i="4" s="1"/>
  <c r="R105" i="4" s="1"/>
  <c r="D55" i="11"/>
  <c r="E63" i="13"/>
  <c r="S97" i="4"/>
  <c r="AY1004" i="3"/>
  <c r="DX635" i="3"/>
  <c r="BH702" i="3"/>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U695" i="3"/>
  <c r="BV695" i="3" s="1"/>
  <c r="BU681" i="3"/>
  <c r="BV681" i="3" s="1"/>
  <c r="BU689" i="3"/>
  <c r="BV689" i="3" s="1"/>
  <c r="BU698" i="3"/>
  <c r="BU684" i="3"/>
  <c r="BV684" i="3" s="1"/>
  <c r="BU700" i="3"/>
  <c r="BV700" i="3" s="1"/>
  <c r="BU672" i="3"/>
  <c r="BV672" i="3" s="1"/>
  <c r="BU680" i="3"/>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BI702" i="3"/>
  <c r="BV691" i="3"/>
  <c r="AX683" i="20"/>
  <c r="AY684" i="20" s="1"/>
  <c r="I14" i="21"/>
  <c r="BV698"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J1044"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4" i="21" s="1"/>
  <c r="P24" i="21" s="1" a="1"/>
  <c r="P24" i="21" s="1"/>
  <c r="R24" i="21" s="1"/>
  <c r="DX649" i="3"/>
  <c r="DX640" i="3"/>
  <c r="DX642" i="3"/>
  <c r="DX641" i="3"/>
  <c r="DX656" i="3"/>
  <c r="DX652" i="3"/>
  <c r="DX647" i="3"/>
  <c r="DX655" i="3"/>
  <c r="DX644" i="3"/>
  <c r="DX654" i="3"/>
  <c r="DX648" i="3"/>
  <c r="CM633" i="3"/>
  <c r="DX651" i="3"/>
  <c r="DX638" i="3"/>
  <c r="DX650" i="3"/>
  <c r="DX643" i="3"/>
  <c r="EH653" i="3"/>
  <c r="BV680"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AB48" i="15" l="1"/>
  <c r="AO641" i="3"/>
  <c r="O54" i="7"/>
  <c r="M58" i="7"/>
  <c r="E97" i="13"/>
  <c r="S105" i="4"/>
  <c r="CS634" i="3"/>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AP541" i="20"/>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O58" i="7" l="1"/>
  <c r="Q54" i="7"/>
  <c r="E105" i="13"/>
  <c r="S107" i="4"/>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Q58" i="7" l="1"/>
  <c r="S54" i="7"/>
  <c r="E107" i="13"/>
  <c r="AC456" i="3"/>
  <c r="AF540" i="20"/>
  <c r="B1059" i="3"/>
  <c r="AJ1048" i="3"/>
  <c r="AP542" i="20" s="1"/>
  <c r="AP539" i="20"/>
  <c r="AP543" i="20" s="1"/>
  <c r="K4" i="7"/>
  <c r="M4" i="7" s="1"/>
  <c r="E45" i="7"/>
  <c r="E48" i="7" s="1"/>
  <c r="AJ1052" i="3"/>
  <c r="G45" i="7"/>
  <c r="G49" i="7"/>
  <c r="K6" i="7"/>
  <c r="I7" i="7"/>
  <c r="I11" i="7" s="1"/>
  <c r="I37" i="7" s="1"/>
  <c r="G24" i="21"/>
  <c r="F27" i="21"/>
  <c r="G27" i="21"/>
  <c r="O22" i="7"/>
  <c r="O35" i="7" s="1"/>
  <c r="Q15" i="7"/>
  <c r="O9" i="7"/>
  <c r="Q8" i="7"/>
  <c r="S58" i="7" l="1"/>
  <c r="U54" i="7"/>
  <c r="T11" i="15"/>
  <c r="T23" i="15" s="1"/>
  <c r="T26" i="15" s="1"/>
  <c r="T28" i="15" s="1"/>
  <c r="Y11" i="15"/>
  <c r="Y23" i="15" s="1"/>
  <c r="Y26" i="15" s="1"/>
  <c r="Y28" i="15" s="1"/>
  <c r="T24" i="15"/>
  <c r="AP546" i="20"/>
  <c r="AP545" i="20" s="1"/>
  <c r="AP548" i="20" s="1"/>
  <c r="AF541" i="20" s="1"/>
  <c r="AF542" i="20" s="1"/>
  <c r="AK548" i="20" s="1"/>
  <c r="T807" i="20" s="1"/>
  <c r="AF807"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U58" i="7" l="1"/>
  <c r="W54" i="7"/>
  <c r="Y64" i="15"/>
  <c r="Y68" i="15" s="1"/>
  <c r="Y69" i="15" s="1"/>
  <c r="T29" i="15"/>
  <c r="Y38" i="15"/>
  <c r="Y40" i="15" s="1"/>
  <c r="K11" i="7"/>
  <c r="K37" i="7" s="1"/>
  <c r="K45" i="7" s="1"/>
  <c r="E66" i="7"/>
  <c r="E67" i="7"/>
  <c r="O5" i="7"/>
  <c r="Q4" i="7"/>
  <c r="AD38" i="15"/>
  <c r="AD40" i="15" s="1"/>
  <c r="M7" i="7"/>
  <c r="M11" i="7" s="1"/>
  <c r="M37" i="7" s="1"/>
  <c r="O6" i="7"/>
  <c r="G67" i="7"/>
  <c r="G62" i="7"/>
  <c r="G66" i="7"/>
  <c r="I48" i="7"/>
  <c r="I60" i="7"/>
  <c r="I47" i="7"/>
  <c r="G69" i="21"/>
  <c r="G81" i="21"/>
  <c r="G65" i="21"/>
  <c r="S22" i="7"/>
  <c r="S35" i="7" s="1"/>
  <c r="U15" i="7"/>
  <c r="E14" i="21"/>
  <c r="E15" i="21" s="1"/>
  <c r="U8" i="7"/>
  <c r="S9" i="7"/>
  <c r="W58" i="7" l="1"/>
  <c r="Y54" i="7"/>
  <c r="K49" i="7"/>
  <c r="Y41" i="15"/>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Y58" i="7" l="1"/>
  <c r="AA54" i="7"/>
  <c r="U4" i="7"/>
  <c r="S5" i="7"/>
  <c r="M48" i="7"/>
  <c r="M47" i="7"/>
  <c r="M60" i="7"/>
  <c r="O45" i="7"/>
  <c r="O49" i="7"/>
  <c r="K66" i="7"/>
  <c r="K67" i="7"/>
  <c r="K62" i="7"/>
  <c r="Q7" i="7"/>
  <c r="Q11" i="7" s="1"/>
  <c r="Q37" i="7" s="1"/>
  <c r="S6" i="7"/>
  <c r="I70" i="7"/>
  <c r="I72" i="7" s="1"/>
  <c r="W22" i="7"/>
  <c r="W35" i="7" s="1"/>
  <c r="Y15" i="7"/>
  <c r="W9" i="7"/>
  <c r="Y8" i="7"/>
  <c r="AA58" i="7" l="1"/>
  <c r="AC54" i="7"/>
  <c r="U5" i="7"/>
  <c r="W4" i="7"/>
  <c r="Q49" i="7"/>
  <c r="Q45" i="7"/>
  <c r="M62" i="7"/>
  <c r="M67" i="7"/>
  <c r="M66" i="7"/>
  <c r="O47" i="7"/>
  <c r="O48" i="7"/>
  <c r="O60" i="7"/>
  <c r="K70" i="7"/>
  <c r="K72" i="7" s="1"/>
  <c r="S7" i="7"/>
  <c r="S11" i="7" s="1"/>
  <c r="S37" i="7" s="1"/>
  <c r="U6" i="7"/>
  <c r="Y22" i="7"/>
  <c r="Y35" i="7" s="1"/>
  <c r="AA15" i="7"/>
  <c r="Y9" i="7"/>
  <c r="AA8" i="7"/>
  <c r="AE54" i="7" l="1"/>
  <c r="AC58" i="7"/>
  <c r="M70" i="7"/>
  <c r="M72" i="7" s="1"/>
  <c r="W5" i="7"/>
  <c r="Y4" i="7"/>
  <c r="U7" i="7"/>
  <c r="U11" i="7" s="1"/>
  <c r="U37" i="7" s="1"/>
  <c r="W6" i="7"/>
  <c r="O67" i="7"/>
  <c r="O66" i="7"/>
  <c r="O62" i="7"/>
  <c r="Q60" i="7"/>
  <c r="Q48" i="7"/>
  <c r="Q47" i="7"/>
  <c r="S49" i="7"/>
  <c r="S45" i="7"/>
  <c r="AC15" i="7"/>
  <c r="AA22" i="7"/>
  <c r="AA35" i="7" s="1"/>
  <c r="AC8" i="7"/>
  <c r="AA9" i="7"/>
  <c r="AG54" i="7" l="1"/>
  <c r="AG58" i="7" s="1"/>
  <c r="AE58" i="7"/>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M566" i="3"/>
  <c r="B5" i="11" l="1"/>
  <c r="C5" i="11"/>
  <c r="C9" i="11" s="1"/>
  <c r="D5" i="11"/>
  <c r="B9" i="11"/>
  <c r="B4" i="13"/>
  <c r="B8" i="13"/>
  <c r="B4" i="4"/>
  <c r="B8" i="4"/>
  <c r="N187" i="27" s="1"/>
  <c r="N193" i="27" s="1"/>
  <c r="C8" i="4"/>
  <c r="B12" i="4" l="1"/>
  <c r="B63" i="4"/>
  <c r="C13" i="11"/>
  <c r="D9" i="11"/>
  <c r="C64" i="11"/>
  <c r="B13" i="11"/>
  <c r="B64" i="11"/>
  <c r="B98" i="11" s="1"/>
  <c r="B106" i="11" s="1"/>
  <c r="C12" i="4"/>
  <c r="B12" i="13" s="1"/>
  <c r="C63" i="4"/>
  <c r="C97" i="4" l="1"/>
  <c r="B63" i="13"/>
  <c r="D64" i="11"/>
  <c r="C98" i="11"/>
  <c r="D13" i="11"/>
  <c r="C106" i="11" l="1"/>
  <c r="D106" i="11" s="1"/>
  <c r="D98" i="11"/>
  <c r="B97" i="13"/>
  <c r="C105" i="4"/>
  <c r="B97" i="4"/>
  <c r="B105" i="13" l="1"/>
  <c r="AG258" i="20"/>
  <c r="AC455" i="3"/>
  <c r="B105" i="4"/>
  <c r="AB255" i="20" l="1"/>
  <c r="AG257" i="20" s="1"/>
  <c r="AG259" i="20" s="1"/>
  <c r="AK262" i="20" s="1"/>
  <c r="T801" i="20" s="1"/>
  <c r="AF801" i="20" s="1"/>
  <c r="AF810" i="20" s="1"/>
  <c r="AB47" i="15"/>
  <c r="AB49" i="15" s="1"/>
  <c r="N183" i="27"/>
  <c r="AC454" i="3"/>
  <c r="F457" i="3" s="1"/>
  <c r="N194" i="27" l="1"/>
  <c r="N184" i="27"/>
  <c r="AB54" i="15"/>
  <c r="AB55" i="15" s="1"/>
  <c r="AB56" i="15" s="1"/>
  <c r="AB57" i="15" l="1"/>
  <c r="M26" i="3"/>
  <c r="P204" i="3" s="1"/>
  <c r="AB59" i="15" l="1"/>
  <c r="AB77" i="15" s="1"/>
  <c r="AB78" i="15" s="1"/>
  <c r="M27" i="3" l="1"/>
  <c r="P205" i="3" s="1"/>
  <c r="I10" i="21"/>
  <c r="I11" i="21" s="1"/>
  <c r="I16" i="21" s="1"/>
  <c r="H4" i="21" s="1"/>
  <c r="H5" i="21" s="1"/>
  <c r="AB79" i="15"/>
  <c r="AB81" i="15" s="1"/>
  <c r="J82"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rgb="FF000000"/>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<sst xmlns="http://schemas.openxmlformats.org/spreadsheetml/2006/main" count="5291" uniqueCount="2779">
  <si>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</si>
  <si>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</si>
  <si>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</si>
  <si>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</si>
  <si>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</si>
  <si>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</si>
  <si>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</si>
  <si>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</si>
  <si>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</si>
  <si>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</si>
  <si>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</si>
  <si>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</si>
  <si>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</si>
  <si>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</si>
  <si>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</si>
  <si>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</si>
  <si>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</si>
  <si>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</si>
  <si>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</si>
  <si>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</si>
  <si>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</si>
  <si>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</si>
  <si>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</si>
  <si>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</si>
  <si>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</si>
  <si>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</si>
  <si>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</si>
  <si>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</si>
  <si>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</si>
  <si>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</si>
  <si>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</si>
  <si>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</si>
  <si>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</si>
  <si>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</si>
  <si>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</si>
  <si>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</si>
  <si>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</si>
  <si>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</si>
  <si>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</si>
  <si>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</si>
  <si>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</si>
  <si>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</si>
  <si>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</si>
  <si>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</si>
  <si>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</si>
  <si>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</si>
  <si>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</si>
  <si>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</si>
  <si>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</si>
  <si>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</si>
  <si>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</si>
  <si>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</si>
  <si>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</si>
  <si>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</si>
  <si>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</si>
  <si>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</si>
  <si>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</si>
  <si>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</si>
  <si>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</si>
  <si>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</si>
  <si>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</si>
  <si>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</si>
  <si>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</si>
  <si>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</si>
  <si>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</si>
  <si>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</si>
  <si>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</si>
  <si>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</si>
  <si>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</si>
  <si>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</si>
  <si>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</si>
  <si>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</si>
  <si>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</si>
  <si>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</si>
  <si>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</si>
  <si>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</si>
  <si>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</si>
  <si>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</si>
  <si>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</si>
  <si>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</si>
  <si>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</si>
  <si>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</si>
  <si>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</si>
  <si>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</si>
  <si>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</si>
  <si>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</si>
  <si>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</si>
  <si>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</si>
  <si>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</si>
  <si>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</si>
  <si>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</si>
  <si>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</si>
  <si>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</si>
  <si>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</si>
  <si>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</si>
  <si>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</si>
  <si>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</si>
  <si>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</si>
  <si>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</si>
  <si>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</si>
  <si>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</si>
  <si>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</si>
  <si>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</si>
  <si>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</si>
  <si>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</si>
  <si>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</si>
  <si>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</si>
  <si>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</si>
  <si>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</si>
  <si>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</si>
  <si>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</si>
  <si>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</si>
  <si>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</si>
  <si>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</si>
  <si>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</si>
  <si>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</si>
  <si>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</si>
  <si>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</si>
  <si>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</si>
  <si>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</si>
  <si>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</si>
  <si>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</si>
  <si>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</si>
  <si>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</si>
  <si>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</si>
  <si>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</si>
  <si>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</si>
  <si>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</si>
  <si>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</si>
  <si>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</si>
  <si>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</si>
  <si>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</si>
  <si>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</si>
  <si>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</si>
  <si>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</si>
  <si>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</si>
  <si>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</si>
  <si>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</si>
  <si>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</si>
  <si>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</si>
  <si>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</si>
  <si>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</si>
  <si>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</si>
  <si>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</si>
  <si>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</si>
  <si>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</si>
  <si>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</si>
  <si>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</si>
  <si>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</si>
  <si>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</si>
  <si>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</si>
  <si>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</si>
  <si>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</si>
  <si>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</si>
  <si>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</si>
  <si>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</si>
  <si>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</si>
  <si>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</si>
  <si>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</si>
  <si>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</si>
  <si>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</si>
  <si>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</si>
  <si>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</si>
  <si>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</si>
  <si>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</si>
  <si>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</si>
  <si>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</si>
  <si>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</si>
  <si>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</si>
  <si>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</si>
  <si>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</si>
  <si>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</si>
  <si>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</si>
  <si>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</si>
  <si>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</si>
  <si>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</si>
  <si>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</si>
  <si>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</si>
  <si>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</si>
  <si>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</si>
  <si>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</si>
  <si>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</si>
  <si>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</si>
  <si>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</si>
  <si>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</si>
  <si>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</si>
  <si>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</si>
  <si>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</si>
  <si>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</si>
  <si>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</si>
  <si>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</si>
  <si>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</si>
  <si>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</si>
  <si>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</si>
  <si>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</si>
  <si>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</si>
  <si>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</si>
  <si>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</si>
  <si>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</si>
  <si>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</si>
  <si>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</si>
  <si>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</si>
  <si>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</si>
  <si>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</si>
  <si>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</si>
  <si>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</si>
  <si>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</si>
  <si>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</si>
  <si>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</si>
  <si>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</si>
  <si>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</si>
  <si>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</si>
  <si>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</si>
  <si>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</si>
  <si>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</si>
  <si>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</si>
  <si>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</si>
  <si>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</si>
  <si>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</si>
  <si>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</si>
  <si>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</si>
  <si>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</si>
  <si>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</si>
  <si>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</si>
  <si>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</si>
  <si>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</si>
  <si>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</si>
  <si>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</si>
  <si>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</si>
  <si>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</si>
  <si>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</si>
  <si>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</si>
  <si>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</si>
  <si>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</si>
  <si>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</si>
  <si>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</si>
  <si>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</si>
  <si>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</si>
  <si>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</si>
  <si>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</si>
  <si>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</si>
  <si>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</si>
  <si>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</si>
  <si>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</si>
  <si>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</si>
  <si>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</si>
  <si>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</si>
  <si>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</si>
  <si>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</si>
  <si>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</si>
  <si>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</si>
  <si>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</si>
  <si>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</si>
  <si>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</si>
  <si>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</si>
  <si>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</si>
  <si>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</si>
  <si>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</si>
  <si>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</si>
  <si>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</si>
  <si>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</si>
  <si>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</si>
  <si>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</si>
  <si>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</si>
  <si>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</si>
  <si>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</si>
  <si>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</si>
  <si>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</si>
  <si>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</si>
  <si>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</si>
  <si>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</si>
  <si>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</si>
  <si>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</si>
  <si>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</si>
  <si>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</si>
  <si>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</si>
  <si>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</si>
  <si>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</si>
  <si>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</si>
  <si>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</si>
  <si>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</si>
  <si>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</si>
  <si>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</si>
  <si>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</si>
  <si>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</si>
  <si>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</si>
  <si>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</si>
  <si>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</si>
  <si>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</si>
  <si>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</si>
  <si>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</si>
  <si>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</si>
  <si>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</si>
  <si>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</si>
  <si>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</si>
  <si>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</si>
  <si>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</si>
  <si>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</si>
  <si>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</si>
  <si>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</si>
  <si>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</si>
  <si>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</si>
  <si>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</si>
  <si>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</si>
  <si>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</si>
  <si>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</si>
  <si>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</si>
  <si>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</si>
  <si>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</si>
  <si>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</si>
  <si>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</si>
  <si>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</si>
  <si>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</si>
  <si>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</si>
  <si>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</si>
  <si>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</si>
  <si>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</si>
  <si>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</si>
  <si>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</si>
  <si>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</si>
  <si>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</si>
  <si>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</si>
  <si>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</si>
  <si>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</si>
  <si>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</si>
  <si>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</si>
  <si>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</si>
  <si>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</si>
  <si>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</si>
  <si>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</si>
  <si>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</si>
  <si>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</si>
  <si>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</si>
  <si>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</si>
  <si>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</si>
  <si>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</si>
  <si>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</si>
  <si>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</si>
  <si>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</si>
  <si>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</si>
  <si>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</si>
  <si>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</si>
  <si>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</si>
  <si>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</si>
  <si>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</si>
  <si>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</si>
  <si>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</si>
  <si>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</si>
  <si>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</si>
  <si>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</si>
  <si>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</si>
  <si>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</si>
  <si>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</si>
  <si>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</si>
  <si>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</si>
  <si>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</si>
  <si>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</si>
  <si>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</si>
  <si>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</si>
  <si>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</si>
  <si>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</si>
  <si>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</si>
  <si>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</si>
  <si>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</si>
  <si>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</si>
  <si>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</si>
  <si>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</si>
  <si>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</si>
  <si>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</si>
  <si>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</si>
  <si>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</si>
  <si>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</si>
  <si>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</si>
  <si>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</si>
  <si>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</si>
  <si>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</si>
  <si>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</si>
  <si>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</si>
  <si>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</si>
  <si>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</si>
  <si>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</si>
  <si>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</si>
  <si>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</si>
  <si>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</si>
  <si>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</si>
  <si>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</si>
  <si>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</si>
  <si>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</si>
  <si>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</si>
  <si>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</si>
  <si>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</si>
  <si>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</si>
  <si>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</si>
  <si>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</si>
  <si>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</si>
  <si>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</si>
  <si>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</si>
  <si>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</si>
  <si>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</si>
  <si>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</si>
  <si>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</si>
  <si>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</si>
  <si>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</si>
  <si>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</si>
  <si>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</si>
  <si>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</si>
  <si>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</si>
  <si>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</si>
  <si>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</si>
  <si>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</si>
  <si>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</si>
  <si>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</si>
  <si>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</si>
  <si>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</si>
  <si>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</si>
  <si>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</si>
  <si>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</si>
  <si>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</si>
  <si>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</si>
  <si>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</si>
  <si>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</si>
  <si>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</si>
  <si>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</si>
  <si>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</si>
  <si>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</si>
  <si>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</si>
  <si>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</si>
  <si>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</si>
  <si>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</si>
  <si>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</si>
  <si>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</si>
  <si>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</si>
  <si>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</si>
  <si>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</si>
  <si>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</si>
  <si>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</si>
  <si>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</si>
  <si>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</si>
  <si>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</si>
  <si>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</si>
  <si>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</si>
  <si>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</si>
  <si>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</si>
  <si>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</si>
  <si>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</si>
  <si>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</si>
  <si>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</si>
  <si>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</si>
  <si>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</si>
  <si>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</si>
  <si>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</si>
  <si>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</si>
  <si>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</si>
  <si>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</si>
  <si>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</si>
  <si>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</si>
  <si>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</si>
  <si>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</si>
  <si>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</si>
  <si>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</si>
  <si>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</si>
  <si>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</si>
  <si>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</si>
  <si>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</si>
  <si>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</si>
  <si>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</si>
  <si>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</si>
  <si>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</si>
  <si>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</si>
  <si>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</si>
  <si>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</si>
  <si>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</si>
  <si>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</si>
  <si>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</si>
  <si>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</si>
  <si>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</si>
  <si>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</si>
  <si>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</si>
  <si>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</si>
  <si>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</si>
  <si>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</si>
  <si>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</si>
  <si>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</si>
  <si>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</si>
  <si>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</si>
  <si>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</si>
  <si>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</si>
  <si>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</si>
  <si>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</si>
  <si>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</si>
  <si>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</si>
  <si>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</si>
  <si>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</si>
  <si>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</si>
  <si>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</si>
  <si>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</si>
  <si>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</si>
  <si>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</si>
  <si>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</si>
  <si>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</si>
  <si>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</si>
  <si>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</si>
  <si>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</si>
  <si>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</si>
  <si>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</si>
  <si>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</si>
  <si>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</si>
  <si>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</si>
  <si>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</si>
  <si>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</si>
  <si>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</si>
  <si>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</si>
  <si>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</si>
  <si>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</si>
  <si>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</si>
  <si>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</si>
  <si>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</si>
  <si>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</si>
  <si>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</si>
  <si>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</si>
  <si>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</si>
  <si>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</si>
  <si>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Provided</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</si>
  <si>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</si>
  <si>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</si>
  <si>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</si>
  <si>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</si>
  <si>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</si>
  <si>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</si>
  <si>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Not Applicable</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</si>
  <si>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</si>
  <si>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</si>
  <si>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</si>
  <si>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</si>
  <si>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</si>
  <si>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</si>
  <si>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</si>
  <si>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</si>
  <si>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</si>
  <si>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</si>
  <si>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</si>
  <si>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</si>
  <si>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</si>
  <si>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</si>
  <si>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</si>
  <si>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</si>
  <si>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</si>
  <si>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</si>
  <si>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</si>
  <si>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</si>
  <si>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</si>
  <si>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</si>
  <si>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</si>
  <si>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</si>
  <si>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</si>
  <si>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</si>
  <si>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</si>
  <si>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</si>
  <si>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</si>
  <si>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</si>
  <si>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</si>
  <si>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</si>
  <si>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</si>
  <si>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</si>
  <si>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</si>
  <si>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</si>
  <si>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</si>
  <si>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</si>
  <si>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</si>
  <si>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</si>
  <si>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</si>
  <si>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</si>
  <si>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</si>
  <si>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</si>
  <si>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</si>
  <si>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</si>
  <si>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</si>
  <si>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</si>
  <si>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</si>
  <si>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</si>
  <si>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</si>
  <si>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</si>
  <si>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</si>
  <si>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</si>
  <si>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</si>
  <si>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</si>
  <si>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</si>
  <si>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</si>
  <si>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</si>
  <si>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</si>
  <si>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</si>
  <si>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</si>
  <si>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</si>
  <si>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</si>
  <si>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</si>
  <si>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</si>
  <si>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</si>
  <si>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</si>
  <si>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</si>
  <si>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</si>
  <si>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</si>
  <si>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</si>
  <si>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</si>
  <si>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</si>
  <si>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</si>
  <si>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</si>
  <si>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</si>
  <si>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</si>
  <si>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</si>
  <si>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</si>
  <si>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</si>
  <si>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</si>
  <si>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</si>
  <si>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</si>
  <si>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</si>
  <si>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</si>
  <si>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</si>
  <si>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</si>
  <si>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</si>
  <si>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</si>
  <si>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</si>
  <si>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</si>
  <si>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</si>
  <si>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</si>
  <si>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</si>
  <si>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</si>
  <si>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</si>
  <si>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</si>
  <si>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</si>
  <si>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</si>
  <si>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</si>
  <si>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</si>
  <si>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</si>
  <si>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</si>
  <si>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</si>
  <si>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</si>
  <si>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</si>
  <si>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</si>
  <si>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</si>
  <si>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</si>
  <si>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</si>
  <si>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</si>
  <si>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</si>
  <si>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</si>
  <si>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</si>
  <si>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</si>
  <si>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</si>
  <si>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</si>
  <si>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</si>
  <si>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</si>
  <si>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</si>
  <si>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</si>
  <si>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</si>
  <si>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</si>
  <si>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</si>
  <si>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</si>
  <si>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</si>
  <si>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</si>
  <si>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</si>
  <si>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</si>
  <si>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</si>
  <si>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</si>
  <si>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</si>
  <si>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</si>
  <si>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</si>
  <si>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</si>
  <si>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</si>
  <si>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</si>
  <si>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</si>
  <si>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</si>
  <si>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</si>
  <si>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</si>
  <si>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</si>
  <si>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</si>
  <si>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</si>
  <si>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</si>
  <si>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</si>
  <si>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</si>
  <si>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</si>
  <si>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</si>
  <si>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</si>
  <si>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</si>
  <si>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</si>
  <si>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</si>
  <si>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</si>
  <si>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</si>
  <si>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</si>
  <si>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</si>
  <si>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</si>
  <si>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</si>
  <si>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</si>
  <si>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</si>
  <si>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</si>
  <si>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</si>
  <si>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</si>
  <si>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</si>
  <si>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</si>
  <si>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</si>
  <si>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</si>
  <si>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</si>
  <si>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</si>
  <si>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</si>
  <si>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</si>
  <si>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</si>
  <si>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</si>
  <si>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</si>
  <si>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</si>
  <si>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</si>
  <si>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</si>
  <si>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</si>
  <si>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</si>
  <si>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</si>
  <si>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</si>
  <si>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</si>
  <si>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</si>
  <si>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</si>
  <si>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</si>
  <si>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</si>
  <si>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</si>
  <si>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</si>
  <si>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</si>
  <si>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</si>
  <si>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</si>
  <si>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</si>
  <si>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</si>
  <si>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</si>
  <si>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</si>
  <si>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</si>
  <si>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</si>
  <si>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</si>
  <si>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</si>
  <si>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</si>
  <si>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</si>
  <si>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</si>
  <si>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</si>
  <si>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</si>
  <si>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</si>
  <si>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</si>
  <si>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</si>
  <si>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</si>
  <si>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</si>
  <si>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</si>
  <si>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</si>
  <si>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</si>
  <si>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</si>
  <si>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</si>
  <si>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</si>
  <si>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</si>
  <si>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</si>
  <si>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</si>
  <si>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</si>
  <si>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</si>
  <si>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</si>
  <si>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</si>
  <si>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</si>
  <si>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</si>
  <si>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</si>
  <si>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</si>
  <si>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</si>
  <si>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</si>
  <si>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</si>
  <si>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</si>
  <si>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</si>
  <si>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</si>
  <si>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</si>
  <si>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</si>
  <si>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</si>
  <si>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</si>
  <si>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</si>
  <si>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</si>
  <si>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</si>
  <si>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</si>
  <si>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</si>
  <si>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</si>
  <si>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</si>
  <si>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</si>
  <si>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</si>
  <si>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</si>
  <si>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</si>
  <si>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</si>
  <si>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</si>
  <si>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</si>
  <si>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</si>
  <si>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</si>
  <si>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</si>
  <si>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</si>
  <si>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</si>
  <si>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</si>
  <si>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</si>
  <si>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</si>
  <si>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</si>
  <si>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</si>
  <si>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</si>
  <si>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</si>
  <si>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</si>
  <si>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</si>
  <si>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</si>
  <si>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</si>
  <si>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</si>
  <si>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</si>
  <si>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</si>
  <si>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</si>
  <si>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</si>
  <si>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</si>
  <si>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</si>
  <si>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</si>
  <si>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</si>
  <si>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</si>
  <si>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</si>
  <si>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</si>
  <si>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</si>
  <si>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</si>
  <si>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</si>
  <si>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</si>
  <si>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</si>
  <si>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</si>
  <si>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</si>
  <si>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</si>
  <si>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</si>
  <si>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</si>
  <si>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</si>
  <si>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</si>
  <si>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</si>
  <si>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</si>
  <si>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</si>
  <si>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</si>
  <si>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</si>
  <si>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CRP Baler Place LP</t>
  </si>
  <si>
    <t>PROJECT NAME:</t>
  </si>
  <si>
    <t>Baler Place</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</si>
  <si>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</si>
  <si>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</si>
  <si>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</si>
  <si>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</si>
  <si>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</si>
  <si>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</si>
  <si>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</si>
  <si>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</si>
  <si>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</si>
  <si>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</si>
  <si>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</si>
  <si>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</si>
  <si>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</si>
  <si>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</si>
  <si>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</si>
  <si>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</si>
  <si>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</si>
  <si>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</si>
  <si>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</si>
  <si>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</si>
  <si>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</si>
  <si>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</si>
  <si>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</si>
  <si>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</si>
  <si>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</si>
  <si>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</si>
  <si>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</si>
  <si>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</si>
  <si>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</si>
  <si>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</si>
  <si>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August</t>
  </si>
  <si>
    <t>, 2024 at</t>
  </si>
  <si>
    <t>, California.</t>
  </si>
  <si>
    <t xml:space="preserve">By: </t>
  </si>
  <si>
    <t>(Original Signature)</t>
  </si>
  <si>
    <t>Paul Salib</t>
  </si>
  <si>
    <t>(Typed or printed name)</t>
  </si>
  <si>
    <t>Authorized Signatory</t>
  </si>
  <si>
    <t>(Title)</t>
  </si>
  <si>
    <t>Local Jurisdiction:</t>
  </si>
  <si>
    <t>Redevelopment Program</t>
  </si>
  <si>
    <t>City Manager:</t>
  </si>
  <si>
    <t>William Aviera</t>
  </si>
  <si>
    <t>Title:</t>
  </si>
  <si>
    <t>City Manager</t>
  </si>
  <si>
    <t xml:space="preserve">Mailing Address: </t>
  </si>
  <si>
    <t>375 Fifth Street</t>
  </si>
  <si>
    <t xml:space="preserve">City: </t>
  </si>
  <si>
    <t>Hollister</t>
  </si>
  <si>
    <t>ALAMEDA</t>
  </si>
  <si>
    <t>Alameda</t>
  </si>
  <si>
    <t xml:space="preserve">Zip Code: </t>
  </si>
  <si>
    <t>ALPINE</t>
  </si>
  <si>
    <t>Alpine</t>
  </si>
  <si>
    <t>Phone Number:</t>
  </si>
  <si>
    <t>(831) 636-4386</t>
  </si>
  <si>
    <t>Ext.</t>
  </si>
  <si>
    <t>AMADOR</t>
  </si>
  <si>
    <t>Amador</t>
  </si>
  <si>
    <t xml:space="preserve">FAX Number: </t>
  </si>
  <si>
    <t>(831) 636-4364</t>
  </si>
  <si>
    <t>BUTTE</t>
  </si>
  <si>
    <t>Butte</t>
  </si>
  <si>
    <t xml:space="preserve">E-mail: </t>
  </si>
  <si>
    <t>citymanager@hollister.ca.gov</t>
  </si>
  <si>
    <t>No</t>
  </si>
  <si>
    <t>CALAVERAS</t>
  </si>
  <si>
    <t>Calaveras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</si>
  <si>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</si>
  <si>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</si>
  <si>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</si>
  <si>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</si>
  <si>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</si>
  <si>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</si>
  <si>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</si>
  <si>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</si>
  <si>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</si>
  <si>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</si>
  <si>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</si>
  <si>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</si>
  <si>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</si>
  <si>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</si>
  <si>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</si>
  <si>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</si>
  <si>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</si>
  <si>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</si>
  <si>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</si>
  <si>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</si>
  <si>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</si>
  <si>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</si>
  <si>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</si>
  <si>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</si>
  <si>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</si>
  <si>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</si>
  <si>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</si>
  <si>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</si>
  <si>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</si>
  <si>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</si>
  <si>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</si>
  <si>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</si>
  <si>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</si>
  <si>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</si>
  <si>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</si>
  <si>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</si>
  <si>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</si>
  <si>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</si>
  <si>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</si>
  <si>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</si>
  <si>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</si>
  <si>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</si>
  <si>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</si>
  <si>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</si>
  <si>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</si>
  <si>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</si>
  <si>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</si>
  <si>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</si>
  <si>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</si>
  <si>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</si>
  <si>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</si>
  <si>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</si>
  <si>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</si>
  <si>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</si>
  <si>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</si>
  <si>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</si>
  <si>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</si>
  <si>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</si>
  <si>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</si>
  <si>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</si>
  <si>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</si>
  <si>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</si>
  <si>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</si>
  <si>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</si>
  <si>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</si>
  <si>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</si>
  <si>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</si>
  <si>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</si>
  <si>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</si>
  <si>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</si>
  <si>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</si>
  <si>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</si>
  <si>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</si>
  <si>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340 Bridgevale Road</t>
  </si>
  <si>
    <t>Federal and State:</t>
  </si>
  <si>
    <t>NEVADA</t>
  </si>
  <si>
    <t>Nevada</t>
  </si>
  <si>
    <t>If address is not established, enter detailed description (i.e. NW corner of 26th and Elm)</t>
  </si>
  <si>
    <t>ORANGE</t>
  </si>
  <si>
    <t>Orange</t>
  </si>
  <si>
    <t>PLACER</t>
  </si>
  <si>
    <t>Placer</t>
  </si>
  <si>
    <t>PLUMAS</t>
  </si>
  <si>
    <t>Plumas</t>
  </si>
  <si>
    <t>City:</t>
  </si>
  <si>
    <t>County:</t>
  </si>
  <si>
    <t>San Benito</t>
  </si>
  <si>
    <t>RIVERSIDE</t>
  </si>
  <si>
    <t>Riverside</t>
  </si>
  <si>
    <t>Zip Code:</t>
  </si>
  <si>
    <t>Census Tract:</t>
  </si>
  <si>
    <t>06-069-000300</t>
  </si>
  <si>
    <t>Large Family</t>
  </si>
  <si>
    <t>SACRAMENTO</t>
  </si>
  <si>
    <t>Sacramento</t>
  </si>
  <si>
    <t>Assessor's Parcel Number(s):</t>
  </si>
  <si>
    <t>019-240-031
019-240-032</t>
  </si>
  <si>
    <t>Seniors</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</si>
  <si>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</si>
  <si>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</si>
  <si>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</si>
  <si>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</si>
  <si>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</si>
  <si>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</si>
  <si>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</si>
  <si>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</si>
  <si>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</si>
  <si>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</si>
  <si>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</si>
  <si>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</si>
  <si>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</si>
  <si>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</si>
  <si>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</si>
  <si>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</si>
  <si>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</si>
  <si>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</si>
  <si>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</si>
  <si>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</si>
  <si>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</si>
  <si>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</si>
  <si>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</si>
  <si>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</si>
  <si>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</si>
  <si>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</si>
  <si>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</si>
  <si>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</si>
  <si>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</si>
  <si>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</si>
  <si>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</si>
  <si>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</si>
  <si>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</si>
  <si>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</si>
  <si>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</si>
  <si>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</si>
  <si>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</si>
  <si>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</si>
  <si>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</si>
  <si>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</si>
  <si>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</si>
  <si>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</si>
  <si>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</si>
  <si>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</si>
  <si>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</si>
  <si>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</si>
  <si>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</si>
  <si>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</si>
  <si>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</si>
  <si>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</si>
  <si>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</si>
  <si>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</si>
  <si>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</si>
  <si>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</si>
  <si>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</si>
  <si>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</si>
  <si>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</si>
  <si>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$500M</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</si>
  <si>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</si>
  <si>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</si>
  <si>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</si>
  <si>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</si>
  <si>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</si>
  <si>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</si>
  <si>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</si>
  <si>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</si>
  <si>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</si>
  <si>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</si>
  <si>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</si>
  <si>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 Average Income</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</si>
  <si>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</si>
  <si>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</si>
  <si>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</si>
  <si>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</si>
  <si>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</si>
  <si>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</si>
  <si>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</si>
  <si>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</si>
  <si>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</si>
  <si>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</si>
  <si>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</si>
  <si>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</si>
  <si>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</si>
  <si>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(select)</t>
  </si>
  <si>
    <t>VENTURA</t>
  </si>
  <si>
    <t>Ventura</t>
  </si>
  <si>
    <t>If less than 75% special needs units, specify the standards the non-special needs units will meet:</t>
  </si>
  <si>
    <t>Corporation</t>
  </si>
  <si>
    <t>YOLO</t>
  </si>
  <si>
    <t>Yolo</t>
  </si>
  <si>
    <t>General Partnership</t>
  </si>
  <si>
    <t>$500M (Farmworker Housing)</t>
  </si>
  <si>
    <t>YUBA</t>
  </si>
  <si>
    <t>Yuba</t>
  </si>
  <si>
    <t>If Senior, identify the minimum age requirement:</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</si>
  <si>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</si>
  <si>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</si>
  <si>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</si>
  <si>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</si>
  <si>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</si>
  <si>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</si>
  <si>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</si>
  <si>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</si>
  <si>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</si>
  <si>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</si>
  <si>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</si>
  <si>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</si>
  <si>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</si>
  <si>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</si>
  <si>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</si>
  <si>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</si>
  <si>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</si>
  <si>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</si>
  <si>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</si>
  <si>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</si>
  <si>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</si>
  <si>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</si>
  <si>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</si>
  <si>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122 East 42nd St, Suite 1903</t>
  </si>
  <si>
    <t>New York</t>
  </si>
  <si>
    <t>State:</t>
  </si>
  <si>
    <t>NY</t>
  </si>
  <si>
    <t>Contact Person:</t>
  </si>
  <si>
    <t>Phone:</t>
  </si>
  <si>
    <t>212-776-1914</t>
  </si>
  <si>
    <t>Ext.:</t>
  </si>
  <si>
    <t>Fax:</t>
  </si>
  <si>
    <t>both nonprofits</t>
  </si>
  <si>
    <t xml:space="preserve">Email: </t>
  </si>
  <si>
    <t>psalib@crpaffordable.com</t>
  </si>
  <si>
    <t>Legal Status of Applicant:</t>
  </si>
  <si>
    <t>Parent Company:</t>
  </si>
  <si>
    <t>CRP Affordable Housing and Community Development LLC</t>
  </si>
  <si>
    <t>If Other, Specify:</t>
  </si>
  <si>
    <t>both for-profit</t>
  </si>
  <si>
    <t>General Partner(s) Information (post-closing GPs):</t>
  </si>
  <si>
    <t>D(1)</t>
  </si>
  <si>
    <t>General Partner Name:</t>
  </si>
  <si>
    <t>PSCDC Baler LLC</t>
  </si>
  <si>
    <t>Managing GP</t>
  </si>
  <si>
    <t xml:space="preserve">16935 West Bernardo Drive, Suite 238 </t>
  </si>
  <si>
    <t>OWNERSHIP</t>
  </si>
  <si>
    <t>Nonprofit</t>
  </si>
  <si>
    <t>CA</t>
  </si>
  <si>
    <t>INTEREST (%):</t>
  </si>
  <si>
    <t>currently exists</t>
  </si>
  <si>
    <t>Robert Laing</t>
  </si>
  <si>
    <t>to be formed</t>
  </si>
  <si>
    <t>For Profit</t>
  </si>
  <si>
    <t>858-675-0506</t>
  </si>
  <si>
    <t>robertlaing@pswcdc.org</t>
  </si>
  <si>
    <t>Nonprofit/For Profit:</t>
  </si>
  <si>
    <t>Pacific Southwest Community Development Corporation</t>
  </si>
  <si>
    <t>D(2)</t>
  </si>
  <si>
    <t>General Partner Name:*</t>
  </si>
  <si>
    <t>CRP Baler Place AGP LLC</t>
  </si>
  <si>
    <t>Administrative GP</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</si>
  <si>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</si>
  <si>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</si>
  <si>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</si>
  <si>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</si>
  <si>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</si>
  <si>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</si>
  <si>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</si>
  <si>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</si>
  <si>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</si>
  <si>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122 East 42 nd ST, STE 1903</t>
  </si>
  <si>
    <t>Seth Sterneck</t>
  </si>
  <si>
    <t>ssterneck@crpaffordable.com</t>
  </si>
  <si>
    <t>Participatory Role:</t>
  </si>
  <si>
    <t>Developer</t>
  </si>
  <si>
    <t>(e.g., General Partner, Consultant, etc.)</t>
  </si>
  <si>
    <t>II. APPLICATION - SECTION 4: DEVELOPMENT TEAM INFORMATION</t>
  </si>
  <si>
    <t>Indicate and List All Development Team Members</t>
  </si>
  <si>
    <t>Developer:</t>
  </si>
  <si>
    <t>CRP Affordable Housing &amp; Community Development LLC</t>
  </si>
  <si>
    <t>Architect:</t>
  </si>
  <si>
    <t>STUDIO T SQUARE</t>
  </si>
  <si>
    <t>Address:</t>
  </si>
  <si>
    <t>4429 Morena Boulevard, Suite A</t>
  </si>
  <si>
    <t>1970 Broadway, Suite 408</t>
  </si>
  <si>
    <t>City, State, Zip</t>
  </si>
  <si>
    <t>San Diego , CA, 92117</t>
  </si>
  <si>
    <t>City, State, Zip:</t>
  </si>
  <si>
    <t>Oakland, CA 94612</t>
  </si>
  <si>
    <t>Howai Lai</t>
  </si>
  <si>
    <t>(510) 451 - 2850</t>
  </si>
  <si>
    <t>Email:</t>
  </si>
  <si>
    <t>Attorney:</t>
  </si>
  <si>
    <t>Hobson Bernadino+ Davis LLP</t>
  </si>
  <si>
    <t>General Contractor:</t>
  </si>
  <si>
    <t>Ironcore Construction LLC</t>
  </si>
  <si>
    <t>6060 Center Drive, Floor 10</t>
  </si>
  <si>
    <t>Los Angeles, CA 90045</t>
  </si>
  <si>
    <t>San Diego, CA, 92104</t>
  </si>
  <si>
    <t>Jason Hobson</t>
  </si>
  <si>
    <t>Elliot Jones</t>
  </si>
  <si>
    <t>213-235-9191</t>
  </si>
  <si>
    <t>jhobson@hbdlegal.com</t>
  </si>
  <si>
    <t>ejones@ironcorecc.com</t>
  </si>
  <si>
    <t>Tax Professional:</t>
  </si>
  <si>
    <t>Energy Consultant:</t>
  </si>
  <si>
    <t>Partner Energy</t>
  </si>
  <si>
    <t>680 Knox St., Suite 150</t>
  </si>
  <si>
    <t>Torrance, CA 90502</t>
  </si>
  <si>
    <t>Kelsey Shaw</t>
  </si>
  <si>
    <t>310-356-2199</t>
  </si>
  <si>
    <t>760-355-675</t>
  </si>
  <si>
    <t>kshaw@ptrenergy.com</t>
  </si>
  <si>
    <t>CPA:</t>
  </si>
  <si>
    <t>Novogradac &amp; Company LLP</t>
  </si>
  <si>
    <t>Investor:</t>
  </si>
  <si>
    <t>Hunt Capital Partners, LLC</t>
  </si>
  <si>
    <t>1300 114th Avenue SE, Suite 240</t>
  </si>
  <si>
    <t>114 Turner Street, Unit #3</t>
  </si>
  <si>
    <t>Bellevue, WA 98004</t>
  </si>
  <si>
    <t>Clearwater, Florida 33756</t>
  </si>
  <si>
    <t>Thomas Stagg</t>
  </si>
  <si>
    <t>Dana Mayo</t>
  </si>
  <si>
    <t>425-453-5783</t>
  </si>
  <si>
    <t>thomas.stagg@novoco.com</t>
  </si>
  <si>
    <t>dana.mayo@huntcompanies.com</t>
  </si>
  <si>
    <t>Consultant:</t>
  </si>
  <si>
    <t>Market Analyst:</t>
  </si>
  <si>
    <t>6700 Antioch Rd #450</t>
  </si>
  <si>
    <t>Merriam, KS 66204</t>
  </si>
  <si>
    <t>Rachel Denton</t>
  </si>
  <si>
    <t>Rachel.denton@novoco.com</t>
  </si>
  <si>
    <t>Appraiser:</t>
  </si>
  <si>
    <t>CNA Consultant:</t>
  </si>
  <si>
    <t>Bond Issuer:</t>
  </si>
  <si>
    <t>California Municipal Finance Authority</t>
  </si>
  <si>
    <t>Prop. Mgmt. Co.:</t>
  </si>
  <si>
    <t>Cambridge Real Estate Services, Inc.</t>
  </si>
  <si>
    <t>2111 Palomar Airport Road, Suite 320</t>
  </si>
  <si>
    <t>PO Box 2968</t>
  </si>
  <si>
    <t>Carlsbad, CA 92011</t>
  </si>
  <si>
    <t>Portland, OR 97208</t>
  </si>
  <si>
    <t>John P. Stoecker</t>
  </si>
  <si>
    <t>Jeffrey Passadore</t>
  </si>
  <si>
    <t>(760) 930-1221</t>
  </si>
  <si>
    <t xml:space="preserve">503-450-0233 </t>
  </si>
  <si>
    <t>(760) 683-3390</t>
  </si>
  <si>
    <t>jstoecker@cmfa-ca.com</t>
  </si>
  <si>
    <t>jpassadore@cambridgeres.com</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</si>
  <si>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</si>
  <si>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</si>
  <si>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</si>
  <si>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</si>
  <si>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</si>
  <si>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</si>
  <si>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</si>
  <si>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</si>
  <si>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</si>
  <si>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</si>
  <si>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</si>
  <si>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</si>
  <si>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</si>
  <si>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</si>
  <si>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</si>
  <si>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</si>
  <si>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</si>
  <si>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</si>
  <si>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</si>
  <si>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</si>
  <si>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</si>
  <si>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</si>
  <si>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</si>
  <si>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</si>
  <si>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</si>
  <si>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</si>
  <si>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</si>
  <si>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</si>
  <si>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</si>
  <si>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</si>
  <si>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</si>
  <si>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</si>
  <si>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</si>
  <si>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</si>
  <si>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</si>
  <si>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Groves Family Trust</t>
  </si>
  <si>
    <t>Signatory of Seller:</t>
  </si>
  <si>
    <t>Michael Groves</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</si>
  <si>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</si>
  <si>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</si>
  <si>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</si>
  <si>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</si>
  <si>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</si>
  <si>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</si>
  <si>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</si>
  <si>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</si>
  <si>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</si>
  <si>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</si>
  <si>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</si>
  <si>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</si>
  <si>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</si>
  <si>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</si>
  <si>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</si>
  <si>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</si>
  <si>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</si>
  <si>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</si>
  <si>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</si>
  <si>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</si>
  <si>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</si>
  <si>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</si>
  <si>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</si>
  <si>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</si>
  <si>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</si>
  <si>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</si>
  <si>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</si>
  <si>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</si>
  <si>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</si>
  <si>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</si>
  <si>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</si>
  <si>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Type I and Type III Mid-rise Building</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</si>
  <si>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</si>
  <si>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</si>
  <si>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</si>
  <si>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</si>
  <si>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</si>
  <si>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</si>
  <si>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</si>
  <si>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</si>
  <si>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</si>
  <si>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</si>
  <si>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</si>
  <si>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</si>
  <si>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</si>
  <si>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</si>
  <si>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</si>
  <si>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</si>
  <si>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</si>
  <si>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</si>
  <si>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</si>
  <si>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</si>
  <si>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</si>
  <si>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</si>
  <si>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</si>
  <si>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</si>
  <si>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</si>
  <si>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</si>
  <si>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</si>
  <si>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</si>
  <si>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</si>
  <si>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</si>
  <si>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</si>
  <si>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</si>
  <si>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</si>
  <si>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</si>
  <si>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</si>
  <si>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</si>
  <si>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</si>
  <si>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</si>
  <si>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</si>
  <si>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</si>
  <si>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</si>
  <si>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</si>
  <si>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</si>
  <si>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</si>
  <si>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</si>
  <si>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</si>
  <si>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</si>
  <si>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</si>
  <si>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</si>
  <si>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</si>
  <si>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</si>
  <si>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</si>
  <si>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</si>
  <si>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</si>
  <si>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Vacant</t>
  </si>
  <si>
    <t>2024 100% RENTS</t>
  </si>
  <si>
    <t>2024 FAIR MARKET RENTS</t>
  </si>
  <si>
    <t>Current Zoning and Maximum Density</t>
  </si>
  <si>
    <t>RESIDENTIAL MULTIPLE (RM) and 36DU/Acre</t>
  </si>
  <si>
    <t>California Tax Credit Allocation Committee</t>
  </si>
  <si>
    <t>Housing and Urban Development</t>
  </si>
  <si>
    <t>Proposed Zoning and Maximum Density</t>
  </si>
  <si>
    <t>MULTI-FAMILY RESIDENTIAL and 29 DU/Acre</t>
  </si>
  <si>
    <t>Occupancy restrictions that run with the land due to CUP’s or density bonuses?</t>
  </si>
  <si>
    <t>(if yes, explain here)</t>
  </si>
  <si>
    <t>County</t>
  </si>
  <si>
    <t>SRO/Studio</t>
  </si>
  <si>
    <t>1 Bedroom</t>
  </si>
  <si>
    <t>2 Bedrooms</t>
  </si>
  <si>
    <t>3 Bedrooms</t>
  </si>
  <si>
    <t>4 Bedrooms</t>
  </si>
  <si>
    <t>5 Bedrooms</t>
  </si>
  <si>
    <t>Subject to Inclusionary Zoning?</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</si>
  <si>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</si>
  <si>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</si>
  <si>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</si>
  <si>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</si>
  <si>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</si>
  <si>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</si>
  <si>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</si>
  <si>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</si>
  <si>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</si>
  <si>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</si>
  <si>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</si>
  <si>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</si>
  <si>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</si>
  <si>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</si>
  <si>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</si>
  <si>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</si>
  <si>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</si>
  <si>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</si>
  <si>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</si>
  <si>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</si>
  <si>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</si>
  <si>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</si>
  <si>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</si>
  <si>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</si>
  <si>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</si>
  <si>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</si>
  <si>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</si>
  <si>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</si>
  <si>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</si>
  <si>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</si>
  <si>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</si>
  <si>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</si>
  <si>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</si>
  <si>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</si>
  <si>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</si>
  <si>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</si>
  <si>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</si>
  <si>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HACSC PBVs</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</si>
  <si>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</si>
  <si>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</si>
  <si>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</si>
  <si>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</si>
  <si>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</si>
  <si>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</si>
  <si>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</si>
  <si>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</si>
  <si>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</si>
  <si>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</si>
  <si>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</si>
  <si>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</si>
  <si>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</si>
  <si>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</si>
  <si>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</si>
  <si>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</si>
  <si>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</si>
  <si>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</si>
  <si>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</si>
  <si>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</si>
  <si>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</si>
  <si>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</si>
  <si>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</si>
  <si>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</si>
  <si>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</si>
  <si>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</si>
  <si>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</si>
  <si>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</si>
  <si>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</si>
  <si>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</si>
  <si>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</si>
  <si>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</si>
  <si>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</si>
  <si>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</si>
  <si>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</si>
  <si>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</si>
  <si>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Citibank</t>
  </si>
  <si>
    <t>Fixed</t>
  </si>
  <si>
    <t>Federal LIHTC Equity</t>
  </si>
  <si>
    <t>State LIHTC Equity</t>
  </si>
  <si>
    <t>Deferred Cost</t>
  </si>
  <si>
    <t>6)</t>
  </si>
  <si>
    <t>7)</t>
  </si>
  <si>
    <t>8)</t>
  </si>
  <si>
    <t>9)</t>
  </si>
  <si>
    <t>10)</t>
  </si>
  <si>
    <t>11)</t>
  </si>
  <si>
    <t>12)</t>
  </si>
  <si>
    <t>Total Funds For Construction:</t>
  </si>
  <si>
    <t>Lender/Source:</t>
  </si>
  <si>
    <t>300 South Grand Avenue</t>
  </si>
  <si>
    <t>Contact Name:</t>
  </si>
  <si>
    <t>Hao Li</t>
  </si>
  <si>
    <t xml:space="preserve">213-239-1914					</t>
  </si>
  <si>
    <t>Type of Financing:</t>
  </si>
  <si>
    <t xml:space="preserve">Tax Exempt Bonds/ Private										</t>
  </si>
  <si>
    <t xml:space="preserve">Taxable Bonds/ Private										</t>
  </si>
  <si>
    <t>Variable Rate Index (if applicable):</t>
  </si>
  <si>
    <t>Is the Lender/Source Committed?</t>
  </si>
  <si>
    <t>Clearwater, FL 33756</t>
  </si>
  <si>
    <t>122 E 42nd Street, Suite 1903</t>
  </si>
  <si>
    <t>New York, NY 10168</t>
  </si>
  <si>
    <t>Private</t>
  </si>
  <si>
    <t>low income</t>
  </si>
  <si>
    <t>lowest income</t>
  </si>
  <si>
    <t>average rent</t>
  </si>
  <si>
    <t>50-36</t>
  </si>
  <si>
    <t>&lt;=35</t>
  </si>
  <si>
    <t>SRO/STUDIO</t>
  </si>
  <si>
    <t>4+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</si>
  <si>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</si>
  <si>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</si>
  <si>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</si>
  <si>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</si>
  <si>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</si>
  <si>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</si>
  <si>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</si>
  <si>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HOME</t>
  </si>
  <si>
    <t>Deferred Developer Fee</t>
  </si>
  <si>
    <t>TOTAL LI Units</t>
  </si>
  <si>
    <t>TOTAL LI Bedrooms</t>
  </si>
  <si>
    <t>Deferred</t>
  </si>
  <si>
    <t>Residual</t>
  </si>
  <si>
    <t>manager(s)</t>
  </si>
  <si>
    <t>Total Permanent Financing:</t>
  </si>
  <si>
    <t>Total Tax Credit Equity:</t>
  </si>
  <si>
    <t>Total Sources of Project Funds:</t>
  </si>
  <si>
    <t>TOTAL Manager Units</t>
  </si>
  <si>
    <t>TOTAL Manager Bedrooms</t>
  </si>
  <si>
    <t>2020 W. El Camino Avenue, Suite 200</t>
  </si>
  <si>
    <t>market rate</t>
  </si>
  <si>
    <t>market rate AMIs</t>
  </si>
  <si>
    <t>Sacramento, CA 94252</t>
  </si>
  <si>
    <t>Sasha Hauswald</t>
  </si>
  <si>
    <t>(916) 263-2771</t>
  </si>
  <si>
    <t>HCD</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</si>
  <si>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</si>
  <si>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</si>
  <si>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</si>
  <si>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</si>
  <si>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</si>
  <si>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</si>
  <si>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</si>
  <si>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</si>
  <si>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</si>
  <si>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</si>
  <si>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</si>
  <si>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</si>
  <si>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</si>
  <si>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</si>
  <si>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</si>
  <si>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</si>
  <si>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</si>
  <si>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</si>
  <si>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</si>
  <si>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</si>
  <si>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</si>
  <si>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</si>
  <si>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</si>
  <si>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</si>
  <si>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</si>
  <si>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</si>
  <si>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</si>
  <si>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</si>
  <si>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</si>
  <si>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</si>
  <si>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</si>
  <si>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</si>
  <si>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</si>
  <si>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</si>
  <si>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</si>
  <si>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</si>
  <si>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</si>
  <si>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</si>
  <si>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</si>
  <si>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</si>
  <si>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</si>
  <si>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</si>
  <si>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</si>
  <si>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</si>
  <si>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</si>
  <si>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</si>
  <si>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</si>
  <si>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</si>
  <si>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</si>
  <si>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</si>
  <si>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</si>
  <si>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</si>
  <si>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</si>
  <si>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</si>
  <si>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</si>
  <si>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</si>
  <si>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</si>
  <si>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</si>
  <si>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</si>
  <si>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</si>
  <si>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</si>
  <si>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</si>
  <si>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</si>
  <si>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</si>
  <si>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</si>
  <si>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</si>
  <si>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App. Fees, Late, etc.</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</si>
  <si>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</si>
  <si>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</si>
  <si>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</si>
  <si>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</si>
  <si>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</si>
  <si>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</si>
  <si>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</si>
  <si>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</si>
  <si>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</si>
  <si>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</si>
  <si>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</si>
  <si>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</si>
  <si>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</si>
  <si>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</si>
  <si>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</si>
  <si>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</si>
  <si>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General</t>
  </si>
  <si>
    <t>*PROJECTS PROPOSING UNITS WITH INDIVIDUAL WATER METERS MUST INCLUDE A WATER</t>
  </si>
  <si>
    <t>ALLOWANCE.</t>
  </si>
  <si>
    <t>Name of PHA or California Energy Commission Providing Utility Allowances:</t>
  </si>
  <si>
    <t>CITIES OF HOLLISTER AND SAN JUAN BAUTISTA</t>
  </si>
  <si>
    <t>See Regulation Section 10322(h)(21) for type of projects that are allowed to use CUAC.</t>
  </si>
  <si>
    <t>Annual Residential Operating Expenses</t>
  </si>
  <si>
    <t xml:space="preserve"> Administrative</t>
  </si>
  <si>
    <t>Advertising:</t>
  </si>
  <si>
    <t>Legal:</t>
  </si>
  <si>
    <t>Accounting/Audit:</t>
  </si>
  <si>
    <t>Security:</t>
  </si>
  <si>
    <t>Misc.  (Admin etc.)</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</si>
  <si>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</si>
  <si>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</si>
  <si>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</si>
  <si>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</si>
  <si>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</si>
  <si>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</si>
  <si>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</si>
  <si>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</si>
  <si>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</si>
  <si>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</si>
  <si>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</si>
  <si>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</si>
  <si>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</si>
  <si>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Taxes, Benefits etc.</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</si>
  <si>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</si>
  <si>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</si>
  <si>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</si>
  <si>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</si>
  <si>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</si>
  <si>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</si>
  <si>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</si>
  <si>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</si>
  <si>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</si>
  <si>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</si>
  <si>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</si>
  <si>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</si>
  <si>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</si>
  <si>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</si>
  <si>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</si>
  <si>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</si>
  <si>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</si>
  <si>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</si>
  <si>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</si>
  <si>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</si>
  <si>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</si>
  <si>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</si>
  <si>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</si>
  <si>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</si>
  <si>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</si>
  <si>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</si>
  <si>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</si>
  <si>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</si>
  <si>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</si>
  <si>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</si>
  <si>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</si>
  <si>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</si>
  <si>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</si>
  <si>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</si>
  <si>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</si>
  <si>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</si>
  <si>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</si>
  <si>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</si>
  <si>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</si>
  <si>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</si>
  <si>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</si>
  <si>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</si>
  <si>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</si>
  <si>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</si>
  <si>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</si>
  <si>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</si>
  <si>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</si>
  <si>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</si>
  <si>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</si>
  <si>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</si>
  <si>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</si>
  <si>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</si>
  <si>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</si>
  <si>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</si>
  <si>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</si>
  <si>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</si>
  <si>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</si>
  <si>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</si>
  <si>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</si>
  <si>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</si>
  <si>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</si>
  <si>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</si>
  <si>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</si>
  <si>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</si>
  <si>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</si>
  <si>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</si>
  <si>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</si>
  <si>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Tax Credit Equity</t>
  </si>
  <si>
    <t>Local:</t>
  </si>
  <si>
    <t>Indicate By Percent Of Units Affected, Any Rental Subsidy Expected To Be Available To The Project.</t>
  </si>
  <si>
    <t>Approval Date:</t>
  </si>
  <si>
    <t>Source:</t>
  </si>
  <si>
    <t>HACSC</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</si>
  <si>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</si>
  <si>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</si>
  <si>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</si>
  <si>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</si>
  <si>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</si>
  <si>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</si>
  <si>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</si>
  <si>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</si>
  <si>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</si>
  <si>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</si>
  <si>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</si>
  <si>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</si>
  <si>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</si>
  <si>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</si>
  <si>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</si>
  <si>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</si>
  <si>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</si>
  <si>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</si>
  <si>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</si>
  <si>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</si>
  <si>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</si>
  <si>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</si>
  <si>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</si>
  <si>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</si>
  <si>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</si>
  <si>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</si>
  <si>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</si>
  <si>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</si>
  <si>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</si>
  <si>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</si>
  <si>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</si>
  <si>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</si>
  <si>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</si>
  <si>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</si>
  <si>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Housing Authority of County of Santa Cruz</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</si>
  <si>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</si>
  <si>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</si>
  <si>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</si>
  <si>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</si>
  <si>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</si>
  <si>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</si>
  <si>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</si>
  <si>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</si>
  <si>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</si>
  <si>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</si>
  <si>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</si>
  <si>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</si>
  <si>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</si>
  <si>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</si>
  <si>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</si>
  <si>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</si>
  <si>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</si>
  <si>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</si>
  <si>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</si>
  <si>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</si>
  <si>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</si>
  <si>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</si>
  <si>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</si>
  <si>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</si>
  <si>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</si>
  <si>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</si>
  <si>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</si>
  <si>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</si>
  <si>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</si>
  <si>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</si>
  <si>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</si>
  <si>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</si>
  <si>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</si>
  <si>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</si>
  <si>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</si>
  <si>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</si>
  <si>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</si>
  <si>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</si>
  <si>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</si>
  <si>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</si>
  <si>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</si>
  <si>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</si>
  <si>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</si>
  <si>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</si>
  <si>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</si>
  <si>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</si>
  <si>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</si>
  <si>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</si>
  <si>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</si>
  <si>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</si>
  <si>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</si>
  <si>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</si>
  <si>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</si>
  <si>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</si>
  <si>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</si>
  <si>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</si>
  <si>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</si>
  <si>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</si>
  <si>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</si>
  <si>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</si>
  <si>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</si>
  <si>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</si>
  <si>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</si>
  <si>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</si>
  <si>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</si>
  <si>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</si>
  <si>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</si>
  <si>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</si>
  <si>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</si>
  <si>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</si>
  <si>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</si>
  <si>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</si>
  <si>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</si>
  <si>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</si>
  <si>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</si>
  <si>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</si>
  <si>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</si>
  <si>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</si>
  <si>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</si>
  <si>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</si>
  <si>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</si>
  <si>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</si>
  <si>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</si>
  <si>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</si>
  <si>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</si>
  <si>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</si>
  <si>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</si>
  <si>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</si>
  <si>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</si>
  <si>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</si>
  <si>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</si>
  <si>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</si>
  <si>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</si>
  <si>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</si>
  <si>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</si>
  <si>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</si>
  <si>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</si>
  <si>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</si>
  <si>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</si>
  <si>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</si>
  <si>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</si>
  <si>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</si>
  <si>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</si>
  <si>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Other: Employee Reporting</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</si>
  <si>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</si>
  <si>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</si>
  <si>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</si>
  <si>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</si>
  <si>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</si>
  <si>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</si>
  <si>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</si>
  <si>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</si>
  <si>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</si>
  <si>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</si>
  <si>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</si>
  <si>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</si>
  <si>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</si>
  <si>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</si>
  <si>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</si>
  <si>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</si>
  <si>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</si>
  <si>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</si>
  <si>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</si>
  <si>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</si>
  <si>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</si>
  <si>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</si>
  <si>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</si>
  <si>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</si>
  <si>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</si>
  <si>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</si>
  <si>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</si>
  <si>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</si>
  <si>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</si>
  <si>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</si>
  <si>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</si>
  <si>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</si>
  <si>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Other: Prevailing wage monitoring, Misc Third Party Cost, Pre Dev Loan Interest</t>
  </si>
  <si>
    <t>Other: CDLAC Fee</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</si>
  <si>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</si>
  <si>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</si>
  <si>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</si>
  <si>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</si>
  <si>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</si>
  <si>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</si>
  <si>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</si>
  <si>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</si>
  <si>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</si>
  <si>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</si>
  <si>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</si>
  <si>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</si>
  <si>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</si>
  <si>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</si>
  <si>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</si>
  <si>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</si>
  <si>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</si>
  <si>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</si>
  <si>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</si>
  <si>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</si>
  <si>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</si>
  <si>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</si>
  <si>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</si>
  <si>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</si>
  <si>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</si>
  <si>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</si>
  <si>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</si>
  <si>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</si>
  <si>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</si>
  <si>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</si>
  <si>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</si>
  <si>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</si>
  <si>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</si>
  <si>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</si>
  <si>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</si>
  <si>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</si>
  <si>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</si>
  <si>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</si>
  <si>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</si>
  <si>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</si>
  <si>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</si>
  <si>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</si>
  <si>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</si>
  <si>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</si>
  <si>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</si>
  <si>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</si>
  <si>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</si>
  <si>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</si>
  <si>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</si>
  <si>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</si>
  <si>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</si>
  <si>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</si>
  <si>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</si>
  <si>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</si>
  <si>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</si>
  <si>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</si>
  <si>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</si>
  <si>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</si>
  <si>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</si>
  <si>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</si>
  <si>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</si>
  <si>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</si>
  <si>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</si>
  <si>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</si>
  <si>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</si>
  <si>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</si>
  <si>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</si>
  <si>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</si>
  <si>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</si>
  <si>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</si>
  <si>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</si>
  <si>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</si>
  <si>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</si>
  <si>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</si>
  <si>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</si>
  <si>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</si>
  <si>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</si>
  <si>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</si>
  <si>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</si>
  <si>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</si>
  <si>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</si>
  <si>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</si>
  <si>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</si>
  <si>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</si>
  <si>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</si>
  <si>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</si>
  <si>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</si>
  <si>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</si>
  <si>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</si>
  <si>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</si>
  <si>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</si>
  <si>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</si>
  <si>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</si>
  <si>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</si>
  <si>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</si>
  <si>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</si>
  <si>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</si>
  <si>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</si>
  <si>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</si>
  <si>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</si>
  <si>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</si>
  <si>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</si>
  <si>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</si>
  <si>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</si>
  <si>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</si>
  <si>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</si>
  <si>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</si>
  <si>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</si>
  <si>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</si>
  <si>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</si>
  <si>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</si>
  <si>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</si>
  <si>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</si>
  <si>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</si>
  <si>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</si>
  <si>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</si>
  <si>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</si>
  <si>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</si>
  <si>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</si>
  <si>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</si>
  <si>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</si>
  <si>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</si>
  <si>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</si>
  <si>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</si>
  <si>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</si>
  <si>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</si>
  <si>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</si>
  <si>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</si>
  <si>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</si>
  <si>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</si>
  <si>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</si>
  <si>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</si>
  <si>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</si>
  <si>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</si>
  <si>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</si>
  <si>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</si>
  <si>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</si>
  <si>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</si>
  <si>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</si>
  <si>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</si>
  <si>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</si>
  <si>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</si>
  <si>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</si>
  <si>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</si>
  <si>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</si>
  <si>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</si>
  <si>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</si>
  <si>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</si>
  <si>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</si>
  <si>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</si>
  <si>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</si>
  <si>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</si>
  <si>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</si>
  <si>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</si>
  <si>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</si>
  <si>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</si>
  <si>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</si>
  <si>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</si>
  <si>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</si>
  <si>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</si>
  <si>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</si>
  <si>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</si>
  <si>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</si>
  <si>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</si>
  <si>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</si>
  <si>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</si>
  <si>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</si>
  <si>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</si>
  <si>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</si>
  <si>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</si>
  <si>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</si>
  <si>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</si>
  <si>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</si>
  <si>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</si>
  <si>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</si>
  <si>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</si>
  <si>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</si>
  <si>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</si>
  <si>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</si>
  <si>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</si>
  <si>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</si>
  <si>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</si>
  <si>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</si>
  <si>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</si>
  <si>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</si>
  <si>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</si>
  <si>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</si>
  <si>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2 bedroom</t>
  </si>
  <si>
    <t>3 bedroom</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</si>
  <si>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</si>
  <si>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</si>
  <si>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</si>
  <si>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</si>
  <si>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</si>
  <si>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</si>
  <si>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</si>
  <si>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</si>
  <si>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</si>
  <si>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</si>
  <si>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</si>
  <si>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</si>
  <si>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</si>
  <si>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</si>
  <si>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</si>
  <si>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</si>
  <si>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</si>
  <si>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</si>
  <si>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</si>
  <si>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</si>
  <si>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</si>
  <si>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</si>
  <si>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</si>
  <si>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</si>
  <si>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</si>
  <si>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</si>
  <si>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</si>
  <si>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</si>
  <si>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</si>
  <si>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</si>
  <si>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</si>
  <si>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</si>
  <si>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</si>
  <si>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</si>
  <si>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</si>
  <si>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</si>
  <si>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</si>
  <si>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</si>
  <si>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</si>
  <si>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</si>
  <si>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</si>
  <si>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</si>
  <si>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</si>
  <si>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</si>
  <si>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</si>
  <si>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</si>
  <si>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</si>
  <si>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</si>
  <si>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</si>
  <si>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</si>
  <si>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</si>
  <si>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</si>
  <si>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</si>
  <si>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</si>
  <si>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</si>
  <si>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</si>
  <si>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</si>
  <si>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</si>
  <si>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</si>
  <si>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</si>
  <si>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</si>
  <si>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</si>
  <si>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</si>
  <si>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</si>
  <si>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</si>
  <si>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</si>
  <si>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</si>
  <si>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</si>
  <si>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</si>
  <si>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</si>
  <si>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</si>
  <si>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</si>
  <si>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</si>
  <si>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</si>
  <si>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</si>
  <si>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</si>
  <si>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</si>
  <si>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</si>
  <si>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</si>
  <si>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</si>
  <si>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</si>
  <si>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</si>
  <si>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</si>
  <si>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</si>
  <si>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</si>
  <si>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</si>
  <si>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</si>
  <si>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</si>
  <si>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</si>
  <si>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</si>
  <si>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</si>
  <si>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</si>
  <si>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</si>
  <si>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</si>
  <si>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</si>
  <si>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</si>
  <si>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</si>
  <si>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</si>
  <si>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</si>
  <si>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</si>
  <si>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</si>
  <si>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</si>
  <si>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</si>
  <si>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</si>
  <si>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</si>
  <si>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</si>
  <si>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</si>
  <si>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</si>
  <si>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</si>
  <si>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</si>
  <si>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</si>
  <si>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</si>
  <si>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</si>
  <si>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</si>
  <si>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</si>
  <si>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</si>
  <si>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</si>
  <si>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</si>
  <si>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</si>
  <si>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</si>
  <si>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</si>
  <si>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</si>
  <si>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</si>
  <si>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</si>
  <si>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</si>
  <si>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</si>
  <si>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</si>
  <si>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</si>
  <si>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</si>
  <si>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</si>
  <si>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</si>
  <si>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</si>
  <si>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</si>
  <si>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</si>
  <si>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</si>
  <si>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</si>
  <si>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</si>
  <si>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</si>
  <si>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</si>
  <si>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</si>
  <si>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</si>
  <si>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</si>
  <si>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</si>
  <si>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</si>
  <si>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</si>
  <si>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</si>
  <si>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</si>
  <si>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</si>
  <si>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</si>
  <si>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</si>
  <si>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</si>
  <si>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</si>
  <si>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</si>
  <si>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</si>
  <si>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</si>
  <si>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</si>
  <si>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</si>
  <si>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</si>
  <si>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</si>
  <si>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</si>
  <si>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</si>
  <si>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</si>
  <si>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</si>
  <si>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</si>
  <si>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</si>
  <si>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</si>
  <si>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</si>
  <si>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</si>
  <si>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</si>
  <si>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</si>
  <si>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</si>
  <si>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</si>
  <si>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</si>
  <si>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</si>
  <si>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</si>
  <si>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</si>
  <si>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</si>
  <si>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</si>
  <si>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</si>
  <si>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</si>
  <si>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</si>
  <si>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</si>
  <si>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</si>
  <si>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</si>
  <si>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</si>
  <si>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</si>
  <si>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</si>
  <si>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</si>
  <si>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</si>
  <si>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</si>
  <si>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</si>
  <si>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</si>
  <si>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</si>
  <si>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</si>
  <si>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</si>
  <si>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</si>
  <si>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</si>
  <si>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</si>
  <si>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</si>
  <si>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</si>
  <si>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</si>
  <si>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</si>
  <si>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</si>
  <si>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</si>
  <si>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</si>
  <si>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</si>
  <si>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</si>
  <si>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</si>
  <si>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</si>
  <si>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</si>
  <si>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</si>
  <si>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</si>
  <si>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</si>
  <si>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</si>
  <si>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</si>
  <si>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</si>
  <si>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</si>
  <si>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</si>
  <si>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</si>
  <si>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</si>
  <si>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</si>
  <si>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</si>
  <si>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</si>
  <si>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</si>
  <si>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</si>
  <si>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</si>
  <si>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</si>
  <si>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</si>
  <si>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</si>
  <si>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</si>
  <si>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</si>
  <si>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</si>
  <si>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</si>
  <si>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</si>
  <si>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</si>
  <si>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</si>
  <si>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</si>
  <si>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</si>
  <si>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</si>
  <si>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</si>
  <si>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</si>
  <si>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</si>
  <si>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</si>
  <si>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</si>
  <si>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</si>
  <si>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</si>
  <si>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</si>
  <si>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</si>
  <si>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</si>
  <si>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</si>
  <si>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</si>
  <si>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</si>
  <si>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</si>
  <si>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</si>
  <si>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</si>
  <si>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</si>
  <si>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</si>
  <si>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</si>
  <si>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</si>
  <si>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</si>
  <si>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</si>
  <si>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</si>
  <si>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</si>
  <si>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</si>
  <si>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</si>
  <si>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</si>
  <si>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</si>
  <si>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</si>
  <si>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</si>
  <si>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</si>
  <si>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</si>
  <si>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</si>
  <si>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</si>
  <si>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</si>
  <si>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</si>
  <si>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</si>
  <si>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</si>
  <si>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</si>
  <si>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</si>
  <si>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</si>
  <si>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</si>
  <si>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</si>
  <si>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</si>
  <si>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</si>
  <si>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</si>
  <si>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</si>
  <si>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</si>
  <si>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</si>
  <si>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</si>
  <si>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</si>
  <si>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</si>
  <si>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</si>
  <si>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</si>
  <si>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</si>
  <si>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</si>
  <si>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</si>
  <si>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</si>
  <si>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</si>
  <si>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</si>
  <si>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</si>
  <si>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</si>
  <si>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</si>
  <si>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</si>
  <si>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</si>
  <si>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</si>
  <si>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</si>
  <si>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</si>
  <si>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</si>
  <si>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</si>
  <si>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</si>
  <si>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</si>
  <si>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</si>
  <si>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</si>
  <si>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</si>
  <si>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</si>
  <si>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</si>
  <si>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</si>
  <si>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</si>
  <si>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</si>
  <si>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</si>
  <si>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</si>
  <si>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</si>
  <si>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</si>
  <si>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</si>
  <si>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</si>
  <si>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</si>
  <si>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</si>
  <si>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</si>
  <si>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</si>
  <si>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</si>
  <si>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</si>
  <si>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</si>
  <si>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</si>
  <si>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</si>
  <si>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</si>
  <si>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</si>
  <si>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</si>
  <si>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</si>
  <si>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</si>
  <si>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</si>
  <si>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</si>
  <si>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</si>
  <si>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</si>
  <si>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</si>
  <si>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</si>
  <si>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</si>
  <si>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</si>
  <si>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</si>
  <si>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</si>
  <si>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</si>
  <si>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</si>
  <si>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</si>
  <si>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</si>
  <si>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</si>
  <si>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</si>
  <si>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</si>
  <si>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</si>
  <si>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</si>
  <si>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</si>
  <si>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</si>
  <si>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</si>
  <si>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</si>
  <si>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</si>
  <si>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</si>
  <si>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</si>
  <si>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</si>
  <si>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</si>
  <si>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</si>
  <si>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</si>
  <si>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</si>
  <si>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</si>
  <si>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</si>
  <si>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</si>
  <si>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</si>
  <si>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</si>
  <si>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</si>
  <si>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</si>
  <si>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</si>
  <si>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</si>
  <si>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</si>
  <si>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</si>
  <si>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</si>
  <si>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</si>
  <si>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</si>
  <si>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</si>
  <si>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</si>
  <si>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</si>
  <si>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</si>
  <si>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</si>
  <si>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</si>
  <si>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</si>
  <si>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</si>
  <si>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</si>
  <si>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</si>
  <si>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</si>
  <si>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</si>
  <si>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</si>
  <si>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</si>
  <si>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</si>
  <si>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</si>
  <si>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</si>
  <si>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</si>
  <si>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</si>
  <si>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Project Based Vouchers</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</si>
  <si>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</si>
  <si>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</si>
  <si>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</si>
  <si>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</si>
  <si>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</si>
  <si>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</si>
  <si>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</si>
  <si>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</si>
  <si>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</si>
  <si>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</si>
  <si>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</si>
  <si>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</si>
  <si>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</si>
  <si>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</si>
  <si>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</si>
  <si>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</si>
  <si>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</si>
  <si>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</si>
  <si>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</si>
  <si>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</si>
  <si>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</si>
  <si>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</si>
  <si>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</si>
  <si>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</si>
  <si>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</si>
  <si>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</si>
  <si>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</si>
  <si>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</si>
  <si>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</si>
  <si>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</si>
  <si>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</si>
  <si>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</si>
  <si>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</si>
  <si>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</si>
  <si>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</si>
  <si>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</si>
  <si>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</si>
  <si>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</si>
  <si>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</si>
  <si>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</si>
  <si>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</si>
  <si>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</si>
  <si>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</si>
  <si>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</si>
  <si>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</si>
  <si>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</si>
  <si>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</si>
  <si>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</si>
  <si>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</si>
  <si>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</si>
  <si>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</si>
  <si>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</si>
  <si>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</si>
  <si>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</si>
  <si>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</si>
  <si>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</si>
  <si>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</si>
  <si>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</si>
  <si>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</si>
  <si>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</si>
  <si>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</si>
  <si>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</si>
  <si>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</si>
  <si>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</si>
  <si>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</si>
  <si>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</si>
  <si>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</si>
  <si>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</si>
  <si>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</si>
  <si>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</si>
  <si>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</si>
  <si>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</si>
  <si>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</si>
  <si>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</si>
  <si>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</si>
  <si>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</si>
  <si>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</si>
  <si>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</si>
  <si>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</si>
  <si>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</si>
  <si>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</si>
  <si>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</si>
  <si>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</si>
  <si>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</si>
  <si>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</si>
  <si>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</si>
  <si>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</si>
  <si>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</si>
  <si>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</si>
  <si>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</si>
  <si>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</si>
  <si>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</si>
  <si>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</si>
  <si>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</si>
  <si>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</si>
  <si>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</si>
  <si>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</si>
  <si>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</si>
  <si>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</si>
  <si>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</si>
  <si>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</si>
  <si>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</si>
  <si>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</si>
  <si>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</si>
  <si>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</si>
  <si>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</si>
  <si>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</si>
  <si>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</si>
  <si>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</si>
  <si>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</si>
  <si>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</si>
  <si>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</si>
  <si>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</si>
  <si>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</si>
  <si>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</si>
  <si>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</si>
  <si>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</si>
  <si>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</si>
  <si>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</si>
  <si>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</si>
  <si>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</si>
  <si>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</si>
  <si>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</si>
  <si>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</si>
  <si>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</si>
  <si>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</si>
  <si>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</si>
  <si>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</si>
  <si>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</si>
  <si>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</si>
  <si>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</si>
  <si>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</si>
  <si>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</si>
  <si>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</si>
  <si>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</si>
  <si>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</si>
  <si>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</si>
  <si>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</si>
  <si>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</si>
  <si>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</si>
  <si>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</si>
  <si>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</si>
  <si>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</si>
  <si>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</si>
  <si>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</si>
  <si>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</si>
  <si>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</si>
  <si>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</si>
  <si>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</si>
  <si>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</si>
  <si>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</si>
  <si>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</si>
  <si>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</si>
  <si>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</si>
  <si>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</si>
  <si>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</si>
  <si>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</si>
  <si>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</si>
  <si>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</si>
  <si>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</si>
  <si>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</si>
  <si>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</si>
  <si>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</si>
  <si>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</si>
  <si>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</si>
  <si>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</si>
  <si>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</si>
  <si>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</si>
  <si>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</si>
  <si>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</si>
  <si>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</si>
  <si>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</si>
  <si>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</si>
  <si>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</si>
  <si>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</si>
  <si>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</si>
  <si>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</si>
  <si>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</si>
  <si>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</si>
  <si>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</si>
  <si>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</si>
  <si>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</si>
  <si>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</si>
  <si>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</si>
  <si>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</si>
  <si>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</si>
  <si>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</si>
  <si>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</si>
  <si>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</si>
  <si>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</si>
  <si>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</si>
  <si>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</si>
  <si>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</si>
  <si>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</si>
  <si>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</si>
  <si>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</si>
  <si>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</si>
  <si>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</si>
  <si>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</si>
  <si>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</si>
  <si>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</si>
  <si>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</si>
  <si>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</si>
  <si>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</si>
  <si>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</si>
  <si>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</si>
  <si>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</si>
  <si>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</si>
  <si>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</si>
  <si>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</si>
  <si>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</si>
  <si>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</si>
  <si>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</si>
  <si>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</si>
  <si>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</si>
  <si>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</si>
  <si>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</si>
  <si>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</si>
  <si>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</si>
  <si>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</si>
  <si>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</si>
  <si>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</si>
  <si>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</si>
  <si>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</si>
  <si>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</si>
  <si>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</si>
  <si>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</si>
  <si>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</si>
  <si>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</si>
  <si>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</si>
  <si>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</si>
  <si>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</si>
  <si>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</si>
  <si>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</si>
  <si>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</si>
  <si>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</si>
  <si>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</si>
  <si>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</si>
  <si>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</si>
  <si>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</si>
  <si>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</si>
  <si>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</si>
  <si>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</si>
  <si>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</si>
  <si>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</si>
  <si>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</si>
  <si>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</si>
  <si>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</si>
  <si>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</si>
  <si>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</si>
  <si>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</si>
  <si>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</si>
  <si>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</si>
  <si>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</si>
  <si>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</si>
  <si>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</si>
  <si>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</si>
  <si>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</si>
  <si>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</si>
  <si>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</si>
  <si>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</si>
  <si>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</si>
  <si>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</si>
  <si>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</si>
  <si>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</si>
  <si>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</si>
  <si>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</si>
  <si>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</si>
  <si>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</si>
  <si>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</si>
  <si>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</si>
  <si>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</si>
  <si>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</si>
  <si>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</si>
  <si>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</si>
  <si>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</si>
  <si>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</si>
  <si>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</si>
  <si>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</si>
  <si>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</si>
  <si>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Citibank Perm Loan</t>
  </si>
  <si>
    <t>HOME Soft Debt</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</si>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</sst>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17170">
    <xf numFmtId="0" fontId="0" fillId="0" borderId="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4"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5"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8"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19"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4"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6" borderId="0" applyNumberFormat="0" applyBorder="0" applyAlignment="0" applyProtection="0"/>
    <xf numFmtId="0" fontId="74" fillId="26" borderId="0" applyNumberFormat="0" applyBorder="0" applyAlignment="0" applyProtection="0"/>
    <xf numFmtId="0" fontId="74" fillId="27"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74" fillId="30" borderId="0" applyNumberFormat="0" applyBorder="0" applyAlignment="0" applyProtection="0"/>
    <xf numFmtId="0" fontId="74" fillId="30" borderId="0" applyNumberFormat="0" applyBorder="0" applyAlignment="0" applyProtection="0"/>
    <xf numFmtId="0" fontId="74" fillId="31" borderId="0" applyNumberFormat="0" applyBorder="0" applyAlignment="0" applyProtection="0"/>
    <xf numFmtId="0" fontId="74" fillId="31" borderId="0" applyNumberFormat="0" applyBorder="0" applyAlignment="0" applyProtection="0"/>
    <xf numFmtId="0" fontId="74" fillId="32" borderId="0" applyNumberFormat="0" applyBorder="0" applyAlignment="0" applyProtection="0"/>
    <xf numFmtId="0" fontId="74" fillId="32" borderId="0" applyNumberFormat="0" applyBorder="0" applyAlignment="0" applyProtection="0"/>
    <xf numFmtId="0" fontId="74" fillId="33" borderId="0" applyNumberFormat="0" applyBorder="0" applyAlignment="0" applyProtection="0"/>
    <xf numFmtId="0" fontId="74" fillId="34" borderId="0" applyNumberFormat="0" applyBorder="0" applyAlignment="0" applyProtection="0"/>
    <xf numFmtId="0" fontId="75" fillId="35" borderId="0" applyNumberFormat="0" applyBorder="0" applyAlignment="0" applyProtection="0"/>
    <xf numFmtId="0" fontId="75" fillId="35" borderId="0" applyNumberFormat="0" applyBorder="0" applyAlignment="0" applyProtection="0"/>
    <xf numFmtId="0" fontId="76" fillId="36" borderId="18" applyNumberFormat="0" applyAlignment="0" applyProtection="0"/>
    <xf numFmtId="0" fontId="76" fillId="36" borderId="18" applyNumberFormat="0" applyAlignment="0" applyProtection="0"/>
    <xf numFmtId="0" fontId="77" fillId="37" borderId="19" applyNumberFormat="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65"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43" fontId="50" fillId="0" borderId="0" applyFont="0" applyFill="0" applyBorder="0" applyAlignment="0" applyProtection="0"/>
    <xf numFmtId="43" fontId="23" fillId="0" borderId="0" applyFont="0" applyFill="0" applyBorder="0" applyAlignment="0" applyProtection="0"/>
    <xf numFmtId="43" fontId="50" fillId="0" borderId="0" applyFont="0" applyFill="0" applyBorder="0" applyAlignment="0" applyProtection="0"/>
    <xf numFmtId="44" fontId="66"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0" fillId="0" borderId="0" applyFont="0" applyFill="0" applyBorder="0" applyAlignment="0" applyProtection="0"/>
    <xf numFmtId="44" fontId="66" fillId="0" borderId="0" applyFont="0" applyFill="0" applyBorder="0" applyAlignment="0" applyProtection="0"/>
    <xf numFmtId="44" fontId="23" fillId="0" borderId="0" applyFont="0" applyFill="0" applyBorder="0" applyAlignment="0" applyProtection="0"/>
    <xf numFmtId="44" fontId="68" fillId="0" borderId="0" applyFont="0" applyFill="0" applyBorder="0" applyAlignment="0" applyProtection="0"/>
    <xf numFmtId="44" fontId="23" fillId="0" borderId="0" applyFont="0" applyFill="0" applyBorder="0" applyAlignment="0" applyProtection="0"/>
    <xf numFmtId="44" fontId="50" fillId="0" borderId="0" applyFont="0" applyFill="0" applyBorder="0" applyAlignment="0" applyProtection="0">
      <alignment vertical="top"/>
    </xf>
    <xf numFmtId="44" fontId="50" fillId="0" borderId="0" applyFont="0" applyFill="0" applyBorder="0" applyAlignment="0" applyProtection="0">
      <alignment vertical="top"/>
    </xf>
    <xf numFmtId="44" fontId="23" fillId="0" borderId="0" applyFont="0" applyFill="0" applyBorder="0" applyAlignment="0" applyProtection="0"/>
    <xf numFmtId="44" fontId="50" fillId="0" borderId="0" applyFont="0" applyFill="0" applyBorder="0" applyAlignment="0" applyProtection="0">
      <alignment vertical="top"/>
    </xf>
    <xf numFmtId="44" fontId="50" fillId="0" borderId="0" applyFont="0" applyFill="0" applyBorder="0" applyAlignment="0" applyProtection="0"/>
    <xf numFmtId="44" fontId="65"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0" fillId="0" borderId="0" applyFont="0" applyFill="0" applyBorder="0" applyAlignment="0" applyProtection="0"/>
    <xf numFmtId="44" fontId="5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0"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23" fillId="0" borderId="0" applyFont="0" applyFill="0" applyBorder="0" applyAlignment="0" applyProtection="0"/>
    <xf numFmtId="44" fontId="65"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2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65"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2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23" fillId="0" borderId="0" applyFont="0" applyFill="0" applyBorder="0" applyAlignment="0" applyProtection="0"/>
    <xf numFmtId="44" fontId="50" fillId="0" borderId="0" applyFont="0" applyFill="0" applyBorder="0" applyAlignment="0" applyProtection="0"/>
    <xf numFmtId="44" fontId="23" fillId="0" borderId="0" applyFont="0" applyFill="0" applyBorder="0" applyAlignment="0" applyProtection="0"/>
    <xf numFmtId="44" fontId="6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64" fillId="0" borderId="0" applyFont="0" applyFill="0" applyBorder="0" applyAlignment="0" applyProtection="0"/>
    <xf numFmtId="44" fontId="23" fillId="0" borderId="0" applyFont="0" applyFill="0" applyBorder="0" applyAlignment="0" applyProtection="0"/>
    <xf numFmtId="0" fontId="78" fillId="0" borderId="0" applyNumberFormat="0" applyFill="0" applyBorder="0" applyAlignment="0" applyProtection="0"/>
    <xf numFmtId="0" fontId="79" fillId="38" borderId="0" applyNumberFormat="0" applyBorder="0" applyAlignment="0" applyProtection="0"/>
    <xf numFmtId="0" fontId="80" fillId="0" borderId="20" applyNumberFormat="0" applyFill="0" applyAlignment="0" applyProtection="0"/>
    <xf numFmtId="0" fontId="80" fillId="0" borderId="20"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2" fillId="0" borderId="22" applyNumberFormat="0" applyFill="0" applyAlignment="0" applyProtection="0"/>
    <xf numFmtId="0" fontId="82" fillId="0" borderId="22" applyNumberFormat="0" applyFill="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70" fillId="0" borderId="0" applyNumberFormat="0" applyFill="0" applyBorder="0" applyAlignment="0" applyProtection="0">
      <alignment vertical="top"/>
      <protection locked="0"/>
    </xf>
    <xf numFmtId="0" fontId="83" fillId="39" borderId="18" applyNumberFormat="0" applyAlignment="0" applyProtection="0"/>
    <xf numFmtId="0" fontId="16" fillId="0" borderId="0" applyNumberFormat="0" applyBorder="0"/>
    <xf numFmtId="0" fontId="17" fillId="0" borderId="0" applyBorder="0" applyAlignment="0"/>
    <xf numFmtId="0" fontId="18" fillId="0" borderId="0" applyFill="0" applyBorder="0" applyAlignment="0"/>
    <xf numFmtId="0" fontId="84" fillId="0" borderId="23" applyNumberFormat="0" applyFill="0" applyAlignment="0" applyProtection="0"/>
    <xf numFmtId="0" fontId="85" fillId="40" borderId="0" applyNumberFormat="0" applyBorder="0" applyAlignment="0" applyProtection="0"/>
    <xf numFmtId="0" fontId="86" fillId="0" borderId="0"/>
    <xf numFmtId="0" fontId="50" fillId="0" borderId="0"/>
    <xf numFmtId="0" fontId="86" fillId="0" borderId="0"/>
    <xf numFmtId="0" fontId="50" fillId="0" borderId="0"/>
    <xf numFmtId="0" fontId="50" fillId="0" borderId="0"/>
    <xf numFmtId="0" fontId="2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87" fillId="0" borderId="0"/>
    <xf numFmtId="0" fontId="50" fillId="0" borderId="0"/>
    <xf numFmtId="169" fontId="51" fillId="0" borderId="0"/>
    <xf numFmtId="0" fontId="73" fillId="0" borderId="0"/>
    <xf numFmtId="0" fontId="23" fillId="0" borderId="0"/>
    <xf numFmtId="0" fontId="23" fillId="0" borderId="0"/>
    <xf numFmtId="0" fontId="56" fillId="0" borderId="0"/>
    <xf numFmtId="0" fontId="50" fillId="0" borderId="0"/>
    <xf numFmtId="0" fontId="56" fillId="0" borderId="0"/>
    <xf numFmtId="0" fontId="50" fillId="0" borderId="0"/>
    <xf numFmtId="0" fontId="61" fillId="0" borderId="0"/>
    <xf numFmtId="0" fontId="50" fillId="0" borderId="0"/>
    <xf numFmtId="0" fontId="73" fillId="0" borderId="0"/>
    <xf numFmtId="0" fontId="50" fillId="0" borderId="0">
      <alignment vertical="top"/>
    </xf>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61" fillId="0" borderId="0"/>
    <xf numFmtId="0" fontId="73" fillId="0" borderId="0"/>
    <xf numFmtId="0" fontId="73" fillId="0" borderId="0"/>
    <xf numFmtId="0" fontId="73" fillId="0" borderId="0"/>
    <xf numFmtId="0" fontId="73" fillId="0" borderId="0"/>
    <xf numFmtId="0" fontId="50" fillId="0" borderId="0">
      <alignment vertical="top"/>
    </xf>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50" fillId="0" borderId="0"/>
    <xf numFmtId="0" fontId="73" fillId="0" borderId="0"/>
    <xf numFmtId="0" fontId="73" fillId="0" borderId="0"/>
    <xf numFmtId="0" fontId="73" fillId="0" borderId="0"/>
    <xf numFmtId="0" fontId="73" fillId="0" borderId="0"/>
    <xf numFmtId="0" fontId="61" fillId="0" borderId="0"/>
    <xf numFmtId="0" fontId="50" fillId="0" borderId="0">
      <alignment vertical="top"/>
    </xf>
    <xf numFmtId="0" fontId="73" fillId="0" borderId="0"/>
    <xf numFmtId="0" fontId="73" fillId="0" borderId="0"/>
    <xf numFmtId="0" fontId="73" fillId="0" borderId="0"/>
    <xf numFmtId="0" fontId="73" fillId="0" borderId="0"/>
    <xf numFmtId="0" fontId="61" fillId="0" borderId="0"/>
    <xf numFmtId="0" fontId="23" fillId="0" borderId="0"/>
    <xf numFmtId="0" fontId="73" fillId="0" borderId="0"/>
    <xf numFmtId="0" fontId="23" fillId="0" borderId="0"/>
    <xf numFmtId="0" fontId="73" fillId="0" borderId="0"/>
    <xf numFmtId="0" fontId="73" fillId="0" borderId="0"/>
    <xf numFmtId="0" fontId="73" fillId="0" borderId="0"/>
    <xf numFmtId="0" fontId="73" fillId="0" borderId="0"/>
    <xf numFmtId="0" fontId="56" fillId="0" borderId="0"/>
    <xf numFmtId="0" fontId="50" fillId="0" borderId="0">
      <alignment vertical="top"/>
    </xf>
    <xf numFmtId="0" fontId="56" fillId="0" borderId="0"/>
    <xf numFmtId="0" fontId="50" fillId="0" borderId="0">
      <alignment vertical="top"/>
    </xf>
    <xf numFmtId="0" fontId="50" fillId="0" borderId="0">
      <alignment vertical="top"/>
    </xf>
    <xf numFmtId="0" fontId="73" fillId="0" borderId="0"/>
    <xf numFmtId="0" fontId="56" fillId="0" borderId="0"/>
    <xf numFmtId="0" fontId="73" fillId="0" borderId="0"/>
    <xf numFmtId="0" fontId="50" fillId="0" borderId="0">
      <alignment vertical="top"/>
    </xf>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56"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23" fillId="0" borderId="0"/>
    <xf numFmtId="0" fontId="50" fillId="0" borderId="0">
      <alignment vertical="top"/>
    </xf>
    <xf numFmtId="0" fontId="73" fillId="0" borderId="0"/>
    <xf numFmtId="0" fontId="73" fillId="0" borderId="0"/>
    <xf numFmtId="0" fontId="73" fillId="0" borderId="0"/>
    <xf numFmtId="0" fontId="73" fillId="0" borderId="0"/>
    <xf numFmtId="0" fontId="2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56"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2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50" fillId="0" borderId="0"/>
    <xf numFmtId="0" fontId="50" fillId="0" borderId="0">
      <alignment vertical="top"/>
    </xf>
    <xf numFmtId="0" fontId="50" fillId="0" borderId="0">
      <alignment vertical="top"/>
    </xf>
    <xf numFmtId="0" fontId="50" fillId="0" borderId="0"/>
    <xf numFmtId="0" fontId="50" fillId="0" borderId="0">
      <alignment vertical="top"/>
    </xf>
    <xf numFmtId="0" fontId="50" fillId="0" borderId="0"/>
    <xf numFmtId="0" fontId="50"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2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23" fillId="0" borderId="0"/>
    <xf numFmtId="0" fontId="73" fillId="0" borderId="0"/>
    <xf numFmtId="0" fontId="73" fillId="0" borderId="0"/>
    <xf numFmtId="0" fontId="73" fillId="0" borderId="0"/>
    <xf numFmtId="0" fontId="14" fillId="0" borderId="0" applyProtection="0">
      <protection locked="0"/>
    </xf>
    <xf numFmtId="0" fontId="23" fillId="0" borderId="0" applyProtection="0">
      <protection locked="0"/>
    </xf>
    <xf numFmtId="0" fontId="23" fillId="0" borderId="0" applyProtection="0">
      <protection locked="0"/>
    </xf>
    <xf numFmtId="0" fontId="51" fillId="0" borderId="0"/>
    <xf numFmtId="0" fontId="14" fillId="0" borderId="0"/>
    <xf numFmtId="0" fontId="65"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65"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73" fillId="41" borderId="24" applyNumberFormat="0" applyFont="0" applyAlignment="0" applyProtection="0"/>
    <xf numFmtId="0" fontId="88" fillId="36" borderId="25" applyNumberFormat="0" applyAlignment="0" applyProtection="0"/>
    <xf numFmtId="0" fontId="88" fillId="36" borderId="25" applyNumberFormat="0" applyAlignment="0" applyProtection="0"/>
    <xf numFmtId="0" fontId="19" fillId="0" borderId="0" applyNumberFormat="0" applyFill="0" applyBorder="0">
      <alignment horizontal="left"/>
    </xf>
    <xf numFmtId="0" fontId="89" fillId="0" borderId="0" applyNumberFormat="0" applyFill="0" applyBorder="0" applyAlignment="0" applyProtection="0"/>
    <xf numFmtId="0" fontId="90" fillId="0" borderId="26" applyNumberFormat="0" applyFill="0" applyAlignment="0" applyProtection="0"/>
    <xf numFmtId="0" fontId="90" fillId="0" borderId="26" applyNumberFormat="0" applyFill="0" applyAlignment="0" applyProtection="0"/>
    <xf numFmtId="0" fontId="91" fillId="0" borderId="0" applyNumberFormat="0" applyFill="0" applyBorder="0" applyAlignment="0" applyProtection="0"/>
    <xf numFmtId="0" fontId="14" fillId="0" borderId="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9" fontId="14" fillId="0" borderId="0" applyFont="0" applyFill="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6"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4" fontId="98"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65" fillId="41" borderId="24" applyNumberFormat="0" applyFont="0" applyAlignment="0" applyProtection="0"/>
    <xf numFmtId="0" fontId="99" fillId="0" borderId="0" applyNumberForma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9" fillId="0" borderId="0" applyNumberFormat="0" applyFill="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4" fontId="14" fillId="0" borderId="0" applyFont="0" applyFill="0" applyBorder="0" applyAlignment="0" applyProtection="0"/>
    <xf numFmtId="9" fontId="108" fillId="0" borderId="0" applyFont="0" applyFill="0" applyBorder="0" applyAlignment="0" applyProtection="0"/>
    <xf numFmtId="0" fontId="108" fillId="0" borderId="0"/>
    <xf numFmtId="0" fontId="8" fillId="0" borderId="0"/>
    <xf numFmtId="0" fontId="14" fillId="0" borderId="0"/>
    <xf numFmtId="43" fontId="8" fillId="0" borderId="0" applyFont="0" applyFill="0" applyBorder="0" applyAlignment="0" applyProtection="0"/>
    <xf numFmtId="9"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14" fillId="0" borderId="0" applyBorder="0"/>
    <xf numFmtId="43" fontId="146" fillId="0" borderId="0" applyFont="0" applyFill="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44" fontId="15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4"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02">
    <xf numFmtId="0" fontId="0" fillId="0" borderId="0" xfId="0"/>
    <xf numFmtId="0" fontId="21" fillId="0" borderId="0" xfId="0" applyFont="1"/>
    <xf numFmtId="0" fontId="14" fillId="0" borderId="0" xfId="0" applyFont="1"/>
    <xf numFmtId="0" fontId="23" fillId="0" borderId="0" xfId="0" applyFont="1"/>
    <xf numFmtId="0" fontId="0" fillId="0" borderId="4" xfId="0" applyBorder="1"/>
    <xf numFmtId="0" fontId="23" fillId="0" borderId="0" xfId="0" applyFont="1" applyAlignment="1">
      <alignment horizontal="center"/>
    </xf>
    <xf numFmtId="0" fontId="14"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1" fillId="0" borderId="4" xfId="0" applyFont="1" applyBorder="1"/>
    <xf numFmtId="164" fontId="0" fillId="0" borderId="0" xfId="0" applyNumberFormat="1" applyAlignment="1">
      <alignment horizontal="right"/>
    </xf>
    <xf numFmtId="0" fontId="14" fillId="0" borderId="0" xfId="543"/>
    <xf numFmtId="0" fontId="29" fillId="0" borderId="0" xfId="0" applyFont="1"/>
    <xf numFmtId="0" fontId="22" fillId="0" borderId="0" xfId="0" applyFont="1" applyAlignment="1">
      <alignment vertical="top"/>
    </xf>
    <xf numFmtId="0" fontId="22" fillId="0" borderId="0" xfId="0" applyFont="1" applyAlignment="1">
      <alignment vertical="top" wrapText="1"/>
    </xf>
    <xf numFmtId="0" fontId="22" fillId="0" borderId="0" xfId="0" applyFont="1" applyAlignment="1">
      <alignment horizontal="left" vertical="top"/>
    </xf>
    <xf numFmtId="0" fontId="22" fillId="0" borderId="0" xfId="0" applyFont="1" applyAlignment="1">
      <alignment horizontal="left"/>
    </xf>
    <xf numFmtId="0" fontId="22" fillId="0" borderId="0" xfId="0" applyFont="1"/>
    <xf numFmtId="1" fontId="22" fillId="0" borderId="0" xfId="0" applyNumberFormat="1" applyFont="1" applyAlignment="1">
      <alignment horizontal="left"/>
    </xf>
    <xf numFmtId="0" fontId="24" fillId="0" borderId="0" xfId="0" applyFont="1"/>
    <xf numFmtId="1" fontId="22" fillId="0" borderId="0" xfId="0" applyNumberFormat="1" applyFont="1" applyAlignment="1">
      <alignment horizontal="right"/>
    </xf>
    <xf numFmtId="0" fontId="0" fillId="0" borderId="0" xfId="0" applyAlignment="1">
      <alignment horizontal="right"/>
    </xf>
    <xf numFmtId="0" fontId="26" fillId="0" borderId="0" xfId="0" applyFont="1"/>
    <xf numFmtId="172" fontId="14" fillId="0" borderId="0" xfId="543" applyNumberFormat="1"/>
    <xf numFmtId="9" fontId="14" fillId="0" borderId="0" xfId="543" applyNumberFormat="1" applyAlignment="1">
      <alignment horizontal="left"/>
    </xf>
    <xf numFmtId="168" fontId="14" fillId="0" borderId="0" xfId="543" applyNumberFormat="1"/>
    <xf numFmtId="0" fontId="25" fillId="0" borderId="0" xfId="0" applyFont="1"/>
    <xf numFmtId="0" fontId="27" fillId="0" borderId="0" xfId="0" applyFont="1"/>
    <xf numFmtId="0" fontId="0" fillId="0" borderId="0" xfId="0" applyAlignment="1">
      <alignment vertical="top"/>
    </xf>
    <xf numFmtId="0" fontId="0" fillId="0" borderId="1" xfId="0" applyBorder="1"/>
    <xf numFmtId="0" fontId="0" fillId="0" borderId="2" xfId="0" applyBorder="1"/>
    <xf numFmtId="0" fontId="0" fillId="0" borderId="9" xfId="0" applyBorder="1"/>
    <xf numFmtId="0" fontId="0" fillId="0" borderId="6" xfId="0" applyBorder="1"/>
    <xf numFmtId="0" fontId="0" fillId="0" borderId="10" xfId="0" applyBorder="1"/>
    <xf numFmtId="0" fontId="30" fillId="0" borderId="3" xfId="0" applyFont="1" applyBorder="1" applyAlignment="1">
      <alignment horizontal="left"/>
    </xf>
    <xf numFmtId="0" fontId="30" fillId="0" borderId="9" xfId="0" applyFont="1" applyBorder="1" applyAlignment="1">
      <alignment horizontal="left"/>
    </xf>
    <xf numFmtId="0" fontId="30" fillId="0" borderId="0" xfId="0" applyFont="1" applyAlignment="1">
      <alignment horizontal="left"/>
    </xf>
    <xf numFmtId="0" fontId="21" fillId="0" borderId="0" xfId="0" applyFont="1" applyAlignment="1">
      <alignment horizontal="right"/>
    </xf>
    <xf numFmtId="0" fontId="0" fillId="0" borderId="7" xfId="0" applyBorder="1"/>
    <xf numFmtId="0" fontId="21" fillId="0" borderId="9" xfId="0" applyFont="1" applyBorder="1"/>
    <xf numFmtId="164" fontId="0" fillId="0" borderId="0" xfId="0" applyNumberFormat="1" applyAlignment="1">
      <alignment horizontal="center"/>
    </xf>
    <xf numFmtId="0" fontId="0" fillId="0" borderId="12" xfId="0" applyBorder="1"/>
    <xf numFmtId="49" fontId="14" fillId="0" borderId="0" xfId="543" applyNumberFormat="1"/>
    <xf numFmtId="0" fontId="14" fillId="0" borderId="8" xfId="543" applyBorder="1"/>
    <xf numFmtId="0" fontId="14" fillId="0" borderId="9" xfId="543" applyBorder="1"/>
    <xf numFmtId="0" fontId="14" fillId="0" borderId="10" xfId="543" applyBorder="1"/>
    <xf numFmtId="0" fontId="14" fillId="0" borderId="1" xfId="543" applyBorder="1"/>
    <xf numFmtId="0" fontId="14" fillId="0" borderId="12" xfId="543" applyBorder="1"/>
    <xf numFmtId="0" fontId="14" fillId="0" borderId="2" xfId="543" applyBorder="1"/>
    <xf numFmtId="0" fontId="14" fillId="0" borderId="7" xfId="543" applyBorder="1"/>
    <xf numFmtId="0" fontId="22" fillId="0" borderId="6" xfId="543" applyFont="1" applyBorder="1" applyAlignment="1">
      <alignment vertical="top" wrapText="1"/>
    </xf>
    <xf numFmtId="0" fontId="0" fillId="2" borderId="2" xfId="0" applyFill="1" applyBorder="1"/>
    <xf numFmtId="0" fontId="0" fillId="2" borderId="7" xfId="0" applyFill="1" applyBorder="1"/>
    <xf numFmtId="0" fontId="20" fillId="0" borderId="0" xfId="0" applyFont="1" applyAlignment="1">
      <alignment horizontal="center" vertical="center"/>
    </xf>
    <xf numFmtId="0" fontId="21" fillId="0" borderId="0" xfId="0" applyFont="1" applyAlignment="1">
      <alignment vertical="top"/>
    </xf>
    <xf numFmtId="166" fontId="0" fillId="0" borderId="0" xfId="0" applyNumberFormat="1" applyAlignment="1">
      <alignment horizontal="right"/>
    </xf>
    <xf numFmtId="0" fontId="39" fillId="0" borderId="0" xfId="0" applyFont="1"/>
    <xf numFmtId="0" fontId="31" fillId="0" borderId="0" xfId="0" applyFont="1"/>
    <xf numFmtId="0" fontId="15" fillId="0" borderId="0" xfId="244" applyBorder="1" applyProtection="1"/>
    <xf numFmtId="0" fontId="15" fillId="0" borderId="0" xfId="244" applyFill="1" applyBorder="1" applyAlignment="1">
      <alignment horizontal="center" vertical="center"/>
    </xf>
    <xf numFmtId="0" fontId="14" fillId="0" borderId="3" xfId="543" applyBorder="1"/>
    <xf numFmtId="0" fontId="28" fillId="0" borderId="6" xfId="0" applyFont="1" applyBorder="1" applyAlignment="1">
      <alignment vertical="top" wrapText="1"/>
    </xf>
    <xf numFmtId="0" fontId="28" fillId="0" borderId="5" xfId="0" applyFont="1" applyBorder="1" applyAlignment="1">
      <alignment vertical="top" wrapText="1"/>
    </xf>
    <xf numFmtId="0" fontId="28" fillId="0" borderId="4" xfId="0" applyFont="1" applyBorder="1" applyAlignment="1">
      <alignment vertical="top" wrapText="1"/>
    </xf>
    <xf numFmtId="0" fontId="28" fillId="2" borderId="6" xfId="0" applyFont="1" applyFill="1" applyBorder="1" applyAlignment="1">
      <alignment vertical="top" wrapText="1"/>
    </xf>
    <xf numFmtId="0" fontId="0" fillId="0" borderId="8" xfId="0" applyBorder="1"/>
    <xf numFmtId="0" fontId="21" fillId="0" borderId="2" xfId="0" applyFont="1" applyBorder="1"/>
    <xf numFmtId="0" fontId="14" fillId="0" borderId="0" xfId="0" applyFont="1" applyAlignment="1">
      <alignment horizontal="left"/>
    </xf>
    <xf numFmtId="0" fontId="14" fillId="0" borderId="0" xfId="0" applyFont="1" applyAlignment="1">
      <alignment vertical="top"/>
    </xf>
    <xf numFmtId="0" fontId="38" fillId="0" borderId="0" xfId="0" applyFont="1"/>
    <xf numFmtId="168" fontId="0" fillId="0" borderId="0" xfId="0" applyNumberFormat="1" applyAlignment="1">
      <alignment horizontal="right"/>
    </xf>
    <xf numFmtId="0" fontId="0" fillId="0" borderId="6" xfId="0" applyBorder="1" applyAlignment="1">
      <alignment horizontal="right"/>
    </xf>
    <xf numFmtId="0" fontId="28" fillId="3" borderId="4" xfId="0" applyFont="1" applyFill="1" applyBorder="1" applyAlignment="1">
      <alignment vertical="top" wrapText="1"/>
    </xf>
    <xf numFmtId="0" fontId="28" fillId="3" borderId="5" xfId="0" applyFont="1" applyFill="1" applyBorder="1" applyAlignment="1">
      <alignment vertical="top" wrapText="1"/>
    </xf>
    <xf numFmtId="0" fontId="40" fillId="0" borderId="0" xfId="0" applyFont="1"/>
    <xf numFmtId="0" fontId="22" fillId="0" borderId="9" xfId="543" applyFont="1" applyBorder="1"/>
    <xf numFmtId="0" fontId="22" fillId="0" borderId="6" xfId="543" applyFont="1" applyBorder="1" applyAlignment="1">
      <alignment horizontal="right"/>
    </xf>
    <xf numFmtId="0" fontId="45" fillId="0" borderId="3" xfId="0" applyFont="1" applyBorder="1" applyAlignment="1">
      <alignment horizontal="left" vertical="top"/>
    </xf>
    <xf numFmtId="0" fontId="45" fillId="0" borderId="13" xfId="0" applyFont="1" applyBorder="1" applyAlignment="1">
      <alignment horizontal="center" wrapText="1"/>
    </xf>
    <xf numFmtId="0" fontId="45" fillId="0" borderId="13" xfId="0" applyFont="1" applyBorder="1" applyAlignment="1">
      <alignment horizontal="center" vertical="top" wrapText="1"/>
    </xf>
    <xf numFmtId="0" fontId="45" fillId="2" borderId="13" xfId="0" applyFont="1" applyFill="1" applyBorder="1" applyAlignment="1">
      <alignment horizontal="center" wrapText="1"/>
    </xf>
    <xf numFmtId="0" fontId="46" fillId="2" borderId="11" xfId="0" applyFont="1" applyFill="1" applyBorder="1" applyAlignment="1">
      <alignment horizontal="left" vertical="top" wrapText="1"/>
    </xf>
    <xf numFmtId="0" fontId="47" fillId="0" borderId="11" xfId="0" applyFont="1" applyBorder="1" applyAlignment="1">
      <alignment vertical="top" wrapText="1"/>
    </xf>
    <xf numFmtId="0" fontId="45" fillId="0" borderId="11" xfId="0" applyFont="1" applyBorder="1" applyAlignment="1">
      <alignment horizontal="right" vertical="top" wrapText="1"/>
    </xf>
    <xf numFmtId="168" fontId="45" fillId="0" borderId="11" xfId="0" applyNumberFormat="1" applyFont="1" applyBorder="1" applyAlignment="1">
      <alignment vertical="top" wrapText="1"/>
    </xf>
    <xf numFmtId="0" fontId="45" fillId="2" borderId="11" xfId="0" applyFont="1" applyFill="1" applyBorder="1" applyAlignment="1">
      <alignment vertical="top" wrapText="1"/>
    </xf>
    <xf numFmtId="0" fontId="45" fillId="0" borderId="11" xfId="0" applyFont="1" applyBorder="1" applyAlignment="1">
      <alignment vertical="top" wrapText="1"/>
    </xf>
    <xf numFmtId="0" fontId="17" fillId="0" borderId="11" xfId="0" applyFont="1" applyBorder="1" applyAlignment="1">
      <alignment horizontal="right" vertical="top" wrapText="1"/>
    </xf>
    <xf numFmtId="0" fontId="45" fillId="0" borderId="0" xfId="0" applyFont="1" applyAlignment="1">
      <alignment horizontal="left" vertical="top"/>
    </xf>
    <xf numFmtId="0" fontId="47" fillId="0" borderId="0" xfId="0" applyFont="1" applyAlignment="1">
      <alignment vertical="top" wrapText="1"/>
    </xf>
    <xf numFmtId="0" fontId="45" fillId="0" borderId="0" xfId="0" applyFont="1" applyAlignment="1">
      <alignment horizontal="right" vertical="top"/>
    </xf>
    <xf numFmtId="0" fontId="47" fillId="2" borderId="0" xfId="0" applyFont="1" applyFill="1" applyAlignment="1">
      <alignment vertical="top" wrapText="1"/>
    </xf>
    <xf numFmtId="0" fontId="45" fillId="0" borderId="0" xfId="0" applyFont="1" applyAlignment="1">
      <alignment vertical="top"/>
    </xf>
    <xf numFmtId="0" fontId="14" fillId="0" borderId="0" xfId="244" applyFont="1" applyFill="1" applyBorder="1" applyAlignment="1" applyProtection="1">
      <alignment horizontal="left"/>
    </xf>
    <xf numFmtId="0" fontId="20" fillId="3" borderId="11" xfId="0" applyFont="1" applyFill="1" applyBorder="1" applyAlignment="1">
      <alignment vertical="top"/>
    </xf>
    <xf numFmtId="0" fontId="0" fillId="7" borderId="0" xfId="0" applyFill="1"/>
    <xf numFmtId="0" fontId="32" fillId="0" borderId="0" xfId="0" applyFont="1"/>
    <xf numFmtId="49" fontId="21" fillId="0" borderId="0" xfId="0" applyNumberFormat="1" applyFont="1" applyAlignment="1">
      <alignment horizontal="center"/>
    </xf>
    <xf numFmtId="0" fontId="42" fillId="0" borderId="0" xfId="0" applyFont="1" applyAlignment="1">
      <alignment horizontal="center"/>
    </xf>
    <xf numFmtId="0" fontId="21" fillId="0" borderId="0" xfId="0" quotePrefix="1" applyFont="1" applyAlignment="1">
      <alignment horizontal="center"/>
    </xf>
    <xf numFmtId="49" fontId="0" fillId="0" borderId="0" xfId="0" applyNumberFormat="1"/>
    <xf numFmtId="0" fontId="40" fillId="0" borderId="0" xfId="0" applyFont="1" applyAlignment="1">
      <alignment horizontal="left"/>
    </xf>
    <xf numFmtId="49" fontId="21" fillId="0" borderId="0" xfId="0" applyNumberFormat="1" applyFont="1" applyAlignment="1">
      <alignment horizontal="left"/>
    </xf>
    <xf numFmtId="0" fontId="44" fillId="0" borderId="3" xfId="0" applyFont="1" applyBorder="1"/>
    <xf numFmtId="168" fontId="0" fillId="0" borderId="0" xfId="0" applyNumberFormat="1" applyAlignment="1">
      <alignment horizontal="center"/>
    </xf>
    <xf numFmtId="0" fontId="45" fillId="0" borderId="4" xfId="0" applyFont="1" applyBorder="1" applyAlignment="1">
      <alignment horizontal="right"/>
    </xf>
    <xf numFmtId="0" fontId="50" fillId="0" borderId="0" xfId="0" applyFont="1"/>
    <xf numFmtId="168" fontId="14" fillId="0" borderId="0" xfId="0" applyNumberFormat="1" applyFont="1" applyAlignment="1">
      <alignment horizontal="left" vertical="top"/>
    </xf>
    <xf numFmtId="0" fontId="0" fillId="0" borderId="0" xfId="0" applyAlignment="1">
      <alignment vertical="center"/>
    </xf>
    <xf numFmtId="0" fontId="47" fillId="0" borderId="0" xfId="0" applyFont="1" applyAlignment="1">
      <alignment horizontal="right" vertical="top" wrapText="1"/>
    </xf>
    <xf numFmtId="0" fontId="47" fillId="0" borderId="14" xfId="0" applyFont="1" applyBorder="1" applyAlignment="1">
      <alignment vertical="top" wrapText="1"/>
    </xf>
    <xf numFmtId="0" fontId="47" fillId="0" borderId="11" xfId="0" applyFont="1" applyBorder="1" applyAlignment="1" applyProtection="1">
      <alignment vertical="top"/>
      <protection locked="0"/>
    </xf>
    <xf numFmtId="0" fontId="21" fillId="0" borderId="0" xfId="542" applyFont="1" applyProtection="1">
      <protection locked="0"/>
    </xf>
    <xf numFmtId="0" fontId="14" fillId="0" borderId="0" xfId="539" applyProtection="1"/>
    <xf numFmtId="0" fontId="21" fillId="0" borderId="0" xfId="543" applyFont="1"/>
    <xf numFmtId="0" fontId="14" fillId="0" borderId="0" xfId="0" applyFont="1" applyProtection="1">
      <protection locked="0"/>
    </xf>
    <xf numFmtId="0" fontId="53" fillId="0" borderId="0" xfId="0" applyFont="1" applyAlignment="1">
      <alignment horizontal="center"/>
    </xf>
    <xf numFmtId="0" fontId="23" fillId="0" borderId="0" xfId="271"/>
    <xf numFmtId="0" fontId="21" fillId="0" borderId="0" xfId="271" applyFont="1"/>
    <xf numFmtId="0" fontId="23" fillId="0" borderId="0" xfId="271" applyAlignment="1">
      <alignment horizontal="left"/>
    </xf>
    <xf numFmtId="0" fontId="15" fillId="0" borderId="0" xfId="244" applyFill="1" applyBorder="1" applyProtection="1">
      <protection locked="0"/>
    </xf>
    <xf numFmtId="168" fontId="21" fillId="0" borderId="2" xfId="543" applyNumberFormat="1" applyFont="1" applyBorder="1" applyAlignment="1">
      <alignment horizontal="center" vertical="center"/>
    </xf>
    <xf numFmtId="0" fontId="19" fillId="0" borderId="0" xfId="0" applyFont="1"/>
    <xf numFmtId="0" fontId="55" fillId="0" borderId="0" xfId="0" applyFont="1"/>
    <xf numFmtId="0" fontId="53" fillId="0" borderId="0" xfId="0" applyFont="1"/>
    <xf numFmtId="10" fontId="0" fillId="0" borderId="0" xfId="0" applyNumberFormat="1" applyAlignment="1">
      <alignment horizontal="center"/>
    </xf>
    <xf numFmtId="3" fontId="0" fillId="0" borderId="0" xfId="0" applyNumberFormat="1"/>
    <xf numFmtId="168" fontId="21" fillId="0" borderId="0" xfId="0" applyNumberFormat="1" applyFont="1" applyAlignment="1">
      <alignment horizontal="center"/>
    </xf>
    <xf numFmtId="3" fontId="0" fillId="0" borderId="0" xfId="0" applyNumberFormat="1" applyAlignment="1">
      <alignment horizontal="center"/>
    </xf>
    <xf numFmtId="3" fontId="23" fillId="0" borderId="0" xfId="0" applyNumberFormat="1" applyFont="1"/>
    <xf numFmtId="0" fontId="54" fillId="0" borderId="0" xfId="0" applyFont="1"/>
    <xf numFmtId="168" fontId="19" fillId="0" borderId="0" xfId="0" applyNumberFormat="1" applyFont="1"/>
    <xf numFmtId="10" fontId="19" fillId="0" borderId="0" xfId="0" applyNumberFormat="1" applyFont="1" applyAlignment="1">
      <alignment horizontal="center"/>
    </xf>
    <xf numFmtId="3" fontId="57" fillId="0" borderId="0" xfId="0" applyNumberFormat="1" applyFont="1"/>
    <xf numFmtId="3" fontId="19" fillId="0" borderId="0" xfId="0" applyNumberFormat="1" applyFont="1"/>
    <xf numFmtId="168" fontId="54" fillId="0" borderId="0" xfId="0" applyNumberFormat="1" applyFont="1"/>
    <xf numFmtId="168" fontId="54" fillId="0" borderId="0" xfId="0" applyNumberFormat="1" applyFont="1" applyAlignment="1">
      <alignment horizontal="center"/>
    </xf>
    <xf numFmtId="0" fontId="19" fillId="5" borderId="0" xfId="0" applyFont="1" applyFill="1" applyAlignment="1">
      <alignment horizontal="left"/>
    </xf>
    <xf numFmtId="0" fontId="19" fillId="5" borderId="0" xfId="0" applyFont="1" applyFill="1"/>
    <xf numFmtId="10" fontId="19" fillId="0" borderId="0" xfId="0" applyNumberFormat="1" applyFont="1"/>
    <xf numFmtId="172" fontId="19" fillId="0" borderId="0" xfId="0" applyNumberFormat="1" applyFont="1"/>
    <xf numFmtId="172" fontId="19" fillId="0" borderId="0" xfId="0" applyNumberFormat="1" applyFont="1" applyAlignment="1">
      <alignment horizontal="center"/>
    </xf>
    <xf numFmtId="0" fontId="19" fillId="0" borderId="6" xfId="0" applyFont="1" applyBorder="1"/>
    <xf numFmtId="10" fontId="19" fillId="0" borderId="6" xfId="0" applyNumberFormat="1" applyFont="1" applyBorder="1" applyAlignment="1">
      <alignment horizontal="center"/>
    </xf>
    <xf numFmtId="3" fontId="19" fillId="0" borderId="6" xfId="0" applyNumberFormat="1" applyFont="1" applyBorder="1"/>
    <xf numFmtId="3" fontId="23" fillId="0" borderId="0" xfId="0" applyNumberFormat="1" applyFont="1" applyAlignment="1">
      <alignment vertical="top"/>
    </xf>
    <xf numFmtId="10" fontId="21" fillId="0" borderId="0" xfId="0" applyNumberFormat="1" applyFont="1" applyAlignment="1">
      <alignment horizontal="center"/>
    </xf>
    <xf numFmtId="0" fontId="53" fillId="0" borderId="6" xfId="0" applyFont="1" applyBorder="1" applyAlignment="1">
      <alignment horizontal="center"/>
    </xf>
    <xf numFmtId="4" fontId="23" fillId="0" borderId="0" xfId="271" applyNumberFormat="1" applyAlignment="1">
      <alignment horizontal="left"/>
    </xf>
    <xf numFmtId="0" fontId="23" fillId="0" borderId="0" xfId="271" applyAlignment="1">
      <alignment horizontal="center"/>
    </xf>
    <xf numFmtId="0" fontId="23" fillId="0" borderId="4" xfId="271" applyBorder="1"/>
    <xf numFmtId="0" fontId="23" fillId="0" borderId="6" xfId="271" applyBorder="1"/>
    <xf numFmtId="4" fontId="42" fillId="0" borderId="0" xfId="0" applyNumberFormat="1" applyFont="1" applyAlignment="1">
      <alignment horizontal="center"/>
    </xf>
    <xf numFmtId="4" fontId="0" fillId="0" borderId="0" xfId="0" applyNumberFormat="1"/>
    <xf numFmtId="0" fontId="28" fillId="3" borderId="4" xfId="271" applyFont="1" applyFill="1" applyBorder="1" applyAlignment="1">
      <alignment vertical="top" wrapText="1"/>
    </xf>
    <xf numFmtId="0" fontId="20" fillId="3" borderId="11" xfId="271" applyFont="1" applyFill="1" applyBorder="1" applyAlignment="1">
      <alignment vertical="top"/>
    </xf>
    <xf numFmtId="0" fontId="21" fillId="0" borderId="9" xfId="271" applyFont="1" applyBorder="1" applyAlignment="1">
      <alignment horizontal="center" wrapText="1"/>
    </xf>
    <xf numFmtId="0" fontId="28" fillId="3" borderId="4" xfId="271" applyFont="1" applyFill="1" applyBorder="1" applyAlignment="1" applyProtection="1">
      <alignment vertical="top" wrapText="1"/>
      <protection locked="0"/>
    </xf>
    <xf numFmtId="0" fontId="28" fillId="3" borderId="5" xfId="271" applyFont="1" applyFill="1" applyBorder="1" applyAlignment="1" applyProtection="1">
      <alignment vertical="top" wrapText="1"/>
      <protection locked="0"/>
    </xf>
    <xf numFmtId="0" fontId="21" fillId="0" borderId="13" xfId="271" applyFont="1" applyBorder="1" applyAlignment="1">
      <alignment horizontal="center" wrapText="1"/>
    </xf>
    <xf numFmtId="0" fontId="40" fillId="2" borderId="11" xfId="271" applyFont="1" applyFill="1" applyBorder="1" applyAlignment="1">
      <alignment horizontal="left" vertical="top" wrapText="1"/>
    </xf>
    <xf numFmtId="0" fontId="23" fillId="0" borderId="11" xfId="271" applyBorder="1" applyAlignment="1" applyProtection="1">
      <alignment vertical="top" wrapText="1"/>
      <protection locked="0"/>
    </xf>
    <xf numFmtId="168" fontId="23" fillId="5" borderId="11" xfId="271" applyNumberFormat="1" applyFill="1" applyBorder="1" applyAlignment="1" applyProtection="1">
      <alignment vertical="top" wrapText="1"/>
      <protection locked="0"/>
    </xf>
    <xf numFmtId="0" fontId="23" fillId="5" borderId="3" xfId="271" applyFill="1" applyBorder="1" applyAlignment="1" applyProtection="1">
      <alignment vertical="top" wrapText="1"/>
      <protection locked="0"/>
    </xf>
    <xf numFmtId="0" fontId="23" fillId="5" borderId="11" xfId="271" applyFill="1" applyBorder="1" applyAlignment="1" applyProtection="1">
      <alignment vertical="top" wrapText="1"/>
      <protection locked="0"/>
    </xf>
    <xf numFmtId="0" fontId="23" fillId="0" borderId="11" xfId="271" applyBorder="1" applyAlignment="1">
      <alignment horizontal="right" vertical="top" wrapText="1"/>
    </xf>
    <xf numFmtId="168" fontId="23" fillId="0" borderId="11" xfId="271" applyNumberFormat="1" applyBorder="1" applyAlignment="1">
      <alignment vertical="top" wrapText="1"/>
    </xf>
    <xf numFmtId="0" fontId="21" fillId="0" borderId="11" xfId="271" applyFont="1" applyBorder="1" applyAlignment="1">
      <alignment horizontal="right" vertical="top" wrapText="1"/>
    </xf>
    <xf numFmtId="0" fontId="23" fillId="5" borderId="11" xfId="271" applyFill="1" applyBorder="1" applyAlignment="1" applyProtection="1">
      <alignment horizontal="right" vertical="top" wrapText="1"/>
      <protection locked="0"/>
    </xf>
    <xf numFmtId="168" fontId="21" fillId="0" borderId="11" xfId="271" applyNumberFormat="1" applyFont="1" applyBorder="1" applyAlignment="1">
      <alignment vertical="top" wrapText="1"/>
    </xf>
    <xf numFmtId="0" fontId="31" fillId="0" borderId="11" xfId="271" applyFont="1" applyBorder="1" applyAlignment="1">
      <alignment horizontal="right" vertical="top" wrapText="1"/>
    </xf>
    <xf numFmtId="0" fontId="28" fillId="0" borderId="0" xfId="271" applyFont="1" applyAlignment="1" applyProtection="1">
      <alignment horizontal="right" vertical="top" wrapText="1"/>
      <protection locked="0"/>
    </xf>
    <xf numFmtId="0" fontId="28" fillId="0" borderId="0" xfId="271" applyFont="1" applyAlignment="1" applyProtection="1">
      <alignment vertical="top" wrapText="1"/>
      <protection locked="0"/>
    </xf>
    <xf numFmtId="0" fontId="23" fillId="0" borderId="5" xfId="271" applyBorder="1" applyAlignment="1" applyProtection="1">
      <alignment vertical="top" wrapText="1"/>
      <protection locked="0"/>
    </xf>
    <xf numFmtId="0" fontId="21" fillId="0" borderId="3" xfId="271" applyFont="1" applyBorder="1" applyAlignment="1">
      <alignment horizontal="left" vertical="top"/>
    </xf>
    <xf numFmtId="0" fontId="23" fillId="0" borderId="4" xfId="271" applyBorder="1" applyAlignment="1" applyProtection="1">
      <alignment horizontal="left" vertical="top"/>
      <protection locked="0"/>
    </xf>
    <xf numFmtId="0" fontId="23" fillId="0" borderId="4" xfId="271" applyBorder="1" applyAlignment="1" applyProtection="1">
      <alignment vertical="top" wrapText="1"/>
      <protection locked="0"/>
    </xf>
    <xf numFmtId="0" fontId="28" fillId="0" borderId="0" xfId="271" applyFont="1" applyAlignment="1">
      <alignment vertical="top" wrapText="1"/>
    </xf>
    <xf numFmtId="0" fontId="23" fillId="0" borderId="4" xfId="271" applyBorder="1" applyAlignment="1">
      <alignment vertical="top" wrapText="1"/>
    </xf>
    <xf numFmtId="0" fontId="40" fillId="2" borderId="11" xfId="271" applyFont="1" applyFill="1" applyBorder="1" applyAlignment="1" applyProtection="1">
      <alignment horizontal="left" vertical="top" wrapText="1"/>
      <protection locked="0"/>
    </xf>
    <xf numFmtId="0" fontId="44" fillId="0" borderId="11" xfId="0" applyFont="1" applyBorder="1" applyAlignment="1">
      <alignment horizontal="right" vertical="top" wrapText="1"/>
    </xf>
    <xf numFmtId="0" fontId="51" fillId="0" borderId="0" xfId="542"/>
    <xf numFmtId="0" fontId="31" fillId="8" borderId="0" xfId="542" applyFont="1" applyFill="1"/>
    <xf numFmtId="0" fontId="44" fillId="0" borderId="11" xfId="271" applyFont="1" applyBorder="1" applyAlignment="1">
      <alignment horizontal="right" vertical="top"/>
    </xf>
    <xf numFmtId="0" fontId="44" fillId="0" borderId="11" xfId="271" applyFont="1" applyBorder="1" applyAlignment="1">
      <alignment horizontal="right" vertical="top" wrapText="1"/>
    </xf>
    <xf numFmtId="0" fontId="23" fillId="0" borderId="0" xfId="271" applyAlignment="1">
      <alignment horizontal="left" vertical="top"/>
    </xf>
    <xf numFmtId="0" fontId="21" fillId="0" borderId="0" xfId="271" applyFont="1" applyAlignment="1">
      <alignment horizontal="right"/>
    </xf>
    <xf numFmtId="0" fontId="22" fillId="0" borderId="0" xfId="271" applyFont="1" applyAlignment="1">
      <alignment horizontal="center"/>
    </xf>
    <xf numFmtId="1" fontId="23" fillId="0" borderId="15" xfId="271" applyNumberFormat="1" applyBorder="1"/>
    <xf numFmtId="1" fontId="23" fillId="0" borderId="14" xfId="271" applyNumberFormat="1" applyBorder="1"/>
    <xf numFmtId="0" fontId="22" fillId="0" borderId="6" xfId="271" applyFont="1" applyBorder="1" applyAlignment="1">
      <alignment horizontal="left"/>
    </xf>
    <xf numFmtId="0" fontId="22" fillId="0" borderId="6" xfId="271" applyFont="1" applyBorder="1" applyAlignment="1">
      <alignment horizontal="right"/>
    </xf>
    <xf numFmtId="165" fontId="23" fillId="0" borderId="0" xfId="271" applyNumberFormat="1"/>
    <xf numFmtId="170" fontId="23" fillId="0" borderId="14" xfId="271" applyNumberFormat="1" applyBorder="1"/>
    <xf numFmtId="1" fontId="21" fillId="0" borderId="11" xfId="271" applyNumberFormat="1" applyFont="1" applyBorder="1"/>
    <xf numFmtId="165" fontId="21" fillId="0" borderId="11" xfId="271" applyNumberFormat="1" applyFont="1" applyBorder="1"/>
    <xf numFmtId="0" fontId="0" fillId="0" borderId="0" xfId="0" applyProtection="1">
      <protection locked="0"/>
    </xf>
    <xf numFmtId="0" fontId="21" fillId="0" borderId="0" xfId="271" applyFont="1" applyAlignment="1">
      <alignment horizontal="left"/>
    </xf>
    <xf numFmtId="0" fontId="19" fillId="0" borderId="0" xfId="0" applyFont="1" applyProtection="1">
      <protection locked="0"/>
    </xf>
    <xf numFmtId="0" fontId="19" fillId="0" borderId="0" xfId="271" applyFont="1" applyProtection="1">
      <protection locked="0"/>
    </xf>
    <xf numFmtId="168" fontId="19" fillId="0" borderId="0" xfId="271" applyNumberFormat="1" applyFont="1" applyProtection="1">
      <protection locked="0"/>
    </xf>
    <xf numFmtId="49" fontId="23" fillId="0" borderId="0" xfId="271" applyNumberFormat="1"/>
    <xf numFmtId="0" fontId="27" fillId="0" borderId="1" xfId="0" applyFont="1" applyBorder="1"/>
    <xf numFmtId="0" fontId="14" fillId="0" borderId="2" xfId="0" applyFont="1" applyBorder="1" applyAlignment="1">
      <alignment horizontal="left"/>
    </xf>
    <xf numFmtId="0" fontId="14" fillId="0" borderId="2" xfId="0" applyFont="1" applyBorder="1"/>
    <xf numFmtId="0" fontId="27" fillId="0" borderId="8" xfId="0" applyFont="1" applyBorder="1"/>
    <xf numFmtId="0" fontId="27" fillId="0" borderId="9" xfId="0" applyFont="1" applyBorder="1"/>
    <xf numFmtId="0" fontId="62" fillId="0" borderId="0" xfId="0" applyFont="1" applyAlignment="1">
      <alignment vertical="center" wrapText="1"/>
    </xf>
    <xf numFmtId="0" fontId="62" fillId="0" borderId="0" xfId="0" applyFont="1" applyAlignment="1">
      <alignment vertical="center"/>
    </xf>
    <xf numFmtId="0" fontId="62" fillId="0" borderId="0" xfId="0" applyFont="1" applyAlignment="1">
      <alignment horizontal="left" vertical="center" indent="1"/>
    </xf>
    <xf numFmtId="0" fontId="23" fillId="0" borderId="0" xfId="271" applyAlignment="1" applyProtection="1">
      <alignment horizontal="left"/>
      <protection locked="0"/>
    </xf>
    <xf numFmtId="0" fontId="63" fillId="0" borderId="0" xfId="0" applyFont="1" applyAlignment="1">
      <alignment horizontal="left" vertical="center"/>
    </xf>
    <xf numFmtId="49" fontId="39" fillId="0" borderId="0" xfId="0" applyNumberFormat="1" applyFont="1" applyAlignment="1">
      <alignment horizontal="center"/>
    </xf>
    <xf numFmtId="0" fontId="42" fillId="0" borderId="0" xfId="271" applyFont="1" applyAlignment="1">
      <alignment horizontal="center"/>
    </xf>
    <xf numFmtId="49" fontId="23" fillId="0" borderId="0" xfId="271" applyNumberFormat="1" applyAlignment="1">
      <alignment horizontal="center"/>
    </xf>
    <xf numFmtId="0" fontId="44" fillId="0" borderId="0" xfId="0" applyFont="1"/>
    <xf numFmtId="5" fontId="67" fillId="0" borderId="11" xfId="541" applyNumberFormat="1" applyFont="1" applyBorder="1" applyAlignment="1" applyProtection="1">
      <alignment horizontal="center"/>
    </xf>
    <xf numFmtId="5" fontId="67" fillId="42" borderId="11" xfId="541" applyNumberFormat="1" applyFont="1" applyFill="1" applyBorder="1" applyAlignment="1" applyProtection="1">
      <alignment horizontal="center"/>
    </xf>
    <xf numFmtId="5" fontId="67" fillId="2" borderId="11" xfId="541" applyNumberFormat="1" applyFont="1" applyFill="1" applyBorder="1" applyAlignment="1" applyProtection="1">
      <alignment horizontal="center"/>
    </xf>
    <xf numFmtId="0" fontId="44" fillId="0" borderId="0" xfId="0" applyFont="1" applyAlignment="1">
      <alignment vertical="top"/>
    </xf>
    <xf numFmtId="0" fontId="44" fillId="2" borderId="0" xfId="0" applyFont="1" applyFill="1" applyAlignment="1">
      <alignment vertical="top" wrapText="1"/>
    </xf>
    <xf numFmtId="0" fontId="69" fillId="0" borderId="13" xfId="0" applyFont="1" applyBorder="1" applyAlignment="1">
      <alignment vertical="top" wrapText="1"/>
    </xf>
    <xf numFmtId="0" fontId="28" fillId="0" borderId="0" xfId="0" applyFont="1" applyAlignment="1">
      <alignment vertical="top" wrapText="1"/>
    </xf>
    <xf numFmtId="0" fontId="69" fillId="2" borderId="13" xfId="0" applyFont="1" applyFill="1" applyBorder="1" applyAlignment="1">
      <alignment vertical="top" wrapText="1"/>
    </xf>
    <xf numFmtId="0" fontId="69" fillId="0" borderId="0" xfId="0" applyFont="1" applyAlignment="1">
      <alignment vertical="top" wrapText="1"/>
    </xf>
    <xf numFmtId="0" fontId="69" fillId="2" borderId="0" xfId="0" applyFont="1" applyFill="1" applyAlignment="1">
      <alignment vertical="top" wrapText="1"/>
    </xf>
    <xf numFmtId="0" fontId="44" fillId="0" borderId="0" xfId="0" applyFont="1" applyAlignment="1">
      <alignment horizontal="right" vertical="top" wrapText="1"/>
    </xf>
    <xf numFmtId="168" fontId="44" fillId="5" borderId="6" xfId="0" applyNumberFormat="1" applyFont="1" applyFill="1" applyBorder="1" applyAlignment="1" applyProtection="1">
      <alignment horizontal="right" vertical="top" wrapText="1"/>
      <protection locked="0"/>
    </xf>
    <xf numFmtId="168" fontId="44" fillId="0" borderId="6" xfId="0" applyNumberFormat="1" applyFont="1" applyBorder="1" applyAlignment="1">
      <alignment horizontal="right" vertical="top" wrapText="1"/>
    </xf>
    <xf numFmtId="0" fontId="53" fillId="0" borderId="0" xfId="0" applyFont="1" applyAlignment="1">
      <alignment horizontal="left" vertical="center"/>
    </xf>
    <xf numFmtId="0" fontId="21" fillId="0" borderId="2" xfId="543" applyFont="1" applyBorder="1" applyAlignment="1">
      <alignment horizontal="center"/>
    </xf>
    <xf numFmtId="0" fontId="0" fillId="0" borderId="0" xfId="543" applyFont="1"/>
    <xf numFmtId="168" fontId="44" fillId="0" borderId="11" xfId="0" applyNumberFormat="1" applyFont="1" applyBorder="1" applyAlignment="1">
      <alignment vertical="top" wrapText="1"/>
    </xf>
    <xf numFmtId="168" fontId="44" fillId="4" borderId="11" xfId="0" applyNumberFormat="1" applyFont="1" applyFill="1" applyBorder="1" applyAlignment="1">
      <alignment vertical="top" wrapText="1"/>
    </xf>
    <xf numFmtId="0" fontId="93" fillId="0" borderId="0" xfId="0" applyFont="1" applyAlignment="1">
      <alignment horizontal="left" vertical="top"/>
    </xf>
    <xf numFmtId="0" fontId="94" fillId="0" borderId="0" xfId="0" applyFont="1" applyAlignment="1">
      <alignment horizontal="left" vertical="top"/>
    </xf>
    <xf numFmtId="0" fontId="62" fillId="0" borderId="0" xfId="0" applyFont="1"/>
    <xf numFmtId="0" fontId="21" fillId="8" borderId="11" xfId="542" applyFont="1" applyFill="1" applyBorder="1" applyAlignment="1">
      <alignment horizontal="left"/>
    </xf>
    <xf numFmtId="0" fontId="21" fillId="8" borderId="11" xfId="542" applyFont="1" applyFill="1" applyBorder="1" applyAlignment="1">
      <alignment horizontal="center"/>
    </xf>
    <xf numFmtId="0" fontId="52" fillId="8" borderId="11" xfId="542" applyFont="1" applyFill="1" applyBorder="1" applyAlignment="1">
      <alignment horizontal="left"/>
    </xf>
    <xf numFmtId="0" fontId="52" fillId="0" borderId="11" xfId="542" applyFont="1" applyBorder="1" applyAlignment="1">
      <alignment horizontal="left"/>
    </xf>
    <xf numFmtId="0" fontId="21" fillId="0" borderId="0" xfId="271" applyFont="1" applyAlignment="1" applyProtection="1">
      <alignment horizontal="center" wrapText="1"/>
      <protection locked="0"/>
    </xf>
    <xf numFmtId="0" fontId="23" fillId="0" borderId="0" xfId="271" applyAlignment="1" applyProtection="1">
      <alignment vertical="top" wrapText="1"/>
      <protection locked="0"/>
    </xf>
    <xf numFmtId="0" fontId="21" fillId="0" borderId="0" xfId="271" applyFont="1" applyAlignment="1" applyProtection="1">
      <alignment vertical="top" wrapText="1"/>
      <protection locked="0"/>
    </xf>
    <xf numFmtId="0" fontId="21" fillId="0" borderId="8" xfId="271" applyFont="1" applyBorder="1" applyAlignment="1" applyProtection="1">
      <alignment horizontal="center" wrapText="1"/>
      <protection locked="0"/>
    </xf>
    <xf numFmtId="0" fontId="23" fillId="0" borderId="8" xfId="271" applyBorder="1" applyAlignment="1" applyProtection="1">
      <alignment vertical="top" wrapText="1"/>
      <protection locked="0"/>
    </xf>
    <xf numFmtId="0" fontId="21" fillId="0" borderId="8" xfId="271" applyFont="1" applyBorder="1" applyAlignment="1" applyProtection="1">
      <alignment vertical="top" wrapText="1"/>
      <protection locked="0"/>
    </xf>
    <xf numFmtId="0" fontId="28" fillId="0" borderId="8" xfId="569" applyFont="1" applyBorder="1" applyAlignment="1">
      <alignment vertical="top" wrapText="1"/>
    </xf>
    <xf numFmtId="0" fontId="28" fillId="0" borderId="0" xfId="569" applyFont="1" applyAlignment="1">
      <alignment vertical="top" wrapText="1"/>
    </xf>
    <xf numFmtId="0" fontId="46" fillId="2" borderId="11" xfId="569" applyFont="1" applyFill="1" applyBorder="1" applyAlignment="1">
      <alignment horizontal="left" vertical="top" wrapText="1"/>
    </xf>
    <xf numFmtId="6" fontId="44" fillId="4" borderId="11" xfId="569" applyNumberFormat="1" applyFont="1" applyFill="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6" fontId="44" fillId="0" borderId="11" xfId="569" applyNumberFormat="1" applyFont="1" applyBorder="1" applyAlignment="1">
      <alignment vertical="top" wrapText="1"/>
    </xf>
    <xf numFmtId="6" fontId="44" fillId="5" borderId="11" xfId="569" applyNumberFormat="1" applyFont="1" applyFill="1" applyBorder="1" applyAlignment="1" applyProtection="1">
      <alignment vertical="top" wrapText="1"/>
      <protection locked="0"/>
    </xf>
    <xf numFmtId="6" fontId="44" fillId="6" borderId="11" xfId="569" applyNumberFormat="1" applyFont="1" applyFill="1" applyBorder="1" applyAlignment="1">
      <alignment horizontal="center" vertical="top" wrapText="1"/>
    </xf>
    <xf numFmtId="0" fontId="44" fillId="0" borderId="11" xfId="569" applyFont="1" applyBorder="1" applyAlignment="1">
      <alignment horizontal="right" vertical="top" wrapText="1"/>
    </xf>
    <xf numFmtId="0" fontId="45" fillId="0" borderId="11" xfId="569" applyFont="1" applyBorder="1" applyAlignment="1">
      <alignment horizontal="right" vertical="top" wrapText="1"/>
    </xf>
    <xf numFmtId="0" fontId="44" fillId="0" borderId="11" xfId="569" applyFont="1" applyBorder="1" applyAlignment="1">
      <alignment horizontal="right" vertical="top"/>
    </xf>
    <xf numFmtId="6" fontId="45" fillId="0" borderId="11" xfId="569" applyNumberFormat="1" applyFont="1" applyBorder="1" applyAlignment="1">
      <alignment vertical="top" wrapText="1"/>
    </xf>
    <xf numFmtId="0" fontId="45" fillId="0" borderId="8" xfId="569" applyFont="1" applyBorder="1" applyAlignment="1">
      <alignment vertical="top" wrapText="1"/>
    </xf>
    <xf numFmtId="0" fontId="45" fillId="0" borderId="0" xfId="569" applyFont="1" applyAlignment="1">
      <alignment vertical="top" wrapText="1"/>
    </xf>
    <xf numFmtId="0" fontId="17" fillId="0" borderId="11" xfId="569" applyFont="1" applyBorder="1" applyAlignment="1">
      <alignment horizontal="right" vertical="top" wrapText="1"/>
    </xf>
    <xf numFmtId="0" fontId="45" fillId="0" borderId="0" xfId="569" applyFont="1" applyAlignment="1">
      <alignment horizontal="left" vertical="top"/>
    </xf>
    <xf numFmtId="6" fontId="44" fillId="0" borderId="0" xfId="569" applyNumberFormat="1" applyFont="1" applyAlignment="1">
      <alignment horizontal="left" vertical="top"/>
    </xf>
    <xf numFmtId="0" fontId="94" fillId="0" borderId="0" xfId="569" applyFont="1" applyAlignment="1">
      <alignment horizontal="left" vertical="top"/>
    </xf>
    <xf numFmtId="6" fontId="44" fillId="0" borderId="0" xfId="569" applyNumberFormat="1" applyFont="1" applyAlignment="1">
      <alignment vertical="top" wrapText="1"/>
    </xf>
    <xf numFmtId="0" fontId="44" fillId="0" borderId="0" xfId="569" applyFont="1" applyAlignment="1">
      <alignment horizontal="left" vertical="top"/>
    </xf>
    <xf numFmtId="0" fontId="44" fillId="0" borderId="12" xfId="569" applyFont="1" applyBorder="1" applyAlignment="1">
      <alignment vertical="top" wrapText="1"/>
    </xf>
    <xf numFmtId="0" fontId="97" fillId="0" borderId="0" xfId="569" applyFont="1" applyAlignment="1">
      <alignment horizontal="left" vertical="top"/>
    </xf>
    <xf numFmtId="0" fontId="53" fillId="0" borderId="0" xfId="569" applyFont="1" applyAlignment="1">
      <alignment horizontal="left" vertical="center"/>
    </xf>
    <xf numFmtId="0" fontId="29" fillId="0" borderId="0" xfId="569" applyFont="1" applyAlignment="1">
      <alignment vertical="top" wrapText="1"/>
    </xf>
    <xf numFmtId="0" fontId="29" fillId="0" borderId="12" xfId="569" applyFont="1" applyBorder="1" applyAlignment="1">
      <alignment vertical="top" wrapText="1"/>
    </xf>
    <xf numFmtId="0" fontId="29" fillId="0" borderId="8" xfId="569" applyFont="1" applyBorder="1" applyAlignment="1">
      <alignment vertical="top" wrapText="1"/>
    </xf>
    <xf numFmtId="0" fontId="44" fillId="0" borderId="0" xfId="569" applyFont="1" applyAlignment="1">
      <alignment vertical="top"/>
    </xf>
    <xf numFmtId="168" fontId="44" fillId="0" borderId="0" xfId="569" applyNumberFormat="1" applyFont="1" applyAlignment="1" applyProtection="1">
      <alignment horizontal="right" vertical="top" wrapText="1"/>
      <protection locked="0"/>
    </xf>
    <xf numFmtId="0" fontId="14" fillId="0" borderId="0" xfId="569" applyAlignment="1">
      <alignment vertical="top"/>
    </xf>
    <xf numFmtId="0" fontId="44" fillId="0" borderId="0" xfId="569" applyFont="1" applyAlignment="1">
      <alignment horizontal="right" vertical="top" wrapText="1"/>
    </xf>
    <xf numFmtId="0" fontId="21" fillId="0" borderId="0" xfId="569" applyFont="1" applyAlignment="1">
      <alignment horizontal="left" vertical="top" wrapText="1"/>
    </xf>
    <xf numFmtId="168" fontId="44" fillId="0" borderId="0" xfId="569" applyNumberFormat="1" applyFont="1" applyAlignment="1">
      <alignment horizontal="right" vertical="top" wrapText="1"/>
    </xf>
    <xf numFmtId="0" fontId="14" fillId="0" borderId="0" xfId="569" applyAlignment="1" applyProtection="1">
      <alignment horizontal="left" vertical="top" wrapText="1"/>
      <protection locked="0"/>
    </xf>
    <xf numFmtId="0" fontId="69" fillId="0" borderId="0" xfId="569" applyFont="1" applyAlignment="1">
      <alignment vertical="top" wrapText="1"/>
    </xf>
    <xf numFmtId="0" fontId="69" fillId="0" borderId="12" xfId="569" applyFont="1" applyBorder="1" applyAlignment="1">
      <alignment vertical="top" wrapText="1"/>
    </xf>
    <xf numFmtId="0" fontId="69" fillId="0" borderId="8" xfId="569" applyFont="1" applyBorder="1" applyAlignment="1">
      <alignment vertical="top" wrapText="1"/>
    </xf>
    <xf numFmtId="0" fontId="28" fillId="0" borderId="0" xfId="569" applyFont="1" applyAlignment="1">
      <alignment horizontal="right" vertical="top" wrapText="1"/>
    </xf>
    <xf numFmtId="0" fontId="69" fillId="0" borderId="0" xfId="569" applyFont="1" applyAlignment="1">
      <alignment horizontal="right" vertical="top" wrapText="1"/>
    </xf>
    <xf numFmtId="0" fontId="45" fillId="0" borderId="3" xfId="569" applyFont="1" applyBorder="1" applyAlignment="1">
      <alignment horizontal="left"/>
    </xf>
    <xf numFmtId="0" fontId="45" fillId="0" borderId="13" xfId="569" applyFont="1" applyBorder="1" applyAlignment="1">
      <alignment horizontal="center" wrapText="1"/>
    </xf>
    <xf numFmtId="0" fontId="45" fillId="0" borderId="8" xfId="569" applyFont="1" applyBorder="1" applyAlignment="1">
      <alignment horizontal="center" wrapText="1"/>
    </xf>
    <xf numFmtId="0" fontId="45" fillId="0" borderId="0" xfId="569" applyFont="1" applyAlignment="1">
      <alignment horizontal="center" wrapText="1"/>
    </xf>
    <xf numFmtId="0" fontId="14" fillId="0" borderId="0" xfId="569"/>
    <xf numFmtId="0" fontId="20" fillId="0" borderId="0" xfId="569" applyFont="1" applyAlignment="1">
      <alignment horizontal="center" vertical="center"/>
    </xf>
    <xf numFmtId="0" fontId="21" fillId="0" borderId="0" xfId="569" applyFont="1"/>
    <xf numFmtId="0" fontId="14" fillId="0" borderId="1" xfId="569" applyBorder="1"/>
    <xf numFmtId="0" fontId="14" fillId="0" borderId="2" xfId="569" applyBorder="1"/>
    <xf numFmtId="0" fontId="14" fillId="0" borderId="8" xfId="569" applyBorder="1"/>
    <xf numFmtId="0" fontId="14" fillId="0" borderId="9" xfId="569" applyBorder="1"/>
    <xf numFmtId="0" fontId="14" fillId="0" borderId="6" xfId="569" applyBorder="1"/>
    <xf numFmtId="0" fontId="22" fillId="0" borderId="0" xfId="569" applyFont="1"/>
    <xf numFmtId="0" fontId="14" fillId="0" borderId="7" xfId="569" applyBorder="1"/>
    <xf numFmtId="0" fontId="14" fillId="0" borderId="12" xfId="569" applyBorder="1"/>
    <xf numFmtId="0" fontId="14" fillId="0" borderId="10" xfId="569" applyBorder="1"/>
    <xf numFmtId="0" fontId="22" fillId="0" borderId="0" xfId="569" applyFont="1" applyAlignment="1">
      <alignment vertical="top" wrapText="1"/>
    </xf>
    <xf numFmtId="0" fontId="14" fillId="0" borderId="0" xfId="569" applyAlignment="1">
      <alignment horizontal="right"/>
    </xf>
    <xf numFmtId="0" fontId="14" fillId="0" borderId="0" xfId="569" applyAlignment="1">
      <alignment vertical="center"/>
    </xf>
    <xf numFmtId="0" fontId="34" fillId="0" borderId="0" xfId="569" applyFont="1" applyAlignment="1">
      <alignment vertical="center" wrapText="1"/>
    </xf>
    <xf numFmtId="0" fontId="32" fillId="0" borderId="0" xfId="569" applyFont="1" applyAlignment="1">
      <alignment vertical="top" wrapText="1"/>
    </xf>
    <xf numFmtId="0" fontId="21" fillId="0" borderId="0" xfId="569" applyFont="1" applyAlignment="1">
      <alignment vertical="top" wrapText="1"/>
    </xf>
    <xf numFmtId="0" fontId="22" fillId="0" borderId="0" xfId="569" applyFont="1" applyAlignment="1">
      <alignment horizontal="left" vertical="top" wrapText="1"/>
    </xf>
    <xf numFmtId="164" fontId="14" fillId="0" borderId="0" xfId="569" applyNumberFormat="1" applyAlignment="1">
      <alignment horizontal="right"/>
    </xf>
    <xf numFmtId="168" fontId="14" fillId="0" borderId="0" xfId="569" applyNumberFormat="1" applyAlignment="1">
      <alignment horizontal="right"/>
    </xf>
    <xf numFmtId="0" fontId="95" fillId="0" borderId="0" xfId="569" applyFont="1" applyAlignment="1">
      <alignment horizontal="left" vertical="top" wrapText="1"/>
    </xf>
    <xf numFmtId="168" fontId="14" fillId="0" borderId="0" xfId="569" applyNumberFormat="1" applyAlignment="1">
      <alignment wrapText="1"/>
    </xf>
    <xf numFmtId="0" fontId="19" fillId="0" borderId="11" xfId="253" applyFont="1" applyBorder="1" applyAlignment="1">
      <alignment horizontal="center" wrapText="1"/>
    </xf>
    <xf numFmtId="0" fontId="19" fillId="0" borderId="0" xfId="253" applyFont="1" applyAlignment="1">
      <alignment horizontal="center" wrapText="1"/>
    </xf>
    <xf numFmtId="3" fontId="19" fillId="0" borderId="11" xfId="271" applyNumberFormat="1" applyFont="1" applyBorder="1"/>
    <xf numFmtId="3" fontId="19" fillId="0" borderId="0" xfId="271" applyNumberFormat="1" applyFont="1"/>
    <xf numFmtId="0" fontId="54" fillId="0" borderId="0" xfId="271" applyFont="1" applyAlignment="1">
      <alignment horizontal="left"/>
    </xf>
    <xf numFmtId="0" fontId="54" fillId="0" borderId="0" xfId="271" applyFont="1" applyAlignment="1">
      <alignment horizontal="right"/>
    </xf>
    <xf numFmtId="168" fontId="19" fillId="0" borderId="11" xfId="271" applyNumberFormat="1" applyFont="1" applyBorder="1"/>
    <xf numFmtId="168" fontId="19" fillId="0" borderId="0" xfId="271" applyNumberFormat="1" applyFont="1"/>
    <xf numFmtId="0" fontId="19" fillId="0" borderId="0" xfId="271" applyFont="1"/>
    <xf numFmtId="0" fontId="14" fillId="0" borderId="3" xfId="569" applyBorder="1"/>
    <xf numFmtId="0" fontId="96" fillId="0" borderId="0" xfId="1834"/>
    <xf numFmtId="0" fontId="0" fillId="0" borderId="0" xfId="0" applyAlignment="1">
      <alignment horizontal="left" vertical="top"/>
    </xf>
    <xf numFmtId="0" fontId="95" fillId="0" borderId="0" xfId="0" applyFont="1" applyAlignment="1">
      <alignment vertical="top" wrapText="1"/>
    </xf>
    <xf numFmtId="0" fontId="44" fillId="0" borderId="0" xfId="271" applyFont="1" applyAlignment="1">
      <alignment vertical="top" wrapText="1"/>
    </xf>
    <xf numFmtId="0" fontId="21" fillId="0" borderId="12" xfId="543" applyFont="1" applyBorder="1" applyAlignment="1">
      <alignment horizontal="right"/>
    </xf>
    <xf numFmtId="0" fontId="38" fillId="0" borderId="0" xfId="1192" applyFont="1"/>
    <xf numFmtId="0" fontId="44" fillId="0" borderId="11" xfId="0" applyFont="1" applyBorder="1" applyAlignment="1">
      <alignment horizontal="right" vertical="center"/>
    </xf>
    <xf numFmtId="0" fontId="38" fillId="0" borderId="0" xfId="0" applyFont="1" applyAlignment="1">
      <alignment vertical="top" wrapText="1"/>
    </xf>
    <xf numFmtId="6" fontId="45" fillId="0" borderId="0" xfId="569" applyNumberFormat="1" applyFont="1" applyAlignment="1">
      <alignment horizontal="right" vertical="top"/>
    </xf>
    <xf numFmtId="168" fontId="23" fillId="0" borderId="28" xfId="540" applyNumberFormat="1" applyBorder="1" applyAlignment="1" applyProtection="1">
      <alignment horizontal="center"/>
    </xf>
    <xf numFmtId="168" fontId="23" fillId="0" borderId="29" xfId="540" applyNumberFormat="1" applyBorder="1" applyAlignment="1" applyProtection="1">
      <alignment horizontal="center"/>
    </xf>
    <xf numFmtId="168" fontId="23" fillId="0" borderId="30" xfId="540" applyNumberFormat="1" applyBorder="1" applyAlignment="1" applyProtection="1">
      <alignment horizontal="center"/>
    </xf>
    <xf numFmtId="168" fontId="23" fillId="0" borderId="31" xfId="540" applyNumberFormat="1" applyBorder="1" applyAlignment="1" applyProtection="1">
      <alignment horizontal="center"/>
    </xf>
    <xf numFmtId="168" fontId="23" fillId="0" borderId="32" xfId="540" applyNumberFormat="1" applyBorder="1" applyAlignment="1" applyProtection="1">
      <alignment horizontal="center"/>
    </xf>
    <xf numFmtId="168" fontId="23" fillId="0" borderId="33" xfId="540" applyNumberFormat="1" applyBorder="1" applyAlignment="1" applyProtection="1">
      <alignment horizontal="center"/>
    </xf>
    <xf numFmtId="168" fontId="23" fillId="0" borderId="34" xfId="540" applyNumberFormat="1" applyBorder="1" applyAlignment="1" applyProtection="1">
      <alignment horizontal="center"/>
    </xf>
    <xf numFmtId="168" fontId="23" fillId="0" borderId="35" xfId="540" applyNumberFormat="1" applyBorder="1" applyAlignment="1" applyProtection="1">
      <alignment horizontal="center"/>
    </xf>
    <xf numFmtId="168" fontId="23" fillId="0" borderId="36" xfId="540" applyNumberFormat="1" applyBorder="1" applyAlignment="1" applyProtection="1">
      <alignment horizontal="center"/>
    </xf>
    <xf numFmtId="168" fontId="23" fillId="0" borderId="37" xfId="540" applyNumberFormat="1" applyBorder="1" applyAlignment="1" applyProtection="1">
      <alignment horizontal="center"/>
    </xf>
    <xf numFmtId="168" fontId="23" fillId="0" borderId="38" xfId="540" applyNumberFormat="1" applyBorder="1" applyAlignment="1" applyProtection="1">
      <alignment horizontal="center"/>
    </xf>
    <xf numFmtId="168" fontId="23" fillId="0" borderId="39" xfId="540" applyNumberFormat="1" applyBorder="1" applyAlignment="1" applyProtection="1">
      <alignment horizontal="center"/>
    </xf>
    <xf numFmtId="168" fontId="23" fillId="0" borderId="40" xfId="540" applyNumberFormat="1" applyBorder="1" applyAlignment="1" applyProtection="1">
      <alignment horizontal="center"/>
    </xf>
    <xf numFmtId="168" fontId="23" fillId="0" borderId="0" xfId="540" applyNumberFormat="1" applyAlignment="1" applyProtection="1">
      <alignment horizontal="center"/>
    </xf>
    <xf numFmtId="168" fontId="23" fillId="0" borderId="14" xfId="540" applyNumberFormat="1" applyBorder="1" applyAlignment="1" applyProtection="1">
      <alignment horizontal="center"/>
    </xf>
    <xf numFmtId="168" fontId="23" fillId="0" borderId="41" xfId="540" applyNumberFormat="1" applyBorder="1" applyAlignment="1" applyProtection="1">
      <alignment horizontal="center"/>
    </xf>
    <xf numFmtId="168" fontId="23" fillId="0" borderId="42" xfId="540" applyNumberFormat="1" applyBorder="1" applyAlignment="1" applyProtection="1">
      <alignment horizontal="center"/>
    </xf>
    <xf numFmtId="168" fontId="23" fillId="0" borderId="43" xfId="540" applyNumberFormat="1" applyBorder="1" applyAlignment="1" applyProtection="1">
      <alignment horizontal="center"/>
    </xf>
    <xf numFmtId="168" fontId="23" fillId="0" borderId="44" xfId="540" applyNumberFormat="1" applyBorder="1" applyAlignment="1" applyProtection="1">
      <alignment horizontal="center"/>
    </xf>
    <xf numFmtId="0" fontId="14" fillId="0" borderId="0" xfId="1192"/>
    <xf numFmtId="0" fontId="38" fillId="0" borderId="0" xfId="0" applyFont="1" applyAlignment="1">
      <alignment horizontal="left" vertical="top"/>
    </xf>
    <xf numFmtId="0" fontId="38" fillId="0" borderId="0" xfId="0" applyFont="1" applyAlignment="1">
      <alignment vertical="top"/>
    </xf>
    <xf numFmtId="0" fontId="14" fillId="0" borderId="0" xfId="569" applyAlignment="1">
      <alignment horizontal="center"/>
    </xf>
    <xf numFmtId="49" fontId="21" fillId="0" borderId="0" xfId="569" applyNumberFormat="1" applyFont="1" applyAlignment="1">
      <alignment horizontal="center"/>
    </xf>
    <xf numFmtId="0" fontId="42" fillId="0" borderId="0" xfId="569" applyFont="1" applyAlignment="1">
      <alignment horizontal="center"/>
    </xf>
    <xf numFmtId="0" fontId="14" fillId="5" borderId="6" xfId="569" applyFill="1" applyBorder="1" applyProtection="1">
      <protection locked="0"/>
    </xf>
    <xf numFmtId="0" fontId="15" fillId="0" borderId="0" xfId="244" applyAlignment="1" applyProtection="1">
      <alignment horizontal="center"/>
    </xf>
    <xf numFmtId="49" fontId="14" fillId="0" borderId="0" xfId="569" applyNumberFormat="1" applyAlignment="1">
      <alignment horizontal="center"/>
    </xf>
    <xf numFmtId="0" fontId="14" fillId="0" borderId="0" xfId="569" applyAlignment="1">
      <alignment horizontal="center" vertical="center"/>
    </xf>
    <xf numFmtId="0" fontId="14" fillId="0" borderId="0" xfId="1192" applyAlignment="1">
      <alignment horizontal="center"/>
    </xf>
    <xf numFmtId="0" fontId="14" fillId="0" borderId="0" xfId="569" applyAlignment="1">
      <alignment horizontal="left" indent="4"/>
    </xf>
    <xf numFmtId="0" fontId="14" fillId="0" borderId="0" xfId="569" quotePrefix="1" applyAlignment="1">
      <alignment horizontal="left"/>
    </xf>
    <xf numFmtId="0" fontId="32" fillId="0" borderId="0" xfId="569" applyFont="1"/>
    <xf numFmtId="0" fontId="14" fillId="0" borderId="0" xfId="1192" applyAlignment="1" applyProtection="1">
      <alignment horizontal="left"/>
      <protection locked="0"/>
    </xf>
    <xf numFmtId="0" fontId="14" fillId="0" borderId="0" xfId="569" applyAlignment="1" applyProtection="1">
      <alignment horizontal="left"/>
      <protection locked="0"/>
    </xf>
    <xf numFmtId="49" fontId="14" fillId="0" borderId="0" xfId="1192" applyNumberFormat="1" applyAlignment="1">
      <alignment horizontal="center"/>
    </xf>
    <xf numFmtId="0" fontId="42" fillId="0" borderId="0" xfId="1192" applyFont="1" applyAlignment="1">
      <alignment horizontal="center"/>
    </xf>
    <xf numFmtId="0" fontId="21" fillId="0" borderId="0" xfId="1192" applyFont="1" applyAlignment="1">
      <alignment horizontal="left"/>
    </xf>
    <xf numFmtId="4" fontId="14" fillId="0" borderId="0" xfId="1192" applyNumberFormat="1" applyAlignment="1">
      <alignment horizontal="left"/>
    </xf>
    <xf numFmtId="0" fontId="21" fillId="0" borderId="0" xfId="569" quotePrefix="1" applyFont="1" applyAlignment="1">
      <alignment horizontal="center"/>
    </xf>
    <xf numFmtId="49" fontId="14" fillId="0" borderId="0" xfId="569" applyNumberFormat="1"/>
    <xf numFmtId="0" fontId="40" fillId="0" borderId="0" xfId="569" applyFont="1" applyAlignment="1">
      <alignment horizontal="left"/>
    </xf>
    <xf numFmtId="4" fontId="42" fillId="0" borderId="0" xfId="569" applyNumberFormat="1" applyFont="1" applyAlignment="1">
      <alignment horizontal="center"/>
    </xf>
    <xf numFmtId="4" fontId="14" fillId="0" borderId="0" xfId="569" applyNumberFormat="1" applyAlignment="1">
      <alignment horizontal="center"/>
    </xf>
    <xf numFmtId="4" fontId="14" fillId="0" borderId="0" xfId="569" applyNumberFormat="1"/>
    <xf numFmtId="0" fontId="39" fillId="0" borderId="0" xfId="569" applyFont="1" applyAlignment="1">
      <alignment horizontal="left"/>
    </xf>
    <xf numFmtId="0" fontId="15" fillId="0" borderId="0" xfId="244" applyNumberFormat="1" applyFill="1" applyAlignment="1" applyProtection="1">
      <alignment horizontal="left"/>
      <protection locked="0"/>
    </xf>
    <xf numFmtId="0" fontId="44" fillId="0" borderId="11" xfId="0" applyFont="1" applyBorder="1" applyAlignment="1" applyProtection="1">
      <alignment horizontal="right" vertical="top" wrapText="1"/>
      <protection locked="0"/>
    </xf>
    <xf numFmtId="0" fontId="14" fillId="0" borderId="11" xfId="271" applyFont="1" applyBorder="1" applyAlignment="1">
      <alignment horizontal="right" vertical="top" wrapText="1"/>
    </xf>
    <xf numFmtId="0" fontId="22" fillId="0" borderId="0" xfId="569" applyFont="1" applyAlignment="1">
      <alignment horizontal="left"/>
    </xf>
    <xf numFmtId="0" fontId="93" fillId="0" borderId="0" xfId="0" applyFont="1"/>
    <xf numFmtId="0" fontId="104" fillId="0" borderId="0" xfId="0" applyFont="1" applyAlignment="1">
      <alignment horizontal="left" vertical="top"/>
    </xf>
    <xf numFmtId="0" fontId="105" fillId="0" borderId="0" xfId="0" applyFont="1" applyAlignment="1">
      <alignment horizontal="left" vertical="top"/>
    </xf>
    <xf numFmtId="168" fontId="22" fillId="0" borderId="0" xfId="0" applyNumberFormat="1" applyFont="1" applyAlignment="1">
      <alignment horizontal="left" vertical="top" wrapText="1"/>
    </xf>
    <xf numFmtId="168" fontId="44" fillId="5" borderId="11" xfId="0" applyNumberFormat="1" applyFont="1" applyFill="1" applyBorder="1" applyAlignment="1">
      <alignment vertical="top" wrapText="1"/>
    </xf>
    <xf numFmtId="0" fontId="14" fillId="0" borderId="0" xfId="271" applyFont="1" applyAlignment="1">
      <alignment horizontal="left" vertical="top"/>
    </xf>
    <xf numFmtId="0" fontId="44" fillId="0" borderId="0" xfId="569" applyFont="1"/>
    <xf numFmtId="4" fontId="14" fillId="0" borderId="0" xfId="1192" applyNumberFormat="1" applyAlignment="1">
      <alignment vertical="top" wrapText="1"/>
    </xf>
    <xf numFmtId="0" fontId="21" fillId="0" borderId="16" xfId="271" applyFont="1" applyBorder="1"/>
    <xf numFmtId="0" fontId="49" fillId="0" borderId="0" xfId="569" applyFont="1"/>
    <xf numFmtId="0" fontId="34" fillId="0" borderId="0" xfId="569" applyFont="1"/>
    <xf numFmtId="49" fontId="14" fillId="0" borderId="0" xfId="1192" applyNumberFormat="1" applyAlignment="1">
      <alignment vertical="top" wrapText="1"/>
    </xf>
    <xf numFmtId="0" fontId="46" fillId="0" borderId="9" xfId="543" applyFont="1" applyBorder="1" applyAlignment="1">
      <alignment vertical="top"/>
    </xf>
    <xf numFmtId="0" fontId="14" fillId="0" borderId="0" xfId="0" applyFont="1" applyAlignment="1">
      <alignment vertical="center"/>
    </xf>
    <xf numFmtId="0" fontId="106" fillId="0" borderId="0" xfId="0" applyFont="1"/>
    <xf numFmtId="3" fontId="93" fillId="0" borderId="0" xfId="0" applyNumberFormat="1" applyFont="1"/>
    <xf numFmtId="0" fontId="93" fillId="0" borderId="0" xfId="0" applyFont="1" applyAlignment="1">
      <alignment horizontal="left"/>
    </xf>
    <xf numFmtId="168" fontId="107" fillId="0" borderId="0" xfId="0" applyNumberFormat="1" applyFont="1" applyAlignment="1">
      <alignment horizontal="left" vertical="top"/>
    </xf>
    <xf numFmtId="0" fontId="93" fillId="0" borderId="0" xfId="0" applyFont="1" applyAlignment="1">
      <alignment horizontal="left" vertical="center"/>
    </xf>
    <xf numFmtId="0" fontId="109" fillId="0" borderId="0" xfId="0" applyFont="1"/>
    <xf numFmtId="172" fontId="14" fillId="0" borderId="8" xfId="543" applyNumberFormat="1" applyBorder="1"/>
    <xf numFmtId="0" fontId="14" fillId="0" borderId="8" xfId="4495" applyFont="1" applyBorder="1"/>
    <xf numFmtId="0" fontId="14" fillId="0" borderId="0" xfId="4495" applyFont="1"/>
    <xf numFmtId="0" fontId="20" fillId="0" borderId="0" xfId="4495" applyFont="1" applyAlignment="1">
      <alignment horizontal="center" vertical="center"/>
    </xf>
    <xf numFmtId="0" fontId="21" fillId="0" borderId="0" xfId="4495" applyFont="1" applyAlignment="1">
      <alignment horizontal="left"/>
    </xf>
    <xf numFmtId="0" fontId="21" fillId="0" borderId="0" xfId="4495" applyFont="1"/>
    <xf numFmtId="0" fontId="24" fillId="0" borderId="0" xfId="4495" applyFont="1" applyAlignment="1">
      <alignment horizontal="center" vertical="center"/>
    </xf>
    <xf numFmtId="0" fontId="24" fillId="0" borderId="27" xfId="4495" applyFont="1" applyBorder="1" applyAlignment="1">
      <alignment horizontal="center" vertical="center"/>
    </xf>
    <xf numFmtId="0" fontId="24" fillId="0" borderId="46" xfId="4495" applyFont="1" applyBorder="1" applyAlignment="1">
      <alignment horizontal="center" vertical="center"/>
    </xf>
    <xf numFmtId="0" fontId="32" fillId="0" borderId="0" xfId="4495" applyFont="1" applyAlignment="1">
      <alignment horizontal="left" vertical="center"/>
    </xf>
    <xf numFmtId="0" fontId="14" fillId="0" borderId="0" xfId="1192" quotePrefix="1" applyAlignment="1">
      <alignment horizontal="center"/>
    </xf>
    <xf numFmtId="0" fontId="39" fillId="0" borderId="0" xfId="4495" applyFont="1" applyAlignment="1">
      <alignment horizontal="left" vertical="center"/>
    </xf>
    <xf numFmtId="49" fontId="22" fillId="0" borderId="0" xfId="4495" applyNumberFormat="1" applyFont="1" applyAlignment="1">
      <alignment horizontal="left" vertical="top"/>
    </xf>
    <xf numFmtId="0" fontId="14" fillId="0" borderId="47" xfId="4495" applyFont="1" applyBorder="1" applyAlignment="1">
      <alignment horizontal="left" vertical="center"/>
    </xf>
    <xf numFmtId="0" fontId="24" fillId="0" borderId="48" xfId="4495" applyFont="1" applyBorder="1" applyAlignment="1">
      <alignment horizontal="center" vertical="center"/>
    </xf>
    <xf numFmtId="0" fontId="22" fillId="0" borderId="0" xfId="4495" applyFont="1"/>
    <xf numFmtId="0" fontId="22" fillId="0" borderId="0" xfId="4495" applyFont="1" applyAlignment="1">
      <alignment horizontal="left" vertical="top"/>
    </xf>
    <xf numFmtId="0" fontId="111" fillId="0" borderId="53" xfId="4496" applyFont="1" applyBorder="1" applyAlignment="1">
      <alignment horizontal="left" vertical="top"/>
    </xf>
    <xf numFmtId="0" fontId="14" fillId="0" borderId="0" xfId="4495" applyFont="1" applyAlignment="1">
      <alignment horizontal="left" vertical="center"/>
    </xf>
    <xf numFmtId="0" fontId="112" fillId="0" borderId="0" xfId="4496" applyFont="1" applyAlignment="1">
      <alignment vertical="center"/>
    </xf>
    <xf numFmtId="0" fontId="110" fillId="0" borderId="0" xfId="4496" applyFont="1"/>
    <xf numFmtId="0" fontId="110" fillId="0" borderId="0" xfId="4496" applyFont="1" applyAlignment="1">
      <alignment vertical="center"/>
    </xf>
    <xf numFmtId="0" fontId="113" fillId="0" borderId="0" xfId="4496" applyFont="1" applyAlignment="1">
      <alignment vertical="center"/>
    </xf>
    <xf numFmtId="0" fontId="14" fillId="0" borderId="0" xfId="4496" applyFont="1" applyAlignment="1">
      <alignment vertical="center"/>
    </xf>
    <xf numFmtId="0" fontId="22" fillId="0" borderId="3" xfId="4495" applyFont="1" applyBorder="1" applyAlignment="1">
      <alignment vertical="top" wrapText="1"/>
    </xf>
    <xf numFmtId="0" fontId="22" fillId="0" borderId="4" xfId="4495" applyFont="1" applyBorder="1" applyAlignment="1">
      <alignment vertical="top" wrapText="1"/>
    </xf>
    <xf numFmtId="164" fontId="108" fillId="0" borderId="4" xfId="4495" applyNumberFormat="1" applyBorder="1" applyAlignment="1">
      <alignment horizontal="right"/>
    </xf>
    <xf numFmtId="0" fontId="22" fillId="0" borderId="4" xfId="4495" applyFont="1" applyBorder="1"/>
    <xf numFmtId="0" fontId="21" fillId="0" borderId="5" xfId="4495" applyFont="1" applyBorder="1" applyAlignment="1">
      <alignment horizontal="right"/>
    </xf>
    <xf numFmtId="0" fontId="14" fillId="0" borderId="16" xfId="4495" applyFont="1" applyBorder="1"/>
    <xf numFmtId="0" fontId="14" fillId="0" borderId="16" xfId="4495" applyFont="1" applyBorder="1" applyAlignment="1">
      <alignment horizontal="left" vertical="top"/>
    </xf>
    <xf numFmtId="0" fontId="22" fillId="0" borderId="16" xfId="4495" applyFont="1" applyBorder="1" applyAlignment="1">
      <alignment horizontal="left" vertical="top" wrapText="1"/>
    </xf>
    <xf numFmtId="0" fontId="22" fillId="0" borderId="45" xfId="4495" applyFont="1" applyBorder="1" applyAlignment="1">
      <alignment horizontal="left" vertical="top" wrapText="1"/>
    </xf>
    <xf numFmtId="0" fontId="108" fillId="0" borderId="0" xfId="4495"/>
    <xf numFmtId="0" fontId="15" fillId="0" borderId="0" xfId="244" applyFill="1" applyBorder="1" applyAlignment="1" applyProtection="1">
      <alignment horizontal="left" vertical="top"/>
    </xf>
    <xf numFmtId="0" fontId="15" fillId="0" borderId="0" xfId="244" applyFill="1" applyBorder="1" applyAlignment="1" applyProtection="1">
      <alignment horizontal="left" vertical="top" wrapText="1"/>
    </xf>
    <xf numFmtId="0" fontId="22" fillId="0" borderId="0" xfId="4495" applyFont="1" applyAlignment="1">
      <alignment horizontal="right" vertical="top"/>
    </xf>
    <xf numFmtId="0" fontId="14" fillId="0" borderId="0" xfId="4495" applyFont="1" applyAlignment="1">
      <alignment vertical="center" wrapText="1"/>
    </xf>
    <xf numFmtId="0" fontId="110" fillId="0" borderId="53" xfId="4496" applyFont="1" applyBorder="1" applyAlignment="1">
      <alignment vertical="top" wrapText="1"/>
    </xf>
    <xf numFmtId="0" fontId="110" fillId="0" borderId="0" xfId="4496" applyFont="1" applyAlignment="1">
      <alignment vertical="top" wrapText="1"/>
    </xf>
    <xf numFmtId="10" fontId="110" fillId="0" borderId="0" xfId="4496" applyNumberFormat="1" applyFont="1" applyAlignment="1">
      <alignment vertical="top" wrapText="1"/>
    </xf>
    <xf numFmtId="0" fontId="110" fillId="0" borderId="54" xfId="4496" applyFont="1" applyBorder="1" applyAlignment="1">
      <alignment vertical="top" wrapText="1"/>
    </xf>
    <xf numFmtId="0" fontId="110" fillId="0" borderId="0" xfId="4496" applyFont="1" applyAlignment="1">
      <alignment vertical="top"/>
    </xf>
    <xf numFmtId="165" fontId="110" fillId="0" borderId="0" xfId="4496" applyNumberFormat="1" applyFont="1" applyAlignment="1">
      <alignment vertical="top" wrapText="1"/>
    </xf>
    <xf numFmtId="0" fontId="21" fillId="0" borderId="57" xfId="4495" applyFont="1" applyBorder="1"/>
    <xf numFmtId="0" fontId="21" fillId="0" borderId="58" xfId="4495" applyFont="1" applyBorder="1"/>
    <xf numFmtId="0" fontId="21" fillId="0" borderId="58" xfId="4495" applyFont="1" applyBorder="1" applyAlignment="1">
      <alignment horizontal="right"/>
    </xf>
    <xf numFmtId="0" fontId="21" fillId="0" borderId="59" xfId="4495" applyFont="1" applyBorder="1" applyAlignment="1">
      <alignment horizontal="right"/>
    </xf>
    <xf numFmtId="0" fontId="110" fillId="0" borderId="0" xfId="4496" applyFont="1" applyAlignment="1">
      <alignment horizontal="left" vertical="top"/>
    </xf>
    <xf numFmtId="0" fontId="24" fillId="0" borderId="57" xfId="4495" applyFont="1" applyBorder="1" applyAlignment="1">
      <alignment horizontal="center" vertical="center"/>
    </xf>
    <xf numFmtId="0" fontId="24" fillId="0" borderId="58" xfId="4495" applyFont="1" applyBorder="1" applyAlignment="1">
      <alignment horizontal="center" vertical="center"/>
    </xf>
    <xf numFmtId="0" fontId="24" fillId="0" borderId="59" xfId="4495" applyFont="1" applyBorder="1" applyAlignment="1">
      <alignment horizontal="center" vertical="center"/>
    </xf>
    <xf numFmtId="0" fontId="21" fillId="0" borderId="8" xfId="4495" applyFont="1" applyBorder="1"/>
    <xf numFmtId="0" fontId="22" fillId="0" borderId="0" xfId="4495" applyFont="1" applyAlignment="1">
      <alignment horizontal="left"/>
    </xf>
    <xf numFmtId="0" fontId="14" fillId="0" borderId="0" xfId="4495" applyFont="1" applyAlignment="1">
      <alignment horizontal="center"/>
    </xf>
    <xf numFmtId="0" fontId="30" fillId="0" borderId="0" xfId="4495" applyFont="1"/>
    <xf numFmtId="0" fontId="22" fillId="0" borderId="8" xfId="4495" applyFont="1" applyBorder="1"/>
    <xf numFmtId="0" fontId="44" fillId="0" borderId="8" xfId="4495" applyFont="1" applyBorder="1"/>
    <xf numFmtId="1" fontId="14" fillId="0" borderId="0" xfId="1192" applyNumberFormat="1"/>
    <xf numFmtId="0" fontId="14" fillId="0" borderId="3" xfId="4495" applyFont="1" applyBorder="1"/>
    <xf numFmtId="0" fontId="14" fillId="0" borderId="4" xfId="4495" applyFont="1" applyBorder="1"/>
    <xf numFmtId="0" fontId="14" fillId="0" borderId="0" xfId="1192" applyAlignment="1">
      <alignment wrapText="1"/>
    </xf>
    <xf numFmtId="0" fontId="22" fillId="0" borderId="0" xfId="4495" applyFont="1" applyAlignment="1">
      <alignment vertical="top" wrapText="1"/>
    </xf>
    <xf numFmtId="0" fontId="22" fillId="0" borderId="0" xfId="1192" applyFont="1"/>
    <xf numFmtId="0" fontId="22" fillId="0" borderId="3" xfId="4495" applyFont="1" applyBorder="1"/>
    <xf numFmtId="0" fontId="14" fillId="0" borderId="4" xfId="4495" applyFont="1" applyBorder="1" applyAlignment="1">
      <alignment horizontal="right"/>
    </xf>
    <xf numFmtId="1" fontId="14" fillId="0" borderId="0" xfId="4495" applyNumberFormat="1" applyFont="1" applyAlignment="1">
      <alignment horizontal="center"/>
    </xf>
    <xf numFmtId="0" fontId="44" fillId="0" borderId="0" xfId="4495" applyFont="1"/>
    <xf numFmtId="0" fontId="14" fillId="0" borderId="0" xfId="4495" applyFont="1" applyAlignment="1">
      <alignment horizontal="right"/>
    </xf>
    <xf numFmtId="0" fontId="22" fillId="0" borderId="0" xfId="4495" applyFont="1" applyAlignment="1">
      <alignment vertical="top"/>
    </xf>
    <xf numFmtId="0" fontId="22" fillId="0" borderId="27" xfId="4495" applyFont="1" applyBorder="1"/>
    <xf numFmtId="0" fontId="21" fillId="0" borderId="0" xfId="4495" applyFont="1" applyAlignment="1">
      <alignment vertical="top"/>
    </xf>
    <xf numFmtId="0" fontId="32" fillId="0" borderId="0" xfId="4495" applyFont="1" applyAlignment="1">
      <alignment vertical="top" wrapText="1"/>
    </xf>
    <xf numFmtId="0" fontId="14" fillId="0" borderId="0" xfId="4495" applyFont="1" applyAlignment="1">
      <alignment horizontal="left" vertical="top"/>
    </xf>
    <xf numFmtId="0" fontId="32" fillId="0" borderId="0" xfId="4495" applyFont="1" applyAlignment="1">
      <alignment vertical="top"/>
    </xf>
    <xf numFmtId="0" fontId="14" fillId="0" borderId="10" xfId="4495" applyFont="1" applyBorder="1" applyAlignment="1">
      <alignment horizontal="center"/>
    </xf>
    <xf numFmtId="0" fontId="14" fillId="0" borderId="16" xfId="4495" applyFont="1" applyBorder="1" applyAlignment="1">
      <alignment horizontal="center"/>
    </xf>
    <xf numFmtId="0" fontId="30" fillId="0" borderId="16" xfId="4495" applyFont="1" applyBorder="1"/>
    <xf numFmtId="0" fontId="22" fillId="0" borderId="16" xfId="4495" applyFont="1" applyBorder="1"/>
    <xf numFmtId="0" fontId="14" fillId="0" borderId="0" xfId="4496" applyFont="1" applyAlignment="1">
      <alignment vertical="top" wrapText="1"/>
    </xf>
    <xf numFmtId="0" fontId="21" fillId="0" borderId="0" xfId="1192" applyFont="1" applyAlignment="1">
      <alignment horizontal="right"/>
    </xf>
    <xf numFmtId="0" fontId="14" fillId="0" borderId="0" xfId="4496" applyFont="1"/>
    <xf numFmtId="0" fontId="14" fillId="0" borderId="0" xfId="4496" applyFont="1" applyAlignment="1">
      <alignment horizontal="left"/>
    </xf>
    <xf numFmtId="0" fontId="14" fillId="0" borderId="0" xfId="4496" applyFont="1" applyAlignment="1">
      <alignment horizontal="right"/>
    </xf>
    <xf numFmtId="0" fontId="22" fillId="0" borderId="0" xfId="4496" applyFont="1" applyAlignment="1">
      <alignment vertical="top" wrapText="1"/>
    </xf>
    <xf numFmtId="0" fontId="14" fillId="0" borderId="4" xfId="4496" applyFont="1" applyBorder="1"/>
    <xf numFmtId="0" fontId="21" fillId="0" borderId="4" xfId="4496" applyFont="1" applyBorder="1" applyAlignment="1">
      <alignment horizontal="right"/>
    </xf>
    <xf numFmtId="0" fontId="22" fillId="0" borderId="27" xfId="4495" applyFont="1" applyBorder="1" applyAlignment="1">
      <alignment horizontal="left" vertical="top"/>
    </xf>
    <xf numFmtId="0" fontId="14" fillId="0" borderId="27" xfId="4495" applyFont="1" applyBorder="1" applyAlignment="1">
      <alignment horizontal="left" vertical="top"/>
    </xf>
    <xf numFmtId="0" fontId="21" fillId="0" borderId="27" xfId="4495" applyFont="1" applyBorder="1" applyAlignment="1">
      <alignment horizontal="right"/>
    </xf>
    <xf numFmtId="0" fontId="14" fillId="0" borderId="27" xfId="4495" applyFont="1" applyBorder="1" applyAlignment="1">
      <alignment horizontal="center"/>
    </xf>
    <xf numFmtId="0" fontId="14" fillId="0" borderId="46" xfId="4495" applyFont="1" applyBorder="1" applyAlignment="1">
      <alignment horizontal="center"/>
    </xf>
    <xf numFmtId="164" fontId="22" fillId="0" borderId="0" xfId="4495" applyNumberFormat="1" applyFont="1" applyAlignment="1">
      <alignment horizontal="left" vertical="top" wrapText="1"/>
    </xf>
    <xf numFmtId="0" fontId="25" fillId="0" borderId="0" xfId="4495" applyFont="1"/>
    <xf numFmtId="0" fontId="22" fillId="0" borderId="0" xfId="4495" applyFont="1" applyAlignment="1">
      <alignment horizontal="right"/>
    </xf>
    <xf numFmtId="0" fontId="14" fillId="0" borderId="27" xfId="543" applyBorder="1"/>
    <xf numFmtId="0" fontId="14" fillId="0" borderId="46" xfId="543" applyBorder="1"/>
    <xf numFmtId="1" fontId="108" fillId="0" borderId="0" xfId="4495" applyNumberFormat="1"/>
    <xf numFmtId="0" fontId="14" fillId="0" borderId="0" xfId="4495" applyFont="1" applyAlignment="1">
      <alignment vertical="top" wrapText="1"/>
    </xf>
    <xf numFmtId="0" fontId="14" fillId="0" borderId="50" xfId="4495" applyFont="1" applyBorder="1" applyAlignment="1">
      <alignment vertical="top"/>
    </xf>
    <xf numFmtId="0" fontId="14" fillId="0" borderId="51" xfId="4495" applyFont="1" applyBorder="1" applyAlignment="1">
      <alignment vertical="top"/>
    </xf>
    <xf numFmtId="0" fontId="14" fillId="0" borderId="52" xfId="4495" applyFont="1" applyBorder="1" applyAlignment="1">
      <alignment vertical="top"/>
    </xf>
    <xf numFmtId="1" fontId="22" fillId="0" borderId="8" xfId="4495" applyNumberFormat="1" applyFont="1" applyBorder="1"/>
    <xf numFmtId="0" fontId="14" fillId="0" borderId="0" xfId="543" applyAlignment="1">
      <alignment vertical="top"/>
    </xf>
    <xf numFmtId="0" fontId="22" fillId="0" borderId="51" xfId="4495" applyFont="1" applyBorder="1" applyAlignment="1">
      <alignment horizontal="left" vertical="top"/>
    </xf>
    <xf numFmtId="0" fontId="22" fillId="0" borderId="52" xfId="4495" applyFont="1" applyBorder="1" applyAlignment="1">
      <alignment horizontal="left" vertical="top"/>
    </xf>
    <xf numFmtId="0" fontId="14" fillId="0" borderId="53" xfId="4495" applyFont="1" applyBorder="1" applyAlignment="1">
      <alignment vertical="top"/>
    </xf>
    <xf numFmtId="0" fontId="14" fillId="0" borderId="54" xfId="4495" applyFont="1" applyBorder="1" applyAlignment="1">
      <alignment vertical="top" wrapText="1"/>
    </xf>
    <xf numFmtId="0" fontId="50" fillId="0" borderId="53" xfId="4495" applyFont="1" applyBorder="1"/>
    <xf numFmtId="0" fontId="22" fillId="0" borderId="54" xfId="4495" applyFont="1" applyBorder="1" applyAlignment="1">
      <alignment horizontal="left" vertical="top"/>
    </xf>
    <xf numFmtId="0" fontId="14" fillId="0" borderId="53" xfId="4495" applyFont="1" applyBorder="1" applyAlignment="1">
      <alignment vertical="center" wrapText="1"/>
    </xf>
    <xf numFmtId="0" fontId="50" fillId="0" borderId="57" xfId="4495" applyFont="1" applyBorder="1"/>
    <xf numFmtId="0" fontId="22" fillId="0" borderId="58" xfId="4495" applyFont="1" applyBorder="1" applyAlignment="1">
      <alignment horizontal="left" vertical="top"/>
    </xf>
    <xf numFmtId="0" fontId="22" fillId="0" borderId="12" xfId="4495" applyFont="1" applyBorder="1"/>
    <xf numFmtId="0" fontId="14" fillId="0" borderId="57" xfId="4495" applyFont="1" applyBorder="1" applyAlignment="1">
      <alignment vertical="center"/>
    </xf>
    <xf numFmtId="0" fontId="14" fillId="0" borderId="58" xfId="4495" applyFont="1" applyBorder="1" applyAlignment="1">
      <alignment vertical="top"/>
    </xf>
    <xf numFmtId="0" fontId="14" fillId="0" borderId="59" xfId="4495" applyFont="1" applyBorder="1" applyAlignment="1">
      <alignment vertical="top"/>
    </xf>
    <xf numFmtId="0" fontId="14" fillId="0" borderId="0" xfId="4495" applyFont="1" applyAlignment="1">
      <alignment vertical="top"/>
    </xf>
    <xf numFmtId="0" fontId="22" fillId="0" borderId="4" xfId="4495" applyFont="1" applyBorder="1" applyAlignment="1">
      <alignment horizontal="left" vertical="top"/>
    </xf>
    <xf numFmtId="0" fontId="14" fillId="0" borderId="4" xfId="4495" applyFont="1" applyBorder="1" applyAlignment="1">
      <alignment horizontal="left" vertical="top"/>
    </xf>
    <xf numFmtId="0" fontId="14" fillId="0" borderId="2" xfId="4495" applyFont="1" applyBorder="1"/>
    <xf numFmtId="0" fontId="22" fillId="0" borderId="2" xfId="4495" applyFont="1" applyBorder="1"/>
    <xf numFmtId="0" fontId="14" fillId="0" borderId="2" xfId="4495" applyFont="1" applyBorder="1" applyAlignment="1">
      <alignment horizontal="center"/>
    </xf>
    <xf numFmtId="0" fontId="22" fillId="0" borderId="7" xfId="4495" applyFont="1" applyBorder="1"/>
    <xf numFmtId="0" fontId="30" fillId="0" borderId="0" xfId="4495" applyFont="1" applyAlignment="1">
      <alignment horizontal="right"/>
    </xf>
    <xf numFmtId="0" fontId="114" fillId="0" borderId="0" xfId="4495" applyFont="1" applyAlignment="1">
      <alignment horizontal="left" vertical="top" wrapText="1"/>
    </xf>
    <xf numFmtId="0" fontId="30" fillId="0" borderId="0" xfId="4495" applyFont="1" applyAlignment="1">
      <alignment horizontal="left" vertical="top"/>
    </xf>
    <xf numFmtId="0" fontId="22" fillId="0" borderId="0" xfId="4495" quotePrefix="1" applyFont="1" applyAlignment="1">
      <alignment horizontal="right"/>
    </xf>
    <xf numFmtId="0" fontId="14" fillId="0" borderId="0" xfId="4497"/>
    <xf numFmtId="0" fontId="22" fillId="0" borderId="0" xfId="4495" applyFont="1" applyAlignment="1">
      <alignment horizontal="left" vertical="top" wrapText="1" shrinkToFit="1"/>
    </xf>
    <xf numFmtId="0" fontId="108" fillId="0" borderId="0" xfId="4495" applyAlignment="1">
      <alignment vertical="top" wrapText="1"/>
    </xf>
    <xf numFmtId="0" fontId="22" fillId="0" borderId="4" xfId="4495" applyFont="1" applyBorder="1" applyAlignment="1">
      <alignment horizontal="left" vertical="top" wrapText="1" shrinkToFit="1"/>
    </xf>
    <xf numFmtId="0" fontId="30" fillId="0" borderId="8" xfId="4495" applyFont="1" applyBorder="1"/>
    <xf numFmtId="0" fontId="22" fillId="0" borderId="0" xfId="4495" quotePrefix="1" applyFont="1"/>
    <xf numFmtId="0" fontId="22" fillId="0" borderId="0" xfId="4495" applyFont="1" applyAlignment="1">
      <alignment horizontal="left" vertical="top" shrinkToFit="1"/>
    </xf>
    <xf numFmtId="0" fontId="39" fillId="0" borderId="0" xfId="4495" applyFont="1"/>
    <xf numFmtId="0" fontId="22" fillId="0" borderId="3" xfId="4495" applyFont="1" applyBorder="1" applyAlignment="1">
      <alignment horizontal="center"/>
    </xf>
    <xf numFmtId="0" fontId="108" fillId="0" borderId="8" xfId="4495" applyBorder="1"/>
    <xf numFmtId="0" fontId="21" fillId="0" borderId="8" xfId="4495" applyFont="1" applyBorder="1" applyAlignment="1">
      <alignment vertical="top"/>
    </xf>
    <xf numFmtId="0" fontId="108" fillId="0" borderId="0" xfId="4495" applyAlignment="1">
      <alignment vertical="top"/>
    </xf>
    <xf numFmtId="0" fontId="21" fillId="0" borderId="4" xfId="4495" applyFont="1" applyBorder="1" applyAlignment="1">
      <alignment horizontal="center" vertical="top"/>
    </xf>
    <xf numFmtId="0" fontId="114" fillId="0" borderId="0" xfId="4495" applyFont="1" applyAlignment="1">
      <alignment horizontal="left" vertical="top"/>
    </xf>
    <xf numFmtId="0" fontId="114" fillId="0" borderId="4" xfId="4495" applyFont="1" applyBorder="1" applyAlignment="1">
      <alignment horizontal="left" vertical="top"/>
    </xf>
    <xf numFmtId="168" fontId="14" fillId="0" borderId="0" xfId="4497" applyNumberFormat="1"/>
    <xf numFmtId="1" fontId="22" fillId="0" borderId="0" xfId="4495" applyNumberFormat="1" applyFont="1" applyAlignment="1">
      <alignment horizontal="center" vertical="top"/>
    </xf>
    <xf numFmtId="0" fontId="118" fillId="0" borderId="0" xfId="4495" applyFont="1" applyAlignment="1">
      <alignment vertical="top" wrapText="1"/>
    </xf>
    <xf numFmtId="0" fontId="22" fillId="0" borderId="6" xfId="4495" applyFont="1" applyBorder="1"/>
    <xf numFmtId="1" fontId="22" fillId="0" borderId="8" xfId="4495" applyNumberFormat="1" applyFont="1" applyBorder="1" applyAlignment="1">
      <alignment horizontal="center" vertical="top"/>
    </xf>
    <xf numFmtId="0" fontId="108" fillId="0" borderId="12" xfId="4495" applyBorder="1"/>
    <xf numFmtId="0" fontId="22" fillId="0" borderId="9" xfId="4495" applyFont="1" applyBorder="1"/>
    <xf numFmtId="0" fontId="108" fillId="0" borderId="10" xfId="4495" applyBorder="1"/>
    <xf numFmtId="0" fontId="30" fillId="0" borderId="3" xfId="4495" applyFont="1" applyBorder="1"/>
    <xf numFmtId="0" fontId="21" fillId="0" borderId="4" xfId="4495" applyFont="1" applyBorder="1"/>
    <xf numFmtId="0" fontId="108" fillId="0" borderId="12" xfId="4495" applyBorder="1" applyAlignment="1">
      <alignment vertical="top"/>
    </xf>
    <xf numFmtId="0" fontId="30" fillId="0" borderId="1" xfId="4495" applyFont="1" applyBorder="1"/>
    <xf numFmtId="0" fontId="118" fillId="0" borderId="2" xfId="4495" applyFont="1" applyBorder="1" applyAlignment="1">
      <alignment horizontal="left" wrapText="1"/>
    </xf>
    <xf numFmtId="0" fontId="118" fillId="0" borderId="2" xfId="4495" applyFont="1" applyBorder="1" applyAlignment="1">
      <alignment horizontal="left"/>
    </xf>
    <xf numFmtId="0" fontId="118" fillId="0" borderId="7" xfId="4495" applyFont="1" applyBorder="1" applyAlignment="1">
      <alignment horizontal="left" wrapText="1"/>
    </xf>
    <xf numFmtId="0" fontId="118" fillId="0" borderId="0" xfId="4495" applyFont="1" applyAlignment="1">
      <alignment horizontal="left" wrapText="1"/>
    </xf>
    <xf numFmtId="0" fontId="30" fillId="0" borderId="9" xfId="4495" applyFont="1" applyBorder="1"/>
    <xf numFmtId="0" fontId="22" fillId="0" borderId="10" xfId="4495" applyFont="1" applyBorder="1"/>
    <xf numFmtId="0" fontId="118" fillId="0" borderId="0" xfId="4495" applyFont="1" applyAlignment="1">
      <alignment wrapText="1"/>
    </xf>
    <xf numFmtId="0" fontId="30" fillId="0" borderId="9" xfId="4495" applyFont="1" applyBorder="1" applyAlignment="1">
      <alignment horizontal="center"/>
    </xf>
    <xf numFmtId="0" fontId="21" fillId="0" borderId="10" xfId="4495" applyFont="1" applyBorder="1"/>
    <xf numFmtId="0" fontId="32" fillId="0" borderId="0" xfId="4495" applyFont="1"/>
    <xf numFmtId="0" fontId="22" fillId="0" borderId="50" xfId="4495" applyFont="1" applyBorder="1"/>
    <xf numFmtId="0" fontId="22" fillId="0" borderId="51" xfId="4495" applyFont="1" applyBorder="1"/>
    <xf numFmtId="1" fontId="22" fillId="0" borderId="51" xfId="4495" quotePrefix="1" applyNumberFormat="1" applyFont="1" applyBorder="1" applyAlignment="1">
      <alignment horizontal="center" vertical="top"/>
    </xf>
    <xf numFmtId="0" fontId="21" fillId="0" borderId="51" xfId="4495" applyFont="1" applyBorder="1"/>
    <xf numFmtId="0" fontId="21" fillId="0" borderId="52" xfId="4495" applyFont="1" applyBorder="1" applyAlignment="1">
      <alignment horizontal="center"/>
    </xf>
    <xf numFmtId="0" fontId="14" fillId="0" borderId="53" xfId="4495" applyFont="1" applyBorder="1"/>
    <xf numFmtId="1" fontId="22" fillId="0" borderId="0" xfId="4495" quotePrefix="1" applyNumberFormat="1" applyFont="1" applyAlignment="1">
      <alignment horizontal="center" vertical="top"/>
    </xf>
    <xf numFmtId="0" fontId="30" fillId="0" borderId="0" xfId="4495" applyFont="1" applyAlignment="1">
      <alignment vertical="top"/>
    </xf>
    <xf numFmtId="0" fontId="22" fillId="0" borderId="61" xfId="4495" applyFont="1" applyBorder="1"/>
    <xf numFmtId="0" fontId="108" fillId="0" borderId="58" xfId="4495" applyBorder="1" applyAlignment="1">
      <alignment horizontal="center"/>
    </xf>
    <xf numFmtId="1" fontId="22" fillId="0" borderId="58" xfId="4495" quotePrefix="1" applyNumberFormat="1" applyFont="1" applyBorder="1" applyAlignment="1">
      <alignment horizontal="center" vertical="top"/>
    </xf>
    <xf numFmtId="0" fontId="30" fillId="0" borderId="58" xfId="4495" applyFont="1" applyBorder="1" applyAlignment="1">
      <alignment vertical="top"/>
    </xf>
    <xf numFmtId="0" fontId="22" fillId="0" borderId="58" xfId="4495" applyFont="1" applyBorder="1" applyAlignment="1">
      <alignment vertical="top" wrapText="1"/>
    </xf>
    <xf numFmtId="0" fontId="22" fillId="0" borderId="58" xfId="4495" applyFont="1" applyBorder="1"/>
    <xf numFmtId="0" fontId="21" fillId="0" borderId="58" xfId="4495" applyFont="1" applyBorder="1" applyAlignment="1">
      <alignment horizontal="center"/>
    </xf>
    <xf numFmtId="0" fontId="108" fillId="0" borderId="61" xfId="4495" applyBorder="1"/>
    <xf numFmtId="0" fontId="14" fillId="0" borderId="53" xfId="543" applyBorder="1"/>
    <xf numFmtId="0" fontId="22" fillId="0" borderId="54" xfId="4495" applyFont="1" applyBorder="1"/>
    <xf numFmtId="0" fontId="14" fillId="0" borderId="58" xfId="543" applyBorder="1"/>
    <xf numFmtId="1" fontId="22" fillId="0" borderId="58" xfId="4495" applyNumberFormat="1" applyFont="1" applyBorder="1" applyAlignment="1">
      <alignment horizontal="center" vertical="top"/>
    </xf>
    <xf numFmtId="0" fontId="30" fillId="0" borderId="58" xfId="4495" applyFont="1" applyBorder="1" applyAlignment="1">
      <alignment vertical="center"/>
    </xf>
    <xf numFmtId="0" fontId="108" fillId="0" borderId="58" xfId="4495" applyBorder="1" applyAlignment="1">
      <alignment vertical="top" wrapText="1"/>
    </xf>
    <xf numFmtId="0" fontId="14" fillId="0" borderId="58" xfId="4495" applyFont="1" applyBorder="1"/>
    <xf numFmtId="0" fontId="30" fillId="0" borderId="0" xfId="4495" applyFont="1" applyAlignment="1">
      <alignment vertical="center"/>
    </xf>
    <xf numFmtId="0" fontId="22" fillId="0" borderId="53" xfId="4495" applyFont="1" applyBorder="1"/>
    <xf numFmtId="0" fontId="14" fillId="0" borderId="57" xfId="543" applyBorder="1"/>
    <xf numFmtId="0" fontId="22" fillId="0" borderId="58" xfId="4495" applyFont="1" applyBorder="1" applyAlignment="1">
      <alignment vertical="top"/>
    </xf>
    <xf numFmtId="0" fontId="22" fillId="0" borderId="59" xfId="4495" applyFont="1" applyBorder="1"/>
    <xf numFmtId="0" fontId="22" fillId="0" borderId="57" xfId="4495" applyFont="1" applyBorder="1"/>
    <xf numFmtId="0" fontId="14" fillId="0" borderId="51" xfId="4495" applyFont="1" applyBorder="1"/>
    <xf numFmtId="0" fontId="22" fillId="0" borderId="52" xfId="4495" applyFont="1" applyBorder="1"/>
    <xf numFmtId="0" fontId="14" fillId="0" borderId="50" xfId="543" applyBorder="1"/>
    <xf numFmtId="0" fontId="14" fillId="0" borderId="51" xfId="543" applyBorder="1"/>
    <xf numFmtId="0" fontId="14" fillId="0" borderId="52" xfId="543" applyBorder="1"/>
    <xf numFmtId="0" fontId="22" fillId="0" borderId="0" xfId="4495" applyFont="1" applyAlignment="1">
      <alignment wrapText="1"/>
    </xf>
    <xf numFmtId="2" fontId="22" fillId="0" borderId="0" xfId="4495" applyNumberFormat="1" applyFont="1" applyAlignment="1">
      <alignment horizontal="right"/>
    </xf>
    <xf numFmtId="2" fontId="22" fillId="0" borderId="8" xfId="4495" applyNumberFormat="1" applyFont="1" applyBorder="1" applyAlignment="1">
      <alignment horizontal="left"/>
    </xf>
    <xf numFmtId="0" fontId="22" fillId="0" borderId="8" xfId="4495" applyFont="1" applyBorder="1" applyAlignment="1">
      <alignment horizontal="right"/>
    </xf>
    <xf numFmtId="0" fontId="117" fillId="0" borderId="0" xfId="4495" applyFont="1"/>
    <xf numFmtId="0" fontId="108" fillId="0" borderId="57" xfId="4495" applyBorder="1" applyAlignment="1">
      <alignment horizontal="center"/>
    </xf>
    <xf numFmtId="0" fontId="21" fillId="0" borderId="59" xfId="4495" applyFont="1" applyBorder="1" applyAlignment="1">
      <alignment horizontal="center"/>
    </xf>
    <xf numFmtId="9" fontId="22" fillId="0" borderId="0" xfId="4495" applyNumberFormat="1" applyFont="1" applyAlignment="1">
      <alignment horizontal="left"/>
    </xf>
    <xf numFmtId="0" fontId="14" fillId="0" borderId="17" xfId="543" applyBorder="1"/>
    <xf numFmtId="0" fontId="14" fillId="0" borderId="16" xfId="543" applyBorder="1"/>
    <xf numFmtId="0" fontId="14" fillId="0" borderId="51" xfId="4495" quotePrefix="1" applyFont="1" applyBorder="1" applyAlignment="1">
      <alignment horizontal="center" vertical="top"/>
    </xf>
    <xf numFmtId="0" fontId="22" fillId="0" borderId="53" xfId="4495" applyFont="1" applyBorder="1" applyAlignment="1">
      <alignment horizontal="left" vertical="top"/>
    </xf>
    <xf numFmtId="0" fontId="22" fillId="0" borderId="0" xfId="4495" applyFont="1" applyAlignment="1">
      <alignment horizontal="center" vertical="top"/>
    </xf>
    <xf numFmtId="0" fontId="22" fillId="0" borderId="57" xfId="4495" applyFont="1" applyBorder="1" applyAlignment="1">
      <alignment horizontal="left" vertical="top"/>
    </xf>
    <xf numFmtId="0" fontId="22" fillId="0" borderId="58" xfId="4495" applyFont="1" applyBorder="1" applyAlignment="1">
      <alignment horizontal="center" vertical="top"/>
    </xf>
    <xf numFmtId="0" fontId="108" fillId="0" borderId="58" xfId="4495" applyBorder="1"/>
    <xf numFmtId="0" fontId="21" fillId="0" borderId="58" xfId="4495" applyFont="1" applyBorder="1" applyAlignment="1">
      <alignment vertical="top"/>
    </xf>
    <xf numFmtId="0" fontId="21" fillId="0" borderId="58" xfId="4495" applyFont="1" applyBorder="1" applyAlignment="1">
      <alignment horizontal="left" vertical="top"/>
    </xf>
    <xf numFmtId="0" fontId="21" fillId="0" borderId="51" xfId="4495" applyFont="1" applyBorder="1" applyAlignment="1">
      <alignment horizontal="left" vertical="top"/>
    </xf>
    <xf numFmtId="0" fontId="21" fillId="0" borderId="53" xfId="4495" applyFont="1" applyBorder="1" applyAlignment="1">
      <alignment horizontal="left" vertical="top"/>
    </xf>
    <xf numFmtId="0" fontId="44" fillId="0" borderId="0" xfId="4495" applyFont="1" applyAlignment="1">
      <alignment horizontal="left" vertical="top"/>
    </xf>
    <xf numFmtId="0" fontId="22" fillId="0" borderId="0" xfId="4495" quotePrefix="1" applyFont="1" applyAlignment="1">
      <alignment horizontal="center" vertical="top"/>
    </xf>
    <xf numFmtId="0" fontId="45" fillId="0" borderId="0" xfId="4495" applyFont="1" applyAlignment="1">
      <alignment horizontal="center"/>
    </xf>
    <xf numFmtId="0" fontId="45" fillId="0" borderId="0" xfId="4495" applyFont="1" applyAlignment="1">
      <alignment vertical="top"/>
    </xf>
    <xf numFmtId="0" fontId="95" fillId="0" borderId="0" xfId="4495" applyFont="1"/>
    <xf numFmtId="0" fontId="44" fillId="0" borderId="0" xfId="4495" applyFont="1" applyAlignment="1">
      <alignment vertical="top"/>
    </xf>
    <xf numFmtId="0" fontId="30" fillId="0" borderId="53" xfId="4495" applyFont="1" applyBorder="1"/>
    <xf numFmtId="2" fontId="22" fillId="0" borderId="8" xfId="4495" applyNumberFormat="1" applyFont="1" applyBorder="1" applyAlignment="1">
      <alignment horizontal="right"/>
    </xf>
    <xf numFmtId="0" fontId="21" fillId="0" borderId="50" xfId="4495" applyFont="1" applyBorder="1" applyAlignment="1">
      <alignment horizontal="left" vertical="top"/>
    </xf>
    <xf numFmtId="0" fontId="44" fillId="0" borderId="51" xfId="4495" applyFont="1" applyBorder="1" applyAlignment="1">
      <alignment horizontal="left" vertical="top"/>
    </xf>
    <xf numFmtId="0" fontId="108" fillId="0" borderId="53" xfId="4495" applyBorder="1"/>
    <xf numFmtId="0" fontId="95" fillId="0" borderId="0" xfId="4495" applyFont="1" applyAlignment="1">
      <alignment horizontal="left" vertical="top"/>
    </xf>
    <xf numFmtId="1" fontId="21" fillId="0" borderId="58" xfId="4495" applyNumberFormat="1" applyFont="1" applyBorder="1" applyAlignment="1">
      <alignment vertical="top"/>
    </xf>
    <xf numFmtId="172" fontId="21" fillId="0" borderId="8" xfId="543" applyNumberFormat="1" applyFont="1" applyBorder="1"/>
    <xf numFmtId="172" fontId="21" fillId="0" borderId="0" xfId="543" applyNumberFormat="1" applyFont="1"/>
    <xf numFmtId="0" fontId="30" fillId="0" borderId="0" xfId="4495" applyFont="1" applyAlignment="1">
      <alignment wrapText="1"/>
    </xf>
    <xf numFmtId="0" fontId="30" fillId="0" borderId="0" xfId="4495" applyFont="1" applyAlignment="1">
      <alignment horizontal="center"/>
    </xf>
    <xf numFmtId="0" fontId="30" fillId="0" borderId="0" xfId="4495" applyFont="1" applyAlignment="1">
      <alignment vertical="center" wrapText="1"/>
    </xf>
    <xf numFmtId="180" fontId="22" fillId="0" borderId="0" xfId="4495" applyNumberFormat="1" applyFont="1" applyAlignment="1">
      <alignment horizontal="center"/>
    </xf>
    <xf numFmtId="1" fontId="22" fillId="0" borderId="0" xfId="4495" applyNumberFormat="1" applyFont="1" applyAlignment="1">
      <alignment horizontal="center"/>
    </xf>
    <xf numFmtId="0" fontId="21" fillId="0" borderId="51" xfId="4495" applyFont="1" applyBorder="1" applyAlignment="1">
      <alignment horizontal="center"/>
    </xf>
    <xf numFmtId="0" fontId="21" fillId="0" borderId="51" xfId="4495" applyFont="1" applyBorder="1" applyAlignment="1">
      <alignment vertical="top"/>
    </xf>
    <xf numFmtId="0" fontId="21" fillId="0" borderId="53" xfId="4495" applyFont="1" applyBorder="1"/>
    <xf numFmtId="0" fontId="14" fillId="0" borderId="54" xfId="543" applyBorder="1"/>
    <xf numFmtId="49" fontId="22" fillId="0" borderId="0" xfId="4495" applyNumberFormat="1" applyFont="1" applyAlignment="1">
      <alignment horizontal="left" vertical="center" wrapText="1"/>
    </xf>
    <xf numFmtId="0" fontId="14" fillId="0" borderId="57" xfId="4495" applyFont="1" applyBorder="1"/>
    <xf numFmtId="1" fontId="14" fillId="0" borderId="0" xfId="4495" applyNumberFormat="1" applyFont="1" applyAlignment="1">
      <alignment vertical="center"/>
    </xf>
    <xf numFmtId="0" fontId="32" fillId="0" borderId="50" xfId="4495" applyFont="1" applyBorder="1"/>
    <xf numFmtId="0" fontId="22" fillId="0" borderId="51" xfId="4495" applyFont="1" applyBorder="1" applyAlignment="1">
      <alignment horizontal="center" vertical="top"/>
    </xf>
    <xf numFmtId="0" fontId="22" fillId="0" borderId="51" xfId="4495" applyFont="1" applyBorder="1" applyAlignment="1">
      <alignment vertical="top" wrapText="1"/>
    </xf>
    <xf numFmtId="0" fontId="14" fillId="0" borderId="0" xfId="4495" quotePrefix="1" applyFont="1" applyAlignment="1">
      <alignment horizontal="center" vertical="top"/>
    </xf>
    <xf numFmtId="1" fontId="22" fillId="0" borderId="0" xfId="4495" quotePrefix="1" applyNumberFormat="1" applyFont="1" applyAlignment="1">
      <alignment wrapText="1"/>
    </xf>
    <xf numFmtId="0" fontId="22" fillId="0" borderId="6" xfId="4495" applyFont="1" applyBorder="1" applyAlignment="1">
      <alignment horizontal="right"/>
    </xf>
    <xf numFmtId="0" fontId="110" fillId="0" borderId="0" xfId="4496" applyFont="1" applyAlignment="1">
      <alignment wrapText="1"/>
    </xf>
    <xf numFmtId="0" fontId="14" fillId="0" borderId="0" xfId="4496" applyFont="1" applyAlignment="1">
      <alignment wrapText="1"/>
    </xf>
    <xf numFmtId="0" fontId="30" fillId="0" borderId="51" xfId="4495" applyFont="1" applyBorder="1" applyAlignment="1">
      <alignment vertical="top"/>
    </xf>
    <xf numFmtId="0" fontId="14" fillId="0" borderId="51" xfId="4496" applyFont="1" applyBorder="1" applyAlignment="1">
      <alignment wrapText="1"/>
    </xf>
    <xf numFmtId="0" fontId="21" fillId="0" borderId="51" xfId="4495" applyFont="1" applyBorder="1" applyAlignment="1">
      <alignment horizontal="right"/>
    </xf>
    <xf numFmtId="0" fontId="14" fillId="0" borderId="52" xfId="4495" applyFont="1" applyBorder="1" applyAlignment="1">
      <alignment horizontal="center"/>
    </xf>
    <xf numFmtId="0" fontId="14" fillId="0" borderId="53" xfId="4495" applyFont="1" applyBorder="1" applyAlignment="1">
      <alignment horizontal="left" vertical="top"/>
    </xf>
    <xf numFmtId="0" fontId="14" fillId="0" borderId="54" xfId="4495" applyFont="1" applyBorder="1" applyAlignment="1">
      <alignment horizontal="left" vertical="top"/>
    </xf>
    <xf numFmtId="0" fontId="14" fillId="0" borderId="54" xfId="4495" applyFont="1" applyBorder="1" applyAlignment="1">
      <alignment horizontal="center"/>
    </xf>
    <xf numFmtId="0" fontId="14" fillId="0" borderId="59" xfId="4495" applyFont="1" applyBorder="1" applyAlignment="1">
      <alignment horizontal="center"/>
    </xf>
    <xf numFmtId="9" fontId="14" fillId="0" borderId="0" xfId="4496" applyNumberFormat="1" applyFont="1" applyAlignment="1">
      <alignment horizontal="center"/>
    </xf>
    <xf numFmtId="1" fontId="14" fillId="0" borderId="0" xfId="543" applyNumberFormat="1"/>
    <xf numFmtId="0" fontId="22" fillId="0" borderId="1" xfId="4495" applyFont="1" applyBorder="1"/>
    <xf numFmtId="0" fontId="21" fillId="0" borderId="0" xfId="4495" applyFont="1" applyAlignment="1">
      <alignment horizontal="center" wrapText="1"/>
    </xf>
    <xf numFmtId="0" fontId="21" fillId="0" borderId="9" xfId="4495" applyFont="1" applyBorder="1" applyAlignment="1">
      <alignment horizontal="left"/>
    </xf>
    <xf numFmtId="0" fontId="14" fillId="0" borderId="2" xfId="4495" applyFont="1" applyBorder="1" applyAlignment="1">
      <alignment horizontal="left"/>
    </xf>
    <xf numFmtId="0" fontId="21" fillId="0" borderId="2" xfId="4495" applyFont="1" applyBorder="1" applyAlignment="1">
      <alignment horizontal="left"/>
    </xf>
    <xf numFmtId="180" fontId="53" fillId="0" borderId="0" xfId="4495" applyNumberFormat="1" applyFont="1" applyAlignment="1">
      <alignment horizontal="center" vertical="center"/>
    </xf>
    <xf numFmtId="0" fontId="14" fillId="0" borderId="12" xfId="4495" applyFont="1" applyBorder="1" applyAlignment="1">
      <alignment vertical="top"/>
    </xf>
    <xf numFmtId="0" fontId="39" fillId="0" borderId="0" xfId="4495" applyFont="1" applyAlignment="1">
      <alignment vertical="top" wrapText="1"/>
    </xf>
    <xf numFmtId="0" fontId="14" fillId="0" borderId="51" xfId="4495" applyFont="1" applyBorder="1" applyAlignment="1">
      <alignment horizontal="right"/>
    </xf>
    <xf numFmtId="0" fontId="14" fillId="0" borderId="52" xfId="4495" applyFont="1" applyBorder="1" applyAlignment="1">
      <alignment horizontal="right"/>
    </xf>
    <xf numFmtId="0" fontId="14" fillId="0" borderId="54" xfId="4495" applyFont="1" applyBorder="1" applyAlignment="1">
      <alignment horizontal="right"/>
    </xf>
    <xf numFmtId="0" fontId="14" fillId="0" borderId="58" xfId="4495" applyFont="1" applyBorder="1" applyAlignment="1">
      <alignment horizontal="right"/>
    </xf>
    <xf numFmtId="0" fontId="14" fillId="0" borderId="59" xfId="4495" applyFont="1" applyBorder="1" applyAlignment="1">
      <alignment horizontal="right"/>
    </xf>
    <xf numFmtId="0" fontId="39" fillId="0" borderId="0" xfId="4495" applyFont="1" applyAlignment="1">
      <alignment horizontal="left" vertical="top" wrapText="1"/>
    </xf>
    <xf numFmtId="0" fontId="14" fillId="0" borderId="0" xfId="1192" applyAlignment="1">
      <alignment horizontal="left" vertical="top"/>
    </xf>
    <xf numFmtId="0" fontId="32" fillId="0" borderId="0" xfId="1192" applyFont="1" applyAlignment="1">
      <alignment horizontal="left" vertical="top"/>
    </xf>
    <xf numFmtId="0" fontId="14" fillId="0" borderId="0" xfId="1192" applyAlignment="1">
      <alignment vertical="top"/>
    </xf>
    <xf numFmtId="168" fontId="14" fillId="0" borderId="0" xfId="1192" applyNumberFormat="1"/>
    <xf numFmtId="165" fontId="14" fillId="0" borderId="0" xfId="1192" applyNumberFormat="1"/>
    <xf numFmtId="2" fontId="14" fillId="0" borderId="0" xfId="1192" applyNumberFormat="1"/>
    <xf numFmtId="6" fontId="14" fillId="0" borderId="0" xfId="1192" applyNumberFormat="1"/>
    <xf numFmtId="0" fontId="21" fillId="0" borderId="0" xfId="1192" applyFont="1"/>
    <xf numFmtId="0" fontId="39" fillId="0" borderId="0" xfId="1192" applyFont="1"/>
    <xf numFmtId="168" fontId="14" fillId="0" borderId="0" xfId="4495" applyNumberFormat="1" applyFont="1"/>
    <xf numFmtId="0" fontId="21" fillId="0" borderId="0" xfId="1192" applyFont="1" applyAlignment="1">
      <alignment vertical="center"/>
    </xf>
    <xf numFmtId="0" fontId="106" fillId="0" borderId="0" xfId="1192" applyFont="1" applyAlignment="1">
      <alignment horizontal="left"/>
    </xf>
    <xf numFmtId="0" fontId="103" fillId="0" borderId="0" xfId="1192" applyFont="1" applyAlignment="1">
      <alignment horizontal="left"/>
    </xf>
    <xf numFmtId="0" fontId="103" fillId="0" borderId="0" xfId="1192" applyFont="1" applyAlignment="1">
      <alignment horizontal="center"/>
    </xf>
    <xf numFmtId="168" fontId="14" fillId="0" borderId="0" xfId="1192" applyNumberFormat="1" applyAlignment="1">
      <alignment horizontal="center"/>
    </xf>
    <xf numFmtId="9" fontId="14" fillId="0" borderId="0" xfId="1192" applyNumberFormat="1"/>
    <xf numFmtId="0" fontId="14" fillId="0" borderId="53" xfId="4495" applyFont="1" applyBorder="1" applyAlignment="1">
      <alignment horizontal="left"/>
    </xf>
    <xf numFmtId="6" fontId="21" fillId="0" borderId="0" xfId="1192" applyNumberFormat="1" applyFont="1" applyAlignment="1">
      <alignment horizontal="right"/>
    </xf>
    <xf numFmtId="165" fontId="14" fillId="0" borderId="0" xfId="4495" applyNumberFormat="1" applyFont="1"/>
    <xf numFmtId="0" fontId="45" fillId="0" borderId="4" xfId="4495" applyFont="1" applyBorder="1"/>
    <xf numFmtId="1" fontId="21" fillId="0" borderId="13" xfId="271" applyNumberFormat="1" applyFont="1" applyBorder="1"/>
    <xf numFmtId="1" fontId="23" fillId="0" borderId="13" xfId="271" applyNumberFormat="1" applyBorder="1"/>
    <xf numFmtId="0" fontId="14" fillId="0" borderId="11" xfId="0" applyFont="1" applyBorder="1"/>
    <xf numFmtId="9" fontId="14" fillId="0" borderId="0" xfId="4495" applyNumberFormat="1" applyFont="1"/>
    <xf numFmtId="165" fontId="110" fillId="0" borderId="0" xfId="4496" applyNumberFormat="1" applyFont="1" applyAlignment="1">
      <alignment horizontal="center" vertical="top" wrapText="1"/>
    </xf>
    <xf numFmtId="168" fontId="110" fillId="0" borderId="0" xfId="4496" applyNumberFormat="1" applyFont="1" applyAlignment="1">
      <alignment vertical="top" wrapText="1"/>
    </xf>
    <xf numFmtId="165" fontId="110" fillId="0" borderId="64" xfId="4496" applyNumberFormat="1" applyFont="1" applyBorder="1" applyAlignment="1">
      <alignment horizontal="center" vertical="top" wrapText="1"/>
    </xf>
    <xf numFmtId="165" fontId="110" fillId="0" borderId="53" xfId="4496" applyNumberFormat="1" applyFont="1" applyBorder="1" applyAlignment="1">
      <alignment horizontal="left" vertical="top"/>
    </xf>
    <xf numFmtId="165" fontId="110" fillId="0" borderId="53" xfId="4496" applyNumberFormat="1" applyFont="1" applyBorder="1" applyAlignment="1">
      <alignment horizontal="center" vertical="top" wrapText="1"/>
    </xf>
    <xf numFmtId="168" fontId="110" fillId="0" borderId="0" xfId="4496" applyNumberFormat="1" applyFont="1" applyAlignment="1">
      <alignment vertical="top"/>
    </xf>
    <xf numFmtId="1" fontId="110" fillId="0" borderId="0" xfId="4496" applyNumberFormat="1" applyFont="1" applyAlignment="1">
      <alignment vertical="top" wrapText="1"/>
    </xf>
    <xf numFmtId="164" fontId="22" fillId="0" borderId="0" xfId="4495" applyNumberFormat="1" applyFont="1"/>
    <xf numFmtId="0" fontId="129" fillId="0" borderId="50" xfId="1192" applyFont="1" applyBorder="1" applyAlignment="1">
      <alignment horizontal="left"/>
    </xf>
    <xf numFmtId="0" fontId="130" fillId="0" borderId="51" xfId="4495" applyFont="1" applyBorder="1" applyAlignment="1">
      <alignment vertical="top"/>
    </xf>
    <xf numFmtId="0" fontId="129" fillId="0" borderId="51" xfId="4495" applyFont="1" applyBorder="1" applyAlignment="1">
      <alignment vertical="top" wrapText="1"/>
    </xf>
    <xf numFmtId="0" fontId="130" fillId="0" borderId="51" xfId="4495" applyFont="1" applyBorder="1"/>
    <xf numFmtId="0" fontId="130" fillId="0" borderId="53" xfId="1192" applyFont="1" applyBorder="1" applyAlignment="1">
      <alignment horizontal="left"/>
    </xf>
    <xf numFmtId="0" fontId="130" fillId="0" borderId="0" xfId="4495" applyFont="1" applyAlignment="1">
      <alignment vertical="top"/>
    </xf>
    <xf numFmtId="0" fontId="129" fillId="0" borderId="0" xfId="4495" applyFont="1" applyAlignment="1">
      <alignment vertical="top" wrapText="1"/>
    </xf>
    <xf numFmtId="0" fontId="130" fillId="0" borderId="0" xfId="4495" applyFont="1"/>
    <xf numFmtId="0" fontId="129" fillId="0" borderId="53" xfId="1192" applyFont="1" applyBorder="1" applyAlignment="1">
      <alignment horizontal="left"/>
    </xf>
    <xf numFmtId="0" fontId="129" fillId="0" borderId="57" xfId="1192" applyFont="1" applyBorder="1" applyAlignment="1">
      <alignment horizontal="left"/>
    </xf>
    <xf numFmtId="0" fontId="130" fillId="0" borderId="58" xfId="4495" applyFont="1" applyBorder="1" applyAlignment="1">
      <alignment vertical="top"/>
    </xf>
    <xf numFmtId="0" fontId="129" fillId="0" borderId="58" xfId="4495" applyFont="1" applyBorder="1" applyAlignment="1">
      <alignment vertical="top" wrapText="1"/>
    </xf>
    <xf numFmtId="0" fontId="130" fillId="0" borderId="58" xfId="4495" applyFont="1" applyBorder="1"/>
    <xf numFmtId="0" fontId="0" fillId="0" borderId="0" xfId="0" applyAlignment="1" applyProtection="1">
      <alignment horizontal="left" vertical="top" wrapText="1"/>
      <protection locked="0"/>
    </xf>
    <xf numFmtId="2" fontId="14" fillId="0" borderId="0" xfId="0" applyNumberFormat="1" applyFont="1"/>
    <xf numFmtId="0" fontId="14" fillId="0" borderId="9" xfId="0" applyFont="1" applyBorder="1" applyAlignment="1">
      <alignment horizontal="left"/>
    </xf>
    <xf numFmtId="0" fontId="14" fillId="0" borderId="6" xfId="0" applyFont="1" applyBorder="1"/>
    <xf numFmtId="0" fontId="14" fillId="0" borderId="9" xfId="0" applyFont="1" applyBorder="1"/>
    <xf numFmtId="0" fontId="20" fillId="0" borderId="0" xfId="0" applyFont="1" applyAlignment="1">
      <alignment horizontal="center" vertical="center" wrapText="1"/>
    </xf>
    <xf numFmtId="0" fontId="21" fillId="0" borderId="3" xfId="0" applyFont="1" applyBorder="1"/>
    <xf numFmtId="0" fontId="21" fillId="0" borderId="4" xfId="271" applyFont="1" applyBorder="1"/>
    <xf numFmtId="0" fontId="21" fillId="0" borderId="3" xfId="271" applyFont="1" applyBorder="1"/>
    <xf numFmtId="0" fontId="21" fillId="0" borderId="5" xfId="271" applyFont="1" applyBorder="1"/>
    <xf numFmtId="0" fontId="21" fillId="0" borderId="5" xfId="0" applyFont="1" applyBorder="1"/>
    <xf numFmtId="168" fontId="19" fillId="43" borderId="0" xfId="0" applyNumberFormat="1" applyFont="1" applyFill="1"/>
    <xf numFmtId="9" fontId="22" fillId="0" borderId="0" xfId="543" applyNumberFormat="1" applyFont="1" applyAlignment="1">
      <alignment horizontal="center"/>
    </xf>
    <xf numFmtId="171" fontId="14" fillId="0" borderId="0" xfId="543" applyNumberFormat="1"/>
    <xf numFmtId="171" fontId="14" fillId="0" borderId="11" xfId="543" applyNumberFormat="1" applyBorder="1"/>
    <xf numFmtId="1" fontId="14" fillId="0" borderId="11" xfId="543" applyNumberFormat="1" applyBorder="1" applyAlignment="1">
      <alignment horizontal="center"/>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36" fillId="0" borderId="8" xfId="543" applyFont="1" applyBorder="1" applyAlignment="1">
      <alignment vertical="center" wrapText="1"/>
    </xf>
    <xf numFmtId="0" fontId="36" fillId="0" borderId="0" xfId="543" applyFont="1" applyAlignment="1">
      <alignment vertical="center" wrapText="1"/>
    </xf>
    <xf numFmtId="0" fontId="36" fillId="0" borderId="12" xfId="543" applyFont="1" applyBorder="1" applyAlignment="1">
      <alignment vertical="center" wrapText="1"/>
    </xf>
    <xf numFmtId="0" fontId="36" fillId="0" borderId="9" xfId="543" applyFont="1" applyBorder="1" applyAlignment="1">
      <alignment vertical="center" wrapText="1"/>
    </xf>
    <xf numFmtId="0" fontId="36" fillId="0" borderId="6" xfId="543" applyFont="1" applyBorder="1" applyAlignment="1">
      <alignment vertical="center" wrapText="1"/>
    </xf>
    <xf numFmtId="0" fontId="36" fillId="0" borderId="10" xfId="543" applyFont="1" applyBorder="1" applyAlignment="1">
      <alignment vertical="center" wrapText="1"/>
    </xf>
    <xf numFmtId="0" fontId="14" fillId="0" borderId="12" xfId="543" quotePrefix="1" applyBorder="1"/>
    <xf numFmtId="0" fontId="44" fillId="0" borderId="2" xfId="569" applyFont="1" applyBorder="1" applyAlignment="1">
      <alignment vertical="top"/>
    </xf>
    <xf numFmtId="0" fontId="24" fillId="0" borderId="0" xfId="4495" applyFont="1"/>
    <xf numFmtId="0" fontId="14" fillId="0" borderId="0" xfId="4495" applyFont="1" applyAlignment="1">
      <alignment vertical="top" wrapText="1" shrinkToFit="1"/>
    </xf>
    <xf numFmtId="0" fontId="144" fillId="0" borderId="0" xfId="4495" applyFont="1"/>
    <xf numFmtId="164" fontId="14" fillId="0" borderId="0" xfId="1192" applyNumberFormat="1" applyAlignment="1">
      <alignment horizontal="right"/>
    </xf>
    <xf numFmtId="164" fontId="14" fillId="0" borderId="0" xfId="4495" applyNumberFormat="1" applyFont="1" applyAlignment="1">
      <alignment horizontal="right"/>
    </xf>
    <xf numFmtId="0" fontId="14" fillId="0" borderId="6" xfId="4495" applyFont="1" applyBorder="1" applyAlignment="1">
      <alignment vertical="top" wrapText="1"/>
    </xf>
    <xf numFmtId="0" fontId="144" fillId="0" borderId="4" xfId="4495" applyFont="1" applyBorder="1"/>
    <xf numFmtId="0" fontId="14" fillId="0" borderId="4" xfId="4495" applyFont="1" applyBorder="1" applyAlignment="1">
      <alignment horizontal="left" vertical="top" wrapText="1" shrinkToFit="1"/>
    </xf>
    <xf numFmtId="0" fontId="24" fillId="0" borderId="0" xfId="4495" applyFont="1" applyAlignment="1">
      <alignment horizontal="left" vertical="top"/>
    </xf>
    <xf numFmtId="0" fontId="14" fillId="0" borderId="0" xfId="4495" applyFont="1" applyAlignment="1">
      <alignment vertical="center" wrapText="1" shrinkToFit="1"/>
    </xf>
    <xf numFmtId="0" fontId="14" fillId="0" borderId="0" xfId="4495" applyFont="1" applyAlignment="1">
      <alignment horizontal="left" vertical="top" shrinkToFit="1"/>
    </xf>
    <xf numFmtId="0" fontId="14" fillId="0" borderId="0" xfId="4495" applyFont="1" applyAlignment="1">
      <alignment horizontal="left" vertical="center" shrinkToFit="1"/>
    </xf>
    <xf numFmtId="0" fontId="24" fillId="0" borderId="4" xfId="4495" applyFont="1" applyBorder="1"/>
    <xf numFmtId="0" fontId="14" fillId="0" borderId="4" xfId="4495" applyFont="1" applyBorder="1" applyAlignment="1">
      <alignment horizontal="left" vertical="top" shrinkToFit="1"/>
    </xf>
    <xf numFmtId="0" fontId="14" fillId="0" borderId="0" xfId="4495" applyFont="1" applyAlignment="1">
      <alignment vertical="center"/>
    </xf>
    <xf numFmtId="0" fontId="20" fillId="0" borderId="0" xfId="4495" applyFont="1"/>
    <xf numFmtId="0" fontId="24" fillId="0" borderId="0" xfId="4495" applyFont="1" applyAlignment="1">
      <alignment horizontal="center"/>
    </xf>
    <xf numFmtId="0" fontId="14" fillId="0" borderId="4" xfId="4495" applyFont="1" applyBorder="1" applyAlignment="1">
      <alignment horizontal="left" vertical="top" wrapText="1"/>
    </xf>
    <xf numFmtId="44" fontId="14" fillId="0" borderId="4" xfId="707" applyFont="1" applyFill="1" applyBorder="1" applyAlignment="1" applyProtection="1">
      <alignment horizontal="left" vertical="top" wrapText="1"/>
    </xf>
    <xf numFmtId="164" fontId="32" fillId="0" borderId="0" xfId="4495" applyNumberFormat="1" applyFont="1" applyAlignment="1">
      <alignment horizontal="left"/>
    </xf>
    <xf numFmtId="0" fontId="24" fillId="0" borderId="0" xfId="4495" applyFont="1" applyAlignment="1">
      <alignment horizontal="left"/>
    </xf>
    <xf numFmtId="0" fontId="14" fillId="0" borderId="4" xfId="4495" applyFont="1" applyBorder="1" applyAlignment="1">
      <alignment vertical="top" wrapText="1"/>
    </xf>
    <xf numFmtId="0" fontId="24" fillId="0" borderId="4" xfId="4495" applyFont="1" applyBorder="1" applyAlignment="1">
      <alignment horizontal="left" vertical="top"/>
    </xf>
    <xf numFmtId="0" fontId="14" fillId="0" borderId="6" xfId="4495" applyFont="1" applyBorder="1" applyAlignment="1">
      <alignment horizontal="left" vertical="top" wrapText="1"/>
    </xf>
    <xf numFmtId="2" fontId="106" fillId="0" borderId="0" xfId="0" applyNumberFormat="1" applyFont="1" applyAlignment="1">
      <alignment horizontal="center"/>
    </xf>
    <xf numFmtId="9" fontId="14" fillId="0" borderId="0" xfId="4494" applyFont="1" applyAlignment="1">
      <alignment horizontal="center"/>
    </xf>
    <xf numFmtId="3" fontId="14" fillId="0" borderId="0" xfId="0" applyNumberFormat="1" applyFont="1"/>
    <xf numFmtId="10" fontId="14" fillId="0" borderId="0" xfId="0" applyNumberFormat="1" applyFont="1" applyAlignment="1">
      <alignment horizontal="center"/>
    </xf>
    <xf numFmtId="168" fontId="14" fillId="0" borderId="0" xfId="0" applyNumberFormat="1" applyFont="1"/>
    <xf numFmtId="172" fontId="14" fillId="0" borderId="11" xfId="0" applyNumberFormat="1" applyFont="1" applyBorder="1" applyAlignment="1">
      <alignment horizontal="center"/>
    </xf>
    <xf numFmtId="168" fontId="14" fillId="5" borderId="0" xfId="0" applyNumberFormat="1" applyFont="1" applyFill="1"/>
    <xf numFmtId="3" fontId="14" fillId="5" borderId="0" xfId="0" applyNumberFormat="1" applyFont="1" applyFill="1"/>
    <xf numFmtId="0" fontId="14" fillId="5" borderId="0" xfId="0" applyFont="1" applyFill="1"/>
    <xf numFmtId="3" fontId="14" fillId="5" borderId="6" xfId="0" applyNumberFormat="1" applyFont="1" applyFill="1" applyBorder="1"/>
    <xf numFmtId="3" fontId="14" fillId="0" borderId="6" xfId="0" applyNumberFormat="1" applyFont="1" applyBorder="1"/>
    <xf numFmtId="168" fontId="14" fillId="0" borderId="0" xfId="0" applyNumberFormat="1" applyFont="1" applyAlignment="1">
      <alignment horizontal="center"/>
    </xf>
    <xf numFmtId="3" fontId="14" fillId="0" borderId="0" xfId="0" applyNumberFormat="1" applyFont="1" applyAlignment="1">
      <alignment horizontal="center"/>
    </xf>
    <xf numFmtId="0" fontId="14" fillId="0" borderId="50" xfId="4495" applyFont="1" applyBorder="1" applyAlignment="1">
      <alignment vertical="center"/>
    </xf>
    <xf numFmtId="0" fontId="14" fillId="0" borderId="51" xfId="4495" applyFont="1" applyBorder="1" applyAlignment="1">
      <alignment vertical="center"/>
    </xf>
    <xf numFmtId="0" fontId="14" fillId="0" borderId="52" xfId="4495" applyFont="1" applyBorder="1" applyAlignment="1">
      <alignment vertical="center"/>
    </xf>
    <xf numFmtId="0" fontId="14" fillId="0" borderId="54" xfId="4495" applyFont="1" applyBorder="1" applyAlignment="1">
      <alignment vertical="center" wrapText="1"/>
    </xf>
    <xf numFmtId="0" fontId="14" fillId="0" borderId="53" xfId="4495" applyFont="1" applyBorder="1" applyAlignment="1">
      <alignment vertical="top" wrapText="1"/>
    </xf>
    <xf numFmtId="0" fontId="14" fillId="0" borderId="58" xfId="0" applyFont="1" applyBorder="1" applyAlignment="1">
      <alignment horizontal="left"/>
    </xf>
    <xf numFmtId="9" fontId="14" fillId="0" borderId="0" xfId="543" applyNumberFormat="1" applyAlignment="1">
      <alignment horizontal="center"/>
    </xf>
    <xf numFmtId="0" fontId="40" fillId="0" borderId="0" xfId="4496" applyFont="1"/>
    <xf numFmtId="168" fontId="44" fillId="5" borderId="11" xfId="0" applyNumberFormat="1" applyFont="1" applyFill="1" applyBorder="1" applyAlignment="1" applyProtection="1">
      <alignment vertical="top" wrapText="1"/>
      <protection locked="0"/>
    </xf>
    <xf numFmtId="43" fontId="42" fillId="0" borderId="0" xfId="4504" applyFont="1" applyAlignment="1" applyProtection="1">
      <alignment horizontal="center"/>
    </xf>
    <xf numFmtId="43" fontId="14" fillId="0" borderId="0" xfId="4504" applyFont="1" applyAlignment="1" applyProtection="1">
      <alignment horizontal="center"/>
    </xf>
    <xf numFmtId="43" fontId="14" fillId="0" borderId="0" xfId="4504" applyFont="1" applyProtection="1"/>
    <xf numFmtId="49" fontId="14" fillId="0" borderId="0" xfId="0" applyNumberFormat="1" applyFont="1"/>
    <xf numFmtId="49" fontId="14" fillId="0" borderId="0" xfId="0" applyNumberFormat="1" applyFont="1" applyAlignment="1">
      <alignment horizontal="center"/>
    </xf>
    <xf numFmtId="4" fontId="14" fillId="0" borderId="0" xfId="0" applyNumberFormat="1" applyFont="1" applyAlignment="1">
      <alignment vertical="top" wrapText="1"/>
    </xf>
    <xf numFmtId="0" fontId="14" fillId="0" borderId="0" xfId="0" quotePrefix="1" applyFont="1"/>
    <xf numFmtId="0" fontId="39" fillId="0" borderId="0" xfId="0" applyFont="1" applyAlignment="1">
      <alignment horizontal="left"/>
    </xf>
    <xf numFmtId="0" fontId="14" fillId="0" borderId="0" xfId="0" quotePrefix="1" applyFont="1" applyAlignment="1">
      <alignment horizontal="left"/>
    </xf>
    <xf numFmtId="0" fontId="39" fillId="0" borderId="0" xfId="1192" applyFont="1" applyAlignment="1">
      <alignment horizontal="left"/>
    </xf>
    <xf numFmtId="0" fontId="42" fillId="0" borderId="0" xfId="0" applyFont="1" applyAlignment="1">
      <alignment horizontal="center" vertical="center"/>
    </xf>
    <xf numFmtId="49" fontId="21" fillId="0" borderId="0" xfId="0" applyNumberFormat="1" applyFont="1" applyAlignment="1">
      <alignment horizontal="center" vertical="center"/>
    </xf>
    <xf numFmtId="49" fontId="14" fillId="0" borderId="0" xfId="0" applyNumberFormat="1" applyFont="1" applyAlignment="1">
      <alignment vertical="center"/>
    </xf>
    <xf numFmtId="4" fontId="14" fillId="0" borderId="0" xfId="0" applyNumberFormat="1" applyFont="1" applyAlignment="1">
      <alignment horizontal="center"/>
    </xf>
    <xf numFmtId="4" fontId="14" fillId="0" borderId="0" xfId="0" applyNumberFormat="1" applyFont="1"/>
    <xf numFmtId="10" fontId="14" fillId="0" borderId="0" xfId="4495" applyNumberFormat="1" applyFont="1"/>
    <xf numFmtId="10" fontId="110" fillId="0" borderId="0" xfId="4496" applyNumberFormat="1" applyFont="1" applyAlignment="1">
      <alignment horizontal="center" vertical="top" wrapText="1"/>
    </xf>
    <xf numFmtId="10" fontId="110" fillId="0" borderId="64" xfId="4496" applyNumberFormat="1" applyFont="1" applyBorder="1" applyAlignment="1">
      <alignment horizontal="center" vertical="top" wrapText="1"/>
    </xf>
    <xf numFmtId="10" fontId="110" fillId="0" borderId="53" xfId="4496" applyNumberFormat="1" applyFont="1" applyBorder="1" applyAlignment="1">
      <alignment horizontal="left" vertical="top"/>
    </xf>
    <xf numFmtId="0" fontId="110" fillId="0" borderId="0" xfId="4495" applyFont="1"/>
    <xf numFmtId="10" fontId="110" fillId="0" borderId="0" xfId="4495" applyNumberFormat="1" applyFont="1"/>
    <xf numFmtId="172" fontId="14" fillId="0" borderId="0" xfId="4495" applyNumberFormat="1" applyFont="1"/>
    <xf numFmtId="0" fontId="0" fillId="0" borderId="10" xfId="0" applyBorder="1" applyAlignment="1">
      <alignment horizontal="left"/>
    </xf>
    <xf numFmtId="1" fontId="14" fillId="0" borderId="0" xfId="1192" applyNumberFormat="1" applyAlignment="1">
      <alignment horizontal="center"/>
    </xf>
    <xf numFmtId="0" fontId="108" fillId="0" borderId="63" xfId="4495" applyBorder="1"/>
    <xf numFmtId="0" fontId="44" fillId="0" borderId="0" xfId="271" applyFont="1" applyAlignment="1">
      <alignment vertical="top"/>
    </xf>
    <xf numFmtId="0" fontId="21" fillId="0" borderId="11" xfId="0" applyFont="1" applyBorder="1" applyAlignment="1">
      <alignment horizontal="right" vertical="top" wrapText="1"/>
    </xf>
    <xf numFmtId="0" fontId="23" fillId="0" borderId="11" xfId="271" applyBorder="1" applyAlignment="1" applyProtection="1">
      <alignment horizontal="right" vertical="top" wrapText="1"/>
      <protection locked="0"/>
    </xf>
    <xf numFmtId="0" fontId="14" fillId="0" borderId="54" xfId="4495" applyFont="1" applyBorder="1" applyAlignment="1">
      <alignment vertical="top"/>
    </xf>
    <xf numFmtId="0" fontId="14" fillId="0" borderId="16" xfId="569" applyBorder="1" applyAlignment="1">
      <alignment horizontal="center"/>
    </xf>
    <xf numFmtId="164" fontId="14" fillId="0" borderId="57" xfId="4495" applyNumberFormat="1" applyFont="1" applyBorder="1" applyAlignment="1">
      <alignment vertical="top" wrapText="1"/>
    </xf>
    <xf numFmtId="164" fontId="14" fillId="0" borderId="58" xfId="4495" applyNumberFormat="1" applyFont="1" applyBorder="1" applyAlignment="1">
      <alignment vertical="top" wrapText="1"/>
    </xf>
    <xf numFmtId="164" fontId="14" fillId="0" borderId="59" xfId="4495" applyNumberFormat="1" applyFont="1" applyBorder="1" applyAlignment="1">
      <alignment vertical="top" wrapText="1"/>
    </xf>
    <xf numFmtId="0" fontId="14" fillId="0" borderId="16" xfId="569" applyBorder="1"/>
    <xf numFmtId="0" fontId="14" fillId="0" borderId="4" xfId="569" applyBorder="1"/>
    <xf numFmtId="0" fontId="21" fillId="0" borderId="4" xfId="569" applyFont="1" applyBorder="1"/>
    <xf numFmtId="49" fontId="14" fillId="0" borderId="4" xfId="569" applyNumberFormat="1" applyBorder="1"/>
    <xf numFmtId="0" fontId="150" fillId="0" borderId="0" xfId="0" applyFont="1"/>
    <xf numFmtId="0" fontId="14" fillId="0" borderId="0" xfId="0" applyFont="1" applyAlignment="1">
      <alignment horizontal="right"/>
    </xf>
    <xf numFmtId="1" fontId="14" fillId="0" borderId="0" xfId="0" applyNumberFormat="1" applyFont="1" applyAlignment="1">
      <alignment horizontal="center"/>
    </xf>
    <xf numFmtId="0" fontId="21" fillId="0" borderId="0" xfId="0" applyFont="1" applyAlignment="1">
      <alignment horizontal="left" vertical="center"/>
    </xf>
    <xf numFmtId="0" fontId="14" fillId="0" borderId="0" xfId="0" applyFont="1" applyAlignment="1">
      <alignment horizontal="left" vertical="center"/>
    </xf>
    <xf numFmtId="0" fontId="21" fillId="0" borderId="0" xfId="569" applyFont="1" applyAlignment="1">
      <alignment vertical="top"/>
    </xf>
    <xf numFmtId="49" fontId="21" fillId="0" borderId="0" xfId="0" applyNumberFormat="1" applyFont="1"/>
    <xf numFmtId="49" fontId="21" fillId="0" borderId="0" xfId="0" applyNumberFormat="1" applyFont="1" applyAlignment="1">
      <alignment vertical="top"/>
    </xf>
    <xf numFmtId="175" fontId="14" fillId="0" borderId="0" xfId="543" applyNumberFormat="1" applyAlignment="1">
      <alignment vertical="center"/>
    </xf>
    <xf numFmtId="0" fontId="86" fillId="43" borderId="6" xfId="4496" applyFont="1" applyFill="1" applyBorder="1" applyAlignment="1" applyProtection="1">
      <alignment horizontal="center"/>
      <protection locked="0"/>
    </xf>
    <xf numFmtId="0" fontId="86" fillId="0" borderId="0" xfId="4496" applyFont="1"/>
    <xf numFmtId="0" fontId="86" fillId="0" borderId="0" xfId="4496" applyFont="1" applyAlignment="1">
      <alignment wrapText="1"/>
    </xf>
    <xf numFmtId="0" fontId="125" fillId="0" borderId="0" xfId="4496" applyFont="1"/>
    <xf numFmtId="181" fontId="126" fillId="0" borderId="0" xfId="4498" applyNumberFormat="1" applyFont="1" applyBorder="1" applyProtection="1"/>
    <xf numFmtId="0" fontId="127" fillId="0" borderId="0" xfId="4496" applyFont="1" applyAlignment="1">
      <alignment vertical="center" wrapText="1"/>
    </xf>
    <xf numFmtId="49" fontId="86" fillId="0" borderId="0" xfId="4496" applyNumberFormat="1" applyFont="1" applyAlignment="1">
      <alignment horizontal="center"/>
    </xf>
    <xf numFmtId="182" fontId="86" fillId="0" borderId="6" xfId="4496" applyNumberFormat="1" applyFont="1" applyBorder="1"/>
    <xf numFmtId="0" fontId="86" fillId="0" borderId="0" xfId="4496" applyFont="1" applyAlignment="1">
      <alignment vertical="center"/>
    </xf>
    <xf numFmtId="182" fontId="86" fillId="0" borderId="0" xfId="4496" applyNumberFormat="1" applyFont="1" applyAlignment="1">
      <alignment vertical="center"/>
    </xf>
    <xf numFmtId="175" fontId="86" fillId="0" borderId="0" xfId="4499" applyNumberFormat="1" applyFont="1" applyFill="1" applyBorder="1" applyAlignment="1" applyProtection="1">
      <alignment horizontal="left" vertical="center"/>
    </xf>
    <xf numFmtId="9" fontId="86" fillId="0" borderId="0" xfId="4499" applyFont="1" applyFill="1" applyBorder="1" applyAlignment="1" applyProtection="1">
      <alignment vertical="center"/>
    </xf>
    <xf numFmtId="183" fontId="86" fillId="0" borderId="0" xfId="4496" applyNumberFormat="1" applyFont="1" applyAlignment="1">
      <alignment vertical="center" wrapText="1"/>
    </xf>
    <xf numFmtId="9" fontId="86" fillId="0" borderId="0" xfId="4499" applyFont="1" applyBorder="1" applyAlignment="1" applyProtection="1">
      <alignment vertical="center"/>
    </xf>
    <xf numFmtId="164" fontId="86" fillId="0" borderId="0" xfId="4496" applyNumberFormat="1" applyFont="1" applyAlignment="1">
      <alignment vertical="center" wrapText="1"/>
    </xf>
    <xf numFmtId="0" fontId="86" fillId="0" borderId="0" xfId="4496" applyFont="1" applyAlignment="1">
      <alignment horizontal="center" vertical="center"/>
    </xf>
    <xf numFmtId="182" fontId="86" fillId="0" borderId="11" xfId="8722" applyNumberFormat="1" applyFont="1" applyBorder="1" applyProtection="1"/>
    <xf numFmtId="182" fontId="86" fillId="0" borderId="11" xfId="4496" applyNumberFormat="1" applyFont="1" applyBorder="1"/>
    <xf numFmtId="164" fontId="86" fillId="0" borderId="0" xfId="4496" applyNumberFormat="1" applyFont="1" applyAlignment="1">
      <alignment wrapText="1"/>
    </xf>
    <xf numFmtId="49" fontId="86" fillId="0" borderId="0" xfId="4496" applyNumberFormat="1" applyFont="1" applyAlignment="1">
      <alignment horizontal="left"/>
    </xf>
    <xf numFmtId="0" fontId="128" fillId="0" borderId="0" xfId="4496" applyFont="1"/>
    <xf numFmtId="9" fontId="86" fillId="0" borderId="11" xfId="4494" applyFont="1" applyFill="1" applyBorder="1" applyAlignment="1" applyProtection="1">
      <alignment horizontal="right"/>
    </xf>
    <xf numFmtId="182" fontId="86" fillId="0" borderId="11" xfId="4496" applyNumberFormat="1" applyFont="1" applyBorder="1" applyAlignment="1">
      <alignment horizontal="left"/>
    </xf>
    <xf numFmtId="1" fontId="86" fillId="0" borderId="0" xfId="4496" applyNumberFormat="1" applyFont="1"/>
    <xf numFmtId="2" fontId="86" fillId="0" borderId="0" xfId="4496" applyNumberFormat="1" applyFont="1" applyAlignment="1">
      <alignment horizontal="center"/>
    </xf>
    <xf numFmtId="2" fontId="86" fillId="0" borderId="0" xfId="4496" applyNumberFormat="1" applyFont="1"/>
    <xf numFmtId="0" fontId="125" fillId="45" borderId="3" xfId="4496" applyFont="1" applyFill="1" applyBorder="1" applyAlignment="1">
      <alignment horizontal="left" indent="1"/>
    </xf>
    <xf numFmtId="0" fontId="86" fillId="45" borderId="4" xfId="4496" applyFont="1" applyFill="1" applyBorder="1"/>
    <xf numFmtId="2" fontId="86" fillId="45" borderId="5" xfId="4496" applyNumberFormat="1" applyFont="1" applyFill="1" applyBorder="1"/>
    <xf numFmtId="181" fontId="86" fillId="0" borderId="0" xfId="4496" applyNumberFormat="1" applyFont="1"/>
    <xf numFmtId="165" fontId="126" fillId="0" borderId="0" xfId="4499" applyNumberFormat="1" applyFont="1" applyFill="1" applyBorder="1" applyProtection="1"/>
    <xf numFmtId="9" fontId="86" fillId="0" borderId="0" xfId="4494" applyFont="1" applyFill="1" applyProtection="1"/>
    <xf numFmtId="0" fontId="86" fillId="0" borderId="11" xfId="4496" applyFont="1" applyBorder="1" applyAlignment="1">
      <alignment horizontal="center"/>
    </xf>
    <xf numFmtId="2" fontId="86" fillId="0" borderId="11" xfId="4496" applyNumberFormat="1" applyFont="1" applyBorder="1" applyAlignment="1">
      <alignment horizontal="center"/>
    </xf>
    <xf numFmtId="0" fontId="86" fillId="0" borderId="0" xfId="4496" applyFont="1" applyAlignment="1">
      <alignment vertical="top" wrapText="1"/>
    </xf>
    <xf numFmtId="0" fontId="86" fillId="0" borderId="11" xfId="4496" applyFont="1" applyBorder="1" applyAlignment="1">
      <alignment horizontal="center" vertical="top" wrapText="1"/>
    </xf>
    <xf numFmtId="182" fontId="86" fillId="0" borderId="0" xfId="8722" applyNumberFormat="1" applyFont="1" applyBorder="1" applyProtection="1"/>
    <xf numFmtId="0" fontId="86" fillId="0" borderId="0" xfId="4496" applyFont="1" applyAlignment="1">
      <alignment horizontal="left" indent="1"/>
    </xf>
    <xf numFmtId="182" fontId="86" fillId="0" borderId="0" xfId="4496" applyNumberFormat="1" applyFont="1"/>
    <xf numFmtId="184" fontId="86" fillId="0" borderId="0" xfId="4496" applyNumberFormat="1" applyFont="1"/>
    <xf numFmtId="0" fontId="86" fillId="0" borderId="0" xfId="4496" applyFont="1" applyAlignment="1">
      <alignment horizontal="left"/>
    </xf>
    <xf numFmtId="0" fontId="86" fillId="0" borderId="0" xfId="4496" applyFont="1" applyAlignment="1">
      <alignment horizontal="center"/>
    </xf>
    <xf numFmtId="9" fontId="86" fillId="0" borderId="0" xfId="4494" applyFont="1" applyFill="1" applyBorder="1" applyProtection="1"/>
    <xf numFmtId="3" fontId="19" fillId="0" borderId="11" xfId="271" applyNumberFormat="1" applyFont="1" applyBorder="1" applyAlignment="1">
      <alignment horizontal="center"/>
    </xf>
    <xf numFmtId="3" fontId="19" fillId="43" borderId="11" xfId="271" applyNumberFormat="1" applyFont="1" applyFill="1" applyBorder="1" applyAlignment="1" applyProtection="1">
      <alignment horizontal="center"/>
      <protection locked="0"/>
    </xf>
    <xf numFmtId="3" fontId="19" fillId="43" borderId="11" xfId="271" applyNumberFormat="1" applyFont="1" applyFill="1" applyBorder="1" applyProtection="1">
      <protection locked="0"/>
    </xf>
    <xf numFmtId="0" fontId="86" fillId="0" borderId="0" xfId="4496" applyFont="1" applyAlignment="1">
      <alignment horizontal="right"/>
    </xf>
    <xf numFmtId="0" fontId="86" fillId="0" borderId="15" xfId="4496" applyFont="1" applyBorder="1" applyAlignment="1">
      <alignment horizontal="center" vertical="top" wrapText="1"/>
    </xf>
    <xf numFmtId="2" fontId="86" fillId="0" borderId="15" xfId="4496" applyNumberFormat="1" applyFont="1" applyBorder="1" applyAlignment="1">
      <alignment horizontal="center"/>
    </xf>
    <xf numFmtId="0" fontId="86" fillId="0" borderId="15" xfId="4496" applyFont="1" applyBorder="1" applyAlignment="1">
      <alignment horizontal="center"/>
    </xf>
    <xf numFmtId="0" fontId="125" fillId="0" borderId="71" xfId="4496" applyFont="1" applyBorder="1" applyAlignment="1">
      <alignment horizontal="center" vertical="top" wrapText="1"/>
    </xf>
    <xf numFmtId="0" fontId="125" fillId="0" borderId="71" xfId="4496" applyFont="1" applyBorder="1" applyAlignment="1">
      <alignment horizontal="center"/>
    </xf>
    <xf numFmtId="0" fontId="155" fillId="0" borderId="0" xfId="4496" applyFont="1" applyAlignment="1">
      <alignment horizontal="right" vertical="center"/>
    </xf>
    <xf numFmtId="175" fontId="86" fillId="0" borderId="0" xfId="4499" applyNumberFormat="1" applyFont="1" applyFill="1" applyBorder="1" applyAlignment="1" applyProtection="1">
      <alignment horizontal="right" vertical="center"/>
    </xf>
    <xf numFmtId="5" fontId="86" fillId="0" borderId="6" xfId="4496" applyNumberFormat="1" applyFont="1" applyBorder="1" applyAlignment="1">
      <alignment vertical="center"/>
    </xf>
    <xf numFmtId="0" fontId="86" fillId="0" borderId="66" xfId="4496" applyFont="1" applyBorder="1" applyAlignment="1">
      <alignment vertical="center"/>
    </xf>
    <xf numFmtId="0" fontId="86" fillId="0" borderId="41" xfId="4496" applyFont="1" applyBorder="1" applyAlignment="1">
      <alignment vertical="center"/>
    </xf>
    <xf numFmtId="182" fontId="86" fillId="0" borderId="86" xfId="4496" applyNumberFormat="1" applyFont="1" applyBorder="1" applyAlignment="1">
      <alignment vertical="center"/>
    </xf>
    <xf numFmtId="175" fontId="86" fillId="0" borderId="42" xfId="4499" applyNumberFormat="1" applyFont="1" applyFill="1" applyBorder="1" applyAlignment="1" applyProtection="1">
      <alignment horizontal="left" vertical="center"/>
    </xf>
    <xf numFmtId="0" fontId="86" fillId="0" borderId="42" xfId="4496" applyFont="1" applyBorder="1" applyAlignment="1">
      <alignment vertical="center"/>
    </xf>
    <xf numFmtId="0" fontId="86" fillId="0" borderId="44" xfId="4496" applyFont="1" applyBorder="1" applyAlignment="1">
      <alignment vertical="center"/>
    </xf>
    <xf numFmtId="49" fontId="86" fillId="0" borderId="0" xfId="4496" applyNumberFormat="1" applyFont="1" applyAlignment="1">
      <alignment horizontal="center" vertical="center"/>
    </xf>
    <xf numFmtId="0" fontId="86" fillId="0" borderId="65" xfId="4496" applyFont="1" applyBorder="1" applyAlignment="1">
      <alignment vertical="center"/>
    </xf>
    <xf numFmtId="0" fontId="86" fillId="0" borderId="29" xfId="4496" applyFont="1" applyBorder="1" applyAlignment="1">
      <alignment vertical="center"/>
    </xf>
    <xf numFmtId="0" fontId="86" fillId="0" borderId="29" xfId="4496" applyFont="1" applyBorder="1" applyAlignment="1">
      <alignment horizontal="right" vertical="center"/>
    </xf>
    <xf numFmtId="5" fontId="86" fillId="0" borderId="29" xfId="4496" applyNumberFormat="1" applyFont="1" applyBorder="1" applyAlignment="1">
      <alignment vertical="center"/>
    </xf>
    <xf numFmtId="0" fontId="86" fillId="0" borderId="31" xfId="4496" applyFont="1" applyBorder="1" applyAlignment="1">
      <alignment vertical="center"/>
    </xf>
    <xf numFmtId="175" fontId="125" fillId="0" borderId="42" xfId="4494" applyNumberFormat="1" applyFont="1" applyFill="1" applyBorder="1" applyAlignment="1" applyProtection="1">
      <alignment horizontal="center" vertical="center"/>
    </xf>
    <xf numFmtId="0" fontId="125" fillId="0" borderId="29" xfId="4496" applyFont="1" applyBorder="1" applyAlignment="1">
      <alignment vertical="center"/>
    </xf>
    <xf numFmtId="0" fontId="125" fillId="0" borderId="0" xfId="4496" applyFont="1" applyAlignment="1">
      <alignment vertical="center"/>
    </xf>
    <xf numFmtId="0" fontId="125" fillId="0" borderId="42" xfId="4496" applyFont="1" applyBorder="1" applyAlignment="1">
      <alignment vertical="center"/>
    </xf>
    <xf numFmtId="9" fontId="125" fillId="0" borderId="42" xfId="4499" applyFont="1" applyFill="1" applyBorder="1" applyAlignment="1" applyProtection="1">
      <alignment vertical="center"/>
    </xf>
    <xf numFmtId="182" fontId="86" fillId="0" borderId="15" xfId="4496" applyNumberFormat="1" applyFont="1" applyBorder="1"/>
    <xf numFmtId="182" fontId="125" fillId="0" borderId="71" xfId="8722" applyNumberFormat="1" applyFont="1" applyBorder="1" applyProtection="1"/>
    <xf numFmtId="9" fontId="86" fillId="0" borderId="15" xfId="4494" applyFont="1" applyFill="1" applyBorder="1" applyAlignment="1" applyProtection="1">
      <alignment horizontal="right"/>
    </xf>
    <xf numFmtId="182" fontId="125" fillId="0" borderId="71" xfId="4496" applyNumberFormat="1" applyFont="1" applyBorder="1"/>
    <xf numFmtId="0" fontId="155" fillId="0" borderId="0" xfId="4496" applyFont="1" applyAlignment="1">
      <alignment horizontal="right"/>
    </xf>
    <xf numFmtId="0" fontId="86" fillId="0" borderId="0" xfId="4496" applyFont="1" applyAlignment="1">
      <alignment horizontal="right" vertical="top" wrapText="1" indent="1"/>
    </xf>
    <xf numFmtId="182" fontId="86" fillId="0" borderId="6" xfId="8722" applyNumberFormat="1" applyFont="1" applyBorder="1" applyAlignment="1" applyProtection="1">
      <alignment horizontal="center"/>
    </xf>
    <xf numFmtId="0" fontId="86" fillId="0" borderId="0" xfId="4496" applyFont="1" applyAlignment="1">
      <alignment horizontal="right" indent="1"/>
    </xf>
    <xf numFmtId="0" fontId="86" fillId="0" borderId="0" xfId="4496" applyFont="1" applyAlignment="1">
      <alignment horizontal="right" vertical="top"/>
    </xf>
    <xf numFmtId="0" fontId="125" fillId="0" borderId="0" xfId="4496" applyFont="1" applyAlignment="1">
      <alignment horizontal="right"/>
    </xf>
    <xf numFmtId="182" fontId="125" fillId="0" borderId="0" xfId="8722" applyNumberFormat="1" applyFont="1" applyBorder="1" applyAlignment="1" applyProtection="1">
      <alignment horizontal="center"/>
    </xf>
    <xf numFmtId="10" fontId="86" fillId="0" borderId="0" xfId="4494" applyNumberFormat="1" applyFont="1" applyBorder="1" applyAlignment="1" applyProtection="1">
      <alignment horizontal="center"/>
    </xf>
    <xf numFmtId="184" fontId="86" fillId="0" borderId="6" xfId="4496" applyNumberFormat="1" applyFont="1" applyBorder="1"/>
    <xf numFmtId="0" fontId="125" fillId="0" borderId="0" xfId="4496" applyFont="1" applyAlignment="1">
      <alignment horizontal="right" vertical="top"/>
    </xf>
    <xf numFmtId="182" fontId="125" fillId="0" borderId="0" xfId="4496" applyNumberFormat="1" applyFont="1"/>
    <xf numFmtId="182" fontId="86" fillId="0" borderId="6" xfId="8722" applyNumberFormat="1" applyFont="1" applyBorder="1" applyProtection="1"/>
    <xf numFmtId="184" fontId="86" fillId="0" borderId="0" xfId="4496" applyNumberFormat="1" applyFont="1" applyAlignment="1">
      <alignment horizontal="center"/>
    </xf>
    <xf numFmtId="0" fontId="86" fillId="0" borderId="6" xfId="4496" applyFont="1" applyBorder="1" applyAlignment="1">
      <alignment horizontal="right" vertical="top" wrapText="1" indent="1"/>
    </xf>
    <xf numFmtId="0" fontId="86" fillId="0" borderId="70" xfId="4496" applyFont="1" applyBorder="1" applyAlignment="1">
      <alignment horizontal="right" indent="1"/>
    </xf>
    <xf numFmtId="0" fontId="86" fillId="0" borderId="80" xfId="4496" applyFont="1" applyBorder="1" applyAlignment="1">
      <alignment horizontal="right" indent="1"/>
    </xf>
    <xf numFmtId="0" fontId="86" fillId="0" borderId="80" xfId="4496" quotePrefix="1" applyFont="1" applyBorder="1" applyAlignment="1">
      <alignment horizontal="right" indent="1"/>
    </xf>
    <xf numFmtId="0" fontId="86" fillId="0" borderId="72" xfId="4496" applyFont="1" applyBorder="1" applyAlignment="1">
      <alignment horizontal="right" indent="1"/>
    </xf>
    <xf numFmtId="182" fontId="86" fillId="0" borderId="74" xfId="4496" applyNumberFormat="1" applyFont="1" applyBorder="1"/>
    <xf numFmtId="182" fontId="86" fillId="0" borderId="91" xfId="4496" applyNumberFormat="1" applyFont="1" applyBorder="1"/>
    <xf numFmtId="182" fontId="86" fillId="0" borderId="93" xfId="4496" applyNumberFormat="1" applyFont="1" applyBorder="1"/>
    <xf numFmtId="175" fontId="21" fillId="0" borderId="0" xfId="543" applyNumberFormat="1" applyFont="1" applyAlignment="1">
      <alignment vertical="center"/>
    </xf>
    <xf numFmtId="10" fontId="125" fillId="0" borderId="0" xfId="4494" applyNumberFormat="1" applyFont="1" applyProtection="1"/>
    <xf numFmtId="0" fontId="21" fillId="0" borderId="0" xfId="1192" applyFont="1" applyAlignment="1">
      <alignment horizontal="left" indent="1"/>
    </xf>
    <xf numFmtId="168" fontId="125" fillId="0" borderId="71" xfId="4499" applyNumberFormat="1" applyFont="1" applyFill="1" applyBorder="1" applyAlignment="1" applyProtection="1">
      <alignment horizontal="left" vertical="center" indent="1"/>
    </xf>
    <xf numFmtId="182" fontId="86" fillId="0" borderId="13" xfId="4496" applyNumberFormat="1" applyFont="1" applyBorder="1"/>
    <xf numFmtId="182" fontId="86" fillId="0" borderId="73" xfId="4496" applyNumberFormat="1" applyFont="1" applyBorder="1"/>
    <xf numFmtId="0" fontId="125" fillId="0" borderId="4" xfId="4496" applyFont="1" applyBorder="1" applyAlignment="1">
      <alignment horizontal="left" indent="1"/>
    </xf>
    <xf numFmtId="0" fontId="86" fillId="0" borderId="4" xfId="4496" applyFont="1" applyBorder="1"/>
    <xf numFmtId="0" fontId="32" fillId="0" borderId="0" xfId="4495" applyFont="1" applyAlignment="1">
      <alignment vertical="center"/>
    </xf>
    <xf numFmtId="0" fontId="110" fillId="0" borderId="0" xfId="4496" applyFont="1" applyAlignment="1">
      <alignment vertical="center" wrapText="1"/>
    </xf>
    <xf numFmtId="0" fontId="19" fillId="43" borderId="0" xfId="1192" applyFont="1" applyFill="1"/>
    <xf numFmtId="3" fontId="57" fillId="43" borderId="6" xfId="1192" applyNumberFormat="1" applyFont="1" applyFill="1" applyBorder="1"/>
    <xf numFmtId="0" fontId="157" fillId="0" borderId="0" xfId="0" applyFont="1"/>
    <xf numFmtId="0" fontId="19" fillId="0" borderId="11" xfId="253" applyFont="1" applyBorder="1" applyAlignment="1" applyProtection="1">
      <alignment horizontal="center" wrapText="1"/>
      <protection locked="0"/>
    </xf>
    <xf numFmtId="0" fontId="158" fillId="0" borderId="0" xfId="0" applyFont="1"/>
    <xf numFmtId="0" fontId="159" fillId="0" borderId="0" xfId="0" applyFont="1" applyAlignment="1">
      <alignment horizontal="center"/>
    </xf>
    <xf numFmtId="0" fontId="44" fillId="5" borderId="11" xfId="0" applyFont="1" applyFill="1" applyBorder="1" applyAlignment="1" applyProtection="1">
      <alignment horizontal="right" vertical="top" wrapText="1"/>
      <protection locked="0"/>
    </xf>
    <xf numFmtId="0" fontId="14" fillId="43" borderId="3" xfId="569" applyFill="1" applyBorder="1"/>
    <xf numFmtId="0" fontId="164" fillId="0" borderId="0" xfId="0" applyFont="1" applyAlignment="1">
      <alignment horizontal="right"/>
    </xf>
    <xf numFmtId="1" fontId="22" fillId="0" borderId="0" xfId="4495" applyNumberFormat="1" applyFont="1"/>
    <xf numFmtId="0" fontId="2" fillId="0" borderId="0" xfId="8726"/>
    <xf numFmtId="0" fontId="91" fillId="0" borderId="0" xfId="8726" applyFont="1"/>
    <xf numFmtId="0" fontId="143" fillId="0" borderId="0" xfId="8726" applyFont="1"/>
    <xf numFmtId="0" fontId="2" fillId="48" borderId="44" xfId="8726" applyFill="1" applyBorder="1"/>
    <xf numFmtId="0" fontId="2" fillId="48" borderId="42" xfId="8726" applyFill="1" applyBorder="1"/>
    <xf numFmtId="0" fontId="2" fillId="48" borderId="41" xfId="8726" applyFill="1" applyBorder="1"/>
    <xf numFmtId="0" fontId="2" fillId="44" borderId="44" xfId="8726" applyFill="1" applyBorder="1"/>
    <xf numFmtId="0" fontId="2" fillId="44" borderId="42" xfId="8726" applyFill="1" applyBorder="1"/>
    <xf numFmtId="0" fontId="2" fillId="44" borderId="86" xfId="8726" applyFill="1" applyBorder="1"/>
    <xf numFmtId="0" fontId="2" fillId="48" borderId="0" xfId="8726" applyFill="1"/>
    <xf numFmtId="0" fontId="2" fillId="44" borderId="41" xfId="8726" applyFill="1" applyBorder="1"/>
    <xf numFmtId="0" fontId="2" fillId="44" borderId="0" xfId="8726" applyFill="1"/>
    <xf numFmtId="0" fontId="2" fillId="44" borderId="66" xfId="8726" applyFill="1" applyBorder="1"/>
    <xf numFmtId="0" fontId="2" fillId="44" borderId="0" xfId="8726" applyFill="1" applyAlignment="1">
      <alignment horizontal="left"/>
    </xf>
    <xf numFmtId="0" fontId="2" fillId="48" borderId="86" xfId="8726" applyFill="1" applyBorder="1"/>
    <xf numFmtId="0" fontId="2" fillId="48" borderId="66" xfId="8726" applyFill="1" applyBorder="1"/>
    <xf numFmtId="49" fontId="90" fillId="48" borderId="66" xfId="8726" applyNumberFormat="1" applyFont="1" applyFill="1" applyBorder="1" applyAlignment="1">
      <alignment horizontal="right" vertical="top"/>
    </xf>
    <xf numFmtId="0" fontId="90" fillId="48" borderId="0" xfId="8726" applyFont="1" applyFill="1"/>
    <xf numFmtId="0" fontId="90" fillId="48" borderId="66" xfId="8726" applyFont="1" applyFill="1" applyBorder="1"/>
    <xf numFmtId="0" fontId="91" fillId="48" borderId="0" xfId="8726" applyFont="1" applyFill="1"/>
    <xf numFmtId="0" fontId="2" fillId="48" borderId="69" xfId="8726" applyFill="1" applyBorder="1"/>
    <xf numFmtId="168" fontId="147" fillId="48" borderId="68" xfId="700" applyNumberFormat="1" applyFont="1" applyFill="1" applyBorder="1" applyAlignment="1" applyProtection="1">
      <protection locked="0"/>
    </xf>
    <xf numFmtId="0" fontId="152" fillId="48" borderId="0" xfId="8726" applyFont="1" applyFill="1"/>
    <xf numFmtId="0" fontId="151" fillId="47" borderId="91" xfId="8726" applyFont="1" applyFill="1" applyBorder="1"/>
    <xf numFmtId="0" fontId="151" fillId="47" borderId="11" xfId="8726" applyFont="1" applyFill="1" applyBorder="1"/>
    <xf numFmtId="0" fontId="2" fillId="45" borderId="69" xfId="8726" applyFill="1" applyBorder="1"/>
    <xf numFmtId="0" fontId="2" fillId="45" borderId="68" xfId="8726" applyFill="1" applyBorder="1"/>
    <xf numFmtId="0" fontId="90" fillId="45" borderId="68" xfId="8726" applyFont="1" applyFill="1" applyBorder="1"/>
    <xf numFmtId="0" fontId="90" fillId="45" borderId="67" xfId="8726" applyFont="1" applyFill="1" applyBorder="1"/>
    <xf numFmtId="0" fontId="90" fillId="45" borderId="69" xfId="8726" applyFont="1" applyFill="1" applyBorder="1"/>
    <xf numFmtId="0" fontId="2" fillId="48" borderId="0" xfId="8726" applyFill="1" applyAlignment="1">
      <alignment horizontal="left"/>
    </xf>
    <xf numFmtId="0" fontId="141" fillId="48" borderId="0" xfId="8726" applyFont="1" applyFill="1"/>
    <xf numFmtId="0" fontId="90" fillId="45" borderId="89" xfId="8726" applyFont="1" applyFill="1" applyBorder="1"/>
    <xf numFmtId="0" fontId="90" fillId="45" borderId="76" xfId="8726" applyFont="1" applyFill="1" applyBorder="1"/>
    <xf numFmtId="0" fontId="90" fillId="45" borderId="75" xfId="8726" applyFont="1" applyFill="1" applyBorder="1"/>
    <xf numFmtId="0" fontId="90" fillId="45" borderId="31" xfId="8726" applyFont="1" applyFill="1" applyBorder="1"/>
    <xf numFmtId="0" fontId="90" fillId="45" borderId="29" xfId="8726" applyFont="1" applyFill="1" applyBorder="1"/>
    <xf numFmtId="0" fontId="90" fillId="45" borderId="65" xfId="8726" applyFont="1" applyFill="1" applyBorder="1"/>
    <xf numFmtId="0" fontId="2" fillId="45" borderId="83" xfId="8726" applyFill="1" applyBorder="1"/>
    <xf numFmtId="0" fontId="2" fillId="45" borderId="82" xfId="8726" applyFill="1" applyBorder="1"/>
    <xf numFmtId="0" fontId="2" fillId="45" borderId="81" xfId="8726" applyFill="1" applyBorder="1"/>
    <xf numFmtId="0" fontId="90" fillId="45" borderId="81" xfId="8726" applyFont="1" applyFill="1" applyBorder="1"/>
    <xf numFmtId="0" fontId="2" fillId="45" borderId="31" xfId="8726" applyFill="1" applyBorder="1"/>
    <xf numFmtId="0" fontId="2" fillId="45" borderId="29" xfId="8726" applyFill="1" applyBorder="1"/>
    <xf numFmtId="0" fontId="2" fillId="45" borderId="67" xfId="8726" applyFill="1" applyBorder="1"/>
    <xf numFmtId="0" fontId="74" fillId="0" borderId="0" xfId="8726" applyFont="1"/>
    <xf numFmtId="0" fontId="2" fillId="45" borderId="99" xfId="8726" applyFill="1" applyBorder="1"/>
    <xf numFmtId="0" fontId="2" fillId="45" borderId="65" xfId="8726" applyFill="1" applyBorder="1"/>
    <xf numFmtId="0" fontId="90" fillId="45" borderId="28" xfId="8726" applyFont="1" applyFill="1" applyBorder="1"/>
    <xf numFmtId="0" fontId="2" fillId="52" borderId="101" xfId="8726" applyFill="1" applyBorder="1"/>
    <xf numFmtId="0" fontId="2" fillId="51" borderId="101" xfId="8726" applyFill="1" applyBorder="1"/>
    <xf numFmtId="0" fontId="90" fillId="50" borderId="100" xfId="8726" applyFont="1" applyFill="1" applyBorder="1"/>
    <xf numFmtId="0" fontId="90" fillId="0" borderId="0" xfId="8726" applyFont="1"/>
    <xf numFmtId="0" fontId="90" fillId="48" borderId="41" xfId="8726" applyFont="1" applyFill="1" applyBorder="1"/>
    <xf numFmtId="0" fontId="139" fillId="48" borderId="0" xfId="8726" applyFont="1" applyFill="1"/>
    <xf numFmtId="182" fontId="153" fillId="48" borderId="0" xfId="8727" applyNumberFormat="1" applyFont="1" applyFill="1" applyBorder="1" applyAlignment="1"/>
    <xf numFmtId="0" fontId="21" fillId="0" borderId="4" xfId="569" applyFont="1" applyBorder="1" applyAlignment="1">
      <alignment horizontal="center"/>
    </xf>
    <xf numFmtId="43" fontId="21" fillId="0" borderId="0" xfId="4504" applyFont="1" applyAlignment="1" applyProtection="1">
      <alignment horizontal="center"/>
    </xf>
    <xf numFmtId="0" fontId="21" fillId="0" borderId="0" xfId="569" applyFont="1" applyAlignment="1">
      <alignment horizontal="center" vertical="center"/>
    </xf>
    <xf numFmtId="0" fontId="21" fillId="0" borderId="16" xfId="569" applyFont="1" applyBorder="1" applyAlignment="1">
      <alignment horizontal="center"/>
    </xf>
    <xf numFmtId="49" fontId="21" fillId="0" borderId="4" xfId="569" applyNumberFormat="1" applyFont="1" applyBorder="1" applyAlignment="1">
      <alignment horizontal="center"/>
    </xf>
    <xf numFmtId="4" fontId="21" fillId="0" borderId="0" xfId="569" applyNumberFormat="1" applyFont="1" applyAlignment="1">
      <alignment horizontal="center"/>
    </xf>
    <xf numFmtId="0" fontId="14" fillId="0" borderId="0" xfId="569" applyAlignment="1">
      <alignment horizontal="center" wrapText="1"/>
    </xf>
    <xf numFmtId="0" fontId="86" fillId="0" borderId="6" xfId="4496" applyFont="1" applyBorder="1" applyAlignment="1">
      <alignment horizontal="left" vertical="top"/>
    </xf>
    <xf numFmtId="0" fontId="0" fillId="5" borderId="6" xfId="0" applyFill="1" applyBorder="1" applyProtection="1">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0" borderId="3" xfId="0" applyBorder="1"/>
    <xf numFmtId="0" fontId="0" fillId="0" borderId="5" xfId="0" applyBorder="1"/>
    <xf numFmtId="0" fontId="14" fillId="0" borderId="3" xfId="0" applyFont="1" applyBorder="1"/>
    <xf numFmtId="0" fontId="14" fillId="0" borderId="4" xfId="0" applyFont="1" applyBorder="1"/>
    <xf numFmtId="0" fontId="14" fillId="0" borderId="5" xfId="0" applyFont="1" applyBorder="1"/>
    <xf numFmtId="0" fontId="37" fillId="0" borderId="0" xfId="0" applyFont="1"/>
    <xf numFmtId="0" fontId="14" fillId="0" borderId="0" xfId="0" applyFont="1" applyAlignment="1">
      <alignment horizontal="center" vertical="center"/>
    </xf>
    <xf numFmtId="0" fontId="14" fillId="0" borderId="0" xfId="0" applyFont="1" applyAlignment="1">
      <alignment horizontal="left" indent="4"/>
    </xf>
    <xf numFmtId="0" fontId="39" fillId="0" borderId="0" xfId="244" applyFont="1" applyFill="1" applyBorder="1" applyAlignment="1" applyProtection="1">
      <alignment horizontal="left"/>
    </xf>
    <xf numFmtId="0" fontId="14" fillId="9" borderId="6" xfId="0" applyFont="1" applyFill="1" applyBorder="1"/>
    <xf numFmtId="166" fontId="14" fillId="0" borderId="0" xfId="0" applyNumberFormat="1" applyFont="1" applyAlignment="1">
      <alignment horizontal="left"/>
    </xf>
    <xf numFmtId="166" fontId="14" fillId="0" borderId="0" xfId="0" applyNumberFormat="1" applyFont="1"/>
    <xf numFmtId="168" fontId="14" fillId="0" borderId="0" xfId="0" applyNumberFormat="1" applyFont="1" applyAlignment="1">
      <alignment horizontal="right"/>
    </xf>
    <xf numFmtId="168" fontId="14" fillId="0" borderId="3" xfId="0" applyNumberFormat="1" applyFont="1" applyBorder="1" applyAlignment="1">
      <alignment vertical="top"/>
    </xf>
    <xf numFmtId="168" fontId="14" fillId="0" borderId="4" xfId="0" applyNumberFormat="1" applyFont="1" applyBorder="1" applyAlignment="1">
      <alignment vertical="top"/>
    </xf>
    <xf numFmtId="168" fontId="14" fillId="0" borderId="5" xfId="0" applyNumberFormat="1" applyFont="1" applyBorder="1" applyAlignment="1">
      <alignment vertical="top"/>
    </xf>
    <xf numFmtId="168" fontId="14" fillId="0" borderId="8" xfId="0" applyNumberFormat="1" applyFont="1" applyBorder="1" applyAlignment="1">
      <alignment vertical="top"/>
    </xf>
    <xf numFmtId="168" fontId="14" fillId="0" borderId="0" xfId="0" applyNumberFormat="1" applyFont="1" applyAlignment="1">
      <alignment vertical="top"/>
    </xf>
    <xf numFmtId="0" fontId="14" fillId="0" borderId="0" xfId="0" applyFont="1" applyAlignment="1">
      <alignment horizontal="right" vertical="top"/>
    </xf>
    <xf numFmtId="0" fontId="14" fillId="0" borderId="12" xfId="0" applyFont="1" applyBorder="1" applyAlignment="1">
      <alignment horizontal="right" vertical="top"/>
    </xf>
    <xf numFmtId="0" fontId="14" fillId="5" borderId="4" xfId="0" applyFont="1" applyFill="1" applyBorder="1" applyAlignment="1" applyProtection="1">
      <alignment horizontal="left" vertical="top"/>
      <protection locked="0"/>
    </xf>
    <xf numFmtId="0" fontId="14" fillId="5" borderId="5" xfId="0" applyFont="1" applyFill="1" applyBorder="1" applyAlignment="1" applyProtection="1">
      <alignment horizontal="left" vertical="top"/>
      <protection locked="0"/>
    </xf>
    <xf numFmtId="0" fontId="14" fillId="8" borderId="0" xfId="542" quotePrefix="1" applyFont="1" applyFill="1" applyAlignment="1">
      <alignment horizontal="left"/>
    </xf>
    <xf numFmtId="0" fontId="21" fillId="8" borderId="0" xfId="539" applyFont="1" applyFill="1" applyAlignment="1" applyProtection="1">
      <alignment horizontal="centerContinuous"/>
    </xf>
    <xf numFmtId="0" fontId="14" fillId="8" borderId="0" xfId="542" applyFont="1" applyFill="1"/>
    <xf numFmtId="5" fontId="14" fillId="0" borderId="0" xfId="542" applyNumberFormat="1" applyFont="1"/>
    <xf numFmtId="9" fontId="14" fillId="0" borderId="0" xfId="0" applyNumberFormat="1" applyFont="1"/>
    <xf numFmtId="168" fontId="21" fillId="0" borderId="6" xfId="543" applyNumberFormat="1" applyFont="1" applyBorder="1" applyAlignment="1">
      <alignment horizontal="left"/>
    </xf>
    <xf numFmtId="168" fontId="21" fillId="0" borderId="6" xfId="543" applyNumberFormat="1" applyFont="1" applyBorder="1" applyAlignment="1">
      <alignment horizontal="center"/>
    </xf>
    <xf numFmtId="0" fontId="14" fillId="0" borderId="11" xfId="0" applyFont="1" applyBorder="1" applyAlignment="1">
      <alignment horizontal="left"/>
    </xf>
    <xf numFmtId="0" fontId="14" fillId="0" borderId="7" xfId="0" applyFont="1" applyBorder="1"/>
    <xf numFmtId="0" fontId="14" fillId="0" borderId="12" xfId="0" applyFont="1" applyBorder="1"/>
    <xf numFmtId="0" fontId="14" fillId="0" borderId="10" xfId="0" applyFont="1" applyBorder="1"/>
    <xf numFmtId="0" fontId="24" fillId="0" borderId="0" xfId="543" applyFont="1"/>
    <xf numFmtId="0" fontId="14" fillId="0" borderId="1" xfId="0" applyFont="1" applyBorder="1"/>
    <xf numFmtId="0" fontId="32" fillId="0" borderId="7" xfId="543" applyFont="1" applyBorder="1"/>
    <xf numFmtId="0" fontId="21" fillId="0" borderId="12" xfId="543" applyFont="1" applyBorder="1" applyAlignment="1">
      <alignment horizontal="center" vertical="top"/>
    </xf>
    <xf numFmtId="0" fontId="22" fillId="0" borderId="8" xfId="543" applyFont="1" applyBorder="1" applyAlignment="1">
      <alignment horizontal="left" vertical="top" wrapText="1"/>
    </xf>
    <xf numFmtId="0" fontId="22" fillId="0" borderId="12" xfId="543" applyFont="1" applyBorder="1" applyAlignment="1">
      <alignment horizontal="center" vertical="top" wrapText="1"/>
    </xf>
    <xf numFmtId="0" fontId="22" fillId="0" borderId="1" xfId="543" applyFont="1" applyBorder="1" applyAlignment="1">
      <alignment horizontal="left" vertical="top" wrapText="1"/>
    </xf>
    <xf numFmtId="0" fontId="22" fillId="0" borderId="2" xfId="543" applyFont="1" applyBorder="1" applyAlignment="1">
      <alignment horizontal="center" vertical="top" wrapText="1"/>
    </xf>
    <xf numFmtId="0" fontId="22" fillId="0" borderId="0" xfId="543" applyFont="1" applyAlignment="1">
      <alignment horizontal="center" vertical="top" wrapText="1"/>
    </xf>
    <xf numFmtId="0" fontId="22" fillId="0" borderId="9" xfId="543" applyFont="1" applyBorder="1" applyAlignment="1">
      <alignment horizontal="left" vertical="top" wrapText="1"/>
    </xf>
    <xf numFmtId="0" fontId="22" fillId="0" borderId="6" xfId="543" applyFont="1" applyBorder="1" applyAlignment="1">
      <alignment horizontal="center" vertical="top" wrapText="1"/>
    </xf>
    <xf numFmtId="0" fontId="21" fillId="0" borderId="0" xfId="543" applyFont="1" applyAlignment="1">
      <alignment horizontal="center"/>
    </xf>
    <xf numFmtId="0" fontId="30" fillId="0" borderId="9" xfId="543" applyFont="1" applyBorder="1" applyAlignment="1">
      <alignment horizontal="left" vertical="top" wrapText="1"/>
    </xf>
    <xf numFmtId="2" fontId="14" fillId="0" borderId="11" xfId="0" applyNumberFormat="1" applyFont="1" applyBorder="1"/>
    <xf numFmtId="0" fontId="14" fillId="0" borderId="15" xfId="0" applyFont="1" applyBorder="1"/>
    <xf numFmtId="0" fontId="30" fillId="0" borderId="8" xfId="543" applyFont="1" applyBorder="1" applyAlignment="1">
      <alignment horizontal="left" vertical="top" wrapText="1"/>
    </xf>
    <xf numFmtId="0" fontId="30" fillId="0" borderId="0" xfId="543" applyFont="1" applyAlignment="1">
      <alignment horizontal="center" vertical="top" wrapText="1"/>
    </xf>
    <xf numFmtId="0" fontId="22" fillId="0" borderId="0" xfId="543" applyFont="1" applyAlignment="1">
      <alignment horizontal="center"/>
    </xf>
    <xf numFmtId="0" fontId="30" fillId="0" borderId="4" xfId="543" applyFont="1" applyBorder="1" applyAlignment="1">
      <alignment horizontal="right" vertical="top" wrapText="1"/>
    </xf>
    <xf numFmtId="0" fontId="30" fillId="0" borderId="0" xfId="543" applyFont="1" applyAlignment="1">
      <alignment horizontal="right" vertical="top" wrapText="1"/>
    </xf>
    <xf numFmtId="0" fontId="21" fillId="0" borderId="0" xfId="543" applyFont="1" applyAlignment="1">
      <alignment horizontal="right" vertical="top" wrapText="1"/>
    </xf>
    <xf numFmtId="0" fontId="21" fillId="0" borderId="2" xfId="543" applyFont="1" applyBorder="1" applyAlignment="1">
      <alignment horizontal="right" vertical="top" wrapText="1"/>
    </xf>
    <xf numFmtId="0" fontId="21" fillId="0" borderId="0" xfId="543" applyFont="1" applyAlignment="1">
      <alignment vertical="center" wrapText="1"/>
    </xf>
    <xf numFmtId="0" fontId="22" fillId="0" borderId="0" xfId="543" applyFont="1"/>
    <xf numFmtId="0" fontId="14" fillId="0" borderId="0" xfId="543" applyAlignment="1">
      <alignment horizontal="left"/>
    </xf>
    <xf numFmtId="0" fontId="44" fillId="4" borderId="11" xfId="0" applyFont="1" applyFill="1" applyBorder="1" applyAlignment="1">
      <alignment vertical="top" wrapText="1"/>
    </xf>
    <xf numFmtId="0" fontId="44" fillId="2" borderId="11" xfId="0" applyFont="1" applyFill="1" applyBorder="1" applyAlignment="1">
      <alignment vertical="top" wrapText="1"/>
    </xf>
    <xf numFmtId="168" fontId="44" fillId="6" borderId="11" xfId="0" applyNumberFormat="1" applyFont="1" applyFill="1" applyBorder="1" applyAlignment="1">
      <alignment horizontal="center" vertical="top" wrapText="1"/>
    </xf>
    <xf numFmtId="0" fontId="44" fillId="0" borderId="11" xfId="0" applyFont="1" applyBorder="1" applyAlignment="1">
      <alignment horizontal="right" vertical="top"/>
    </xf>
    <xf numFmtId="168" fontId="44" fillId="0" borderId="11" xfId="0" applyNumberFormat="1" applyFont="1" applyBorder="1" applyAlignment="1">
      <alignment vertical="top"/>
    </xf>
    <xf numFmtId="168" fontId="44" fillId="5" borderId="11" xfId="0" applyNumberFormat="1" applyFont="1" applyFill="1" applyBorder="1" applyAlignment="1" applyProtection="1">
      <alignment vertical="top"/>
      <protection locked="0"/>
    </xf>
    <xf numFmtId="168" fontId="44" fillId="6" borderId="11" xfId="0" applyNumberFormat="1" applyFont="1" applyFill="1" applyBorder="1" applyAlignment="1">
      <alignment horizontal="center" vertical="top"/>
    </xf>
    <xf numFmtId="0" fontId="44" fillId="2" borderId="11" xfId="0" applyFont="1" applyFill="1" applyBorder="1" applyAlignment="1" applyProtection="1">
      <alignment vertical="top"/>
      <protection locked="0"/>
    </xf>
    <xf numFmtId="168" fontId="44" fillId="44" borderId="11" xfId="0" applyNumberFormat="1" applyFont="1" applyFill="1" applyBorder="1" applyAlignment="1">
      <alignment vertical="top" wrapText="1"/>
    </xf>
    <xf numFmtId="0" fontId="44" fillId="0" borderId="0" xfId="0" applyFont="1" applyAlignment="1">
      <alignment horizontal="left" vertical="top"/>
    </xf>
    <xf numFmtId="3" fontId="44" fillId="0" borderId="11" xfId="0" applyNumberFormat="1" applyFont="1" applyBorder="1" applyAlignment="1">
      <alignment vertical="top" wrapText="1"/>
    </xf>
    <xf numFmtId="0" fontId="44" fillId="2" borderId="12" xfId="0" applyFont="1" applyFill="1" applyBorder="1" applyAlignment="1">
      <alignment vertical="top" wrapText="1"/>
    </xf>
    <xf numFmtId="0" fontId="14" fillId="0" borderId="0" xfId="0" applyFont="1" applyAlignment="1">
      <alignment horizontal="right" vertical="top" wrapText="1"/>
    </xf>
    <xf numFmtId="10" fontId="14" fillId="5" borderId="6" xfId="0" applyNumberFormat="1" applyFont="1" applyFill="1" applyBorder="1" applyAlignment="1" applyProtection="1">
      <alignment horizontal="center" vertical="top" wrapText="1"/>
      <protection locked="0"/>
    </xf>
    <xf numFmtId="172" fontId="14" fillId="0" borderId="0" xfId="0" applyNumberFormat="1" applyFont="1" applyAlignment="1">
      <alignment horizontal="center"/>
    </xf>
    <xf numFmtId="10" fontId="37" fillId="0" borderId="0" xfId="0" applyNumberFormat="1" applyFont="1" applyAlignment="1">
      <alignment horizontal="center"/>
    </xf>
    <xf numFmtId="172" fontId="14" fillId="5" borderId="0" xfId="0" applyNumberFormat="1" applyFont="1" applyFill="1" applyAlignment="1">
      <alignment horizontal="center"/>
    </xf>
    <xf numFmtId="3" fontId="14" fillId="0" borderId="0" xfId="0" applyNumberFormat="1" applyFont="1" applyAlignment="1">
      <alignment vertical="top"/>
    </xf>
    <xf numFmtId="0" fontId="14" fillId="0" borderId="0" xfId="0" applyFont="1" applyAlignment="1">
      <alignment horizontal="left" vertical="top" wrapText="1"/>
    </xf>
    <xf numFmtId="0" fontId="38" fillId="0" borderId="0" xfId="0" applyFont="1" applyAlignment="1">
      <alignment horizontal="left" vertical="top" wrapText="1"/>
    </xf>
    <xf numFmtId="0" fontId="14" fillId="0" borderId="0" xfId="0" applyFont="1" applyAlignment="1">
      <alignment horizontal="left" wrapText="1"/>
    </xf>
    <xf numFmtId="0" fontId="15" fillId="0" borderId="0" xfId="244" applyAlignment="1"/>
    <xf numFmtId="0" fontId="14" fillId="0" borderId="0" xfId="1192" applyAlignment="1">
      <alignment horizontal="left" vertical="top" wrapText="1"/>
    </xf>
    <xf numFmtId="0" fontId="21" fillId="0" borderId="0" xfId="0" applyFont="1" applyAlignment="1">
      <alignment horizontal="left" vertical="top" wrapText="1"/>
    </xf>
    <xf numFmtId="0" fontId="14" fillId="0" borderId="0" xfId="1192" applyAlignment="1">
      <alignment horizontal="left"/>
    </xf>
    <xf numFmtId="4" fontId="14" fillId="0" borderId="0" xfId="1192" applyNumberFormat="1" applyAlignment="1">
      <alignment horizontal="left" vertical="top" wrapText="1"/>
    </xf>
    <xf numFmtId="0" fontId="32" fillId="0" borderId="0" xfId="0" applyFont="1" applyAlignment="1">
      <alignment horizontal="left"/>
    </xf>
    <xf numFmtId="0" fontId="21" fillId="0" borderId="0" xfId="0" applyFont="1" applyAlignment="1">
      <alignment horizontal="left"/>
    </xf>
    <xf numFmtId="0" fontId="32" fillId="0" borderId="0" xfId="569" applyFont="1" applyAlignment="1">
      <alignment horizontal="left"/>
    </xf>
    <xf numFmtId="0" fontId="14" fillId="0" borderId="0" xfId="569" applyAlignment="1">
      <alignment horizontal="left" vertical="top" wrapText="1"/>
    </xf>
    <xf numFmtId="0" fontId="14" fillId="0" borderId="0" xfId="569" applyAlignment="1">
      <alignment horizontal="left"/>
    </xf>
    <xf numFmtId="0" fontId="14" fillId="0" borderId="0" xfId="569" applyAlignment="1">
      <alignment horizontal="left" vertical="top"/>
    </xf>
    <xf numFmtId="0" fontId="14" fillId="0" borderId="0" xfId="271" applyFont="1" applyAlignment="1">
      <alignment horizontal="left" vertical="top" wrapText="1"/>
    </xf>
    <xf numFmtId="0" fontId="14" fillId="0" borderId="0" xfId="0" applyFont="1" applyAlignment="1">
      <alignment horizontal="left" vertical="top"/>
    </xf>
    <xf numFmtId="0" fontId="32" fillId="0" borderId="0" xfId="0" applyFont="1" applyAlignment="1">
      <alignment horizontal="center"/>
    </xf>
    <xf numFmtId="0" fontId="0" fillId="0" borderId="0" xfId="0" applyAlignment="1">
      <alignment horizontal="center"/>
    </xf>
    <xf numFmtId="0" fontId="21" fillId="0" borderId="0" xfId="0" applyFont="1" applyAlignment="1">
      <alignment horizontal="center"/>
    </xf>
    <xf numFmtId="4" fontId="32" fillId="0" borderId="0" xfId="0" applyNumberFormat="1" applyFont="1" applyAlignment="1">
      <alignment horizontal="left"/>
    </xf>
    <xf numFmtId="4" fontId="14" fillId="0" borderId="0" xfId="0" applyNumberFormat="1" applyFont="1" applyAlignment="1">
      <alignment horizontal="left" vertical="top" wrapText="1"/>
    </xf>
    <xf numFmtId="0" fontId="21" fillId="0" borderId="0" xfId="569" applyFont="1" applyAlignment="1">
      <alignment horizontal="left" vertical="top"/>
    </xf>
    <xf numFmtId="0" fontId="15" fillId="0" borderId="0" xfId="244" quotePrefix="1" applyAlignment="1" applyProtection="1">
      <alignment horizontal="left"/>
    </xf>
    <xf numFmtId="0" fontId="21" fillId="0" borderId="4" xfId="0" applyFont="1" applyBorder="1" applyAlignment="1">
      <alignment horizontal="left"/>
    </xf>
    <xf numFmtId="4" fontId="14" fillId="0" borderId="0" xfId="569" applyNumberFormat="1" applyAlignment="1">
      <alignment horizontal="left"/>
    </xf>
    <xf numFmtId="0" fontId="14" fillId="0" borderId="0" xfId="569" applyAlignment="1">
      <alignment wrapText="1"/>
    </xf>
    <xf numFmtId="0" fontId="14" fillId="0" borderId="0" xfId="1192" applyAlignment="1">
      <alignment vertical="top" wrapText="1"/>
    </xf>
    <xf numFmtId="4" fontId="14" fillId="0" borderId="0" xfId="0" applyNumberFormat="1" applyFont="1" applyAlignment="1">
      <alignment horizontal="left"/>
    </xf>
    <xf numFmtId="0" fontId="14" fillId="0" borderId="0" xfId="0" applyFont="1" applyAlignment="1">
      <alignment vertical="top" wrapText="1"/>
    </xf>
    <xf numFmtId="0" fontId="21" fillId="0" borderId="0" xfId="0" applyFont="1" applyAlignment="1">
      <alignment vertical="top" wrapText="1"/>
    </xf>
    <xf numFmtId="0" fontId="21" fillId="0" borderId="0" xfId="1192" applyFont="1" applyAlignment="1">
      <alignment horizontal="left" vertical="top" wrapText="1"/>
    </xf>
    <xf numFmtId="0" fontId="14" fillId="0" borderId="0" xfId="569" applyAlignment="1">
      <alignment vertical="top" wrapText="1"/>
    </xf>
    <xf numFmtId="0" fontId="14" fillId="0" borderId="0" xfId="0" quotePrefix="1" applyFont="1" applyAlignment="1">
      <alignment horizontal="left" vertical="top"/>
    </xf>
    <xf numFmtId="0" fontId="21" fillId="0" borderId="0" xfId="569" applyFont="1" applyAlignment="1">
      <alignment horizontal="center"/>
    </xf>
    <xf numFmtId="0" fontId="21" fillId="0" borderId="0" xfId="0" applyFont="1" applyAlignment="1">
      <alignment horizontal="left" vertical="top"/>
    </xf>
    <xf numFmtId="0" fontId="21" fillId="0" borderId="0" xfId="569" applyFont="1" applyAlignment="1">
      <alignment horizontal="left"/>
    </xf>
    <xf numFmtId="0" fontId="32" fillId="0" borderId="0" xfId="569" applyFont="1" applyAlignment="1">
      <alignment horizontal="center"/>
    </xf>
    <xf numFmtId="0" fontId="21" fillId="0" borderId="0" xfId="0" applyFont="1" applyAlignment="1">
      <alignment horizontal="center" vertical="center"/>
    </xf>
    <xf numFmtId="0" fontId="41" fillId="0" borderId="0" xfId="0" applyFont="1" applyAlignment="1">
      <alignment horizontal="center"/>
    </xf>
    <xf numFmtId="0" fontId="14" fillId="0" borderId="0" xfId="0" applyFont="1" applyAlignment="1">
      <alignment horizontal="center"/>
    </xf>
    <xf numFmtId="0" fontId="29" fillId="0" borderId="0" xfId="0" applyFont="1" applyAlignment="1">
      <alignment horizontal="center"/>
    </xf>
    <xf numFmtId="0" fontId="14" fillId="0" borderId="0" xfId="0" applyFont="1" applyAlignment="1">
      <alignment wrapText="1"/>
    </xf>
    <xf numFmtId="0" fontId="22" fillId="0" borderId="0" xfId="0" applyFont="1" applyAlignment="1">
      <alignment horizontal="center"/>
    </xf>
    <xf numFmtId="0" fontId="21" fillId="0" borderId="4" xfId="0" applyFont="1" applyBorder="1" applyAlignment="1">
      <alignment horizontal="right"/>
    </xf>
    <xf numFmtId="0" fontId="21" fillId="0" borderId="5" xfId="0" applyFont="1" applyBorder="1" applyAlignment="1">
      <alignment horizontal="right"/>
    </xf>
    <xf numFmtId="0" fontId="21" fillId="0" borderId="6" xfId="0" applyFont="1" applyBorder="1" applyAlignment="1">
      <alignment horizontal="right"/>
    </xf>
    <xf numFmtId="0" fontId="0" fillId="0" borderId="6" xfId="0" applyBorder="1" applyAlignment="1">
      <alignment horizontal="left"/>
    </xf>
    <xf numFmtId="0" fontId="0" fillId="5" borderId="4" xfId="0" applyFill="1" applyBorder="1" applyAlignment="1" applyProtection="1">
      <alignment horizontal="left"/>
      <protection locked="0"/>
    </xf>
    <xf numFmtId="0" fontId="14" fillId="0" borderId="3" xfId="0" applyFont="1" applyBorder="1" applyAlignment="1">
      <alignment horizontal="center"/>
    </xf>
    <xf numFmtId="0" fontId="14" fillId="0" borderId="4" xfId="0" applyFont="1" applyBorder="1" applyAlignment="1">
      <alignment horizontal="center"/>
    </xf>
    <xf numFmtId="0" fontId="14" fillId="0" borderId="5" xfId="0" applyFont="1" applyBorder="1" applyAlignment="1">
      <alignment horizontal="center"/>
    </xf>
    <xf numFmtId="0" fontId="21" fillId="0" borderId="2" xfId="0" applyFont="1" applyBorder="1" applyAlignment="1">
      <alignment horizontal="center"/>
    </xf>
    <xf numFmtId="0" fontId="21" fillId="0" borderId="7" xfId="543" applyFont="1" applyBorder="1" applyAlignment="1">
      <alignment horizontal="right"/>
    </xf>
    <xf numFmtId="0" fontId="21" fillId="0" borderId="0" xfId="0" applyFont="1" applyAlignment="1">
      <alignment horizontal="center" vertical="center" wrapText="1"/>
    </xf>
    <xf numFmtId="0" fontId="21" fillId="0" borderId="12" xfId="0" applyFont="1" applyBorder="1" applyAlignment="1">
      <alignment horizontal="center" vertical="center" wrapText="1"/>
    </xf>
    <xf numFmtId="0" fontId="0" fillId="0" borderId="3" xfId="0" applyBorder="1" applyAlignment="1">
      <alignment horizontal="left"/>
    </xf>
    <xf numFmtId="0" fontId="0" fillId="0" borderId="4" xfId="0" applyBorder="1" applyAlignment="1">
      <alignment horizontal="left"/>
    </xf>
    <xf numFmtId="0" fontId="14" fillId="0" borderId="0" xfId="543" applyAlignment="1">
      <alignment horizontal="center"/>
    </xf>
    <xf numFmtId="0" fontId="21" fillId="0" borderId="7" xfId="0" applyFont="1" applyBorder="1" applyAlignment="1">
      <alignment horizontal="right"/>
    </xf>
    <xf numFmtId="0" fontId="21" fillId="0" borderId="6" xfId="0" applyFont="1" applyBorder="1" applyAlignment="1">
      <alignment horizontal="center"/>
    </xf>
    <xf numFmtId="0" fontId="14" fillId="0" borderId="4" xfId="0" applyFont="1" applyBorder="1" applyAlignment="1">
      <alignment horizontal="left"/>
    </xf>
    <xf numFmtId="0" fontId="0" fillId="5" borderId="3" xfId="0" applyFill="1" applyBorder="1" applyAlignment="1" applyProtection="1">
      <alignment horizontal="left"/>
      <protection locked="0"/>
    </xf>
    <xf numFmtId="0" fontId="21" fillId="0" borderId="4" xfId="0" applyFont="1" applyBorder="1" applyAlignment="1">
      <alignment horizontal="center"/>
    </xf>
    <xf numFmtId="0" fontId="21" fillId="0" borderId="8" xfId="0" applyFont="1" applyBorder="1" applyAlignment="1">
      <alignment horizontal="center" vertical="center" wrapText="1"/>
    </xf>
    <xf numFmtId="0" fontId="21" fillId="0" borderId="8" xfId="0" applyFont="1" applyBorder="1" applyAlignment="1">
      <alignment horizontal="center" wrapText="1"/>
    </xf>
    <xf numFmtId="0" fontId="21" fillId="0" borderId="1" xfId="0" applyFont="1" applyBorder="1" applyAlignment="1">
      <alignment horizontal="center" wrapText="1"/>
    </xf>
    <xf numFmtId="0" fontId="0" fillId="0" borderId="6" xfId="0" applyBorder="1" applyAlignment="1">
      <alignment horizontal="left" wrapText="1"/>
    </xf>
    <xf numFmtId="0" fontId="0" fillId="0" borderId="12" xfId="0" applyBorder="1" applyAlignment="1">
      <alignment horizontal="center"/>
    </xf>
    <xf numFmtId="0" fontId="0" fillId="0" borderId="5" xfId="0" applyBorder="1" applyAlignment="1">
      <alignment horizontal="left"/>
    </xf>
    <xf numFmtId="0" fontId="14" fillId="0" borderId="0" xfId="0" applyFont="1" applyAlignment="1" applyProtection="1">
      <alignment horizontal="left"/>
      <protection locked="0"/>
    </xf>
    <xf numFmtId="0" fontId="0" fillId="0" borderId="0" xfId="0" applyAlignment="1">
      <alignment vertical="top" wrapText="1"/>
    </xf>
    <xf numFmtId="0" fontId="44" fillId="0" borderId="0" xfId="0" applyFont="1" applyAlignment="1">
      <alignment vertical="top" wrapText="1"/>
    </xf>
    <xf numFmtId="0" fontId="14" fillId="0" borderId="0" xfId="569" applyAlignment="1">
      <alignment horizontal="right" vertical="top" wrapText="1"/>
    </xf>
    <xf numFmtId="0" fontId="14" fillId="0" borderId="0" xfId="4495" applyFont="1" applyAlignment="1">
      <alignment horizontal="left" vertical="center" wrapText="1"/>
    </xf>
    <xf numFmtId="0" fontId="21" fillId="0" borderId="0" xfId="4495" applyFont="1" applyAlignment="1">
      <alignment horizontal="right"/>
    </xf>
    <xf numFmtId="0" fontId="110" fillId="0" borderId="53" xfId="4496" applyFont="1" applyBorder="1" applyAlignment="1">
      <alignment horizontal="left" vertical="top" wrapText="1"/>
    </xf>
    <xf numFmtId="0" fontId="110" fillId="0" borderId="0" xfId="4496" applyFont="1" applyAlignment="1">
      <alignment horizontal="left" vertical="top" wrapText="1"/>
    </xf>
    <xf numFmtId="0" fontId="110" fillId="0" borderId="54" xfId="4496" applyFont="1" applyBorder="1" applyAlignment="1">
      <alignment horizontal="left" vertical="top" wrapText="1"/>
    </xf>
    <xf numFmtId="0" fontId="14" fillId="0" borderId="58" xfId="4495" applyFont="1" applyBorder="1" applyAlignment="1">
      <alignment vertical="center" wrapText="1"/>
    </xf>
    <xf numFmtId="0" fontId="14" fillId="0" borderId="59" xfId="4495" applyFont="1" applyBorder="1" applyAlignment="1">
      <alignment vertical="center" wrapText="1"/>
    </xf>
    <xf numFmtId="0" fontId="21" fillId="0" borderId="0" xfId="4495" applyFont="1" applyAlignment="1">
      <alignment horizontal="center" vertical="top"/>
    </xf>
    <xf numFmtId="0" fontId="14" fillId="0" borderId="0" xfId="1192" applyAlignment="1">
      <alignment horizontal="right"/>
    </xf>
    <xf numFmtId="9" fontId="14" fillId="0" borderId="0" xfId="1192" quotePrefix="1" applyNumberFormat="1" applyAlignment="1">
      <alignment horizontal="center"/>
    </xf>
    <xf numFmtId="0" fontId="14" fillId="0" borderId="0" xfId="4495" applyFont="1" applyAlignment="1">
      <alignment horizontal="left"/>
    </xf>
    <xf numFmtId="0" fontId="21" fillId="0" borderId="0" xfId="4495" applyFont="1" applyAlignment="1">
      <alignment horizontal="left" vertical="top"/>
    </xf>
    <xf numFmtId="0" fontId="108" fillId="0" borderId="0" xfId="4495" applyAlignment="1" applyProtection="1">
      <alignment horizontal="center"/>
      <protection locked="0"/>
    </xf>
    <xf numFmtId="165" fontId="14" fillId="0" borderId="0" xfId="1192" applyNumberFormat="1" applyAlignment="1">
      <alignment horizontal="right"/>
    </xf>
    <xf numFmtId="0" fontId="14" fillId="0" borderId="0" xfId="4495" applyFont="1" applyAlignment="1">
      <alignment horizontal="left" vertical="top" wrapText="1"/>
    </xf>
    <xf numFmtId="0" fontId="14" fillId="0" borderId="58" xfId="4495" applyFont="1" applyBorder="1" applyAlignment="1">
      <alignment horizontal="left" vertical="top" wrapText="1"/>
    </xf>
    <xf numFmtId="0" fontId="14" fillId="0" borderId="51" xfId="4495" applyFont="1" applyBorder="1" applyAlignment="1">
      <alignment horizontal="left" vertical="top" wrapText="1"/>
    </xf>
    <xf numFmtId="0" fontId="118" fillId="0" borderId="0" xfId="4495" applyFont="1" applyAlignment="1">
      <alignment horizontal="left" vertical="top" wrapText="1"/>
    </xf>
    <xf numFmtId="0" fontId="21" fillId="0" borderId="0" xfId="4495" applyFont="1" applyAlignment="1">
      <alignment horizontal="center"/>
    </xf>
    <xf numFmtId="0" fontId="21" fillId="0" borderId="54" xfId="4495" applyFont="1" applyBorder="1" applyAlignment="1">
      <alignment horizontal="center"/>
    </xf>
    <xf numFmtId="0" fontId="22" fillId="0" borderId="51" xfId="4495" applyFont="1" applyBorder="1" applyAlignment="1">
      <alignment horizontal="left" vertical="top" wrapText="1"/>
    </xf>
    <xf numFmtId="0" fontId="22" fillId="0" borderId="0" xfId="4495" applyFont="1" applyAlignment="1">
      <alignment horizontal="left" vertical="top" wrapText="1"/>
    </xf>
    <xf numFmtId="0" fontId="21" fillId="0" borderId="54" xfId="4495" applyFont="1" applyBorder="1" applyAlignment="1">
      <alignment horizontal="center" vertical="top"/>
    </xf>
    <xf numFmtId="0" fontId="14" fillId="0" borderId="0" xfId="4495" applyFont="1" applyAlignment="1">
      <alignment horizontal="left" vertical="center" wrapText="1" shrinkToFit="1"/>
    </xf>
    <xf numFmtId="0" fontId="22" fillId="0" borderId="0" xfId="4495" applyFont="1" applyAlignment="1">
      <alignment horizontal="center"/>
    </xf>
    <xf numFmtId="0" fontId="14" fillId="0" borderId="0" xfId="4495" applyFont="1" applyAlignment="1">
      <alignment horizontal="left" vertical="top" wrapText="1" shrinkToFit="1"/>
    </xf>
    <xf numFmtId="44" fontId="14" fillId="0" borderId="0" xfId="707" applyFont="1" applyFill="1" applyBorder="1" applyAlignment="1" applyProtection="1">
      <alignment horizontal="left" vertical="top" wrapText="1"/>
    </xf>
    <xf numFmtId="0" fontId="21" fillId="0" borderId="0" xfId="4495" applyFont="1" applyAlignment="1">
      <alignment horizontal="left" vertical="top" wrapText="1"/>
    </xf>
    <xf numFmtId="0" fontId="108" fillId="0" borderId="0" xfId="4495" applyAlignment="1">
      <alignment horizontal="center"/>
    </xf>
    <xf numFmtId="0" fontId="108" fillId="0" borderId="53" xfId="4495" applyBorder="1" applyAlignment="1">
      <alignment horizontal="center"/>
    </xf>
    <xf numFmtId="0" fontId="21" fillId="0" borderId="4" xfId="4495" applyFont="1" applyBorder="1" applyAlignment="1">
      <alignment horizontal="left"/>
    </xf>
    <xf numFmtId="0" fontId="21" fillId="0" borderId="5" xfId="4495" applyFont="1" applyBorder="1" applyAlignment="1">
      <alignment horizontal="left"/>
    </xf>
    <xf numFmtId="0" fontId="21" fillId="0" borderId="3" xfId="4495" applyFont="1" applyBorder="1" applyAlignment="1">
      <alignment horizontal="left"/>
    </xf>
    <xf numFmtId="168" fontId="86" fillId="0" borderId="11" xfId="4499" applyNumberFormat="1" applyFont="1" applyFill="1" applyBorder="1" applyAlignment="1" applyProtection="1">
      <alignment horizontal="left" vertical="center" indent="1"/>
    </xf>
    <xf numFmtId="0" fontId="137" fillId="47" borderId="11" xfId="8726" applyFont="1" applyFill="1" applyBorder="1" applyAlignment="1">
      <alignment horizontal="center"/>
    </xf>
    <xf numFmtId="0" fontId="137" fillId="47" borderId="91" xfId="8726" applyFont="1" applyFill="1" applyBorder="1" applyAlignment="1">
      <alignment horizontal="center"/>
    </xf>
    <xf numFmtId="0" fontId="90" fillId="48" borderId="41" xfId="8726" applyFont="1" applyFill="1" applyBorder="1" applyAlignment="1">
      <alignment horizontal="center"/>
    </xf>
    <xf numFmtId="0" fontId="44" fillId="0" borderId="0" xfId="569" applyFont="1" applyAlignment="1">
      <alignment horizontal="left"/>
    </xf>
    <xf numFmtId="0" fontId="20" fillId="3" borderId="0" xfId="0" applyFont="1" applyFill="1" applyAlignment="1">
      <alignment horizontal="center" vertical="center" wrapText="1"/>
    </xf>
    <xf numFmtId="0" fontId="20" fillId="3" borderId="16" xfId="0" applyFont="1" applyFill="1" applyBorder="1" applyAlignment="1">
      <alignment horizontal="center" vertical="center" wrapText="1"/>
    </xf>
    <xf numFmtId="0" fontId="14" fillId="0" borderId="0" xfId="0" applyFont="1" applyAlignment="1">
      <alignment horizontal="left" vertical="top" wrapText="1"/>
    </xf>
    <xf numFmtId="0" fontId="93" fillId="0" borderId="0" xfId="0" applyFont="1" applyAlignment="1">
      <alignment horizontal="left" vertical="top" wrapText="1"/>
    </xf>
    <xf numFmtId="0" fontId="38" fillId="0" borderId="0" xfId="0" applyFont="1" applyAlignment="1">
      <alignment horizontal="left" vertical="top" wrapText="1"/>
    </xf>
    <xf numFmtId="0" fontId="101" fillId="0" borderId="0" xfId="0" applyFont="1" applyAlignment="1">
      <alignment horizontal="left" wrapText="1"/>
    </xf>
    <xf numFmtId="0" fontId="14" fillId="0" borderId="0" xfId="0" applyFont="1" applyAlignment="1">
      <alignment horizontal="left" wrapText="1"/>
    </xf>
    <xf numFmtId="0" fontId="23" fillId="0" borderId="0" xfId="0" applyFont="1" applyAlignment="1">
      <alignment horizontal="left" wrapText="1"/>
    </xf>
    <xf numFmtId="0" fontId="15" fillId="0" borderId="0" xfId="244" applyAlignment="1" applyProtection="1">
      <alignment horizontal="left"/>
    </xf>
    <xf numFmtId="0" fontId="15" fillId="0" borderId="0" xfId="244" applyAlignment="1"/>
    <xf numFmtId="0" fontId="0" fillId="0" borderId="0" xfId="0"/>
    <xf numFmtId="0" fontId="14" fillId="0" borderId="0" xfId="1192" applyAlignment="1">
      <alignment horizontal="left" vertical="top" wrapText="1"/>
    </xf>
    <xf numFmtId="0" fontId="21" fillId="0" borderId="0" xfId="0" applyFont="1" applyAlignment="1">
      <alignment horizontal="left" vertical="top" wrapText="1"/>
    </xf>
    <xf numFmtId="0" fontId="14" fillId="0" borderId="0" xfId="0" applyFont="1" applyAlignment="1">
      <alignment horizontal="left"/>
    </xf>
    <xf numFmtId="0" fontId="32" fillId="0" borderId="0" xfId="1192" applyFont="1" applyAlignment="1">
      <alignment horizontal="left"/>
    </xf>
    <xf numFmtId="0" fontId="14" fillId="0" borderId="0" xfId="1192" applyAlignment="1">
      <alignment horizontal="left"/>
    </xf>
    <xf numFmtId="4" fontId="14" fillId="0" borderId="0" xfId="1192" applyNumberFormat="1" applyAlignment="1">
      <alignment horizontal="left" vertical="top" wrapText="1"/>
    </xf>
    <xf numFmtId="0" fontId="21" fillId="0" borderId="4" xfId="569" applyFont="1" applyBorder="1" applyAlignment="1">
      <alignment horizontal="left"/>
    </xf>
    <xf numFmtId="0" fontId="32" fillId="0" borderId="0" xfId="0" applyFont="1" applyAlignment="1">
      <alignment horizontal="left"/>
    </xf>
    <xf numFmtId="0" fontId="21" fillId="0" borderId="0" xfId="271" applyFont="1" applyAlignment="1">
      <alignment horizontal="left" vertical="top" wrapText="1"/>
    </xf>
    <xf numFmtId="0" fontId="0" fillId="0" borderId="0" xfId="0" applyAlignment="1">
      <alignment horizontal="left" vertical="top" wrapText="1"/>
    </xf>
    <xf numFmtId="0" fontId="14" fillId="0" borderId="0" xfId="271" applyFont="1" applyAlignment="1" applyProtection="1">
      <alignment horizontal="left" vertical="top" wrapText="1"/>
      <protection locked="0"/>
    </xf>
    <xf numFmtId="0" fontId="15" fillId="0" borderId="0" xfId="244" applyAlignment="1">
      <alignment horizontal="left"/>
    </xf>
    <xf numFmtId="0" fontId="21" fillId="0" borderId="0" xfId="0" applyFont="1" applyAlignment="1">
      <alignment horizontal="left"/>
    </xf>
    <xf numFmtId="0" fontId="21" fillId="0" borderId="16" xfId="0" applyFont="1" applyBorder="1" applyAlignment="1">
      <alignment horizontal="left"/>
    </xf>
    <xf numFmtId="0" fontId="14" fillId="0" borderId="27" xfId="0" applyFont="1" applyBorder="1" applyAlignment="1">
      <alignment horizontal="left"/>
    </xf>
    <xf numFmtId="4" fontId="14" fillId="0" borderId="0" xfId="569" applyNumberFormat="1" applyAlignment="1">
      <alignment horizontal="left" vertical="top" wrapText="1"/>
    </xf>
    <xf numFmtId="0" fontId="32" fillId="0" borderId="0" xfId="569" applyFont="1" applyAlignment="1">
      <alignment horizontal="left"/>
    </xf>
    <xf numFmtId="0" fontId="14" fillId="0" borderId="0" xfId="569" applyAlignment="1">
      <alignment horizontal="left" vertical="top" wrapText="1"/>
    </xf>
    <xf numFmtId="0" fontId="14" fillId="0" borderId="0" xfId="569" applyAlignment="1">
      <alignment horizontal="left"/>
    </xf>
    <xf numFmtId="0" fontId="32" fillId="0" borderId="0" xfId="569" applyFont="1" applyAlignment="1">
      <alignment horizontal="left" vertical="top" wrapText="1"/>
    </xf>
    <xf numFmtId="0" fontId="14" fillId="0" borderId="0" xfId="569" applyAlignment="1">
      <alignment horizontal="left" vertical="top"/>
    </xf>
    <xf numFmtId="0" fontId="14" fillId="0" borderId="0" xfId="271" applyFont="1" applyAlignment="1">
      <alignment horizontal="left" vertical="top" wrapText="1"/>
    </xf>
    <xf numFmtId="0" fontId="14" fillId="0" borderId="0" xfId="0" applyFont="1" applyAlignment="1">
      <alignment horizontal="left" vertical="top"/>
    </xf>
    <xf numFmtId="0" fontId="32" fillId="0" borderId="0" xfId="0" applyFont="1" applyAlignment="1">
      <alignment horizontal="left" vertical="top" wrapText="1"/>
    </xf>
    <xf numFmtId="0" fontId="32" fillId="0" borderId="0" xfId="0" applyFont="1" applyAlignment="1">
      <alignment horizontal="center"/>
    </xf>
    <xf numFmtId="0" fontId="0" fillId="0" borderId="0" xfId="0" applyAlignment="1">
      <alignment horizontal="center"/>
    </xf>
    <xf numFmtId="0" fontId="21" fillId="0" borderId="0" xfId="0" applyFont="1" applyAlignment="1">
      <alignment horizontal="center"/>
    </xf>
    <xf numFmtId="49" fontId="14" fillId="0" borderId="0" xfId="0" applyNumberFormat="1" applyFont="1" applyAlignment="1">
      <alignment horizontal="left" vertical="top" wrapText="1"/>
    </xf>
    <xf numFmtId="49" fontId="14" fillId="0" borderId="0" xfId="1192" applyNumberFormat="1" applyAlignment="1">
      <alignment horizontal="left" vertical="top" wrapText="1"/>
    </xf>
    <xf numFmtId="4" fontId="32" fillId="0" borderId="0" xfId="0" applyNumberFormat="1" applyFont="1" applyAlignment="1">
      <alignment horizontal="left"/>
    </xf>
    <xf numFmtId="4" fontId="14" fillId="0" borderId="0" xfId="0" applyNumberFormat="1" applyFont="1" applyAlignment="1">
      <alignment horizontal="left" vertical="top" wrapText="1"/>
    </xf>
    <xf numFmtId="4" fontId="15" fillId="0" borderId="0" xfId="244" applyNumberFormat="1" applyFill="1" applyAlignment="1" applyProtection="1">
      <alignment horizontal="left"/>
    </xf>
    <xf numFmtId="0" fontId="21" fillId="0" borderId="0" xfId="569" applyFont="1" applyAlignment="1">
      <alignment horizontal="left" vertical="top"/>
    </xf>
    <xf numFmtId="0" fontId="15" fillId="0" borderId="0" xfId="244" quotePrefix="1" applyAlignment="1" applyProtection="1">
      <alignment horizontal="left"/>
    </xf>
    <xf numFmtId="0" fontId="21" fillId="0" borderId="4" xfId="0" applyFont="1" applyBorder="1" applyAlignment="1">
      <alignment horizontal="left"/>
    </xf>
    <xf numFmtId="0" fontId="21" fillId="0" borderId="4" xfId="569" applyFont="1" applyBorder="1" applyAlignment="1">
      <alignment horizontal="left" vertical="top"/>
    </xf>
    <xf numFmtId="0" fontId="32" fillId="0" borderId="0" xfId="569" applyFont="1" applyAlignment="1">
      <alignment horizontal="left" vertical="top"/>
    </xf>
    <xf numFmtId="0" fontId="32" fillId="0" borderId="0" xfId="0" applyFont="1" applyAlignment="1">
      <alignment horizontal="left" wrapText="1"/>
    </xf>
    <xf numFmtId="4" fontId="14" fillId="0" borderId="0" xfId="569" applyNumberFormat="1" applyAlignment="1">
      <alignment horizontal="left"/>
    </xf>
    <xf numFmtId="4" fontId="32" fillId="0" borderId="0" xfId="569" applyNumberFormat="1" applyFont="1" applyAlignment="1">
      <alignment horizontal="left" vertical="top" wrapText="1"/>
    </xf>
    <xf numFmtId="0" fontId="102" fillId="0" borderId="0" xfId="569" applyFont="1" applyAlignment="1">
      <alignment horizontal="center"/>
    </xf>
    <xf numFmtId="0" fontId="103" fillId="0" borderId="0" xfId="569" applyFont="1"/>
    <xf numFmtId="0" fontId="14" fillId="0" borderId="0" xfId="569" applyAlignment="1">
      <alignment wrapText="1"/>
    </xf>
    <xf numFmtId="0" fontId="21" fillId="0" borderId="0" xfId="569" applyFont="1" applyAlignment="1">
      <alignment wrapText="1"/>
    </xf>
    <xf numFmtId="0" fontId="29" fillId="0" borderId="0" xfId="569" applyFont="1" applyAlignment="1">
      <alignment horizontal="center"/>
    </xf>
    <xf numFmtId="0" fontId="14" fillId="0" borderId="0" xfId="569"/>
    <xf numFmtId="0" fontId="14" fillId="0" borderId="0" xfId="1192" applyAlignment="1">
      <alignment vertical="top" wrapText="1"/>
    </xf>
    <xf numFmtId="4" fontId="14" fillId="0" borderId="0" xfId="0" applyNumberFormat="1" applyFont="1" applyAlignment="1">
      <alignment horizontal="left"/>
    </xf>
    <xf numFmtId="0" fontId="32" fillId="0" borderId="0" xfId="0" applyFont="1" applyAlignment="1">
      <alignment horizontal="left" vertical="top"/>
    </xf>
    <xf numFmtId="0" fontId="14" fillId="0" borderId="0" xfId="0" applyFont="1" applyAlignment="1">
      <alignment horizontal="left" vertical="center" wrapText="1"/>
    </xf>
    <xf numFmtId="0" fontId="14" fillId="0" borderId="0" xfId="569" applyAlignment="1">
      <alignment horizontal="left" wrapText="1"/>
    </xf>
    <xf numFmtId="0" fontId="14" fillId="0" borderId="0" xfId="0" applyFont="1" applyAlignment="1">
      <alignment vertical="top" wrapText="1"/>
    </xf>
    <xf numFmtId="0" fontId="15" fillId="0" borderId="0" xfId="244" applyFill="1" applyBorder="1" applyAlignment="1">
      <alignment horizontal="left" vertical="top" wrapText="1"/>
    </xf>
    <xf numFmtId="0" fontId="21" fillId="0" borderId="0" xfId="0" applyFont="1" applyAlignment="1">
      <alignment vertical="top" wrapText="1"/>
    </xf>
    <xf numFmtId="0" fontId="32" fillId="0" borderId="0" xfId="1192" applyFont="1" applyAlignment="1">
      <alignment horizontal="left" vertical="top" wrapText="1"/>
    </xf>
    <xf numFmtId="0" fontId="21" fillId="0" borderId="0" xfId="1192" applyFont="1" applyAlignment="1">
      <alignment horizontal="left" vertical="top" wrapText="1"/>
    </xf>
    <xf numFmtId="0" fontId="14" fillId="0" borderId="0" xfId="569" applyAlignment="1">
      <alignment vertical="top" wrapText="1"/>
    </xf>
    <xf numFmtId="4" fontId="32" fillId="0" borderId="0" xfId="0" applyNumberFormat="1" applyFont="1" applyAlignment="1">
      <alignment horizontal="left" vertical="top" wrapText="1"/>
    </xf>
    <xf numFmtId="0" fontId="14" fillId="0" borderId="0" xfId="0" quotePrefix="1" applyFont="1" applyAlignment="1">
      <alignment horizontal="left" vertical="top"/>
    </xf>
    <xf numFmtId="0" fontId="14" fillId="0" borderId="0" xfId="0" quotePrefix="1" applyFont="1" applyAlignment="1">
      <alignment horizontal="left" vertical="top" wrapText="1"/>
    </xf>
    <xf numFmtId="0" fontId="21" fillId="0" borderId="0" xfId="569" applyFont="1" applyAlignment="1">
      <alignment horizontal="center"/>
    </xf>
    <xf numFmtId="0" fontId="15" fillId="0" borderId="0" xfId="244" applyNumberFormat="1" applyFill="1" applyAlignment="1" applyProtection="1">
      <alignment horizontal="left"/>
    </xf>
    <xf numFmtId="0" fontId="32" fillId="0" borderId="0" xfId="569" applyFont="1" applyAlignment="1">
      <alignment horizontal="left" wrapText="1"/>
    </xf>
    <xf numFmtId="0" fontId="32" fillId="0" borderId="0" xfId="569" applyFont="1" applyAlignment="1">
      <alignment horizontal="center" wrapText="1"/>
    </xf>
    <xf numFmtId="0" fontId="21" fillId="0" borderId="0" xfId="0" applyFont="1" applyAlignment="1">
      <alignment horizontal="left" vertical="top"/>
    </xf>
    <xf numFmtId="0" fontId="14" fillId="0" borderId="0" xfId="569" applyAlignment="1">
      <alignment horizontal="left" vertical="center" wrapText="1"/>
    </xf>
    <xf numFmtId="0" fontId="21" fillId="0" borderId="16" xfId="569" applyFont="1" applyBorder="1" applyAlignment="1">
      <alignment horizontal="left"/>
    </xf>
    <xf numFmtId="0" fontId="21" fillId="0" borderId="0" xfId="569" applyFont="1" applyAlignment="1">
      <alignment horizontal="left"/>
    </xf>
    <xf numFmtId="0" fontId="21" fillId="0" borderId="4" xfId="0" applyFont="1" applyBorder="1" applyAlignment="1">
      <alignment horizontal="left" vertical="top"/>
    </xf>
    <xf numFmtId="0" fontId="15" fillId="0" borderId="0" xfId="244" applyAlignment="1" applyProtection="1">
      <alignment horizontal="left" vertical="top" wrapText="1"/>
    </xf>
    <xf numFmtId="0" fontId="14" fillId="0" borderId="0" xfId="1192" applyAlignment="1" applyProtection="1">
      <alignment horizontal="left" vertical="top" wrapText="1"/>
      <protection locked="0"/>
    </xf>
    <xf numFmtId="0" fontId="14" fillId="0" borderId="27" xfId="569" applyBorder="1" applyAlignment="1">
      <alignment horizontal="left"/>
    </xf>
    <xf numFmtId="0" fontId="32" fillId="0" borderId="0" xfId="569" applyFont="1" applyAlignment="1">
      <alignment horizontal="center"/>
    </xf>
    <xf numFmtId="0" fontId="14" fillId="0" borderId="15" xfId="569" applyBorder="1" applyAlignment="1">
      <alignment horizontal="center" vertical="top" wrapText="1"/>
    </xf>
    <xf numFmtId="0" fontId="14" fillId="0" borderId="14" xfId="569" applyBorder="1" applyAlignment="1">
      <alignment horizontal="center" vertical="top" wrapText="1"/>
    </xf>
    <xf numFmtId="0" fontId="14" fillId="0" borderId="13" xfId="569" applyBorder="1" applyAlignment="1">
      <alignment horizontal="center" vertical="top" wrapText="1"/>
    </xf>
    <xf numFmtId="1" fontId="14" fillId="5" borderId="3" xfId="0" applyNumberFormat="1" applyFont="1" applyFill="1" applyBorder="1" applyAlignment="1" applyProtection="1">
      <alignment horizontal="center"/>
      <protection locked="0"/>
    </xf>
    <xf numFmtId="1" fontId="14" fillId="5" borderId="4" xfId="0" applyNumberFormat="1" applyFont="1" applyFill="1" applyBorder="1" applyAlignment="1" applyProtection="1">
      <alignment horizontal="center"/>
      <protection locked="0"/>
    </xf>
    <xf numFmtId="1" fontId="14"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14" fillId="5" borderId="3" xfId="0"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5" xfId="0" applyFont="1" applyFill="1" applyBorder="1" applyAlignment="1" applyProtection="1">
      <alignment horizontal="center"/>
      <protection locked="0"/>
    </xf>
    <xf numFmtId="168" fontId="14" fillId="5" borderId="3" xfId="0" applyNumberFormat="1" applyFont="1" applyFill="1" applyBorder="1" applyAlignment="1" applyProtection="1">
      <alignment horizontal="center"/>
      <protection locked="0"/>
    </xf>
    <xf numFmtId="168" fontId="14" fillId="5" borderId="4" xfId="0" applyNumberFormat="1" applyFont="1" applyFill="1" applyBorder="1" applyAlignment="1" applyProtection="1">
      <alignment horizontal="center"/>
      <protection locked="0"/>
    </xf>
    <xf numFmtId="168" fontId="14" fillId="5" borderId="5" xfId="0" applyNumberFormat="1" applyFont="1" applyFill="1" applyBorder="1" applyAlignment="1" applyProtection="1">
      <alignment horizontal="center"/>
      <protection locked="0"/>
    </xf>
    <xf numFmtId="9" fontId="14" fillId="5" borderId="3" xfId="0" applyNumberFormat="1" applyFont="1" applyFill="1" applyBorder="1" applyAlignment="1" applyProtection="1">
      <alignment horizontal="center"/>
      <protection locked="0"/>
    </xf>
    <xf numFmtId="9" fontId="14" fillId="5" borderId="4" xfId="0" applyNumberFormat="1" applyFont="1" applyFill="1" applyBorder="1" applyAlignment="1" applyProtection="1">
      <alignment horizontal="center"/>
      <protection locked="0"/>
    </xf>
    <xf numFmtId="9" fontId="14" fillId="5" borderId="5" xfId="0" applyNumberFormat="1" applyFont="1" applyFill="1" applyBorder="1" applyAlignment="1" applyProtection="1">
      <alignment horizontal="center"/>
      <protection locked="0"/>
    </xf>
    <xf numFmtId="0" fontId="23" fillId="5" borderId="6" xfId="271" applyFill="1" applyBorder="1" applyProtection="1">
      <protection locked="0"/>
    </xf>
    <xf numFmtId="0" fontId="14"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5" fontId="14" fillId="0" borderId="1" xfId="0" applyNumberFormat="1" applyFont="1" applyBorder="1" applyAlignment="1">
      <alignment horizontal="right"/>
    </xf>
    <xf numFmtId="165" fontId="14" fillId="0" borderId="2" xfId="0" applyNumberFormat="1" applyFont="1" applyBorder="1" applyAlignment="1">
      <alignment horizontal="right"/>
    </xf>
    <xf numFmtId="165" fontId="14" fillId="0" borderId="7" xfId="0" applyNumberFormat="1" applyFont="1" applyBorder="1" applyAlignment="1">
      <alignment horizontal="right"/>
    </xf>
    <xf numFmtId="0" fontId="0" fillId="5" borderId="6" xfId="0" applyFill="1" applyBorder="1" applyAlignment="1" applyProtection="1">
      <alignment horizontal="left"/>
      <protection locked="0"/>
    </xf>
    <xf numFmtId="164" fontId="22" fillId="5" borderId="3" xfId="0" applyNumberFormat="1" applyFont="1" applyFill="1" applyBorder="1" applyAlignment="1" applyProtection="1">
      <alignment horizontal="left"/>
      <protection locked="0"/>
    </xf>
    <xf numFmtId="164" fontId="22" fillId="5" borderId="4" xfId="0" applyNumberFormat="1" applyFont="1" applyFill="1" applyBorder="1" applyAlignment="1" applyProtection="1">
      <alignment horizontal="left"/>
      <protection locked="0"/>
    </xf>
    <xf numFmtId="164" fontId="22" fillId="5" borderId="5" xfId="0" applyNumberFormat="1" applyFont="1" applyFill="1" applyBorder="1" applyAlignment="1" applyProtection="1">
      <alignment horizontal="left"/>
      <protection locked="0"/>
    </xf>
    <xf numFmtId="1" fontId="14" fillId="5" borderId="11" xfId="0" applyNumberFormat="1" applyFont="1" applyFill="1" applyBorder="1" applyAlignment="1" applyProtection="1">
      <alignment horizontal="center"/>
      <protection locked="0"/>
    </xf>
    <xf numFmtId="168" fontId="14" fillId="0" borderId="3" xfId="0" applyNumberFormat="1" applyFont="1" applyBorder="1" applyAlignment="1">
      <alignment horizontal="center"/>
    </xf>
    <xf numFmtId="168" fontId="14" fillId="0" borderId="4" xfId="0" applyNumberFormat="1" applyFont="1" applyBorder="1" applyAlignment="1">
      <alignment horizontal="center"/>
    </xf>
    <xf numFmtId="168" fontId="14" fillId="0" borderId="5" xfId="0" applyNumberFormat="1" applyFont="1" applyBorder="1" applyAlignment="1">
      <alignment horizontal="center"/>
    </xf>
    <xf numFmtId="0" fontId="14" fillId="0" borderId="11" xfId="0" applyFont="1" applyBorder="1" applyAlignment="1">
      <alignment horizontal="center" vertical="top" wrapText="1"/>
    </xf>
    <xf numFmtId="0" fontId="21" fillId="0" borderId="0" xfId="0" applyFont="1" applyAlignment="1">
      <alignment horizontal="center" vertical="center"/>
    </xf>
    <xf numFmtId="0" fontId="165" fillId="0" borderId="8" xfId="543" applyFont="1" applyBorder="1" applyAlignment="1">
      <alignment horizontal="center" wrapText="1"/>
    </xf>
    <xf numFmtId="0" fontId="165" fillId="0" borderId="0" xfId="543" applyFont="1" applyAlignment="1">
      <alignment horizontal="center" wrapText="1"/>
    </xf>
    <xf numFmtId="0" fontId="165" fillId="0" borderId="12" xfId="543" applyFont="1" applyBorder="1" applyAlignment="1">
      <alignment horizontal="center" wrapText="1"/>
    </xf>
    <xf numFmtId="0" fontId="165" fillId="0" borderId="9" xfId="543" applyFont="1" applyBorder="1" applyAlignment="1">
      <alignment horizontal="center" wrapText="1"/>
    </xf>
    <xf numFmtId="0" fontId="165" fillId="0" borderId="6" xfId="543" applyFont="1" applyBorder="1" applyAlignment="1">
      <alignment horizontal="center" wrapText="1"/>
    </xf>
    <xf numFmtId="0" fontId="165" fillId="0" borderId="10" xfId="543" applyFont="1" applyBorder="1" applyAlignment="1">
      <alignment horizontal="center" wrapText="1"/>
    </xf>
    <xf numFmtId="0" fontId="165" fillId="0" borderId="8" xfId="543" applyFont="1" applyBorder="1" applyAlignment="1">
      <alignment horizontal="center" vertical="top" wrapText="1"/>
    </xf>
    <xf numFmtId="0" fontId="165" fillId="0" borderId="0" xfId="543" applyFont="1" applyAlignment="1">
      <alignment horizontal="center" vertical="top" wrapText="1"/>
    </xf>
    <xf numFmtId="0" fontId="165" fillId="0" borderId="12" xfId="543" applyFont="1" applyBorder="1" applyAlignment="1">
      <alignment horizontal="center" vertical="top" wrapText="1"/>
    </xf>
    <xf numFmtId="0" fontId="165" fillId="0" borderId="9" xfId="543" applyFont="1" applyBorder="1" applyAlignment="1">
      <alignment horizontal="center" vertical="top" wrapText="1"/>
    </xf>
    <xf numFmtId="0" fontId="165" fillId="0" borderId="6" xfId="543" applyFont="1" applyBorder="1" applyAlignment="1">
      <alignment horizontal="center" vertical="top" wrapText="1"/>
    </xf>
    <xf numFmtId="0" fontId="165" fillId="0" borderId="10" xfId="543" applyFont="1" applyBorder="1" applyAlignment="1">
      <alignment horizontal="center" vertical="top" wrapText="1"/>
    </xf>
    <xf numFmtId="0" fontId="160" fillId="0" borderId="0" xfId="0" applyFont="1" applyAlignment="1">
      <alignment horizontal="center" vertical="center" wrapText="1"/>
    </xf>
    <xf numFmtId="0" fontId="14" fillId="0" borderId="3" xfId="543" applyBorder="1" applyAlignment="1">
      <alignment horizontal="center"/>
    </xf>
    <xf numFmtId="0" fontId="14" fillId="0" borderId="4" xfId="543" applyBorder="1" applyAlignment="1">
      <alignment horizontal="center"/>
    </xf>
    <xf numFmtId="0" fontId="14" fillId="0" borderId="5" xfId="543" applyBorder="1" applyAlignment="1">
      <alignment horizontal="center"/>
    </xf>
    <xf numFmtId="1" fontId="14" fillId="0" borderId="3" xfId="543" applyNumberFormat="1" applyBorder="1" applyAlignment="1">
      <alignment horizontal="center"/>
    </xf>
    <xf numFmtId="1" fontId="14" fillId="0" borderId="4" xfId="543" applyNumberFormat="1" applyBorder="1" applyAlignment="1">
      <alignment horizontal="center"/>
    </xf>
    <xf numFmtId="1" fontId="14" fillId="0" borderId="5" xfId="543" applyNumberFormat="1" applyBorder="1" applyAlignment="1">
      <alignment horizontal="center"/>
    </xf>
    <xf numFmtId="3" fontId="37" fillId="10" borderId="0" xfId="543" applyNumberFormat="1" applyFont="1" applyFill="1" applyAlignment="1">
      <alignment horizontal="left" vertical="center" wrapText="1"/>
    </xf>
    <xf numFmtId="168" fontId="160" fillId="0" borderId="0" xfId="0" applyNumberFormat="1" applyFont="1" applyAlignment="1">
      <alignment horizontal="center" vertical="center" wrapText="1"/>
    </xf>
    <xf numFmtId="168" fontId="14" fillId="0" borderId="1" xfId="543" applyNumberFormat="1" applyBorder="1" applyAlignment="1">
      <alignment horizontal="center" vertical="center"/>
    </xf>
    <xf numFmtId="168" fontId="14" fillId="0" borderId="2" xfId="543" applyNumberFormat="1" applyBorder="1" applyAlignment="1">
      <alignment horizontal="center" vertical="center"/>
    </xf>
    <xf numFmtId="168" fontId="14" fillId="0" borderId="7" xfId="543" applyNumberFormat="1" applyBorder="1" applyAlignment="1">
      <alignment horizontal="center" vertical="center"/>
    </xf>
    <xf numFmtId="168" fontId="14" fillId="0" borderId="8" xfId="543" applyNumberFormat="1" applyBorder="1" applyAlignment="1">
      <alignment horizontal="center" vertical="center"/>
    </xf>
    <xf numFmtId="168" fontId="14" fillId="0" borderId="0" xfId="543" applyNumberFormat="1" applyAlignment="1">
      <alignment horizontal="center" vertical="center"/>
    </xf>
    <xf numFmtId="168" fontId="14" fillId="0" borderId="12" xfId="543" applyNumberFormat="1" applyBorder="1" applyAlignment="1">
      <alignment horizontal="center" vertical="center"/>
    </xf>
    <xf numFmtId="168" fontId="14" fillId="0" borderId="9" xfId="543" applyNumberFormat="1" applyBorder="1" applyAlignment="1">
      <alignment horizontal="center" vertical="center"/>
    </xf>
    <xf numFmtId="168" fontId="14" fillId="0" borderId="6" xfId="543" applyNumberFormat="1" applyBorder="1" applyAlignment="1">
      <alignment horizontal="center" vertical="center"/>
    </xf>
    <xf numFmtId="168" fontId="14" fillId="0" borderId="10" xfId="543" applyNumberFormat="1" applyBorder="1" applyAlignment="1">
      <alignment horizontal="center" vertical="center"/>
    </xf>
    <xf numFmtId="0" fontId="41" fillId="0" borderId="0" xfId="0" applyFont="1" applyAlignment="1">
      <alignment horizontal="center"/>
    </xf>
    <xf numFmtId="0" fontId="14" fillId="0" borderId="0" xfId="0" applyFont="1" applyAlignment="1">
      <alignment horizontal="center"/>
    </xf>
    <xf numFmtId="0" fontId="29" fillId="0" borderId="0" xfId="0" applyFont="1" applyAlignment="1">
      <alignment horizontal="center"/>
    </xf>
    <xf numFmtId="0" fontId="14" fillId="0" borderId="0" xfId="0" applyFont="1" applyAlignment="1">
      <alignment wrapText="1"/>
    </xf>
    <xf numFmtId="0" fontId="14" fillId="0" borderId="0" xfId="0" applyFont="1" applyAlignment="1">
      <alignment horizontal="center" vertical="top"/>
    </xf>
    <xf numFmtId="0" fontId="14" fillId="5" borderId="6" xfId="0" applyFont="1" applyFill="1" applyBorder="1" applyAlignment="1" applyProtection="1">
      <alignment horizontal="left"/>
      <protection locked="0"/>
    </xf>
    <xf numFmtId="0" fontId="0" fillId="5" borderId="6" xfId="0" applyFill="1" applyBorder="1" applyAlignment="1" applyProtection="1">
      <alignment horizontal="center"/>
      <protection locked="0"/>
    </xf>
    <xf numFmtId="168" fontId="14" fillId="0" borderId="6" xfId="0" applyNumberFormat="1" applyFont="1" applyBorder="1" applyAlignment="1">
      <alignment horizontal="center"/>
    </xf>
    <xf numFmtId="0" fontId="14" fillId="5" borderId="6" xfId="0" applyFont="1" applyFill="1" applyBorder="1" applyAlignment="1" applyProtection="1">
      <alignment horizontal="left" wrapText="1"/>
      <protection locked="0"/>
    </xf>
    <xf numFmtId="0" fontId="22" fillId="0" borderId="0" xfId="0" applyFont="1" applyAlignment="1">
      <alignment horizont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0" fillId="3" borderId="0" xfId="0" applyFont="1" applyFill="1" applyAlignment="1">
      <alignment horizontal="center" vertical="center"/>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0" fontId="14" fillId="5" borderId="4" xfId="0" applyFont="1" applyFill="1" applyBorder="1" applyAlignment="1" applyProtection="1">
      <alignment wrapText="1"/>
      <protection locked="0"/>
    </xf>
    <xf numFmtId="0" fontId="14" fillId="5" borderId="4" xfId="0" applyFont="1" applyFill="1" applyBorder="1" applyAlignment="1" applyProtection="1">
      <alignment horizontal="left"/>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1" fillId="0" borderId="11" xfId="0" applyFont="1" applyBorder="1" applyAlignment="1">
      <alignment horizontal="center" vertical="center" wrapText="1"/>
    </xf>
    <xf numFmtId="0" fontId="14" fillId="5" borderId="11" xfId="0" applyFont="1" applyFill="1" applyBorder="1" applyAlignment="1" applyProtection="1">
      <alignment horizontal="left" wrapText="1"/>
      <protection locked="0"/>
    </xf>
    <xf numFmtId="172" fontId="21" fillId="0" borderId="11" xfId="0" applyNumberFormat="1" applyFont="1" applyBorder="1" applyAlignment="1">
      <alignment horizontal="center" vertical="center" wrapText="1"/>
    </xf>
    <xf numFmtId="175" fontId="14" fillId="43" borderId="3" xfId="0" applyNumberFormat="1" applyFont="1" applyFill="1" applyBorder="1" applyAlignment="1" applyProtection="1">
      <alignment horizontal="center"/>
      <protection locked="0"/>
    </xf>
    <xf numFmtId="175" fontId="14" fillId="43" borderId="4" xfId="0" applyNumberFormat="1" applyFont="1" applyFill="1" applyBorder="1" applyAlignment="1" applyProtection="1">
      <alignment horizontal="center"/>
      <protection locked="0"/>
    </xf>
    <xf numFmtId="175" fontId="14" fillId="43" borderId="5" xfId="0" applyNumberFormat="1" applyFont="1" applyFill="1" applyBorder="1" applyAlignment="1" applyProtection="1">
      <alignment horizontal="center"/>
      <protection locked="0"/>
    </xf>
    <xf numFmtId="0" fontId="21" fillId="0" borderId="11" xfId="0" applyFont="1" applyBorder="1" applyAlignment="1">
      <alignment horizontal="center" vertical="center"/>
    </xf>
    <xf numFmtId="0" fontId="0" fillId="0" borderId="11" xfId="0"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14" fillId="0" borderId="5" xfId="0" applyFont="1" applyBorder="1" applyAlignment="1">
      <alignment horizontal="center"/>
    </xf>
    <xf numFmtId="0" fontId="14" fillId="45" borderId="11" xfId="0" applyFont="1" applyFill="1" applyBorder="1" applyAlignment="1">
      <alignment horizontal="center"/>
    </xf>
    <xf numFmtId="0" fontId="14" fillId="45" borderId="3" xfId="0" applyFont="1" applyFill="1" applyBorder="1" applyAlignment="1">
      <alignment horizontal="center"/>
    </xf>
    <xf numFmtId="0" fontId="14" fillId="45" borderId="4" xfId="0" applyFont="1" applyFill="1" applyBorder="1" applyAlignment="1">
      <alignment horizontal="center"/>
    </xf>
    <xf numFmtId="0" fontId="14" fillId="45" borderId="5" xfId="0" applyFont="1" applyFill="1" applyBorder="1" applyAlignment="1">
      <alignment horizontal="center"/>
    </xf>
    <xf numFmtId="166" fontId="14" fillId="5" borderId="4" xfId="0" applyNumberFormat="1" applyFont="1" applyFill="1" applyBorder="1" applyAlignment="1" applyProtection="1">
      <alignment horizontal="left"/>
      <protection locked="0"/>
    </xf>
    <xf numFmtId="0" fontId="21" fillId="0" borderId="3" xfId="0" applyFont="1" applyBorder="1" applyAlignment="1">
      <alignment horizontal="right"/>
    </xf>
    <xf numFmtId="0" fontId="21" fillId="0" borderId="4" xfId="0" applyFont="1" applyBorder="1" applyAlignment="1">
      <alignment horizontal="right"/>
    </xf>
    <xf numFmtId="0" fontId="21" fillId="0" borderId="5" xfId="0" applyFont="1" applyBorder="1" applyAlignment="1">
      <alignment horizontal="right"/>
    </xf>
    <xf numFmtId="0" fontId="21" fillId="0" borderId="9" xfId="0" applyFont="1" applyBorder="1" applyAlignment="1">
      <alignment horizontal="right"/>
    </xf>
    <xf numFmtId="0" fontId="21" fillId="0" borderId="6" xfId="0" applyFont="1" applyBorder="1" applyAlignment="1">
      <alignment horizontal="right"/>
    </xf>
    <xf numFmtId="0" fontId="21" fillId="0" borderId="10" xfId="0" applyFont="1" applyBorder="1" applyAlignment="1">
      <alignment horizontal="right"/>
    </xf>
    <xf numFmtId="0" fontId="14" fillId="0" borderId="1" xfId="0" applyFont="1" applyBorder="1" applyAlignment="1">
      <alignment horizontal="center" vertical="top" wrapText="1"/>
    </xf>
    <xf numFmtId="0" fontId="14" fillId="0" borderId="2" xfId="0" applyFont="1" applyBorder="1" applyAlignment="1">
      <alignment horizontal="center" vertical="top" wrapText="1"/>
    </xf>
    <xf numFmtId="0" fontId="14" fillId="0" borderId="7" xfId="0" applyFont="1" applyBorder="1" applyAlignment="1">
      <alignment horizontal="center" vertical="top" wrapText="1"/>
    </xf>
    <xf numFmtId="0" fontId="14" fillId="0" borderId="8" xfId="0" applyFont="1" applyBorder="1" applyAlignment="1">
      <alignment horizontal="center" vertical="top" wrapText="1"/>
    </xf>
    <xf numFmtId="0" fontId="14" fillId="0" borderId="0" xfId="0" applyFont="1" applyAlignment="1">
      <alignment horizontal="center" vertical="top" wrapText="1"/>
    </xf>
    <xf numFmtId="0" fontId="14" fillId="0" borderId="12" xfId="0" applyFont="1" applyBorder="1" applyAlignment="1">
      <alignment horizontal="center" vertical="top" wrapText="1"/>
    </xf>
    <xf numFmtId="0" fontId="14" fillId="0" borderId="9" xfId="0" applyFont="1" applyBorder="1" applyAlignment="1">
      <alignment horizontal="center" vertical="top" wrapText="1"/>
    </xf>
    <xf numFmtId="0" fontId="14" fillId="0" borderId="6" xfId="0" applyFont="1" applyBorder="1" applyAlignment="1">
      <alignment horizontal="center" vertical="top" wrapText="1"/>
    </xf>
    <xf numFmtId="0" fontId="14" fillId="0" borderId="10" xfId="0" applyFont="1" applyBorder="1" applyAlignment="1">
      <alignment horizontal="center" vertical="top" wrapText="1"/>
    </xf>
    <xf numFmtId="0" fontId="14" fillId="0" borderId="11" xfId="0" applyFont="1" applyBorder="1" applyAlignment="1">
      <alignment horizontal="center"/>
    </xf>
    <xf numFmtId="0" fontId="14" fillId="2" borderId="11" xfId="0" applyFont="1" applyFill="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0" fontId="14" fillId="0" borderId="11" xfId="543" applyBorder="1" applyAlignment="1">
      <alignment horizontal="center"/>
    </xf>
    <xf numFmtId="168" fontId="14" fillId="10" borderId="3" xfId="543" applyNumberFormat="1" applyFill="1" applyBorder="1" applyAlignment="1">
      <alignment horizontal="center"/>
    </xf>
    <xf numFmtId="168" fontId="14" fillId="10" borderId="4" xfId="543" applyNumberFormat="1" applyFill="1" applyBorder="1" applyAlignment="1">
      <alignment horizontal="center"/>
    </xf>
    <xf numFmtId="168" fontId="14" fillId="10" borderId="5" xfId="543" applyNumberFormat="1" applyFill="1" applyBorder="1" applyAlignment="1">
      <alignment horizontal="center"/>
    </xf>
    <xf numFmtId="0" fontId="14" fillId="2" borderId="3" xfId="543" applyFill="1" applyBorder="1" applyAlignment="1">
      <alignment horizontal="center"/>
    </xf>
    <xf numFmtId="0" fontId="14" fillId="2" borderId="4" xfId="543" applyFill="1" applyBorder="1" applyAlignment="1">
      <alignment horizontal="center"/>
    </xf>
    <xf numFmtId="0" fontId="14" fillId="2" borderId="5" xfId="543" applyFill="1" applyBorder="1" applyAlignment="1">
      <alignment horizontal="center"/>
    </xf>
    <xf numFmtId="0" fontId="21" fillId="0" borderId="8" xfId="543" applyFont="1" applyBorder="1" applyAlignment="1">
      <alignment horizontal="left" vertical="center" wrapText="1"/>
    </xf>
    <xf numFmtId="0" fontId="21" fillId="0" borderId="0" xfId="543" applyFont="1" applyAlignment="1">
      <alignment horizontal="left" vertical="center" wrapText="1"/>
    </xf>
    <xf numFmtId="0" fontId="21" fillId="0" borderId="12" xfId="543" applyFont="1" applyBorder="1" applyAlignment="1">
      <alignment horizontal="left" vertical="center" wrapText="1"/>
    </xf>
    <xf numFmtId="0" fontId="21" fillId="10" borderId="3" xfId="543" applyFont="1" applyFill="1" applyBorder="1" applyAlignment="1">
      <alignment horizontal="center"/>
    </xf>
    <xf numFmtId="0" fontId="21" fillId="10" borderId="4" xfId="543" applyFont="1" applyFill="1" applyBorder="1" applyAlignment="1">
      <alignment horizontal="center"/>
    </xf>
    <xf numFmtId="0" fontId="21" fillId="10" borderId="5" xfId="543" applyFont="1" applyFill="1" applyBorder="1" applyAlignment="1">
      <alignment horizontal="center"/>
    </xf>
    <xf numFmtId="0" fontId="22" fillId="5" borderId="3" xfId="543" applyFont="1" applyFill="1" applyBorder="1" applyAlignment="1" applyProtection="1">
      <alignment horizontal="center" vertical="top"/>
      <protection locked="0"/>
    </xf>
    <xf numFmtId="0" fontId="22" fillId="5" borderId="5" xfId="543" applyFont="1" applyFill="1" applyBorder="1" applyAlignment="1" applyProtection="1">
      <alignment horizontal="center" vertical="top"/>
      <protection locked="0"/>
    </xf>
    <xf numFmtId="0" fontId="22" fillId="5" borderId="3" xfId="543" applyFont="1" applyFill="1" applyBorder="1" applyAlignment="1" applyProtection="1">
      <alignment horizontal="center"/>
      <protection locked="0"/>
    </xf>
    <xf numFmtId="0" fontId="22" fillId="5" borderId="5" xfId="543" applyFont="1" applyFill="1" applyBorder="1" applyAlignment="1" applyProtection="1">
      <alignment horizontal="center"/>
      <protection locked="0"/>
    </xf>
    <xf numFmtId="0" fontId="21" fillId="0" borderId="1" xfId="543" applyFont="1" applyBorder="1" applyAlignment="1">
      <alignment horizontal="left" vertical="center" wrapText="1"/>
    </xf>
    <xf numFmtId="0" fontId="21" fillId="0" borderId="2" xfId="543" applyFont="1" applyBorder="1" applyAlignment="1">
      <alignment horizontal="left" vertical="center" wrapText="1"/>
    </xf>
    <xf numFmtId="0" fontId="21" fillId="0" borderId="7" xfId="543" applyFont="1" applyBorder="1" applyAlignment="1">
      <alignment horizontal="left" vertical="center" wrapText="1"/>
    </xf>
    <xf numFmtId="0" fontId="14" fillId="0" borderId="8" xfId="543" applyBorder="1" applyAlignment="1">
      <alignment horizontal="left" vertical="top" wrapText="1"/>
    </xf>
    <xf numFmtId="0" fontId="14" fillId="0" borderId="0" xfId="543" applyAlignment="1">
      <alignment horizontal="left" vertical="top" wrapText="1"/>
    </xf>
    <xf numFmtId="0" fontId="14" fillId="0" borderId="12" xfId="543" applyBorder="1" applyAlignment="1">
      <alignment horizontal="left" vertical="top" wrapText="1"/>
    </xf>
    <xf numFmtId="0" fontId="14" fillId="0" borderId="9" xfId="543" applyBorder="1" applyAlignment="1">
      <alignment horizontal="left" vertical="top" wrapText="1"/>
    </xf>
    <xf numFmtId="0" fontId="14" fillId="0" borderId="6" xfId="543" applyBorder="1" applyAlignment="1">
      <alignment horizontal="left" vertical="top" wrapText="1"/>
    </xf>
    <xf numFmtId="0" fontId="14" fillId="0" borderId="10" xfId="543" applyBorder="1" applyAlignment="1">
      <alignment horizontal="left" vertical="top" wrapText="1"/>
    </xf>
    <xf numFmtId="168" fontId="14" fillId="5" borderId="3" xfId="0" applyNumberFormat="1" applyFont="1" applyFill="1" applyBorder="1" applyAlignment="1" applyProtection="1">
      <alignment horizontal="right"/>
      <protection locked="0"/>
    </xf>
    <xf numFmtId="168" fontId="14" fillId="5" borderId="4" xfId="0" applyNumberFormat="1" applyFont="1" applyFill="1" applyBorder="1" applyAlignment="1" applyProtection="1">
      <alignment horizontal="right"/>
      <protection locked="0"/>
    </xf>
    <xf numFmtId="168" fontId="14" fillId="5" borderId="5" xfId="0" applyNumberFormat="1" applyFont="1" applyFill="1" applyBorder="1" applyAlignment="1" applyProtection="1">
      <alignment horizontal="right"/>
      <protection locked="0"/>
    </xf>
    <xf numFmtId="0" fontId="21" fillId="0" borderId="1" xfId="0" applyFont="1" applyBorder="1" applyAlignment="1">
      <alignment horizontal="center"/>
    </xf>
    <xf numFmtId="0" fontId="21" fillId="0" borderId="2" xfId="0" applyFont="1" applyBorder="1" applyAlignment="1">
      <alignment horizontal="center"/>
    </xf>
    <xf numFmtId="0" fontId="21" fillId="0" borderId="7" xfId="0" applyFont="1" applyBorder="1" applyAlignment="1">
      <alignment horizontal="center"/>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2" fillId="0" borderId="3" xfId="543" applyFont="1" applyBorder="1" applyAlignment="1">
      <alignment horizontal="center"/>
    </xf>
    <xf numFmtId="0" fontId="32" fillId="0" borderId="4" xfId="543" applyFont="1" applyBorder="1" applyAlignment="1">
      <alignment horizontal="center"/>
    </xf>
    <xf numFmtId="0" fontId="32" fillId="0" borderId="5" xfId="543" applyFont="1" applyBorder="1" applyAlignment="1">
      <alignment horizontal="center"/>
    </xf>
    <xf numFmtId="0" fontId="14" fillId="5" borderId="3" xfId="0" applyFont="1" applyFill="1" applyBorder="1" applyAlignment="1" applyProtection="1">
      <alignment horizontal="left"/>
      <protection locked="0"/>
    </xf>
    <xf numFmtId="0" fontId="14" fillId="5" borderId="5" xfId="0" applyFont="1" applyFill="1" applyBorder="1" applyAlignment="1" applyProtection="1">
      <alignment horizontal="left"/>
      <protection locked="0"/>
    </xf>
    <xf numFmtId="0" fontId="22" fillId="5" borderId="3" xfId="543" applyFont="1"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44" fillId="5" borderId="3" xfId="0" applyFont="1" applyFill="1" applyBorder="1" applyAlignment="1" applyProtection="1">
      <alignment horizontal="right"/>
      <protection locked="0"/>
    </xf>
    <xf numFmtId="0" fontId="44" fillId="5" borderId="4" xfId="0" applyFont="1" applyFill="1" applyBorder="1" applyAlignment="1" applyProtection="1">
      <alignment horizontal="right"/>
      <protection locked="0"/>
    </xf>
    <xf numFmtId="0" fontId="44" fillId="5" borderId="5" xfId="0" applyFont="1" applyFill="1" applyBorder="1" applyAlignment="1" applyProtection="1">
      <alignment horizontal="right"/>
      <protection locked="0"/>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4"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8" fontId="21" fillId="0" borderId="3" xfId="543" applyNumberFormat="1" applyFont="1" applyBorder="1" applyAlignment="1">
      <alignment horizontal="center" vertical="center"/>
    </xf>
    <xf numFmtId="168" fontId="21" fillId="0" borderId="4" xfId="543" applyNumberFormat="1" applyFont="1" applyBorder="1" applyAlignment="1">
      <alignment horizontal="center" vertical="center"/>
    </xf>
    <xf numFmtId="168" fontId="21" fillId="0" borderId="5" xfId="543" applyNumberFormat="1" applyFont="1" applyBorder="1" applyAlignment="1">
      <alignment horizontal="center" vertical="center"/>
    </xf>
    <xf numFmtId="0" fontId="14" fillId="0" borderId="8" xfId="0" applyFont="1" applyBorder="1" applyAlignment="1">
      <alignment horizontal="left" wrapText="1"/>
    </xf>
    <xf numFmtId="0" fontId="14" fillId="0" borderId="12" xfId="0" applyFont="1" applyBorder="1" applyAlignment="1">
      <alignment horizontal="left" wrapText="1"/>
    </xf>
    <xf numFmtId="0" fontId="14" fillId="0" borderId="9" xfId="0" applyFont="1" applyBorder="1" applyAlignment="1">
      <alignment horizontal="left" wrapText="1"/>
    </xf>
    <xf numFmtId="0" fontId="14" fillId="0" borderId="6" xfId="0" applyFont="1" applyBorder="1" applyAlignment="1">
      <alignment horizontal="left" wrapText="1"/>
    </xf>
    <xf numFmtId="0" fontId="14" fillId="0" borderId="10" xfId="0" applyFont="1" applyBorder="1" applyAlignment="1">
      <alignment horizontal="left" wrapText="1"/>
    </xf>
    <xf numFmtId="0" fontId="21" fillId="0" borderId="1" xfId="543" applyFont="1" applyBorder="1" applyAlignment="1">
      <alignment horizontal="left" vertical="top" wrapText="1"/>
    </xf>
    <xf numFmtId="0" fontId="21" fillId="0" borderId="2" xfId="543" applyFont="1" applyBorder="1" applyAlignment="1">
      <alignment horizontal="left" vertical="top" wrapText="1"/>
    </xf>
    <xf numFmtId="0" fontId="21" fillId="0" borderId="7" xfId="543" applyFont="1" applyBorder="1" applyAlignment="1">
      <alignment horizontal="left" vertical="top" wrapText="1"/>
    </xf>
    <xf numFmtId="0" fontId="21" fillId="0" borderId="8" xfId="543" applyFont="1" applyBorder="1" applyAlignment="1">
      <alignment horizontal="left" vertical="top" wrapText="1"/>
    </xf>
    <xf numFmtId="0" fontId="21" fillId="0" borderId="0" xfId="543" applyFont="1" applyAlignment="1">
      <alignment horizontal="left" vertical="top" wrapText="1"/>
    </xf>
    <xf numFmtId="0" fontId="21" fillId="0" borderId="12" xfId="543" applyFont="1" applyBorder="1" applyAlignment="1">
      <alignment horizontal="left" vertical="top" wrapText="1"/>
    </xf>
    <xf numFmtId="0" fontId="21" fillId="0" borderId="1" xfId="543" applyFont="1" applyBorder="1" applyAlignment="1">
      <alignment horizontal="right"/>
    </xf>
    <xf numFmtId="0" fontId="21" fillId="0" borderId="2" xfId="543" applyFont="1" applyBorder="1" applyAlignment="1">
      <alignment horizontal="right"/>
    </xf>
    <xf numFmtId="0" fontId="21" fillId="0" borderId="7" xfId="543" applyFont="1" applyBorder="1" applyAlignment="1">
      <alignment horizontal="right"/>
    </xf>
    <xf numFmtId="168" fontId="14" fillId="0" borderId="11" xfId="543" applyNumberFormat="1" applyBorder="1" applyAlignment="1">
      <alignment horizontal="center"/>
    </xf>
    <xf numFmtId="0" fontId="21" fillId="0" borderId="3" xfId="543" applyFont="1" applyBorder="1" applyAlignment="1">
      <alignment horizontal="right"/>
    </xf>
    <xf numFmtId="0" fontId="21" fillId="0" borderId="4" xfId="543" applyFont="1" applyBorder="1" applyAlignment="1">
      <alignment horizontal="right"/>
    </xf>
    <xf numFmtId="0" fontId="21" fillId="0" borderId="5" xfId="543" applyFont="1" applyBorder="1" applyAlignment="1">
      <alignment horizontal="right"/>
    </xf>
    <xf numFmtId="0" fontId="14" fillId="5" borderId="3" xfId="543" applyFill="1" applyBorder="1" applyAlignment="1" applyProtection="1">
      <alignment horizontal="left" vertical="top" wrapText="1"/>
      <protection locked="0"/>
    </xf>
    <xf numFmtId="0" fontId="14" fillId="5" borderId="4" xfId="543" applyFill="1" applyBorder="1" applyAlignment="1" applyProtection="1">
      <alignment horizontal="left" vertical="top" wrapText="1"/>
      <protection locked="0"/>
    </xf>
    <xf numFmtId="0" fontId="14" fillId="5" borderId="5" xfId="543" applyFill="1" applyBorder="1" applyAlignment="1" applyProtection="1">
      <alignment horizontal="left" vertical="top" wrapText="1"/>
      <protection locked="0"/>
    </xf>
    <xf numFmtId="0" fontId="156" fillId="0" borderId="8" xfId="543" applyFont="1" applyBorder="1" applyAlignment="1">
      <alignment horizontal="center" vertical="center" wrapText="1"/>
    </xf>
    <xf numFmtId="0" fontId="156" fillId="0" borderId="0" xfId="543" applyFont="1" applyAlignment="1">
      <alignment horizontal="center" vertical="center" wrapText="1"/>
    </xf>
    <xf numFmtId="0" fontId="156" fillId="0" borderId="12" xfId="543" applyFont="1" applyBorder="1" applyAlignment="1">
      <alignment horizontal="center" vertical="center" wrapText="1"/>
    </xf>
    <xf numFmtId="0" fontId="14" fillId="0" borderId="8" xfId="543" applyBorder="1" applyAlignment="1">
      <alignment horizontal="left" vertical="center" wrapText="1"/>
    </xf>
    <xf numFmtId="0" fontId="14" fillId="0" borderId="0" xfId="543" applyAlignment="1">
      <alignment horizontal="left" vertical="center" wrapText="1"/>
    </xf>
    <xf numFmtId="0" fontId="14" fillId="0" borderId="12" xfId="543" applyBorder="1" applyAlignment="1">
      <alignment horizontal="left" vertical="center" wrapText="1"/>
    </xf>
    <xf numFmtId="0" fontId="14" fillId="0" borderId="9" xfId="543" applyBorder="1" applyAlignment="1">
      <alignment horizontal="left" vertical="center" wrapText="1"/>
    </xf>
    <xf numFmtId="0" fontId="14" fillId="0" borderId="6" xfId="543" applyBorder="1" applyAlignment="1">
      <alignment horizontal="left" vertical="center" wrapText="1"/>
    </xf>
    <xf numFmtId="0" fontId="14" fillId="0" borderId="10" xfId="543" applyBorder="1" applyAlignment="1">
      <alignment horizontal="left" vertical="center" wrapText="1"/>
    </xf>
    <xf numFmtId="0" fontId="21" fillId="0" borderId="4" xfId="543" applyFont="1" applyBorder="1" applyAlignment="1">
      <alignment horizontal="right" vertical="top" wrapText="1"/>
    </xf>
    <xf numFmtId="0" fontId="21" fillId="0" borderId="5" xfId="543" applyFont="1" applyBorder="1" applyAlignment="1">
      <alignment horizontal="right" vertical="top" wrapText="1"/>
    </xf>
    <xf numFmtId="0" fontId="22" fillId="0" borderId="3" xfId="543" applyFont="1" applyBorder="1" applyAlignment="1">
      <alignment horizontal="center"/>
    </xf>
    <xf numFmtId="0" fontId="22" fillId="0" borderId="5" xfId="543" applyFont="1" applyBorder="1" applyAlignment="1">
      <alignment horizontal="center"/>
    </xf>
    <xf numFmtId="1" fontId="22" fillId="0" borderId="3" xfId="543" applyNumberFormat="1" applyFont="1" applyBorder="1" applyAlignment="1">
      <alignment horizontal="center"/>
    </xf>
    <xf numFmtId="1" fontId="22" fillId="0" borderId="5" xfId="543" applyNumberFormat="1" applyFont="1" applyBorder="1" applyAlignment="1">
      <alignment horizontal="center"/>
    </xf>
    <xf numFmtId="0" fontId="22" fillId="5" borderId="9" xfId="543" applyFont="1" applyFill="1" applyBorder="1" applyAlignment="1" applyProtection="1">
      <alignment horizontal="center"/>
      <protection locked="0"/>
    </xf>
    <xf numFmtId="0" fontId="22" fillId="5" borderId="10" xfId="543" applyFont="1" applyFill="1" applyBorder="1" applyAlignment="1" applyProtection="1">
      <alignment horizontal="center"/>
      <protection locked="0"/>
    </xf>
    <xf numFmtId="0" fontId="36" fillId="0" borderId="8" xfId="543" applyFont="1" applyBorder="1" applyAlignment="1">
      <alignment horizontal="center" vertical="center" wrapText="1"/>
    </xf>
    <xf numFmtId="0" fontId="36" fillId="0" borderId="0" xfId="543" applyFont="1" applyAlignment="1">
      <alignment horizontal="center" vertical="center" wrapText="1"/>
    </xf>
    <xf numFmtId="0" fontId="36" fillId="0" borderId="12" xfId="543" applyFont="1" applyBorder="1" applyAlignment="1">
      <alignment horizontal="center" vertical="center" wrapText="1"/>
    </xf>
    <xf numFmtId="182" fontId="22" fillId="43" borderId="11" xfId="8722" applyNumberFormat="1" applyFont="1" applyFill="1" applyBorder="1" applyAlignment="1" applyProtection="1">
      <alignment horizontal="center" vertical="center" wrapText="1"/>
      <protection locked="0"/>
    </xf>
    <xf numFmtId="168" fontId="0" fillId="5" borderId="11"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21" fillId="0" borderId="2"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2"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0"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0" xfId="0" applyFont="1" applyAlignment="1">
      <alignment horizontal="center" vertical="center" wrapText="1"/>
    </xf>
    <xf numFmtId="0" fontId="30" fillId="0" borderId="12"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0" xfId="0" applyFont="1" applyBorder="1" applyAlignment="1">
      <alignment horizontal="center" vertical="center" wrapText="1"/>
    </xf>
    <xf numFmtId="165" fontId="21" fillId="0" borderId="3" xfId="271" applyNumberFormat="1" applyFont="1" applyBorder="1" applyAlignment="1">
      <alignment horizontal="center"/>
    </xf>
    <xf numFmtId="165" fontId="21" fillId="0" borderId="4" xfId="271" applyNumberFormat="1" applyFont="1" applyBorder="1" applyAlignment="1">
      <alignment horizontal="center"/>
    </xf>
    <xf numFmtId="165" fontId="21" fillId="0" borderId="5" xfId="271" applyNumberFormat="1" applyFont="1" applyBorder="1" applyAlignment="1">
      <alignment horizontal="center"/>
    </xf>
    <xf numFmtId="0" fontId="14" fillId="5" borderId="6" xfId="0" applyFont="1" applyFill="1" applyBorder="1" applyAlignment="1" applyProtection="1">
      <alignment horizontal="center"/>
      <protection locked="0"/>
    </xf>
    <xf numFmtId="0" fontId="21"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0" fillId="0" borderId="3" xfId="0" applyBorder="1"/>
    <xf numFmtId="0" fontId="0" fillId="0" borderId="4" xfId="0" applyBorder="1"/>
    <xf numFmtId="0" fontId="0" fillId="0" borderId="5" xfId="0" applyBorder="1"/>
    <xf numFmtId="0" fontId="21" fillId="0" borderId="8" xfId="0" applyFont="1" applyBorder="1" applyAlignment="1">
      <alignment horizontal="center" wrapText="1"/>
    </xf>
    <xf numFmtId="0" fontId="21" fillId="0" borderId="0" xfId="0" applyFont="1" applyAlignment="1">
      <alignment horizontal="center" wrapText="1"/>
    </xf>
    <xf numFmtId="0" fontId="21" fillId="0" borderId="12" xfId="0" applyFont="1" applyBorder="1" applyAlignment="1">
      <alignment horizontal="center" wrapText="1"/>
    </xf>
    <xf numFmtId="0" fontId="21" fillId="0" borderId="9" xfId="0" applyFont="1" applyBorder="1" applyAlignment="1">
      <alignment horizontal="center" wrapText="1"/>
    </xf>
    <xf numFmtId="0" fontId="21" fillId="0" borderId="6" xfId="0" applyFont="1" applyBorder="1" applyAlignment="1">
      <alignment horizontal="center" wrapText="1"/>
    </xf>
    <xf numFmtId="0" fontId="21" fillId="0" borderId="10" xfId="0" applyFont="1" applyBorder="1" applyAlignment="1">
      <alignment horizontal="center" wrapText="1"/>
    </xf>
    <xf numFmtId="0" fontId="14" fillId="0" borderId="3" xfId="0" applyFont="1" applyBorder="1" applyAlignment="1">
      <alignment horizontal="left"/>
    </xf>
    <xf numFmtId="1" fontId="14" fillId="0" borderId="3" xfId="0" applyNumberFormat="1" applyFont="1" applyBorder="1" applyAlignment="1">
      <alignment horizontal="center"/>
    </xf>
    <xf numFmtId="1" fontId="14" fillId="0" borderId="4" xfId="0" applyNumberFormat="1" applyFont="1" applyBorder="1" applyAlignment="1">
      <alignment horizontal="center"/>
    </xf>
    <xf numFmtId="1" fontId="14" fillId="0" borderId="5" xfId="0" applyNumberFormat="1" applyFont="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4" fillId="43" borderId="11" xfId="0" applyFont="1" applyFill="1" applyBorder="1" applyAlignment="1" applyProtection="1">
      <alignment horizontal="center"/>
      <protection locked="0"/>
    </xf>
    <xf numFmtId="168" fontId="14" fillId="5" borderId="3" xfId="0" applyNumberFormat="1" applyFont="1" applyFill="1" applyBorder="1" applyAlignment="1" applyProtection="1">
      <alignment horizontal="left"/>
      <protection locked="0"/>
    </xf>
    <xf numFmtId="168" fontId="14" fillId="5" borderId="4" xfId="0" applyNumberFormat="1" applyFont="1" applyFill="1" applyBorder="1" applyAlignment="1" applyProtection="1">
      <alignment horizontal="left"/>
      <protection locked="0"/>
    </xf>
    <xf numFmtId="168" fontId="14" fillId="5" borderId="5" xfId="0" applyNumberFormat="1" applyFont="1" applyFill="1" applyBorder="1" applyAlignment="1" applyProtection="1">
      <alignment horizontal="lef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1" fillId="5" borderId="3" xfId="0" applyFont="1" applyFill="1" applyBorder="1" applyAlignment="1" applyProtection="1">
      <alignment horizontal="right"/>
      <protection locked="0"/>
    </xf>
    <xf numFmtId="0" fontId="21" fillId="5" borderId="4" xfId="0" applyFont="1" applyFill="1" applyBorder="1" applyAlignment="1" applyProtection="1">
      <alignment horizontal="right"/>
      <protection locked="0"/>
    </xf>
    <xf numFmtId="0" fontId="21"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1" fillId="0" borderId="2" xfId="0" applyFont="1" applyBorder="1" applyAlignment="1">
      <alignment horizontal="center" wrapText="1"/>
    </xf>
    <xf numFmtId="0" fontId="21" fillId="0" borderId="7" xfId="0" applyFont="1" applyBorder="1" applyAlignment="1">
      <alignment horizontal="center" wrapText="1"/>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4" fillId="0" borderId="0" xfId="543"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3" xfId="0" applyFont="1" applyFill="1" applyBorder="1" applyAlignment="1" applyProtection="1">
      <alignment horizontal="left"/>
      <protection locked="0"/>
    </xf>
    <xf numFmtId="0" fontId="22" fillId="5" borderId="4" xfId="0" applyFont="1" applyFill="1" applyBorder="1" applyAlignment="1" applyProtection="1">
      <alignment horizontal="left"/>
      <protection locked="0"/>
    </xf>
    <xf numFmtId="0" fontId="22" fillId="5" borderId="5" xfId="0" applyFont="1" applyFill="1" applyBorder="1" applyAlignment="1" applyProtection="1">
      <alignment horizontal="left"/>
      <protection locked="0"/>
    </xf>
    <xf numFmtId="0" fontId="21" fillId="0" borderId="2" xfId="0" applyFont="1" applyBorder="1" applyAlignment="1">
      <alignment horizontal="right"/>
    </xf>
    <xf numFmtId="0" fontId="21" fillId="0" borderId="7" xfId="0" applyFont="1" applyBorder="1" applyAlignment="1">
      <alignment horizontal="right"/>
    </xf>
    <xf numFmtId="0" fontId="21" fillId="0" borderId="6" xfId="0" applyFont="1" applyBorder="1" applyAlignment="1">
      <alignment horizontal="center"/>
    </xf>
    <xf numFmtId="2" fontId="14" fillId="0" borderId="0" xfId="543" applyNumberFormat="1" applyAlignment="1">
      <alignment horizontal="center"/>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71" fontId="14" fillId="0" borderId="0" xfId="543" applyNumberFormat="1" applyAlignment="1">
      <alignment horizontal="center"/>
    </xf>
    <xf numFmtId="171" fontId="14" fillId="0" borderId="0" xfId="543" applyNumberFormat="1" applyAlignment="1">
      <alignment horizontal="right"/>
    </xf>
    <xf numFmtId="0" fontId="22" fillId="5" borderId="3" xfId="543" applyFont="1" applyFill="1" applyBorder="1" applyAlignment="1">
      <alignment horizontal="center"/>
    </xf>
    <xf numFmtId="0" fontId="22" fillId="5" borderId="4" xfId="543" applyFont="1" applyFill="1" applyBorder="1" applyAlignment="1">
      <alignment horizontal="center"/>
    </xf>
    <xf numFmtId="0" fontId="22" fillId="5" borderId="5" xfId="543" applyFont="1" applyFill="1" applyBorder="1" applyAlignment="1">
      <alignment horizontal="center"/>
    </xf>
    <xf numFmtId="49" fontId="14" fillId="5" borderId="3" xfId="543" applyNumberFormat="1" applyFill="1" applyBorder="1" applyAlignment="1">
      <alignment horizontal="center"/>
    </xf>
    <xf numFmtId="49" fontId="14" fillId="5" borderId="5" xfId="543" applyNumberFormat="1" applyFill="1" applyBorder="1" applyAlignment="1">
      <alignment horizontal="center"/>
    </xf>
    <xf numFmtId="14" fontId="0" fillId="5" borderId="6"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0" fontId="14" fillId="5" borderId="3" xfId="0" applyFont="1" applyFill="1" applyBorder="1" applyProtection="1">
      <protection locked="0"/>
    </xf>
    <xf numFmtId="0" fontId="14" fillId="0" borderId="4" xfId="0" applyFont="1" applyBorder="1" applyProtection="1">
      <protection locked="0"/>
    </xf>
    <xf numFmtId="0" fontId="14" fillId="0" borderId="5" xfId="0" applyFont="1" applyBorder="1" applyProtection="1">
      <protection locked="0"/>
    </xf>
    <xf numFmtId="2" fontId="0" fillId="0" borderId="6" xfId="0" applyNumberFormat="1" applyBorder="1" applyAlignment="1">
      <alignment horizontal="center"/>
    </xf>
    <xf numFmtId="168" fontId="14" fillId="5" borderId="6"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4" fillId="5" borderId="4" xfId="0" applyFont="1" applyFill="1" applyBorder="1" applyAlignment="1" applyProtection="1">
      <alignment horizontal="right"/>
      <protection locked="0"/>
    </xf>
    <xf numFmtId="14" fontId="14" fillId="5" borderId="4" xfId="0" applyNumberFormat="1" applyFont="1" applyFill="1" applyBorder="1" applyAlignment="1" applyProtection="1">
      <alignment horizontal="righ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5" borderId="5" xfId="0" applyFill="1" applyBorder="1" applyAlignment="1" applyProtection="1">
      <alignment horizontal="left"/>
      <protection locked="0"/>
    </xf>
    <xf numFmtId="0" fontId="21" fillId="0" borderId="3" xfId="0" applyFont="1" applyBorder="1" applyAlignment="1">
      <alignment horizontal="center"/>
    </xf>
    <xf numFmtId="0" fontId="21" fillId="0" borderId="4" xfId="0" applyFont="1" applyBorder="1" applyAlignment="1">
      <alignment horizontal="center"/>
    </xf>
    <xf numFmtId="0" fontId="21" fillId="0" borderId="5" xfId="0" applyFont="1" applyBorder="1" applyAlignment="1">
      <alignment horizontal="center"/>
    </xf>
    <xf numFmtId="0" fontId="14" fillId="0" borderId="4" xfId="0" applyFont="1" applyBorder="1" applyAlignment="1">
      <alignment horizontal="left"/>
    </xf>
    <xf numFmtId="0" fontId="14" fillId="0" borderId="5" xfId="0" applyFont="1" applyBorder="1" applyAlignment="1">
      <alignment horizontal="left"/>
    </xf>
    <xf numFmtId="0" fontId="21" fillId="0" borderId="1"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166" fontId="14" fillId="5" borderId="6" xfId="0" applyNumberFormat="1" applyFont="1" applyFill="1" applyBorder="1" applyAlignment="1" applyProtection="1">
      <alignment horizontal="left"/>
      <protection locked="0"/>
    </xf>
    <xf numFmtId="175" fontId="14" fillId="43" borderId="3" xfId="0" applyNumberFormat="1" applyFont="1" applyFill="1" applyBorder="1" applyAlignment="1" applyProtection="1">
      <alignment horizontal="center" vertical="center"/>
      <protection locked="0"/>
    </xf>
    <xf numFmtId="175" fontId="14" fillId="43" borderId="4" xfId="0" applyNumberFormat="1" applyFont="1" applyFill="1" applyBorder="1" applyAlignment="1" applyProtection="1">
      <alignment horizontal="center" vertical="center"/>
      <protection locked="0"/>
    </xf>
    <xf numFmtId="175" fontId="14" fillId="43" borderId="5" xfId="0" applyNumberFormat="1" applyFont="1" applyFill="1" applyBorder="1" applyAlignment="1" applyProtection="1">
      <alignment horizontal="center" vertical="center"/>
      <protection locked="0"/>
    </xf>
    <xf numFmtId="1" fontId="14" fillId="5" borderId="3" xfId="0" applyNumberFormat="1" applyFont="1" applyFill="1" applyBorder="1" applyAlignment="1" applyProtection="1">
      <alignment horizontal="right" vertical="top"/>
      <protection locked="0"/>
    </xf>
    <xf numFmtId="1" fontId="14" fillId="5" borderId="4" xfId="0" applyNumberFormat="1" applyFont="1" applyFill="1" applyBorder="1" applyAlignment="1" applyProtection="1">
      <alignment horizontal="right" vertical="top"/>
      <protection locked="0"/>
    </xf>
    <xf numFmtId="1" fontId="14" fillId="5" borderId="5" xfId="0" applyNumberFormat="1" applyFont="1" applyFill="1" applyBorder="1" applyAlignment="1" applyProtection="1">
      <alignment horizontal="right" vertical="top"/>
      <protection locked="0"/>
    </xf>
    <xf numFmtId="0" fontId="14" fillId="5" borderId="11" xfId="0" applyFont="1" applyFill="1" applyBorder="1" applyAlignment="1" applyProtection="1">
      <alignment horizontal="left" vertical="center" wrapText="1"/>
      <protection locked="0"/>
    </xf>
    <xf numFmtId="0" fontId="14"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0" fontId="0" fillId="5" borderId="3" xfId="0" applyFill="1" applyBorder="1" applyAlignment="1" applyProtection="1">
      <alignment horizontal="left"/>
      <protection locked="0"/>
    </xf>
    <xf numFmtId="3" fontId="14" fillId="5" borderId="11" xfId="0" applyNumberFormat="1" applyFont="1" applyFill="1" applyBorder="1" applyAlignment="1" applyProtection="1">
      <alignment horizontal="center"/>
      <protection locked="0"/>
    </xf>
    <xf numFmtId="180" fontId="22" fillId="43" borderId="3" xfId="0" applyNumberFormat="1" applyFont="1" applyFill="1" applyBorder="1" applyAlignment="1" applyProtection="1">
      <alignment horizontal="center" vertical="center"/>
      <protection locked="0"/>
    </xf>
    <xf numFmtId="180" fontId="22" fillId="43" borderId="4" xfId="0" applyNumberFormat="1" applyFont="1" applyFill="1" applyBorder="1" applyAlignment="1" applyProtection="1">
      <alignment horizontal="center" vertical="center"/>
      <protection locked="0"/>
    </xf>
    <xf numFmtId="180" fontId="22" fillId="43" borderId="5" xfId="0" applyNumberFormat="1" applyFont="1" applyFill="1" applyBorder="1" applyAlignment="1" applyProtection="1">
      <alignment horizontal="center" vertical="center"/>
      <protection locked="0"/>
    </xf>
    <xf numFmtId="168" fontId="14" fillId="43" borderId="3" xfId="0" applyNumberFormat="1" applyFont="1" applyFill="1" applyBorder="1" applyAlignment="1" applyProtection="1">
      <alignment horizontal="center" vertical="center"/>
      <protection locked="0"/>
    </xf>
    <xf numFmtId="168" fontId="14" fillId="43" borderId="4" xfId="0" applyNumberFormat="1" applyFont="1" applyFill="1" applyBorder="1" applyAlignment="1" applyProtection="1">
      <alignment horizontal="center" vertical="center"/>
      <protection locked="0"/>
    </xf>
    <xf numFmtId="168" fontId="14" fillId="43" borderId="5"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0" fontId="45" fillId="0" borderId="1" xfId="0" applyFont="1" applyBorder="1" applyAlignment="1">
      <alignment horizontal="center" vertical="center" wrapText="1"/>
    </xf>
    <xf numFmtId="0" fontId="45" fillId="0" borderId="2"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0" xfId="0" applyFont="1" applyAlignment="1">
      <alignment horizontal="center" vertical="center" wrapText="1"/>
    </xf>
    <xf numFmtId="0" fontId="45" fillId="0" borderId="12"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10" xfId="0" applyFont="1" applyBorder="1" applyAlignment="1">
      <alignment horizontal="center" vertical="center" wrapText="1"/>
    </xf>
    <xf numFmtId="9" fontId="14" fillId="5" borderId="3" xfId="0" applyNumberFormat="1" applyFont="1" applyFill="1" applyBorder="1" applyAlignment="1" applyProtection="1">
      <alignment horizontal="right"/>
      <protection locked="0"/>
    </xf>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168" fontId="0" fillId="5" borderId="11" xfId="0" applyNumberFormat="1" applyFill="1" applyBorder="1" applyProtection="1">
      <protection locked="0"/>
    </xf>
    <xf numFmtId="168" fontId="14" fillId="5" borderId="10" xfId="0" applyNumberFormat="1" applyFont="1" applyFill="1" applyBorder="1" applyAlignment="1" applyProtection="1">
      <alignment horizontal="right"/>
      <protection locked="0"/>
    </xf>
    <xf numFmtId="168" fontId="14" fillId="5" borderId="13" xfId="0" applyNumberFormat="1" applyFont="1" applyFill="1" applyBorder="1" applyAlignment="1" applyProtection="1">
      <alignment horizontal="right"/>
      <protection locked="0"/>
    </xf>
    <xf numFmtId="0" fontId="0" fillId="0" borderId="9" xfId="0" applyBorder="1" applyAlignment="1">
      <alignment horizontal="left"/>
    </xf>
    <xf numFmtId="0" fontId="21" fillId="0" borderId="1" xfId="0" applyFont="1" applyBorder="1" applyAlignment="1">
      <alignment horizontal="center" wrapText="1"/>
    </xf>
    <xf numFmtId="168" fontId="0" fillId="0" borderId="11" xfId="0" applyNumberFormat="1" applyBorder="1"/>
    <xf numFmtId="0" fontId="14" fillId="0" borderId="3" xfId="0" applyFont="1" applyBorder="1"/>
    <xf numFmtId="0" fontId="14" fillId="0" borderId="4" xfId="0" applyFont="1" applyBorder="1"/>
    <xf numFmtId="0" fontId="14" fillId="0" borderId="5" xfId="0" applyFont="1" applyBorder="1"/>
    <xf numFmtId="9" fontId="14"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1"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68" fontId="14" fillId="0" borderId="3" xfId="0" applyNumberFormat="1" applyFont="1" applyBorder="1" applyAlignment="1">
      <alignment horizontal="left" vertical="top"/>
    </xf>
    <xf numFmtId="168" fontId="14" fillId="0" borderId="4" xfId="0" applyNumberFormat="1" applyFont="1" applyBorder="1" applyAlignment="1">
      <alignment horizontal="left" vertical="top"/>
    </xf>
    <xf numFmtId="168" fontId="14" fillId="0" borderId="5" xfId="0" applyNumberFormat="1" applyFont="1" applyBorder="1" applyAlignment="1">
      <alignment horizontal="left" vertical="top"/>
    </xf>
    <xf numFmtId="0" fontId="14" fillId="5" borderId="11" xfId="0" applyFont="1" applyFill="1" applyBorder="1" applyAlignment="1" applyProtection="1">
      <alignment horizontal="center"/>
      <protection locked="0"/>
    </xf>
    <xf numFmtId="10" fontId="14"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10" fontId="0" fillId="5" borderId="4" xfId="0" applyNumberFormat="1" applyFill="1" applyBorder="1" applyAlignment="1" applyProtection="1">
      <alignment horizontal="center"/>
      <protection locked="0"/>
    </xf>
    <xf numFmtId="10" fontId="14"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4"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0" borderId="12" xfId="0"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166" fontId="0" fillId="5" borderId="6" xfId="0" applyNumberFormat="1" applyFill="1" applyBorder="1" applyAlignment="1" applyProtection="1">
      <alignment horizontal="left"/>
      <protection locked="0"/>
    </xf>
    <xf numFmtId="0" fontId="14" fillId="5" borderId="6" xfId="244" applyFont="1" applyFill="1" applyBorder="1" applyAlignment="1" applyProtection="1">
      <alignment horizontal="left"/>
      <protection locked="0"/>
    </xf>
    <xf numFmtId="0" fontId="14" fillId="0" borderId="6" xfId="0" applyFont="1" applyBorder="1" applyAlignment="1" applyProtection="1">
      <alignment horizontal="center"/>
      <protection locked="0"/>
    </xf>
    <xf numFmtId="174" fontId="14" fillId="5" borderId="4" xfId="0" applyNumberFormat="1" applyFont="1" applyFill="1" applyBorder="1" applyAlignment="1" applyProtection="1">
      <alignment horizontal="left"/>
      <protection locked="0"/>
    </xf>
    <xf numFmtId="174" fontId="0" fillId="5" borderId="4" xfId="0" applyNumberFormat="1" applyFill="1" applyBorder="1" applyAlignment="1" applyProtection="1">
      <alignment horizontal="left"/>
      <protection locked="0"/>
    </xf>
    <xf numFmtId="0" fontId="14"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6" fontId="14" fillId="5" borderId="6" xfId="271" applyNumberFormat="1" applyFont="1" applyFill="1" applyBorder="1" applyAlignment="1" applyProtection="1">
      <alignment horizontal="left"/>
      <protection locked="0"/>
    </xf>
    <xf numFmtId="166" fontId="23" fillId="5" borderId="6" xfId="271" applyNumberFormat="1" applyFill="1" applyBorder="1" applyAlignment="1" applyProtection="1">
      <alignment horizontal="left"/>
      <protection locked="0"/>
    </xf>
    <xf numFmtId="9" fontId="22" fillId="0" borderId="3" xfId="4494" applyFont="1" applyBorder="1" applyAlignment="1" applyProtection="1">
      <alignment horizontal="center"/>
    </xf>
    <xf numFmtId="9" fontId="22" fillId="0" borderId="5" xfId="4494" applyFont="1" applyBorder="1" applyAlignment="1" applyProtection="1">
      <alignment horizontal="center"/>
    </xf>
    <xf numFmtId="0" fontId="14" fillId="43" borderId="6" xfId="0" applyFont="1" applyFill="1" applyBorder="1" applyAlignment="1" applyProtection="1">
      <alignment vertical="center"/>
      <protection locked="0"/>
    </xf>
    <xf numFmtId="0" fontId="0" fillId="5" borderId="6" xfId="0" applyFill="1" applyBorder="1" applyProtection="1">
      <protection locked="0"/>
    </xf>
    <xf numFmtId="0" fontId="14"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0" borderId="0" xfId="0" applyAlignment="1">
      <alignment wrapText="1"/>
    </xf>
    <xf numFmtId="0" fontId="22" fillId="43" borderId="6" xfId="0" applyFont="1" applyFill="1" applyBorder="1" applyAlignment="1" applyProtection="1">
      <alignment horizontal="left"/>
      <protection locked="0"/>
    </xf>
    <xf numFmtId="0" fontId="157" fillId="0" borderId="0" xfId="0" applyFont="1" applyAlignment="1" applyProtection="1">
      <alignment horizontal="left" vertical="top" wrapText="1"/>
      <protection locked="0"/>
    </xf>
    <xf numFmtId="0" fontId="14" fillId="0" borderId="6" xfId="0" applyFont="1" applyBorder="1" applyAlignment="1" applyProtection="1">
      <alignment horizontal="left"/>
      <protection locked="0"/>
    </xf>
    <xf numFmtId="0" fontId="15" fillId="0" borderId="0" xfId="244" applyFill="1" applyAlignment="1" applyProtection="1">
      <alignment horizontal="left"/>
      <protection locked="0"/>
    </xf>
    <xf numFmtId="168" fontId="0" fillId="0" borderId="6" xfId="0" applyNumberFormat="1" applyBorder="1" applyAlignment="1">
      <alignment horizontal="center"/>
    </xf>
    <xf numFmtId="0" fontId="0" fillId="43" borderId="6" xfId="0" applyFill="1" applyBorder="1" applyAlignment="1" applyProtection="1">
      <alignment horizontal="left" vertical="top" wrapText="1"/>
      <protection locked="0"/>
    </xf>
    <xf numFmtId="0" fontId="14" fillId="5" borderId="6" xfId="569" applyFill="1" applyBorder="1" applyAlignment="1" applyProtection="1">
      <alignment horizontal="left"/>
      <protection locked="0"/>
    </xf>
    <xf numFmtId="0" fontId="14" fillId="5" borderId="4" xfId="569" applyFill="1" applyBorder="1" applyAlignment="1" applyProtection="1">
      <alignment horizontal="left"/>
      <protection locked="0"/>
    </xf>
    <xf numFmtId="173" fontId="0" fillId="5" borderId="6" xfId="0" applyNumberFormat="1" applyFill="1" applyBorder="1" applyAlignment="1" applyProtection="1">
      <alignment horizontal="center"/>
      <protection locked="0"/>
    </xf>
    <xf numFmtId="0" fontId="0" fillId="43" borderId="6" xfId="0" applyFill="1" applyBorder="1" applyAlignment="1" applyProtection="1">
      <alignment horizontal="center"/>
      <protection locked="0"/>
    </xf>
    <xf numFmtId="0" fontId="14" fillId="0" borderId="0" xfId="0" applyFont="1" applyAlignment="1" applyProtection="1">
      <alignment horizontal="left"/>
      <protection locked="0"/>
    </xf>
    <xf numFmtId="0" fontId="14" fillId="0" borderId="6" xfId="0" applyFont="1" applyBorder="1" applyAlignment="1">
      <alignment horizontal="left"/>
    </xf>
    <xf numFmtId="0" fontId="0" fillId="5" borderId="6" xfId="0" applyFill="1" applyBorder="1" applyAlignment="1" applyProtection="1">
      <alignment horizontal="right"/>
      <protection locked="0"/>
    </xf>
    <xf numFmtId="166" fontId="23" fillId="5" borderId="4" xfId="271" applyNumberFormat="1" applyFill="1" applyBorder="1" applyAlignment="1" applyProtection="1">
      <alignment horizontal="left"/>
      <protection locked="0"/>
    </xf>
    <xf numFmtId="0" fontId="0" fillId="0" borderId="0" xfId="0" applyAlignment="1">
      <alignment vertical="top" wrapText="1"/>
    </xf>
    <xf numFmtId="0" fontId="22"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80" fontId="0" fillId="0" borderId="6" xfId="0" applyNumberFormat="1" applyBorder="1" applyAlignment="1">
      <alignment horizontal="center"/>
    </xf>
    <xf numFmtId="0" fontId="14" fillId="5" borderId="0" xfId="244" applyFont="1" applyFill="1" applyBorder="1" applyAlignment="1" applyProtection="1">
      <alignment horizontal="lef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4" fillId="43" borderId="4" xfId="0" applyFont="1" applyFill="1" applyBorder="1" applyAlignment="1" applyProtection="1">
      <alignment horizontal="left" wrapText="1"/>
      <protection locked="0"/>
    </xf>
    <xf numFmtId="1" fontId="14" fillId="5" borderId="6" xfId="0" applyNumberFormat="1" applyFont="1" applyFill="1" applyBorder="1" applyAlignment="1" applyProtection="1">
      <alignment horizontal="right"/>
      <protection locked="0"/>
    </xf>
    <xf numFmtId="1" fontId="14" fillId="5" borderId="11" xfId="0" quotePrefix="1" applyNumberFormat="1" applyFont="1" applyFill="1" applyBorder="1" applyAlignment="1" applyProtection="1">
      <alignment horizontal="center"/>
      <protection locked="0"/>
    </xf>
    <xf numFmtId="0" fontId="14" fillId="5" borderId="6" xfId="0" applyFont="1" applyFill="1" applyBorder="1" applyAlignment="1" applyProtection="1">
      <alignment horizontal="left" vertical="top" wrapText="1"/>
      <protection locked="0"/>
    </xf>
    <xf numFmtId="178" fontId="14" fillId="5" borderId="4" xfId="0" applyNumberFormat="1" applyFont="1" applyFill="1" applyBorder="1" applyAlignment="1" applyProtection="1">
      <alignment horizontal="right"/>
      <protection locked="0"/>
    </xf>
    <xf numFmtId="0" fontId="2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21" fillId="0" borderId="10" xfId="0" applyFont="1" applyBorder="1" applyAlignment="1">
      <alignment horizontal="center"/>
    </xf>
    <xf numFmtId="0" fontId="14"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5" fontId="14" fillId="5" borderId="3" xfId="0" applyNumberFormat="1" applyFont="1" applyFill="1" applyBorder="1" applyAlignment="1" applyProtection="1">
      <alignment horizontal="center"/>
      <protection locked="0"/>
    </xf>
    <xf numFmtId="165" fontId="14" fillId="5" borderId="4" xfId="0" applyNumberFormat="1" applyFont="1" applyFill="1" applyBorder="1" applyAlignment="1" applyProtection="1">
      <alignment horizontal="center"/>
      <protection locked="0"/>
    </xf>
    <xf numFmtId="165" fontId="14"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14" fillId="0" borderId="3" xfId="271" applyFont="1" applyBorder="1" applyAlignment="1">
      <alignment horizontal="left"/>
    </xf>
    <xf numFmtId="0" fontId="14" fillId="0" borderId="4" xfId="271" applyFont="1" applyBorder="1" applyAlignment="1">
      <alignment horizontal="left"/>
    </xf>
    <xf numFmtId="0" fontId="14" fillId="0" borderId="5" xfId="271" applyFont="1" applyBorder="1" applyAlignment="1">
      <alignment horizontal="left"/>
    </xf>
    <xf numFmtId="168" fontId="44" fillId="0" borderId="2" xfId="0" applyNumberFormat="1" applyFont="1" applyBorder="1" applyAlignment="1">
      <alignment horizontal="left" vertical="top" wrapText="1"/>
    </xf>
    <xf numFmtId="168" fontId="44" fillId="0" borderId="0" xfId="0" applyNumberFormat="1" applyFont="1" applyAlignment="1">
      <alignment horizontal="left" vertical="top" wrapText="1"/>
    </xf>
    <xf numFmtId="168" fontId="14" fillId="0" borderId="11" xfId="0" applyNumberFormat="1" applyFont="1" applyBorder="1" applyAlignment="1">
      <alignment horizontal="center"/>
    </xf>
    <xf numFmtId="168" fontId="14" fillId="5" borderId="3" xfId="0" applyNumberFormat="1" applyFont="1" applyFill="1" applyBorder="1" applyAlignment="1" applyProtection="1">
      <alignment horizontal="left" vertical="top"/>
      <protection locked="0"/>
    </xf>
    <xf numFmtId="168" fontId="14" fillId="5" borderId="4" xfId="0" applyNumberFormat="1" applyFont="1" applyFill="1" applyBorder="1" applyAlignment="1" applyProtection="1">
      <alignment horizontal="left" vertical="top"/>
      <protection locked="0"/>
    </xf>
    <xf numFmtId="168" fontId="14" fillId="5" borderId="5" xfId="0" applyNumberFormat="1" applyFont="1" applyFill="1" applyBorder="1" applyAlignment="1" applyProtection="1">
      <alignment horizontal="left" vertical="top"/>
      <protection locked="0"/>
    </xf>
    <xf numFmtId="0" fontId="0" fillId="43" borderId="10" xfId="0" applyFill="1" applyBorder="1" applyAlignment="1" applyProtection="1">
      <alignment horizontal="left"/>
      <protection locked="0"/>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1" fillId="0" borderId="9" xfId="0" applyFont="1" applyBorder="1" applyAlignment="1">
      <alignment horizontal="center"/>
    </xf>
    <xf numFmtId="3" fontId="0" fillId="0" borderId="6" xfId="0" applyNumberFormat="1" applyBorder="1" applyAlignment="1">
      <alignment horizontal="right"/>
    </xf>
    <xf numFmtId="3" fontId="14" fillId="0" borderId="11" xfId="0" applyNumberFormat="1" applyFont="1" applyBorder="1" applyAlignment="1">
      <alignment horizontal="center"/>
    </xf>
    <xf numFmtId="0" fontId="48" fillId="2" borderId="3" xfId="0" applyFont="1" applyFill="1" applyBorder="1" applyAlignment="1">
      <alignment horizontal="center" vertical="top"/>
    </xf>
    <xf numFmtId="0" fontId="48" fillId="2" borderId="4" xfId="0" applyFont="1" applyFill="1" applyBorder="1" applyAlignment="1">
      <alignment horizontal="center" vertical="top"/>
    </xf>
    <xf numFmtId="0" fontId="48" fillId="2" borderId="5" xfId="0" applyFont="1" applyFill="1" applyBorder="1" applyAlignment="1">
      <alignment horizontal="center" vertical="top"/>
    </xf>
    <xf numFmtId="0" fontId="14" fillId="0" borderId="6" xfId="0" applyFont="1" applyBorder="1" applyAlignment="1">
      <alignment vertical="top" wrapText="1"/>
    </xf>
    <xf numFmtId="177" fontId="14" fillId="5" borderId="6" xfId="0" applyNumberFormat="1" applyFont="1" applyFill="1" applyBorder="1" applyAlignment="1" applyProtection="1">
      <alignment horizontal="left" vertical="top" wrapText="1"/>
      <protection locked="0"/>
    </xf>
    <xf numFmtId="0" fontId="14" fillId="0" borderId="2" xfId="0" applyFont="1" applyBorder="1" applyAlignment="1">
      <alignment vertical="top" wrapText="1"/>
    </xf>
    <xf numFmtId="0" fontId="44" fillId="0" borderId="0" xfId="0" applyFont="1" applyAlignment="1">
      <alignment vertical="top" wrapText="1"/>
    </xf>
    <xf numFmtId="0" fontId="14" fillId="0" borderId="2" xfId="0" applyFont="1" applyBorder="1" applyAlignment="1">
      <alignment horizontal="left" vertical="top" wrapText="1"/>
    </xf>
    <xf numFmtId="0" fontId="45" fillId="0" borderId="0" xfId="0" applyFont="1" applyAlignment="1">
      <alignment vertical="top" wrapText="1"/>
    </xf>
    <xf numFmtId="0" fontId="14" fillId="0" borderId="6" xfId="0" applyFont="1" applyBorder="1" applyAlignment="1">
      <alignment horizontal="right" vertical="top" wrapText="1"/>
    </xf>
    <xf numFmtId="0" fontId="45" fillId="0" borderId="0" xfId="569" applyFont="1" applyAlignment="1">
      <alignment vertical="top" wrapText="1"/>
    </xf>
    <xf numFmtId="0" fontId="14" fillId="0" borderId="0" xfId="569" applyAlignment="1">
      <alignment horizontal="right" vertical="top" wrapText="1"/>
    </xf>
    <xf numFmtId="0" fontId="20" fillId="3" borderId="3" xfId="0" applyFont="1" applyFill="1" applyBorder="1" applyAlignment="1">
      <alignment horizontal="left" vertical="top"/>
    </xf>
    <xf numFmtId="0" fontId="20" fillId="3" borderId="4" xfId="0" applyFont="1" applyFill="1" applyBorder="1" applyAlignment="1">
      <alignment horizontal="left" vertical="top"/>
    </xf>
    <xf numFmtId="0" fontId="20" fillId="3" borderId="5" xfId="0" applyFont="1" applyFill="1" applyBorder="1" applyAlignment="1">
      <alignment horizontal="left" vertical="top"/>
    </xf>
    <xf numFmtId="165" fontId="110" fillId="0" borderId="55" xfId="4496" applyNumberFormat="1" applyFont="1" applyBorder="1" applyAlignment="1">
      <alignment horizontal="center" vertical="top" wrapText="1"/>
    </xf>
    <xf numFmtId="165" fontId="110" fillId="0" borderId="6" xfId="4496" applyNumberFormat="1" applyFont="1" applyBorder="1" applyAlignment="1">
      <alignment horizontal="center" vertical="top" wrapText="1"/>
    </xf>
    <xf numFmtId="165" fontId="110" fillId="0" borderId="60" xfId="4496" applyNumberFormat="1" applyFont="1" applyBorder="1" applyAlignment="1">
      <alignment horizontal="center" vertical="top" wrapText="1"/>
    </xf>
    <xf numFmtId="165" fontId="110" fillId="0" borderId="4" xfId="4496" applyNumberFormat="1" applyFont="1" applyBorder="1" applyAlignment="1">
      <alignment horizontal="center" vertical="top" wrapText="1"/>
    </xf>
    <xf numFmtId="0" fontId="110" fillId="5" borderId="60" xfId="4496" applyFont="1" applyFill="1" applyBorder="1" applyAlignment="1" applyProtection="1">
      <alignment horizontal="center"/>
      <protection locked="0"/>
    </xf>
    <xf numFmtId="0" fontId="110" fillId="5" borderId="4" xfId="4496" applyFont="1" applyFill="1" applyBorder="1" applyAlignment="1" applyProtection="1">
      <alignment horizontal="center"/>
      <protection locked="0"/>
    </xf>
    <xf numFmtId="0" fontId="110" fillId="5" borderId="6" xfId="4496" applyFont="1" applyFill="1" applyBorder="1" applyAlignment="1" applyProtection="1">
      <alignment horizontal="center"/>
      <protection locked="0"/>
    </xf>
    <xf numFmtId="0" fontId="14" fillId="0" borderId="50" xfId="4495" applyFont="1" applyBorder="1" applyAlignment="1">
      <alignment horizontal="left" vertical="center" wrapText="1"/>
    </xf>
    <xf numFmtId="0" fontId="14" fillId="0" borderId="51" xfId="4495" applyFont="1" applyBorder="1" applyAlignment="1">
      <alignment horizontal="left" vertical="center" wrapText="1"/>
    </xf>
    <xf numFmtId="0" fontId="14" fillId="0" borderId="52" xfId="4495" applyFont="1" applyBorder="1" applyAlignment="1">
      <alignment horizontal="left" vertical="center" wrapText="1"/>
    </xf>
    <xf numFmtId="0" fontId="14" fillId="0" borderId="57" xfId="4495" applyFont="1" applyBorder="1" applyAlignment="1">
      <alignment horizontal="left" vertical="center" wrapText="1"/>
    </xf>
    <xf numFmtId="0" fontId="14" fillId="0" borderId="58" xfId="4495" applyFont="1" applyBorder="1" applyAlignment="1">
      <alignment horizontal="left" vertical="center" wrapText="1"/>
    </xf>
    <xf numFmtId="0" fontId="14" fillId="0" borderId="59" xfId="4495" applyFont="1" applyBorder="1" applyAlignment="1">
      <alignment horizontal="left" vertical="center" wrapText="1"/>
    </xf>
    <xf numFmtId="0" fontId="14" fillId="0" borderId="53" xfId="4495" applyFont="1" applyBorder="1" applyAlignment="1">
      <alignment horizontal="left" vertical="center" wrapText="1"/>
    </xf>
    <xf numFmtId="0" fontId="14" fillId="0" borderId="0" xfId="4495" applyFont="1" applyAlignment="1">
      <alignment horizontal="left" vertical="center" wrapText="1"/>
    </xf>
    <xf numFmtId="0" fontId="14" fillId="0" borderId="54" xfId="4495" applyFont="1" applyBorder="1" applyAlignment="1">
      <alignment horizontal="left" vertical="center" wrapText="1"/>
    </xf>
    <xf numFmtId="0" fontId="21" fillId="0" borderId="0" xfId="4495" applyFont="1" applyAlignment="1">
      <alignment horizontal="right"/>
    </xf>
    <xf numFmtId="0" fontId="110" fillId="0" borderId="50" xfId="4496" applyFont="1" applyBorder="1" applyAlignment="1">
      <alignment horizontal="left" vertical="top" wrapText="1"/>
    </xf>
    <xf numFmtId="0" fontId="110" fillId="0" borderId="51" xfId="4496" applyFont="1" applyBorder="1" applyAlignment="1">
      <alignment horizontal="left" vertical="top" wrapText="1"/>
    </xf>
    <xf numFmtId="0" fontId="110" fillId="0" borderId="52" xfId="4496" applyFont="1" applyBorder="1" applyAlignment="1">
      <alignment horizontal="left" vertical="top" wrapText="1"/>
    </xf>
    <xf numFmtId="0" fontId="110" fillId="0" borderId="53" xfId="4496" applyFont="1" applyBorder="1" applyAlignment="1">
      <alignment horizontal="left" vertical="top" wrapText="1"/>
    </xf>
    <xf numFmtId="0" fontId="110" fillId="0" borderId="0" xfId="4496" applyFont="1" applyAlignment="1">
      <alignment horizontal="left" vertical="top" wrapText="1"/>
    </xf>
    <xf numFmtId="0" fontId="110" fillId="0" borderId="54" xfId="4496" applyFont="1" applyBorder="1" applyAlignment="1">
      <alignment horizontal="left" vertical="top" wrapText="1"/>
    </xf>
    <xf numFmtId="0" fontId="110" fillId="0" borderId="57" xfId="4496" applyFont="1" applyBorder="1" applyAlignment="1">
      <alignment horizontal="left" vertical="top" wrapText="1"/>
    </xf>
    <xf numFmtId="0" fontId="110" fillId="0" borderId="58" xfId="4496" applyFont="1" applyBorder="1" applyAlignment="1">
      <alignment horizontal="left" vertical="top" wrapText="1"/>
    </xf>
    <xf numFmtId="0" fontId="110" fillId="0" borderId="59" xfId="4496" applyFont="1" applyBorder="1" applyAlignment="1">
      <alignment horizontal="left" vertical="top" wrapText="1"/>
    </xf>
    <xf numFmtId="0" fontId="110" fillId="5" borderId="55" xfId="4496" applyFont="1" applyFill="1" applyBorder="1" applyAlignment="1" applyProtection="1">
      <alignment horizontal="center"/>
      <protection locked="0"/>
    </xf>
    <xf numFmtId="0" fontId="110" fillId="0" borderId="47" xfId="4496" applyFont="1" applyBorder="1"/>
    <xf numFmtId="0" fontId="110" fillId="0" borderId="48" xfId="4496" applyFont="1" applyBorder="1"/>
    <xf numFmtId="0" fontId="110" fillId="0" borderId="49" xfId="4496" applyFont="1" applyBorder="1"/>
    <xf numFmtId="0" fontId="110" fillId="0" borderId="55" xfId="4496" applyFont="1" applyBorder="1" applyAlignment="1">
      <alignment horizontal="center" vertical="top" wrapText="1"/>
    </xf>
    <xf numFmtId="0" fontId="110" fillId="0" borderId="6" xfId="4496" applyFont="1" applyBorder="1" applyAlignment="1">
      <alignment horizontal="center" vertical="top" wrapText="1"/>
    </xf>
    <xf numFmtId="0" fontId="20" fillId="3" borderId="2" xfId="4495" applyFont="1" applyFill="1" applyBorder="1" applyAlignment="1">
      <alignment horizontal="center" vertical="center"/>
    </xf>
    <xf numFmtId="0" fontId="20" fillId="3" borderId="16" xfId="4495" applyFont="1" applyFill="1" applyBorder="1" applyAlignment="1">
      <alignment horizontal="center" vertical="center"/>
    </xf>
    <xf numFmtId="0" fontId="21" fillId="0" borderId="48" xfId="4495" applyFont="1" applyBorder="1" applyAlignment="1">
      <alignment horizontal="left" vertical="top"/>
    </xf>
    <xf numFmtId="0" fontId="21" fillId="0" borderId="49" xfId="4495" applyFont="1" applyBorder="1" applyAlignment="1">
      <alignment horizontal="left" vertical="top"/>
    </xf>
    <xf numFmtId="1" fontId="14" fillId="0" borderId="3" xfId="4495" applyNumberFormat="1" applyFont="1" applyBorder="1" applyAlignment="1">
      <alignment horizontal="center"/>
    </xf>
    <xf numFmtId="1" fontId="14" fillId="0" borderId="4" xfId="4495" applyNumberFormat="1" applyFont="1" applyBorder="1" applyAlignment="1">
      <alignment horizontal="center"/>
    </xf>
    <xf numFmtId="1" fontId="14" fillId="0" borderId="5" xfId="4495" applyNumberFormat="1" applyFont="1" applyBorder="1" applyAlignment="1">
      <alignment horizontal="center"/>
    </xf>
    <xf numFmtId="0" fontId="14" fillId="0" borderId="50" xfId="4495" applyFont="1" applyBorder="1" applyAlignment="1">
      <alignment vertical="center" wrapText="1"/>
    </xf>
    <xf numFmtId="0" fontId="14" fillId="0" borderId="51" xfId="4495" applyFont="1" applyBorder="1" applyAlignment="1">
      <alignment vertical="center" wrapText="1"/>
    </xf>
    <xf numFmtId="0" fontId="14" fillId="0" borderId="52" xfId="4495" applyFont="1" applyBorder="1" applyAlignment="1">
      <alignment vertical="center" wrapText="1"/>
    </xf>
    <xf numFmtId="0" fontId="14" fillId="0" borderId="57" xfId="4495" applyFont="1" applyBorder="1" applyAlignment="1">
      <alignment vertical="center" wrapText="1"/>
    </xf>
    <xf numFmtId="0" fontId="14" fillId="0" borderId="58" xfId="4495" applyFont="1" applyBorder="1" applyAlignment="1">
      <alignment vertical="center" wrapText="1"/>
    </xf>
    <xf numFmtId="0" fontId="14" fillId="0" borderId="59" xfId="4495" applyFont="1" applyBorder="1" applyAlignment="1">
      <alignment vertical="center" wrapText="1"/>
    </xf>
    <xf numFmtId="0" fontId="110" fillId="43" borderId="55" xfId="4496" applyFont="1" applyFill="1" applyBorder="1" applyAlignment="1" applyProtection="1">
      <alignment horizontal="left" vertical="top" wrapText="1"/>
      <protection locked="0"/>
    </xf>
    <xf numFmtId="0" fontId="110" fillId="43" borderId="6" xfId="4496" applyFont="1" applyFill="1" applyBorder="1" applyAlignment="1" applyProtection="1">
      <alignment horizontal="left" vertical="top" wrapText="1"/>
      <protection locked="0"/>
    </xf>
    <xf numFmtId="0" fontId="110" fillId="43" borderId="56" xfId="4496" applyFont="1" applyFill="1" applyBorder="1" applyAlignment="1" applyProtection="1">
      <alignment horizontal="left" vertical="top" wrapText="1"/>
      <protection locked="0"/>
    </xf>
    <xf numFmtId="0" fontId="21" fillId="0" borderId="0" xfId="4495" applyFont="1" applyAlignment="1">
      <alignment horizontal="center" vertical="top"/>
    </xf>
    <xf numFmtId="0" fontId="14" fillId="5" borderId="6" xfId="4495" applyFont="1" applyFill="1" applyBorder="1" applyAlignment="1" applyProtection="1">
      <alignment horizontal="left"/>
      <protection locked="0"/>
    </xf>
    <xf numFmtId="168" fontId="110" fillId="0" borderId="55" xfId="4496" applyNumberFormat="1" applyFont="1" applyBorder="1" applyAlignment="1">
      <alignment horizontal="center" vertical="top"/>
    </xf>
    <xf numFmtId="168" fontId="110" fillId="0" borderId="6" xfId="4496" applyNumberFormat="1" applyFont="1" applyBorder="1" applyAlignment="1">
      <alignment horizontal="center" vertical="top"/>
    </xf>
    <xf numFmtId="10" fontId="110" fillId="0" borderId="3" xfId="4496" applyNumberFormat="1" applyFont="1" applyBorder="1" applyAlignment="1">
      <alignment horizontal="center" vertical="top" wrapText="1"/>
    </xf>
    <xf numFmtId="10" fontId="110" fillId="0" borderId="4" xfId="4496" applyNumberFormat="1" applyFont="1" applyBorder="1" applyAlignment="1">
      <alignment horizontal="center" vertical="top" wrapText="1"/>
    </xf>
    <xf numFmtId="10" fontId="110" fillId="0" borderId="5" xfId="4496" applyNumberFormat="1" applyFont="1" applyBorder="1" applyAlignment="1">
      <alignment horizontal="center" vertical="top" wrapText="1"/>
    </xf>
    <xf numFmtId="1" fontId="110" fillId="0" borderId="55" xfId="4496" applyNumberFormat="1" applyFont="1" applyBorder="1" applyAlignment="1">
      <alignment horizontal="center" vertical="top" wrapText="1"/>
    </xf>
    <xf numFmtId="1" fontId="110" fillId="0" borderId="6" xfId="4496" applyNumberFormat="1" applyFont="1" applyBorder="1" applyAlignment="1">
      <alignment horizontal="center" vertical="top" wrapText="1"/>
    </xf>
    <xf numFmtId="168" fontId="110" fillId="43" borderId="55" xfId="4496" applyNumberFormat="1" applyFont="1" applyFill="1" applyBorder="1" applyAlignment="1" applyProtection="1">
      <alignment horizontal="center" vertical="top" wrapText="1"/>
      <protection locked="0"/>
    </xf>
    <xf numFmtId="168" fontId="110" fillId="43" borderId="6" xfId="4496" applyNumberFormat="1" applyFont="1" applyFill="1" applyBorder="1" applyAlignment="1" applyProtection="1">
      <alignment horizontal="center" vertical="top" wrapText="1"/>
      <protection locked="0"/>
    </xf>
    <xf numFmtId="0" fontId="14" fillId="0" borderId="0" xfId="1192" applyAlignment="1">
      <alignment horizontal="right"/>
    </xf>
    <xf numFmtId="0" fontId="14" fillId="5" borderId="6" xfId="1192" applyFill="1" applyBorder="1" applyAlignment="1" applyProtection="1">
      <alignment horizontal="left"/>
      <protection locked="0"/>
    </xf>
    <xf numFmtId="168" fontId="14" fillId="43" borderId="6" xfId="4495" applyNumberFormat="1" applyFont="1" applyFill="1" applyBorder="1" applyAlignment="1" applyProtection="1">
      <alignment horizontal="right"/>
      <protection locked="0"/>
    </xf>
    <xf numFmtId="9" fontId="14" fillId="0" borderId="6" xfId="1192" applyNumberFormat="1" applyBorder="1" applyAlignment="1">
      <alignment horizontal="center"/>
    </xf>
    <xf numFmtId="9" fontId="14" fillId="0" borderId="6" xfId="1192" quotePrefix="1" applyNumberFormat="1" applyBorder="1" applyAlignment="1">
      <alignment horizontal="center"/>
    </xf>
    <xf numFmtId="9" fontId="14" fillId="0" borderId="0" xfId="1192" quotePrefix="1" applyNumberFormat="1" applyAlignment="1">
      <alignment horizontal="center"/>
    </xf>
    <xf numFmtId="1" fontId="14" fillId="5" borderId="2" xfId="1192" applyNumberFormat="1" applyFill="1" applyBorder="1" applyAlignment="1" applyProtection="1">
      <alignment horizontal="center"/>
      <protection locked="0"/>
    </xf>
    <xf numFmtId="9" fontId="14" fillId="5" borderId="4" xfId="1192" applyNumberFormat="1" applyFill="1" applyBorder="1" applyAlignment="1" applyProtection="1">
      <alignment horizontal="left"/>
      <protection locked="0"/>
    </xf>
    <xf numFmtId="168" fontId="14" fillId="0" borderId="0" xfId="1192" applyNumberFormat="1" applyAlignment="1">
      <alignment horizontal="right"/>
    </xf>
    <xf numFmtId="1" fontId="14" fillId="5" borderId="4" xfId="1192" applyNumberFormat="1" applyFill="1" applyBorder="1" applyAlignment="1" applyProtection="1">
      <alignment horizontal="center"/>
      <protection locked="0"/>
    </xf>
    <xf numFmtId="0" fontId="130" fillId="0" borderId="6" xfId="1192" applyFont="1" applyBorder="1" applyAlignment="1">
      <alignment horizontal="center"/>
    </xf>
    <xf numFmtId="168" fontId="14" fillId="5" borderId="4" xfId="1192" applyNumberFormat="1" applyFill="1" applyBorder="1" applyAlignment="1" applyProtection="1">
      <alignment horizontal="center"/>
      <protection locked="0"/>
    </xf>
    <xf numFmtId="2" fontId="14" fillId="0" borderId="0" xfId="1192" applyNumberFormat="1" applyAlignment="1">
      <alignment horizontal="right"/>
    </xf>
    <xf numFmtId="0" fontId="22" fillId="5" borderId="6" xfId="4495" applyFont="1" applyFill="1" applyBorder="1" applyAlignment="1" applyProtection="1">
      <alignment horizontal="left"/>
      <protection locked="0"/>
    </xf>
    <xf numFmtId="0" fontId="14" fillId="0" borderId="0" xfId="4495" applyFont="1" applyAlignment="1">
      <alignment horizontal="left"/>
    </xf>
    <xf numFmtId="0" fontId="44" fillId="5" borderId="6" xfId="4495" applyFont="1" applyFill="1" applyBorder="1" applyAlignment="1" applyProtection="1">
      <alignment horizontal="left"/>
      <protection locked="0"/>
    </xf>
    <xf numFmtId="0" fontId="14" fillId="5" borderId="6" xfId="4495" applyFont="1" applyFill="1" applyBorder="1" applyAlignment="1" applyProtection="1">
      <alignment horizontal="center"/>
      <protection locked="0"/>
    </xf>
    <xf numFmtId="0" fontId="14" fillId="44" borderId="6" xfId="4495" applyFont="1" applyFill="1" applyBorder="1" applyAlignment="1">
      <alignment horizontal="left"/>
    </xf>
    <xf numFmtId="1" fontId="14" fillId="0" borderId="11" xfId="4495" applyNumberFormat="1" applyFont="1" applyBorder="1" applyAlignment="1">
      <alignment horizontal="center"/>
    </xf>
    <xf numFmtId="0" fontId="14" fillId="0" borderId="11" xfId="4495" applyFont="1" applyBorder="1" applyAlignment="1">
      <alignment horizontal="center"/>
    </xf>
    <xf numFmtId="0" fontId="108" fillId="5" borderId="6" xfId="4495" applyFill="1" applyBorder="1" applyAlignment="1" applyProtection="1">
      <alignment horizontal="center"/>
      <protection locked="0"/>
    </xf>
    <xf numFmtId="0" fontId="21" fillId="0" borderId="0" xfId="4495" applyFont="1" applyAlignment="1">
      <alignment horizontal="left" vertical="top"/>
    </xf>
    <xf numFmtId="0" fontId="108" fillId="0" borderId="0" xfId="4495" applyAlignment="1" applyProtection="1">
      <alignment horizontal="center"/>
      <protection locked="0"/>
    </xf>
    <xf numFmtId="0" fontId="14" fillId="0" borderId="3" xfId="4495" applyFont="1" applyBorder="1" applyAlignment="1">
      <alignment horizontal="center"/>
    </xf>
    <xf numFmtId="0" fontId="14" fillId="0" borderId="4" xfId="4495" applyFont="1" applyBorder="1" applyAlignment="1">
      <alignment horizontal="center"/>
    </xf>
    <xf numFmtId="0" fontId="14" fillId="0" borderId="5" xfId="4495" applyFont="1" applyBorder="1" applyAlignment="1">
      <alignment horizontal="center"/>
    </xf>
    <xf numFmtId="168" fontId="14" fillId="0" borderId="6" xfId="4496" applyNumberFormat="1" applyFont="1" applyBorder="1" applyAlignment="1">
      <alignment horizontal="center"/>
    </xf>
    <xf numFmtId="9" fontId="14" fillId="0" borderId="4" xfId="543" applyNumberFormat="1" applyBorder="1" applyAlignment="1">
      <alignment horizontal="center"/>
    </xf>
    <xf numFmtId="0" fontId="14" fillId="0" borderId="4" xfId="4496" applyFont="1" applyBorder="1" applyAlignment="1">
      <alignment horizontal="center"/>
    </xf>
    <xf numFmtId="0" fontId="14" fillId="0" borderId="5" xfId="4496" applyFont="1" applyBorder="1" applyAlignment="1">
      <alignment horizontal="center"/>
    </xf>
    <xf numFmtId="168" fontId="14" fillId="0" borderId="6" xfId="4495" applyNumberFormat="1" applyFont="1" applyBorder="1" applyAlignment="1">
      <alignment horizontal="right"/>
    </xf>
    <xf numFmtId="168" fontId="106" fillId="0" borderId="6" xfId="4495" applyNumberFormat="1" applyFont="1" applyBorder="1" applyAlignment="1">
      <alignment horizontal="right"/>
    </xf>
    <xf numFmtId="6" fontId="14" fillId="0" borderId="3" xfId="1192" applyNumberFormat="1" applyBorder="1" applyAlignment="1">
      <alignment horizontal="right"/>
    </xf>
    <xf numFmtId="6" fontId="14" fillId="0" borderId="4" xfId="1192" applyNumberFormat="1" applyBorder="1" applyAlignment="1">
      <alignment horizontal="right"/>
    </xf>
    <xf numFmtId="6" fontId="14" fillId="0" borderId="5" xfId="1192" applyNumberFormat="1" applyBorder="1" applyAlignment="1">
      <alignment horizontal="right"/>
    </xf>
    <xf numFmtId="168" fontId="14" fillId="0" borderId="4" xfId="4495" applyNumberFormat="1" applyFont="1" applyBorder="1" applyAlignment="1">
      <alignment horizontal="right"/>
    </xf>
    <xf numFmtId="165" fontId="14" fillId="43" borderId="3" xfId="4495" applyNumberFormat="1" applyFont="1" applyFill="1" applyBorder="1" applyAlignment="1" applyProtection="1">
      <alignment horizontal="center"/>
      <protection locked="0"/>
    </xf>
    <xf numFmtId="165" fontId="14" fillId="43" borderId="4" xfId="4495" applyNumberFormat="1" applyFont="1" applyFill="1" applyBorder="1" applyAlignment="1" applyProtection="1">
      <alignment horizontal="center"/>
      <protection locked="0"/>
    </xf>
    <xf numFmtId="165" fontId="14" fillId="43" borderId="5" xfId="4495" applyNumberFormat="1" applyFont="1" applyFill="1" applyBorder="1" applyAlignment="1" applyProtection="1">
      <alignment horizontal="center"/>
      <protection locked="0"/>
    </xf>
    <xf numFmtId="165" fontId="14" fillId="0" borderId="6" xfId="1192" applyNumberFormat="1" applyBorder="1" applyAlignment="1">
      <alignment horizontal="right"/>
    </xf>
    <xf numFmtId="168" fontId="14" fillId="0" borderId="2" xfId="1192" applyNumberFormat="1" applyBorder="1" applyAlignment="1">
      <alignment horizontal="right"/>
    </xf>
    <xf numFmtId="165" fontId="14" fillId="0" borderId="0" xfId="1192" applyNumberFormat="1" applyAlignment="1">
      <alignment horizontal="right"/>
    </xf>
    <xf numFmtId="0" fontId="14" fillId="0" borderId="53" xfId="4495" applyFont="1" applyBorder="1" applyAlignment="1">
      <alignment horizontal="left" vertical="top" wrapText="1"/>
    </xf>
    <xf numFmtId="0" fontId="14" fillId="0" borderId="0" xfId="4495" applyFont="1" applyAlignment="1">
      <alignment horizontal="left" vertical="top" wrapText="1"/>
    </xf>
    <xf numFmtId="0" fontId="14" fillId="0" borderId="54" xfId="4495" applyFont="1" applyBorder="1" applyAlignment="1">
      <alignment horizontal="left" vertical="top" wrapText="1"/>
    </xf>
    <xf numFmtId="0" fontId="14" fillId="0" borderId="57" xfId="4495" applyFont="1" applyBorder="1" applyAlignment="1">
      <alignment horizontal="left" vertical="top" wrapText="1"/>
    </xf>
    <xf numFmtId="0" fontId="14" fillId="0" borderId="58" xfId="4495" applyFont="1" applyBorder="1" applyAlignment="1">
      <alignment horizontal="left" vertical="top" wrapText="1"/>
    </xf>
    <xf numFmtId="0" fontId="14" fillId="0" borderId="59" xfId="4495" applyFont="1" applyBorder="1" applyAlignment="1">
      <alignment horizontal="left" vertical="top" wrapText="1"/>
    </xf>
    <xf numFmtId="0" fontId="14" fillId="0" borderId="50" xfId="4495" applyFont="1" applyBorder="1" applyAlignment="1">
      <alignment horizontal="left" vertical="top" wrapText="1"/>
    </xf>
    <xf numFmtId="0" fontId="14" fillId="0" borderId="51" xfId="4495" applyFont="1" applyBorder="1" applyAlignment="1">
      <alignment horizontal="left" vertical="top" wrapText="1"/>
    </xf>
    <xf numFmtId="0" fontId="14" fillId="0" borderId="52" xfId="4495" applyFont="1" applyBorder="1" applyAlignment="1">
      <alignment horizontal="left" vertical="top" wrapText="1"/>
    </xf>
    <xf numFmtId="0" fontId="21" fillId="0" borderId="0" xfId="4495" applyFont="1"/>
    <xf numFmtId="0" fontId="14" fillId="43" borderId="53" xfId="4495" applyFont="1" applyFill="1" applyBorder="1" applyAlignment="1" applyProtection="1">
      <alignment vertical="top" wrapText="1"/>
      <protection locked="0"/>
    </xf>
    <xf numFmtId="0" fontId="14" fillId="43" borderId="0" xfId="4495" applyFont="1" applyFill="1" applyAlignment="1" applyProtection="1">
      <alignment vertical="top" wrapText="1"/>
      <protection locked="0"/>
    </xf>
    <xf numFmtId="0" fontId="14" fillId="43" borderId="54" xfId="4495" applyFont="1" applyFill="1" applyBorder="1" applyAlignment="1" applyProtection="1">
      <alignment vertical="top" wrapText="1"/>
      <protection locked="0"/>
    </xf>
    <xf numFmtId="0" fontId="14" fillId="43" borderId="55" xfId="4495" applyFont="1" applyFill="1" applyBorder="1" applyAlignment="1" applyProtection="1">
      <alignment vertical="top" wrapText="1"/>
      <protection locked="0"/>
    </xf>
    <xf numFmtId="0" fontId="14" fillId="43" borderId="6" xfId="4495" applyFont="1" applyFill="1" applyBorder="1" applyAlignment="1" applyProtection="1">
      <alignment vertical="top" wrapText="1"/>
      <protection locked="0"/>
    </xf>
    <xf numFmtId="0" fontId="14" fillId="43" borderId="56" xfId="4495" applyFont="1" applyFill="1" applyBorder="1" applyAlignment="1" applyProtection="1">
      <alignment vertical="top" wrapText="1"/>
      <protection locked="0"/>
    </xf>
    <xf numFmtId="0" fontId="14" fillId="43" borderId="0" xfId="4495" applyFont="1" applyFill="1" applyAlignment="1" applyProtection="1">
      <alignment horizontal="left" vertical="center" wrapText="1"/>
      <protection locked="0"/>
    </xf>
    <xf numFmtId="0" fontId="14" fillId="43" borderId="54" xfId="4495" applyFont="1" applyFill="1" applyBorder="1" applyAlignment="1" applyProtection="1">
      <alignment horizontal="left" vertical="center" wrapText="1"/>
      <protection locked="0"/>
    </xf>
    <xf numFmtId="0" fontId="14" fillId="43" borderId="6" xfId="4495" applyFont="1" applyFill="1" applyBorder="1" applyAlignment="1" applyProtection="1">
      <alignment horizontal="left" vertical="center" wrapText="1"/>
      <protection locked="0"/>
    </xf>
    <xf numFmtId="0" fontId="14" fillId="43" borderId="56" xfId="4495" applyFont="1" applyFill="1" applyBorder="1" applyAlignment="1" applyProtection="1">
      <alignment horizontal="left" vertical="center" wrapText="1"/>
      <protection locked="0"/>
    </xf>
    <xf numFmtId="0" fontId="118" fillId="0" borderId="0" xfId="4495" applyFont="1" applyAlignment="1">
      <alignment horizontal="left" vertical="top" wrapText="1"/>
    </xf>
    <xf numFmtId="0" fontId="108" fillId="5" borderId="55" xfId="4495" applyFill="1" applyBorder="1" applyAlignment="1" applyProtection="1">
      <alignment horizontal="center"/>
      <protection locked="0"/>
    </xf>
    <xf numFmtId="0" fontId="21" fillId="0" borderId="0" xfId="4495" applyFont="1" applyAlignment="1">
      <alignment horizontal="center"/>
    </xf>
    <xf numFmtId="0" fontId="21" fillId="0" borderId="54" xfId="4495" applyFont="1" applyBorder="1" applyAlignment="1">
      <alignment horizontal="center"/>
    </xf>
    <xf numFmtId="0" fontId="22" fillId="0" borderId="51" xfId="4495" applyFont="1" applyBorder="1" applyAlignment="1">
      <alignment horizontal="left" vertical="top" wrapText="1"/>
    </xf>
    <xf numFmtId="0" fontId="22" fillId="0" borderId="0" xfId="4495" applyFont="1" applyAlignment="1">
      <alignment horizontal="left" vertical="top" wrapText="1"/>
    </xf>
    <xf numFmtId="0" fontId="21" fillId="0" borderId="54" xfId="4495" applyFont="1" applyBorder="1" applyAlignment="1">
      <alignment horizontal="center" vertical="top"/>
    </xf>
    <xf numFmtId="0" fontId="108" fillId="5" borderId="62" xfId="4495" applyFill="1" applyBorder="1" applyAlignment="1" applyProtection="1">
      <alignment horizontal="center"/>
      <protection locked="0"/>
    </xf>
    <xf numFmtId="0" fontId="108" fillId="5" borderId="63" xfId="4495" applyFill="1" applyBorder="1" applyAlignment="1" applyProtection="1">
      <alignment horizontal="center"/>
      <protection locked="0"/>
    </xf>
    <xf numFmtId="0" fontId="14" fillId="0" borderId="0" xfId="4495" applyFont="1" applyAlignment="1">
      <alignment horizontal="left" vertical="center" wrapText="1" shrinkToFit="1"/>
    </xf>
    <xf numFmtId="0" fontId="14" fillId="5" borderId="6" xfId="4495" applyFont="1" applyFill="1" applyBorder="1" applyAlignment="1" applyProtection="1">
      <alignment horizontal="center" vertical="center" wrapText="1" shrinkToFit="1"/>
      <protection locked="0"/>
    </xf>
    <xf numFmtId="0" fontId="14" fillId="5" borderId="6" xfId="4495" applyFont="1" applyFill="1" applyBorder="1" applyAlignment="1" applyProtection="1">
      <alignment horizontal="left" wrapText="1" shrinkToFit="1"/>
      <protection locked="0"/>
    </xf>
    <xf numFmtId="0" fontId="14" fillId="43" borderId="6" xfId="1192" applyFill="1" applyBorder="1" applyAlignment="1" applyProtection="1">
      <alignment horizontal="left" vertical="top"/>
      <protection locked="0"/>
    </xf>
    <xf numFmtId="0" fontId="163" fillId="0" borderId="0" xfId="0" applyFont="1" applyAlignment="1" applyProtection="1">
      <alignment horizontal="left"/>
      <protection locked="0"/>
    </xf>
    <xf numFmtId="168" fontId="160" fillId="0" borderId="0" xfId="0" applyNumberFormat="1" applyFont="1" applyAlignment="1">
      <alignment horizontal="center" vertical="top" wrapText="1"/>
    </xf>
    <xf numFmtId="168" fontId="160" fillId="0" borderId="12" xfId="0" applyNumberFormat="1" applyFont="1" applyBorder="1" applyAlignment="1">
      <alignment horizontal="center" vertical="top" wrapText="1"/>
    </xf>
    <xf numFmtId="0" fontId="22" fillId="0" borderId="0" xfId="4495" applyFont="1" applyAlignment="1">
      <alignment horizontal="center"/>
    </xf>
    <xf numFmtId="0" fontId="14" fillId="0" borderId="0" xfId="4495" applyFont="1" applyAlignment="1">
      <alignment wrapText="1"/>
    </xf>
    <xf numFmtId="0" fontId="14" fillId="0" borderId="0" xfId="4495" applyFont="1" applyAlignment="1">
      <alignment horizontal="left" vertical="top" wrapText="1" shrinkToFit="1"/>
    </xf>
    <xf numFmtId="44" fontId="14" fillId="0" borderId="0" xfId="707" applyFont="1" applyFill="1" applyBorder="1" applyAlignment="1" applyProtection="1">
      <alignment horizontal="left" vertical="top" wrapText="1"/>
    </xf>
    <xf numFmtId="0" fontId="21" fillId="0" borderId="0" xfId="4495" applyFont="1" applyAlignment="1">
      <alignment horizontal="left" vertical="top" wrapText="1"/>
    </xf>
    <xf numFmtId="0" fontId="14" fillId="45" borderId="11" xfId="4495" applyFont="1" applyFill="1" applyBorder="1" applyAlignment="1">
      <alignment horizontal="center"/>
    </xf>
    <xf numFmtId="0" fontId="118" fillId="0" borderId="0" xfId="4495" applyFont="1" applyAlignment="1">
      <alignment horizontal="left" vertical="center" wrapText="1"/>
    </xf>
    <xf numFmtId="0" fontId="21" fillId="0" borderId="11" xfId="4495" applyFont="1" applyBorder="1" applyAlignment="1">
      <alignment horizontal="center"/>
    </xf>
    <xf numFmtId="0" fontId="22" fillId="0" borderId="58" xfId="4495" applyFont="1" applyBorder="1" applyAlignment="1">
      <alignment horizontal="left" vertical="top" wrapText="1"/>
    </xf>
    <xf numFmtId="0" fontId="21" fillId="0" borderId="51" xfId="4495" applyFont="1" applyBorder="1" applyAlignment="1">
      <alignment horizontal="center" vertical="top"/>
    </xf>
    <xf numFmtId="0" fontId="21" fillId="0" borderId="52" xfId="4495" applyFont="1" applyBorder="1" applyAlignment="1">
      <alignment horizontal="center" vertical="top"/>
    </xf>
    <xf numFmtId="0" fontId="108" fillId="5" borderId="50" xfId="4495" applyFill="1" applyBorder="1" applyAlignment="1">
      <alignment horizontal="center"/>
    </xf>
    <xf numFmtId="0" fontId="108" fillId="5" borderId="51" xfId="4495" applyFill="1" applyBorder="1" applyAlignment="1">
      <alignment horizontal="center"/>
    </xf>
    <xf numFmtId="0" fontId="44" fillId="0" borderId="51" xfId="4495" applyFont="1" applyBorder="1" applyAlignment="1">
      <alignment horizontal="left" wrapText="1"/>
    </xf>
    <xf numFmtId="0" fontId="44" fillId="0" borderId="0" xfId="4495" applyFont="1" applyAlignment="1">
      <alignment horizontal="left" wrapText="1"/>
    </xf>
    <xf numFmtId="0" fontId="22" fillId="5" borderId="6" xfId="4495" applyFont="1" applyFill="1" applyBorder="1" applyAlignment="1">
      <alignment horizontal="left"/>
    </xf>
    <xf numFmtId="0" fontId="108" fillId="5" borderId="62" xfId="4495" applyFill="1" applyBorder="1" applyAlignment="1">
      <alignment horizontal="center"/>
    </xf>
    <xf numFmtId="0" fontId="108" fillId="5" borderId="63" xfId="4495" applyFill="1" applyBorder="1" applyAlignment="1">
      <alignment horizontal="center"/>
    </xf>
    <xf numFmtId="0" fontId="22" fillId="5" borderId="58" xfId="4495" applyFont="1" applyFill="1" applyBorder="1" applyAlignment="1">
      <alignment horizontal="left"/>
    </xf>
    <xf numFmtId="0" fontId="44" fillId="0" borderId="51" xfId="4495" applyFont="1" applyBorder="1" applyAlignment="1">
      <alignment horizontal="left" vertical="top" wrapText="1"/>
    </xf>
    <xf numFmtId="0" fontId="44" fillId="0" borderId="0" xfId="4495" applyFont="1" applyAlignment="1">
      <alignment horizontal="left" vertical="top" wrapText="1"/>
    </xf>
    <xf numFmtId="9" fontId="22" fillId="5" borderId="58" xfId="4495" applyNumberFormat="1" applyFont="1" applyFill="1" applyBorder="1" applyAlignment="1">
      <alignment horizontal="left"/>
    </xf>
    <xf numFmtId="0" fontId="108" fillId="0" borderId="0" xfId="4495" applyAlignment="1">
      <alignment horizontal="center"/>
    </xf>
    <xf numFmtId="9" fontId="22" fillId="5" borderId="6" xfId="4495" applyNumberFormat="1" applyFont="1" applyFill="1" applyBorder="1" applyAlignment="1">
      <alignment horizontal="left"/>
    </xf>
    <xf numFmtId="0" fontId="108" fillId="5" borderId="55" xfId="4495" applyFill="1" applyBorder="1" applyAlignment="1">
      <alignment horizontal="center"/>
    </xf>
    <xf numFmtId="0" fontId="108" fillId="5" borderId="6" xfId="4495" applyFill="1" applyBorder="1" applyAlignment="1">
      <alignment horizontal="center"/>
    </xf>
    <xf numFmtId="0" fontId="22" fillId="5" borderId="0" xfId="4495" applyFont="1" applyFill="1" applyAlignment="1">
      <alignment horizontal="left" vertical="top" wrapText="1"/>
    </xf>
    <xf numFmtId="0" fontId="22" fillId="5" borderId="58" xfId="4495" applyFont="1" applyFill="1" applyBorder="1" applyAlignment="1">
      <alignment horizontal="left" vertical="top" wrapText="1"/>
    </xf>
    <xf numFmtId="0" fontId="110" fillId="0" borderId="50" xfId="4496" applyFont="1" applyBorder="1" applyAlignment="1">
      <alignment horizontal="left" wrapText="1"/>
    </xf>
    <xf numFmtId="0" fontId="110" fillId="0" borderId="51" xfId="4496" applyFont="1" applyBorder="1" applyAlignment="1">
      <alignment horizontal="left" wrapText="1"/>
    </xf>
    <xf numFmtId="0" fontId="110" fillId="0" borderId="52" xfId="4496" applyFont="1" applyBorder="1" applyAlignment="1">
      <alignment horizontal="left" wrapText="1"/>
    </xf>
    <xf numFmtId="0" fontId="110" fillId="0" borderId="57" xfId="4496" applyFont="1" applyBorder="1" applyAlignment="1">
      <alignment horizontal="left" wrapText="1"/>
    </xf>
    <xf numFmtId="0" fontId="110" fillId="0" borderId="58" xfId="4496" applyFont="1" applyBorder="1" applyAlignment="1">
      <alignment horizontal="left" wrapText="1"/>
    </xf>
    <xf numFmtId="0" fontId="110" fillId="0" borderId="59" xfId="4496" applyFont="1" applyBorder="1" applyAlignment="1">
      <alignment horizontal="left" wrapText="1"/>
    </xf>
    <xf numFmtId="0" fontId="108" fillId="0" borderId="53" xfId="4495" applyBorder="1" applyAlignment="1">
      <alignment horizontal="center"/>
    </xf>
    <xf numFmtId="0" fontId="22" fillId="5" borderId="0" xfId="4495" applyFont="1" applyFill="1" applyAlignment="1">
      <alignment horizontal="left" vertical="top"/>
    </xf>
    <xf numFmtId="0" fontId="108" fillId="5" borderId="53" xfId="4495" applyFill="1" applyBorder="1" applyAlignment="1">
      <alignment horizontal="center"/>
    </xf>
    <xf numFmtId="0" fontId="108" fillId="5" borderId="0" xfId="4495" applyFill="1" applyAlignment="1">
      <alignment horizontal="center"/>
    </xf>
    <xf numFmtId="0" fontId="21" fillId="0" borderId="4" xfId="4495" applyFont="1" applyBorder="1" applyAlignment="1">
      <alignment horizontal="left"/>
    </xf>
    <xf numFmtId="0" fontId="21" fillId="0" borderId="5" xfId="4495" applyFont="1" applyBorder="1" applyAlignment="1">
      <alignment horizontal="left"/>
    </xf>
    <xf numFmtId="1" fontId="21" fillId="0" borderId="4" xfId="4495" applyNumberFormat="1" applyFont="1" applyBorder="1" applyAlignment="1">
      <alignment horizontal="center" wrapText="1"/>
    </xf>
    <xf numFmtId="0" fontId="21" fillId="0" borderId="4" xfId="4495" applyFont="1" applyBorder="1" applyAlignment="1">
      <alignment horizontal="center" wrapText="1"/>
    </xf>
    <xf numFmtId="0" fontId="21" fillId="0" borderId="5" xfId="4495" applyFont="1" applyBorder="1" applyAlignment="1">
      <alignment horizontal="center" wrapText="1"/>
    </xf>
    <xf numFmtId="0" fontId="21" fillId="0" borderId="3" xfId="4495" applyFont="1" applyBorder="1" applyAlignment="1">
      <alignment horizontal="center" wrapText="1"/>
    </xf>
    <xf numFmtId="0" fontId="14" fillId="0" borderId="50" xfId="4496" applyFont="1" applyBorder="1" applyAlignment="1">
      <alignment horizontal="left" wrapText="1"/>
    </xf>
    <xf numFmtId="0" fontId="14" fillId="0" borderId="51" xfId="4496" applyFont="1" applyBorder="1" applyAlignment="1">
      <alignment horizontal="left" wrapText="1"/>
    </xf>
    <xf numFmtId="0" fontId="14" fillId="0" borderId="52" xfId="4496" applyFont="1" applyBorder="1" applyAlignment="1">
      <alignment horizontal="left" wrapText="1"/>
    </xf>
    <xf numFmtId="0" fontId="14" fillId="0" borderId="53" xfId="4496" applyFont="1" applyBorder="1" applyAlignment="1">
      <alignment horizontal="left" wrapText="1"/>
    </xf>
    <xf numFmtId="0" fontId="14" fillId="0" borderId="0" xfId="4496" applyFont="1" applyAlignment="1">
      <alignment horizontal="left" wrapText="1"/>
    </xf>
    <xf numFmtId="0" fontId="14" fillId="0" borderId="54" xfId="4496" applyFont="1" applyBorder="1" applyAlignment="1">
      <alignment horizontal="left" wrapText="1"/>
    </xf>
    <xf numFmtId="0" fontId="14" fillId="0" borderId="57" xfId="4496" applyFont="1" applyBorder="1" applyAlignment="1">
      <alignment horizontal="left" wrapText="1"/>
    </xf>
    <xf numFmtId="0" fontId="14" fillId="0" borderId="58" xfId="4496" applyFont="1" applyBorder="1" applyAlignment="1">
      <alignment horizontal="left" wrapText="1"/>
    </xf>
    <xf numFmtId="0" fontId="14" fillId="0" borderId="59" xfId="4496" applyFont="1" applyBorder="1" applyAlignment="1">
      <alignment horizontal="left" wrapText="1"/>
    </xf>
    <xf numFmtId="1" fontId="14" fillId="0" borderId="4" xfId="4496" applyNumberFormat="1" applyFont="1" applyBorder="1" applyAlignment="1">
      <alignment horizontal="center"/>
    </xf>
    <xf numFmtId="1" fontId="14" fillId="0" borderId="5" xfId="4496" applyNumberFormat="1" applyFont="1" applyBorder="1" applyAlignment="1">
      <alignment horizontal="center"/>
    </xf>
    <xf numFmtId="49" fontId="20" fillId="3" borderId="2" xfId="4495" applyNumberFormat="1" applyFont="1" applyFill="1" applyBorder="1" applyAlignment="1">
      <alignment horizontal="center" vertical="center" wrapText="1"/>
    </xf>
    <xf numFmtId="49" fontId="20" fillId="3" borderId="2" xfId="4495" applyNumberFormat="1" applyFont="1" applyFill="1" applyBorder="1" applyAlignment="1">
      <alignment horizontal="center" vertical="center"/>
    </xf>
    <xf numFmtId="49" fontId="20" fillId="3" borderId="0" xfId="4495" applyNumberFormat="1" applyFont="1" applyFill="1" applyAlignment="1">
      <alignment horizontal="center" vertical="center"/>
    </xf>
    <xf numFmtId="0" fontId="21" fillId="0" borderId="1" xfId="4495" applyFont="1" applyBorder="1" applyAlignment="1">
      <alignment horizontal="center" wrapText="1"/>
    </xf>
    <xf numFmtId="0" fontId="21" fillId="0" borderId="2" xfId="4495" applyFont="1" applyBorder="1" applyAlignment="1">
      <alignment horizontal="center" wrapText="1"/>
    </xf>
    <xf numFmtId="0" fontId="21" fillId="0" borderId="7" xfId="4495" applyFont="1" applyBorder="1" applyAlignment="1">
      <alignment horizontal="center" wrapText="1"/>
    </xf>
    <xf numFmtId="0" fontId="21" fillId="0" borderId="9" xfId="4495" applyFont="1" applyBorder="1" applyAlignment="1">
      <alignment horizontal="center" wrapText="1"/>
    </xf>
    <xf numFmtId="0" fontId="21" fillId="0" borderId="6" xfId="4495" applyFont="1" applyBorder="1" applyAlignment="1">
      <alignment horizontal="center" wrapText="1"/>
    </xf>
    <xf numFmtId="0" fontId="21" fillId="0" borderId="10" xfId="4495" applyFont="1" applyBorder="1" applyAlignment="1">
      <alignment horizontal="center" wrapText="1"/>
    </xf>
    <xf numFmtId="1" fontId="21" fillId="0" borderId="11" xfId="4495" applyNumberFormat="1" applyFont="1" applyBorder="1" applyAlignment="1">
      <alignment horizontal="center"/>
    </xf>
    <xf numFmtId="0" fontId="14" fillId="0" borderId="4" xfId="4495" applyFont="1" applyBorder="1" applyAlignment="1">
      <alignment horizontal="left"/>
    </xf>
    <xf numFmtId="0" fontId="14" fillId="0" borderId="5" xfId="4495" applyFont="1" applyBorder="1" applyAlignment="1">
      <alignment horizontal="left"/>
    </xf>
    <xf numFmtId="1" fontId="14" fillId="46" borderId="11" xfId="4495" applyNumberFormat="1" applyFont="1" applyFill="1" applyBorder="1" applyAlignment="1">
      <alignment horizontal="center"/>
    </xf>
    <xf numFmtId="0" fontId="21" fillId="0" borderId="3" xfId="4495" applyFont="1" applyBorder="1" applyAlignment="1">
      <alignment horizontal="left"/>
    </xf>
    <xf numFmtId="0" fontId="14" fillId="5" borderId="11" xfId="4495" applyFont="1" applyFill="1" applyBorder="1" applyAlignment="1" applyProtection="1">
      <alignment horizontal="center"/>
      <protection locked="0"/>
    </xf>
    <xf numFmtId="0" fontId="21" fillId="0" borderId="3" xfId="4495" applyFont="1" applyBorder="1" applyAlignment="1">
      <alignment horizontal="center"/>
    </xf>
    <xf numFmtId="0" fontId="21" fillId="0" borderId="4" xfId="4495" applyFont="1" applyBorder="1" applyAlignment="1">
      <alignment horizontal="center"/>
    </xf>
    <xf numFmtId="0" fontId="21" fillId="0" borderId="5" xfId="4495" applyFont="1" applyBorder="1" applyAlignment="1">
      <alignment horizontal="center"/>
    </xf>
    <xf numFmtId="164" fontId="53" fillId="0" borderId="1" xfId="4495" applyNumberFormat="1" applyFont="1" applyBorder="1" applyAlignment="1">
      <alignment horizontal="right" vertical="center"/>
    </xf>
    <xf numFmtId="164" fontId="53" fillId="0" borderId="2" xfId="4495" applyNumberFormat="1" applyFont="1" applyBorder="1" applyAlignment="1">
      <alignment horizontal="right" vertical="center"/>
    </xf>
    <xf numFmtId="164" fontId="53" fillId="0" borderId="7" xfId="4495" applyNumberFormat="1" applyFont="1" applyBorder="1" applyAlignment="1">
      <alignment horizontal="right" vertical="center"/>
    </xf>
    <xf numFmtId="164" fontId="53" fillId="0" borderId="9" xfId="4495" applyNumberFormat="1" applyFont="1" applyBorder="1" applyAlignment="1">
      <alignment horizontal="right" vertical="center"/>
    </xf>
    <xf numFmtId="164" fontId="53" fillId="0" borderId="6" xfId="4495" applyNumberFormat="1" applyFont="1" applyBorder="1" applyAlignment="1">
      <alignment horizontal="right" vertical="center"/>
    </xf>
    <xf numFmtId="164" fontId="53" fillId="0" borderId="10" xfId="4495" applyNumberFormat="1" applyFont="1" applyBorder="1" applyAlignment="1">
      <alignment horizontal="right" vertical="center"/>
    </xf>
    <xf numFmtId="180" fontId="53" fillId="0" borderId="1" xfId="4495" applyNumberFormat="1" applyFont="1" applyBorder="1" applyAlignment="1">
      <alignment horizontal="center" vertical="center"/>
    </xf>
    <xf numFmtId="180" fontId="53" fillId="0" borderId="2" xfId="4495" applyNumberFormat="1" applyFont="1" applyBorder="1" applyAlignment="1">
      <alignment horizontal="center" vertical="center"/>
    </xf>
    <xf numFmtId="180" fontId="53" fillId="0" borderId="7" xfId="4495" applyNumberFormat="1" applyFont="1" applyBorder="1" applyAlignment="1">
      <alignment horizontal="center" vertical="center"/>
    </xf>
    <xf numFmtId="180" fontId="53" fillId="0" borderId="9" xfId="4495" applyNumberFormat="1" applyFont="1" applyBorder="1" applyAlignment="1">
      <alignment horizontal="center" vertical="center"/>
    </xf>
    <xf numFmtId="180" fontId="53" fillId="0" borderId="6" xfId="4495" applyNumberFormat="1" applyFont="1" applyBorder="1" applyAlignment="1">
      <alignment horizontal="center" vertical="center"/>
    </xf>
    <xf numFmtId="180" fontId="53" fillId="0" borderId="10" xfId="4495" applyNumberFormat="1" applyFont="1" applyBorder="1" applyAlignment="1">
      <alignment horizontal="center" vertical="center"/>
    </xf>
    <xf numFmtId="168" fontId="14" fillId="0" borderId="6" xfId="1192" applyNumberFormat="1" applyBorder="1" applyAlignment="1">
      <alignment horizontal="right"/>
    </xf>
    <xf numFmtId="0" fontId="106" fillId="0" borderId="4" xfId="1192" applyFont="1" applyBorder="1" applyAlignment="1">
      <alignment horizontal="left"/>
    </xf>
    <xf numFmtId="168" fontId="14" fillId="43" borderId="6" xfId="543" applyNumberFormat="1" applyFill="1" applyBorder="1" applyAlignment="1" applyProtection="1">
      <alignment horizontal="center"/>
      <protection locked="0"/>
    </xf>
    <xf numFmtId="0" fontId="14" fillId="0" borderId="6" xfId="1192" applyBorder="1" applyAlignment="1">
      <alignment horizontal="left"/>
    </xf>
    <xf numFmtId="0" fontId="14" fillId="0" borderId="6" xfId="1192" applyBorder="1" applyAlignment="1">
      <alignment horizontal="right"/>
    </xf>
    <xf numFmtId="168" fontId="14" fillId="43" borderId="6" xfId="1192" applyNumberFormat="1" applyFill="1" applyBorder="1" applyAlignment="1" applyProtection="1">
      <alignment horizontal="right"/>
      <protection locked="0"/>
    </xf>
    <xf numFmtId="10" fontId="22" fillId="0" borderId="2" xfId="4495" applyNumberFormat="1" applyFont="1" applyBorder="1" applyAlignment="1">
      <alignment horizontal="center"/>
    </xf>
    <xf numFmtId="4" fontId="22" fillId="0" borderId="0" xfId="4495" applyNumberFormat="1" applyFont="1" applyAlignment="1">
      <alignment horizontal="center"/>
    </xf>
    <xf numFmtId="0" fontId="30" fillId="42" borderId="2" xfId="4495" applyFont="1" applyFill="1" applyBorder="1" applyAlignment="1">
      <alignment horizontal="center"/>
    </xf>
    <xf numFmtId="0" fontId="30" fillId="42" borderId="6" xfId="4495" applyFont="1" applyFill="1" applyBorder="1" applyAlignment="1">
      <alignment horizontal="center"/>
    </xf>
    <xf numFmtId="4" fontId="22" fillId="0" borderId="6" xfId="4495" applyNumberFormat="1" applyFont="1" applyBorder="1" applyAlignment="1">
      <alignment horizontal="center"/>
    </xf>
    <xf numFmtId="168" fontId="14" fillId="0" borderId="4" xfId="1192" applyNumberFormat="1" applyBorder="1" applyAlignment="1">
      <alignment horizontal="right"/>
    </xf>
    <xf numFmtId="168" fontId="14" fillId="0" borderId="4" xfId="4496" applyNumberFormat="1" applyFont="1" applyBorder="1" applyAlignment="1">
      <alignment horizontal="center"/>
    </xf>
    <xf numFmtId="9" fontId="14" fillId="0" borderId="4" xfId="4496" applyNumberFormat="1" applyFont="1" applyBorder="1" applyAlignment="1">
      <alignment horizontal="center"/>
    </xf>
    <xf numFmtId="164" fontId="14" fillId="0" borderId="50" xfId="4495" applyNumberFormat="1" applyFont="1" applyBorder="1" applyAlignment="1">
      <alignment horizontal="left" vertical="top" wrapText="1"/>
    </xf>
    <xf numFmtId="164" fontId="14" fillId="0" borderId="51" xfId="4495" applyNumberFormat="1" applyFont="1" applyBorder="1" applyAlignment="1">
      <alignment horizontal="left" vertical="top" wrapText="1"/>
    </xf>
    <xf numFmtId="164" fontId="14" fillId="0" borderId="52" xfId="4495" applyNumberFormat="1" applyFont="1" applyBorder="1" applyAlignment="1">
      <alignment horizontal="left" vertical="top" wrapText="1"/>
    </xf>
    <xf numFmtId="164" fontId="14" fillId="0" borderId="53" xfId="4495" applyNumberFormat="1" applyFont="1" applyBorder="1" applyAlignment="1">
      <alignment horizontal="left" vertical="top" wrapText="1"/>
    </xf>
    <xf numFmtId="164" fontId="14" fillId="0" borderId="0" xfId="4495" applyNumberFormat="1" applyFont="1" applyAlignment="1">
      <alignment horizontal="left" vertical="top" wrapText="1"/>
    </xf>
    <xf numFmtId="164" fontId="14" fillId="0" borderId="54" xfId="4495" applyNumberFormat="1" applyFont="1" applyBorder="1" applyAlignment="1">
      <alignment horizontal="left" vertical="top" wrapText="1"/>
    </xf>
    <xf numFmtId="164" fontId="14" fillId="0" borderId="57" xfId="4495" applyNumberFormat="1" applyFont="1" applyBorder="1" applyAlignment="1">
      <alignment horizontal="left" vertical="top" wrapText="1"/>
    </xf>
    <xf numFmtId="164" fontId="14" fillId="0" borderId="58" xfId="4495" applyNumberFormat="1" applyFont="1" applyBorder="1" applyAlignment="1">
      <alignment horizontal="left" vertical="top" wrapText="1"/>
    </xf>
    <xf numFmtId="164" fontId="14" fillId="0" borderId="59" xfId="4495" applyNumberFormat="1" applyFont="1" applyBorder="1" applyAlignment="1">
      <alignment horizontal="left" vertical="top" wrapText="1"/>
    </xf>
    <xf numFmtId="4" fontId="22" fillId="0" borderId="3" xfId="4495" applyNumberFormat="1" applyFont="1" applyBorder="1" applyAlignment="1">
      <alignment horizontal="center"/>
    </xf>
    <xf numFmtId="4" fontId="22" fillId="0" borderId="4" xfId="4495" applyNumberFormat="1" applyFont="1" applyBorder="1" applyAlignment="1">
      <alignment horizontal="center"/>
    </xf>
    <xf numFmtId="4" fontId="22" fillId="0" borderId="5" xfId="4495" applyNumberFormat="1" applyFont="1" applyBorder="1" applyAlignment="1">
      <alignment horizontal="center"/>
    </xf>
    <xf numFmtId="165" fontId="110" fillId="0" borderId="3" xfId="4496" applyNumberFormat="1" applyFont="1" applyBorder="1" applyAlignment="1">
      <alignment horizontal="center" vertical="top" wrapText="1"/>
    </xf>
    <xf numFmtId="165" fontId="110" fillId="0" borderId="5" xfId="4496" applyNumberFormat="1" applyFont="1" applyBorder="1" applyAlignment="1">
      <alignment horizontal="center" vertical="top" wrapText="1"/>
    </xf>
    <xf numFmtId="3" fontId="14" fillId="43" borderId="6" xfId="1192" applyNumberFormat="1" applyFill="1" applyBorder="1" applyAlignment="1" applyProtection="1">
      <alignment horizontal="right"/>
      <protection locked="0"/>
    </xf>
    <xf numFmtId="0" fontId="130" fillId="0" borderId="0" xfId="1192" applyFont="1" applyAlignment="1">
      <alignment horizontal="center"/>
    </xf>
    <xf numFmtId="0" fontId="86" fillId="0" borderId="0" xfId="4496" applyFont="1" applyAlignment="1">
      <alignment horizontal="left" wrapText="1"/>
    </xf>
    <xf numFmtId="0" fontId="86" fillId="43" borderId="0" xfId="4496" applyFont="1" applyFill="1" applyAlignment="1" applyProtection="1">
      <alignment horizontal="left" vertical="top" wrapText="1"/>
      <protection locked="0"/>
    </xf>
    <xf numFmtId="0" fontId="86" fillId="43" borderId="6" xfId="4496" applyFont="1" applyFill="1" applyBorder="1" applyAlignment="1" applyProtection="1">
      <alignment horizontal="left" vertical="top" wrapText="1"/>
      <protection locked="0"/>
    </xf>
    <xf numFmtId="0" fontId="86" fillId="0" borderId="80" xfId="4496" applyFont="1" applyBorder="1" applyAlignment="1">
      <alignment horizontal="right"/>
    </xf>
    <xf numFmtId="0" fontId="86" fillId="0" borderId="11" xfId="4496" applyFont="1" applyBorder="1" applyAlignment="1">
      <alignment horizontal="right"/>
    </xf>
    <xf numFmtId="0" fontId="86" fillId="0" borderId="72" xfId="4496" applyFont="1" applyBorder="1" applyAlignment="1">
      <alignment horizontal="right"/>
    </xf>
    <xf numFmtId="0" fontId="86" fillId="0" borderId="73" xfId="4496" applyFont="1" applyBorder="1" applyAlignment="1">
      <alignment horizontal="right"/>
    </xf>
    <xf numFmtId="0" fontId="86" fillId="0" borderId="11" xfId="4496" applyFont="1" applyBorder="1"/>
    <xf numFmtId="0" fontId="86" fillId="0" borderId="91" xfId="4496" applyFont="1" applyBorder="1"/>
    <xf numFmtId="0" fontId="86" fillId="0" borderId="73" xfId="4496" applyFont="1" applyBorder="1"/>
    <xf numFmtId="0" fontId="86" fillId="0" borderId="93" xfId="4496" applyFont="1" applyBorder="1"/>
    <xf numFmtId="0" fontId="86" fillId="0" borderId="70" xfId="4496" applyFont="1" applyBorder="1" applyAlignment="1">
      <alignment horizontal="right"/>
    </xf>
    <xf numFmtId="0" fontId="86" fillId="0" borderId="71" xfId="4496" applyFont="1" applyBorder="1" applyAlignment="1">
      <alignment horizontal="right"/>
    </xf>
    <xf numFmtId="0" fontId="125" fillId="0" borderId="90" xfId="4496" applyFont="1" applyBorder="1" applyAlignment="1">
      <alignment horizontal="center" vertical="top" wrapText="1"/>
    </xf>
    <xf numFmtId="0" fontId="125" fillId="0" borderId="89" xfId="4496" applyFont="1" applyBorder="1" applyAlignment="1">
      <alignment horizontal="center" vertical="top" wrapText="1"/>
    </xf>
    <xf numFmtId="0" fontId="86" fillId="0" borderId="71" xfId="4496" applyFont="1" applyBorder="1"/>
    <xf numFmtId="0" fontId="86" fillId="0" borderId="74" xfId="4496" applyFont="1" applyBorder="1"/>
    <xf numFmtId="49" fontId="124" fillId="3" borderId="0" xfId="1192" applyNumberFormat="1" applyFont="1" applyFill="1" applyAlignment="1">
      <alignment horizontal="center" vertical="center"/>
    </xf>
    <xf numFmtId="0" fontId="86" fillId="0" borderId="11" xfId="4496" applyFont="1" applyBorder="1" applyAlignment="1">
      <alignment horizontal="left" indent="1"/>
    </xf>
    <xf numFmtId="0" fontId="125" fillId="45" borderId="3" xfId="4496" applyFont="1" applyFill="1" applyBorder="1" applyAlignment="1">
      <alignment horizontal="center" vertical="center"/>
    </xf>
    <xf numFmtId="0" fontId="125" fillId="45" borderId="4" xfId="4496" applyFont="1" applyFill="1" applyBorder="1" applyAlignment="1">
      <alignment horizontal="center" vertical="center"/>
    </xf>
    <xf numFmtId="0" fontId="125" fillId="45" borderId="5" xfId="4496" applyFont="1" applyFill="1" applyBorder="1" applyAlignment="1">
      <alignment horizontal="center" vertical="center"/>
    </xf>
    <xf numFmtId="9" fontId="125" fillId="45" borderId="3" xfId="4499" applyFont="1" applyFill="1" applyBorder="1" applyAlignment="1" applyProtection="1">
      <alignment horizontal="center" vertical="center"/>
    </xf>
    <xf numFmtId="9" fontId="125" fillId="45" borderId="4" xfId="4499" applyFont="1" applyFill="1" applyBorder="1" applyAlignment="1" applyProtection="1">
      <alignment horizontal="center" vertical="center"/>
    </xf>
    <xf numFmtId="9" fontId="125" fillId="45" borderId="5" xfId="4499" applyFont="1" applyFill="1" applyBorder="1" applyAlignment="1" applyProtection="1">
      <alignment horizontal="center" vertical="center"/>
    </xf>
    <xf numFmtId="0" fontId="86" fillId="0" borderId="15" xfId="4496" applyFont="1" applyBorder="1" applyAlignment="1">
      <alignment horizontal="left" indent="1"/>
    </xf>
    <xf numFmtId="0" fontId="125" fillId="0" borderId="71" xfId="4496" applyFont="1" applyBorder="1" applyAlignment="1">
      <alignment horizontal="left" indent="1"/>
    </xf>
    <xf numFmtId="168" fontId="86" fillId="0" borderId="11" xfId="4499" applyNumberFormat="1" applyFont="1" applyFill="1" applyBorder="1" applyAlignment="1" applyProtection="1">
      <alignment horizontal="left" vertical="center" indent="1"/>
    </xf>
    <xf numFmtId="168" fontId="86" fillId="0" borderId="13" xfId="4499" applyNumberFormat="1" applyFont="1" applyFill="1" applyBorder="1" applyAlignment="1" applyProtection="1">
      <alignment horizontal="left" vertical="center" indent="1"/>
    </xf>
    <xf numFmtId="49" fontId="86" fillId="45" borderId="15" xfId="4496" applyNumberFormat="1" applyFont="1" applyFill="1" applyBorder="1" applyAlignment="1">
      <alignment horizontal="center" vertical="center" wrapText="1"/>
    </xf>
    <xf numFmtId="49" fontId="86" fillId="45" borderId="13" xfId="4496" applyNumberFormat="1" applyFont="1" applyFill="1" applyBorder="1" applyAlignment="1">
      <alignment horizontal="center" vertical="center" wrapText="1"/>
    </xf>
    <xf numFmtId="168" fontId="86" fillId="0" borderId="84" xfId="4499" applyNumberFormat="1" applyFont="1" applyFill="1" applyBorder="1" applyAlignment="1" applyProtection="1">
      <alignment horizontal="left" vertical="center" indent="1"/>
    </xf>
    <xf numFmtId="168" fontId="86" fillId="0" borderId="83" xfId="4499" applyNumberFormat="1" applyFont="1" applyFill="1" applyBorder="1" applyAlignment="1" applyProtection="1">
      <alignment horizontal="left" vertical="center" indent="1"/>
    </xf>
    <xf numFmtId="43" fontId="134" fillId="53" borderId="80" xfId="698" applyFont="1" applyFill="1" applyBorder="1" applyAlignment="1" applyProtection="1">
      <alignment horizontal="right"/>
      <protection hidden="1"/>
    </xf>
    <xf numFmtId="43" fontId="134" fillId="53" borderId="11" xfId="698" applyFont="1" applyFill="1" applyBorder="1" applyAlignment="1" applyProtection="1">
      <alignment horizontal="right"/>
      <protection hidden="1"/>
    </xf>
    <xf numFmtId="44" fontId="134" fillId="0" borderId="11" xfId="700" applyFont="1" applyBorder="1" applyAlignment="1" applyProtection="1">
      <alignment horizontal="center"/>
      <protection hidden="1"/>
    </xf>
    <xf numFmtId="164" fontId="134" fillId="0" borderId="11" xfId="700" applyNumberFormat="1" applyFont="1" applyBorder="1" applyAlignment="1" applyProtection="1">
      <alignment horizontal="center"/>
      <protection hidden="1"/>
    </xf>
    <xf numFmtId="9" fontId="134" fillId="0" borderId="11" xfId="1022" applyFont="1" applyBorder="1" applyAlignment="1" applyProtection="1">
      <alignment horizontal="center"/>
      <protection hidden="1"/>
    </xf>
    <xf numFmtId="0" fontId="136" fillId="53" borderId="80" xfId="698" applyNumberFormat="1" applyFont="1" applyFill="1" applyBorder="1" applyAlignment="1" applyProtection="1">
      <alignment horizontal="center"/>
      <protection hidden="1"/>
    </xf>
    <xf numFmtId="0" fontId="136" fillId="53" borderId="11" xfId="698" applyNumberFormat="1" applyFont="1" applyFill="1" applyBorder="1" applyAlignment="1" applyProtection="1">
      <alignment horizontal="center"/>
      <protection hidden="1"/>
    </xf>
    <xf numFmtId="0" fontId="136" fillId="49" borderId="11" xfId="0" applyFont="1" applyFill="1" applyBorder="1" applyAlignment="1" applyProtection="1">
      <alignment horizontal="center"/>
      <protection locked="0"/>
    </xf>
    <xf numFmtId="14" fontId="166" fillId="49" borderId="11" xfId="700" applyNumberFormat="1" applyFont="1" applyFill="1" applyBorder="1" applyAlignment="1" applyProtection="1">
      <alignment horizontal="center"/>
      <protection locked="0"/>
    </xf>
    <xf numFmtId="164" fontId="136" fillId="49" borderId="11" xfId="700" applyNumberFormat="1" applyFont="1" applyFill="1" applyBorder="1" applyAlignment="1" applyProtection="1">
      <alignment horizontal="center"/>
      <protection locked="0"/>
    </xf>
    <xf numFmtId="9" fontId="136" fillId="49" borderId="11" xfId="1022" applyFont="1" applyFill="1" applyBorder="1" applyAlignment="1" applyProtection="1">
      <alignment horizontal="center"/>
      <protection locked="0"/>
    </xf>
    <xf numFmtId="0" fontId="136" fillId="49" borderId="3" xfId="0" applyFont="1" applyFill="1" applyBorder="1" applyAlignment="1" applyProtection="1">
      <alignment horizontal="center"/>
      <protection locked="0"/>
    </xf>
    <xf numFmtId="0" fontId="136" fillId="49" borderId="4" xfId="0" applyFont="1" applyFill="1" applyBorder="1" applyAlignment="1" applyProtection="1">
      <alignment horizontal="center"/>
      <protection locked="0"/>
    </xf>
    <xf numFmtId="0" fontId="136"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36" fillId="49" borderId="11" xfId="8727" applyNumberFormat="1" applyFont="1" applyFill="1" applyBorder="1" applyAlignment="1">
      <alignment horizontal="center"/>
    </xf>
    <xf numFmtId="0" fontId="134" fillId="44" borderId="11" xfId="8726" applyFont="1" applyFill="1" applyBorder="1" applyAlignment="1">
      <alignment horizontal="left"/>
    </xf>
    <xf numFmtId="0" fontId="2" fillId="48" borderId="3" xfId="8726" applyFill="1" applyBorder="1" applyAlignment="1">
      <alignment horizontal="center"/>
    </xf>
    <xf numFmtId="0" fontId="2" fillId="48" borderId="4" xfId="8726" applyFill="1" applyBorder="1" applyAlignment="1">
      <alignment horizontal="center"/>
    </xf>
    <xf numFmtId="0" fontId="2" fillId="48" borderId="5" xfId="8726" applyFill="1" applyBorder="1" applyAlignment="1">
      <alignment horizontal="center"/>
    </xf>
    <xf numFmtId="0" fontId="151" fillId="48" borderId="3" xfId="8726" applyFont="1" applyFill="1" applyBorder="1" applyAlignment="1">
      <alignment horizontal="center"/>
    </xf>
    <xf numFmtId="0" fontId="151" fillId="48" borderId="4" xfId="8726" applyFont="1" applyFill="1" applyBorder="1" applyAlignment="1">
      <alignment horizontal="center"/>
    </xf>
    <xf numFmtId="0" fontId="151" fillId="48" borderId="5" xfId="8726" applyFont="1" applyFill="1" applyBorder="1" applyAlignment="1">
      <alignment horizontal="center"/>
    </xf>
    <xf numFmtId="43" fontId="136" fillId="53" borderId="11" xfId="698" applyFont="1" applyFill="1" applyBorder="1" applyAlignment="1" applyProtection="1">
      <alignment horizontal="left" wrapText="1"/>
      <protection hidden="1"/>
    </xf>
    <xf numFmtId="0" fontId="151" fillId="45" borderId="11" xfId="8726" applyFont="1" applyFill="1" applyBorder="1" applyAlignment="1">
      <alignment horizontal="left"/>
    </xf>
    <xf numFmtId="0" fontId="161" fillId="45" borderId="11" xfId="8726" applyFont="1" applyFill="1" applyBorder="1" applyAlignment="1">
      <alignment horizontal="left" wrapText="1"/>
    </xf>
    <xf numFmtId="0" fontId="138" fillId="45" borderId="13" xfId="0" applyFont="1" applyFill="1" applyBorder="1" applyAlignment="1" applyProtection="1">
      <alignment horizontal="left" wrapText="1"/>
      <protection hidden="1"/>
    </xf>
    <xf numFmtId="0" fontId="138" fillId="45" borderId="13" xfId="0" applyFont="1" applyFill="1" applyBorder="1" applyAlignment="1" applyProtection="1">
      <alignment horizontal="center" wrapText="1"/>
      <protection hidden="1"/>
    </xf>
    <xf numFmtId="182" fontId="2" fillId="0" borderId="13" xfId="8726" applyNumberFormat="1" applyBorder="1" applyAlignment="1">
      <alignment horizontal="center"/>
    </xf>
    <xf numFmtId="0" fontId="2" fillId="0" borderId="13" xfId="8726" applyBorder="1" applyAlignment="1">
      <alignment horizontal="center"/>
    </xf>
    <xf numFmtId="0" fontId="137" fillId="45" borderId="11" xfId="8726" applyFont="1" applyFill="1" applyBorder="1" applyAlignment="1">
      <alignment horizontal="center" wrapText="1"/>
    </xf>
    <xf numFmtId="0" fontId="138" fillId="45" borderId="11" xfId="8726" applyFont="1" applyFill="1" applyBorder="1" applyAlignment="1">
      <alignment horizontal="center"/>
    </xf>
    <xf numFmtId="0" fontId="138" fillId="45" borderId="91" xfId="8726" applyFont="1" applyFill="1" applyBorder="1" applyAlignment="1">
      <alignment horizontal="center"/>
    </xf>
    <xf numFmtId="0" fontId="137" fillId="45" borderId="80" xfId="8726" applyFont="1" applyFill="1" applyBorder="1" applyAlignment="1">
      <alignment horizontal="center"/>
    </xf>
    <xf numFmtId="0" fontId="137" fillId="45" borderId="11" xfId="8726" applyFont="1" applyFill="1" applyBorder="1" applyAlignment="1">
      <alignment horizontal="center"/>
    </xf>
    <xf numFmtId="0" fontId="2" fillId="49" borderId="11" xfId="8726" applyFill="1" applyBorder="1" applyAlignment="1" applyProtection="1">
      <alignment horizontal="center"/>
      <protection locked="0"/>
    </xf>
    <xf numFmtId="0" fontId="151" fillId="45" borderId="80" xfId="8726" applyFont="1" applyFill="1" applyBorder="1" applyAlignment="1">
      <alignment horizontal="right"/>
    </xf>
    <xf numFmtId="0" fontId="151" fillId="45" borderId="11" xfId="8726" applyFont="1" applyFill="1" applyBorder="1" applyAlignment="1">
      <alignment horizontal="right"/>
    </xf>
    <xf numFmtId="0" fontId="90" fillId="45" borderId="70" xfId="8726" applyFont="1" applyFill="1" applyBorder="1" applyAlignment="1">
      <alignment horizontal="center" wrapText="1"/>
    </xf>
    <xf numFmtId="0" fontId="90" fillId="45" borderId="71" xfId="8726" applyFont="1" applyFill="1" applyBorder="1" applyAlignment="1">
      <alignment horizontal="center" wrapText="1"/>
    </xf>
    <xf numFmtId="0" fontId="90" fillId="45" borderId="74" xfId="8726" applyFont="1" applyFill="1" applyBorder="1" applyAlignment="1">
      <alignment horizontal="center" wrapText="1"/>
    </xf>
    <xf numFmtId="0" fontId="2" fillId="49" borderId="91" xfId="8726" applyFill="1" applyBorder="1" applyAlignment="1" applyProtection="1">
      <alignment horizontal="center"/>
      <protection locked="0"/>
    </xf>
    <xf numFmtId="0" fontId="90" fillId="45" borderId="104" xfId="8726" applyFont="1" applyFill="1" applyBorder="1" applyAlignment="1">
      <alignment horizontal="center"/>
    </xf>
    <xf numFmtId="0" fontId="90" fillId="45" borderId="97" xfId="8726" applyFont="1" applyFill="1" applyBorder="1" applyAlignment="1">
      <alignment horizontal="center"/>
    </xf>
    <xf numFmtId="0" fontId="90" fillId="45" borderId="98" xfId="8726" applyFont="1" applyFill="1" applyBorder="1" applyAlignment="1">
      <alignment horizontal="center"/>
    </xf>
    <xf numFmtId="43" fontId="134" fillId="56" borderId="13" xfId="698" applyFont="1" applyFill="1" applyBorder="1" applyAlignment="1" applyProtection="1">
      <alignment horizontal="center"/>
      <protection hidden="1"/>
    </xf>
    <xf numFmtId="43" fontId="136" fillId="53" borderId="11" xfId="698" applyFont="1" applyFill="1" applyBorder="1" applyAlignment="1" applyProtection="1">
      <alignment horizontal="left"/>
      <protection hidden="1"/>
    </xf>
    <xf numFmtId="0" fontId="151" fillId="49" borderId="80" xfId="8726" applyFont="1" applyFill="1" applyBorder="1" applyAlignment="1">
      <alignment horizontal="left" vertical="top"/>
    </xf>
    <xf numFmtId="0" fontId="151" fillId="49" borderId="11" xfId="8726" applyFont="1" applyFill="1" applyBorder="1" applyAlignment="1">
      <alignment horizontal="left" vertical="top"/>
    </xf>
    <xf numFmtId="0" fontId="151" fillId="49" borderId="91" xfId="8726" applyFont="1" applyFill="1" applyBorder="1" applyAlignment="1">
      <alignment horizontal="left" vertical="top"/>
    </xf>
    <xf numFmtId="0" fontId="151" fillId="49" borderId="72" xfId="8726" applyFont="1" applyFill="1" applyBorder="1" applyAlignment="1">
      <alignment horizontal="left" vertical="top"/>
    </xf>
    <xf numFmtId="0" fontId="151" fillId="49" borderId="73" xfId="8726" applyFont="1" applyFill="1" applyBorder="1" applyAlignment="1">
      <alignment horizontal="left" vertical="top"/>
    </xf>
    <xf numFmtId="0" fontId="151" fillId="49" borderId="93" xfId="8726" applyFont="1" applyFill="1" applyBorder="1" applyAlignment="1">
      <alignment horizontal="left" vertical="top"/>
    </xf>
    <xf numFmtId="0" fontId="137" fillId="45" borderId="72" xfId="8726" applyFont="1" applyFill="1" applyBorder="1" applyAlignment="1">
      <alignment horizontal="center"/>
    </xf>
    <xf numFmtId="0" fontId="137" fillId="45" borderId="73" xfId="8726" applyFont="1" applyFill="1" applyBorder="1" applyAlignment="1">
      <alignment horizontal="center"/>
    </xf>
    <xf numFmtId="0" fontId="2" fillId="49" borderId="73" xfId="8726" applyFill="1" applyBorder="1" applyAlignment="1" applyProtection="1">
      <alignment horizontal="center"/>
      <protection locked="0"/>
    </xf>
    <xf numFmtId="0" fontId="2" fillId="49" borderId="93" xfId="8726" applyFill="1" applyBorder="1" applyAlignment="1" applyProtection="1">
      <alignment horizontal="center"/>
      <protection locked="0"/>
    </xf>
    <xf numFmtId="1" fontId="136" fillId="49" borderId="11" xfId="8726" applyNumberFormat="1" applyFont="1" applyFill="1" applyBorder="1" applyAlignment="1" applyProtection="1">
      <alignment horizontal="center"/>
      <protection locked="0"/>
    </xf>
    <xf numFmtId="0" fontId="133" fillId="47" borderId="65" xfId="8726" applyFont="1" applyFill="1" applyBorder="1" applyAlignment="1">
      <alignment horizontal="center"/>
    </xf>
    <xf numFmtId="0" fontId="133" fillId="47" borderId="29" xfId="8726" applyFont="1" applyFill="1" applyBorder="1" applyAlignment="1">
      <alignment horizontal="center"/>
    </xf>
    <xf numFmtId="0" fontId="133" fillId="47" borderId="31" xfId="8726" applyFont="1" applyFill="1" applyBorder="1" applyAlignment="1">
      <alignment horizontal="center"/>
    </xf>
    <xf numFmtId="0" fontId="134" fillId="49" borderId="66" xfId="8726" applyFont="1" applyFill="1" applyBorder="1" applyAlignment="1">
      <alignment horizontal="center"/>
    </xf>
    <xf numFmtId="0" fontId="134" fillId="49" borderId="0" xfId="8726" applyFont="1" applyFill="1" applyAlignment="1">
      <alignment horizontal="center"/>
    </xf>
    <xf numFmtId="0" fontId="134" fillId="49" borderId="41" xfId="8726" applyFont="1" applyFill="1" applyBorder="1" applyAlignment="1">
      <alignment horizontal="center"/>
    </xf>
    <xf numFmtId="0" fontId="136" fillId="44" borderId="67" xfId="8726" applyFont="1" applyFill="1" applyBorder="1" applyAlignment="1">
      <alignment horizontal="left"/>
    </xf>
    <xf numFmtId="0" fontId="136" fillId="44" borderId="68" xfId="8726" applyFont="1" applyFill="1" applyBorder="1" applyAlignment="1">
      <alignment horizontal="left"/>
    </xf>
    <xf numFmtId="0" fontId="136" fillId="44" borderId="69" xfId="8726" applyFont="1" applyFill="1" applyBorder="1" applyAlignment="1">
      <alignment horizontal="left"/>
    </xf>
    <xf numFmtId="0" fontId="149" fillId="45" borderId="11" xfId="8726" applyFont="1" applyFill="1" applyBorder="1" applyAlignment="1">
      <alignment horizontal="right"/>
    </xf>
    <xf numFmtId="14" fontId="136" fillId="49" borderId="11" xfId="8726" applyNumberFormat="1" applyFont="1" applyFill="1" applyBorder="1" applyAlignment="1" applyProtection="1">
      <alignment horizontal="center"/>
      <protection locked="0"/>
    </xf>
    <xf numFmtId="0" fontId="136" fillId="49" borderId="11" xfId="8726" applyFont="1" applyFill="1" applyBorder="1" applyAlignment="1" applyProtection="1">
      <alignment horizontal="center"/>
      <protection locked="0"/>
    </xf>
    <xf numFmtId="0" fontId="135" fillId="45" borderId="11" xfId="8726" applyFont="1" applyFill="1" applyBorder="1" applyAlignment="1">
      <alignment horizontal="right"/>
    </xf>
    <xf numFmtId="0" fontId="2" fillId="44" borderId="67" xfId="8726" applyFill="1" applyBorder="1" applyAlignment="1">
      <alignment horizontal="center"/>
    </xf>
    <xf numFmtId="0" fontId="2" fillId="44" borderId="68" xfId="8726" applyFill="1" applyBorder="1" applyAlignment="1">
      <alignment horizontal="center"/>
    </xf>
    <xf numFmtId="0" fontId="2" fillId="44" borderId="69" xfId="8726" applyFill="1" applyBorder="1" applyAlignment="1">
      <alignment horizontal="center"/>
    </xf>
    <xf numFmtId="0" fontId="90" fillId="45" borderId="70" xfId="8726" applyFont="1" applyFill="1" applyBorder="1" applyAlignment="1">
      <alignment horizontal="left" wrapText="1"/>
    </xf>
    <xf numFmtId="0" fontId="90" fillId="45" borderId="71" xfId="8726" applyFont="1" applyFill="1" applyBorder="1" applyAlignment="1">
      <alignment horizontal="left" wrapText="1"/>
    </xf>
    <xf numFmtId="0" fontId="90" fillId="45" borderId="80" xfId="8726" applyFont="1" applyFill="1" applyBorder="1" applyAlignment="1">
      <alignment horizontal="left" wrapText="1"/>
    </xf>
    <xf numFmtId="0" fontId="90" fillId="45" borderId="11" xfId="8726" applyFont="1" applyFill="1" applyBorder="1" applyAlignment="1">
      <alignment horizontal="left" wrapText="1"/>
    </xf>
    <xf numFmtId="0" fontId="136" fillId="49" borderId="71" xfId="8726" applyFont="1" applyFill="1" applyBorder="1" applyAlignment="1" applyProtection="1">
      <alignment horizontal="left" wrapText="1"/>
      <protection locked="0"/>
    </xf>
    <xf numFmtId="0" fontId="136" fillId="49" borderId="74" xfId="8726" applyFont="1" applyFill="1" applyBorder="1" applyAlignment="1" applyProtection="1">
      <alignment horizontal="left" wrapText="1"/>
      <protection locked="0"/>
    </xf>
    <xf numFmtId="0" fontId="136" fillId="49" borderId="11" xfId="8726" applyFont="1" applyFill="1" applyBorder="1" applyAlignment="1" applyProtection="1">
      <alignment horizontal="left" wrapText="1"/>
      <protection locked="0"/>
    </xf>
    <xf numFmtId="0" fontId="136" fillId="49" borderId="91" xfId="8726" applyFont="1" applyFill="1" applyBorder="1" applyAlignment="1" applyProtection="1">
      <alignment horizontal="left" wrapText="1"/>
      <protection locked="0"/>
    </xf>
    <xf numFmtId="168" fontId="153" fillId="44" borderId="11" xfId="8727" applyNumberFormat="1" applyFont="1" applyFill="1" applyBorder="1" applyAlignment="1" applyProtection="1">
      <alignment horizontal="left"/>
    </xf>
    <xf numFmtId="0" fontId="137" fillId="45" borderId="11" xfId="8726" applyFont="1" applyFill="1" applyBorder="1" applyAlignment="1">
      <alignment horizontal="right"/>
    </xf>
    <xf numFmtId="1" fontId="2" fillId="44" borderId="11" xfId="8726" applyNumberFormat="1" applyFill="1" applyBorder="1" applyAlignment="1">
      <alignment horizontal="center"/>
    </xf>
    <xf numFmtId="0" fontId="2" fillId="44" borderId="11" xfId="8726" applyFill="1" applyBorder="1" applyAlignment="1">
      <alignment horizontal="center"/>
    </xf>
    <xf numFmtId="0" fontId="135" fillId="45" borderId="11" xfId="8726" applyFont="1" applyFill="1" applyBorder="1" applyAlignment="1">
      <alignment horizontal="right" wrapText="1"/>
    </xf>
    <xf numFmtId="14" fontId="136" fillId="49" borderId="11" xfId="8726" applyNumberFormat="1" applyFont="1" applyFill="1" applyBorder="1" applyAlignment="1" applyProtection="1">
      <alignment horizontal="center" vertical="center"/>
      <protection locked="0"/>
    </xf>
    <xf numFmtId="0" fontId="136" fillId="49" borderId="11" xfId="8726" applyFont="1" applyFill="1" applyBorder="1" applyAlignment="1" applyProtection="1">
      <alignment horizontal="center" vertical="center"/>
      <protection locked="0"/>
    </xf>
    <xf numFmtId="0" fontId="90" fillId="45" borderId="67" xfId="8726" applyFont="1" applyFill="1" applyBorder="1" applyAlignment="1">
      <alignment horizontal="center"/>
    </xf>
    <xf numFmtId="0" fontId="90" fillId="45" borderId="68" xfId="8726" applyFont="1" applyFill="1" applyBorder="1" applyAlignment="1">
      <alignment horizontal="center"/>
    </xf>
    <xf numFmtId="0" fontId="90" fillId="45" borderId="69" xfId="8726" applyFont="1" applyFill="1" applyBorder="1" applyAlignment="1">
      <alignment horizontal="center"/>
    </xf>
    <xf numFmtId="0" fontId="136" fillId="49" borderId="67" xfId="8726" applyFont="1" applyFill="1" applyBorder="1" applyAlignment="1" applyProtection="1">
      <alignment horizontal="center"/>
      <protection locked="0"/>
    </xf>
    <xf numFmtId="0" fontId="136" fillId="49" borderId="68" xfId="8726" applyFont="1" applyFill="1" applyBorder="1" applyAlignment="1" applyProtection="1">
      <alignment horizontal="center"/>
      <protection locked="0"/>
    </xf>
    <xf numFmtId="0" fontId="136" fillId="49" borderId="69" xfId="8726" applyFont="1" applyFill="1" applyBorder="1" applyAlignment="1" applyProtection="1">
      <alignment horizontal="center"/>
      <protection locked="0"/>
    </xf>
    <xf numFmtId="0" fontId="90" fillId="45" borderId="67" xfId="8726" applyFont="1" applyFill="1" applyBorder="1" applyAlignment="1">
      <alignment horizontal="right"/>
    </xf>
    <xf numFmtId="0" fontId="90" fillId="45" borderId="68" xfId="8726" applyFont="1" applyFill="1" applyBorder="1" applyAlignment="1">
      <alignment horizontal="right"/>
    </xf>
    <xf numFmtId="0" fontId="90" fillId="45" borderId="99" xfId="8726" applyFont="1" applyFill="1" applyBorder="1" applyAlignment="1">
      <alignment horizontal="right"/>
    </xf>
    <xf numFmtId="0" fontId="2" fillId="44" borderId="97" xfId="8726" applyFill="1" applyBorder="1" applyAlignment="1">
      <alignment horizontal="center"/>
    </xf>
    <xf numFmtId="0" fontId="2" fillId="44" borderId="98" xfId="8726" applyFill="1" applyBorder="1" applyAlignment="1">
      <alignment horizontal="center"/>
    </xf>
    <xf numFmtId="0" fontId="134" fillId="45" borderId="75" xfId="8726" applyFont="1" applyFill="1" applyBorder="1" applyAlignment="1">
      <alignment horizontal="center"/>
    </xf>
    <xf numFmtId="0" fontId="134" fillId="45" borderId="76" xfId="8726" applyFont="1" applyFill="1" applyBorder="1" applyAlignment="1">
      <alignment horizontal="center"/>
    </xf>
    <xf numFmtId="0" fontId="134" fillId="45" borderId="77" xfId="8726" applyFont="1" applyFill="1" applyBorder="1" applyAlignment="1">
      <alignment horizontal="center"/>
    </xf>
    <xf numFmtId="0" fontId="137" fillId="45" borderId="78" xfId="8726" applyFont="1" applyFill="1" applyBorder="1" applyAlignment="1">
      <alignment horizontal="center"/>
    </xf>
    <xf numFmtId="0" fontId="137" fillId="45" borderId="2" xfId="8726" applyFont="1" applyFill="1" applyBorder="1" applyAlignment="1">
      <alignment horizontal="center"/>
    </xf>
    <xf numFmtId="0" fontId="137" fillId="45" borderId="7" xfId="8726" applyFont="1" applyFill="1" applyBorder="1" applyAlignment="1">
      <alignment horizontal="center"/>
    </xf>
    <xf numFmtId="0" fontId="137" fillId="45" borderId="3" xfId="8726" applyFont="1" applyFill="1" applyBorder="1" applyAlignment="1">
      <alignment horizontal="center"/>
    </xf>
    <xf numFmtId="0" fontId="137" fillId="45" borderId="4" xfId="8726" applyFont="1" applyFill="1" applyBorder="1" applyAlignment="1">
      <alignment horizontal="center"/>
    </xf>
    <xf numFmtId="0" fontId="137" fillId="45" borderId="5" xfId="8726" applyFont="1" applyFill="1" applyBorder="1" applyAlignment="1">
      <alignment horizontal="center"/>
    </xf>
    <xf numFmtId="0" fontId="137" fillId="45" borderId="79" xfId="8726" applyFont="1" applyFill="1" applyBorder="1" applyAlignment="1">
      <alignment horizontal="center"/>
    </xf>
    <xf numFmtId="9" fontId="151" fillId="49" borderId="92" xfId="8726" applyNumberFormat="1" applyFont="1" applyFill="1" applyBorder="1" applyAlignment="1">
      <alignment horizontal="center"/>
    </xf>
    <xf numFmtId="9" fontId="151" fillId="49" borderId="4" xfId="8726" applyNumberFormat="1" applyFont="1" applyFill="1" applyBorder="1" applyAlignment="1">
      <alignment horizontal="center"/>
    </xf>
    <xf numFmtId="9" fontId="151" fillId="49" borderId="5" xfId="8726" applyNumberFormat="1" applyFont="1" applyFill="1" applyBorder="1" applyAlignment="1">
      <alignment horizontal="center"/>
    </xf>
    <xf numFmtId="0" fontId="151" fillId="44" borderId="3" xfId="8726" applyFont="1" applyFill="1" applyBorder="1" applyAlignment="1">
      <alignment horizontal="center"/>
    </xf>
    <xf numFmtId="0" fontId="151" fillId="44" borderId="4" xfId="8726" applyFont="1" applyFill="1" applyBorder="1" applyAlignment="1">
      <alignment horizontal="center"/>
    </xf>
    <xf numFmtId="0" fontId="151" fillId="44" borderId="5" xfId="8726" applyFont="1" applyFill="1" applyBorder="1" applyAlignment="1">
      <alignment horizontal="center"/>
    </xf>
    <xf numFmtId="9" fontId="137" fillId="44" borderId="3" xfId="8726" applyNumberFormat="1" applyFont="1" applyFill="1" applyBorder="1" applyAlignment="1">
      <alignment horizontal="center"/>
    </xf>
    <xf numFmtId="9" fontId="137" fillId="44" borderId="4" xfId="8726" applyNumberFormat="1" applyFont="1" applyFill="1" applyBorder="1" applyAlignment="1">
      <alignment horizontal="center"/>
    </xf>
    <xf numFmtId="9" fontId="137" fillId="44" borderId="79" xfId="8726" applyNumberFormat="1" applyFont="1" applyFill="1" applyBorder="1" applyAlignment="1">
      <alignment horizontal="center"/>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9" fontId="138" fillId="49" borderId="9" xfId="8726" applyNumberFormat="1" applyFont="1" applyFill="1" applyBorder="1" applyAlignment="1" applyProtection="1">
      <alignment horizontal="center"/>
      <protection locked="0"/>
    </xf>
    <xf numFmtId="9" fontId="138" fillId="49" borderId="6" xfId="8726" applyNumberFormat="1" applyFont="1" applyFill="1" applyBorder="1" applyAlignment="1" applyProtection="1">
      <alignment horizontal="center"/>
      <protection locked="0"/>
    </xf>
    <xf numFmtId="9" fontId="138" fillId="49" borderId="10" xfId="8726" applyNumberFormat="1" applyFont="1" applyFill="1" applyBorder="1" applyAlignment="1" applyProtection="1">
      <alignment horizontal="center"/>
      <protection locked="0"/>
    </xf>
    <xf numFmtId="0" fontId="138" fillId="44" borderId="9" xfId="8726" applyFont="1" applyFill="1" applyBorder="1" applyAlignment="1">
      <alignment horizontal="center"/>
    </xf>
    <xf numFmtId="0" fontId="138" fillId="44" borderId="6" xfId="8726" applyFont="1" applyFill="1" applyBorder="1" applyAlignment="1">
      <alignment horizontal="center"/>
    </xf>
    <xf numFmtId="0" fontId="138" fillId="44" borderId="10" xfId="8726" applyFont="1" applyFill="1" applyBorder="1" applyAlignment="1">
      <alignment horizontal="center"/>
    </xf>
    <xf numFmtId="0" fontId="138" fillId="44" borderId="103" xfId="8726" applyFont="1" applyFill="1" applyBorder="1" applyAlignment="1">
      <alignment horizontal="center"/>
    </xf>
    <xf numFmtId="0" fontId="137" fillId="44" borderId="81" xfId="8726" applyFont="1" applyFill="1" applyBorder="1" applyAlignment="1">
      <alignment horizontal="center"/>
    </xf>
    <xf numFmtId="0" fontId="137" fillId="44" borderId="82" xfId="8726" applyFont="1" applyFill="1" applyBorder="1" applyAlignment="1">
      <alignment horizontal="center"/>
    </xf>
    <xf numFmtId="0" fontId="137" fillId="44" borderId="83" xfId="8726" applyFont="1" applyFill="1" applyBorder="1" applyAlignment="1">
      <alignment horizontal="center"/>
    </xf>
    <xf numFmtId="0" fontId="151" fillId="44" borderId="84" xfId="8726" applyFont="1" applyFill="1" applyBorder="1" applyAlignment="1">
      <alignment horizontal="center"/>
    </xf>
    <xf numFmtId="0" fontId="151" fillId="44" borderId="82" xfId="8726" applyFont="1" applyFill="1" applyBorder="1" applyAlignment="1">
      <alignment horizontal="center"/>
    </xf>
    <xf numFmtId="0" fontId="151" fillId="44" borderId="83" xfId="8726" applyFont="1" applyFill="1" applyBorder="1" applyAlignment="1">
      <alignment horizontal="center"/>
    </xf>
    <xf numFmtId="9" fontId="137" fillId="44" borderId="84" xfId="8726" applyNumberFormat="1" applyFont="1" applyFill="1" applyBorder="1" applyAlignment="1">
      <alignment horizontal="center"/>
    </xf>
    <xf numFmtId="9" fontId="137" fillId="44" borderId="82" xfId="8726" applyNumberFormat="1" applyFont="1" applyFill="1" applyBorder="1" applyAlignment="1">
      <alignment horizontal="center"/>
    </xf>
    <xf numFmtId="9" fontId="137" fillId="44" borderId="85" xfId="8726" applyNumberFormat="1" applyFont="1" applyFill="1" applyBorder="1" applyAlignment="1">
      <alignment horizontal="center"/>
    </xf>
    <xf numFmtId="0" fontId="137" fillId="45" borderId="13"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11" xfId="8726" applyFont="1" applyFill="1" applyBorder="1" applyAlignment="1">
      <alignment horizontal="center" vertical="center"/>
    </xf>
    <xf numFmtId="0" fontId="137" fillId="45" borderId="9" xfId="8726" applyFont="1" applyFill="1" applyBorder="1" applyAlignment="1">
      <alignment horizontal="center" vertical="center"/>
    </xf>
    <xf numFmtId="0" fontId="137" fillId="45" borderId="3" xfId="8726" applyFont="1" applyFill="1" applyBorder="1" applyAlignment="1">
      <alignment horizontal="center" vertical="center"/>
    </xf>
    <xf numFmtId="9" fontId="137" fillId="49" borderId="13" xfId="8726" applyNumberFormat="1" applyFont="1" applyFill="1" applyBorder="1" applyAlignment="1" applyProtection="1">
      <alignment horizontal="center"/>
      <protection locked="0"/>
    </xf>
    <xf numFmtId="0" fontId="137" fillId="44" borderId="86" xfId="8726" applyFont="1" applyFill="1" applyBorder="1" applyAlignment="1">
      <alignment horizontal="center"/>
    </xf>
    <xf numFmtId="0" fontId="137" fillId="44" borderId="42" xfId="8726" applyFont="1" applyFill="1" applyBorder="1" applyAlignment="1">
      <alignment horizontal="center"/>
    </xf>
    <xf numFmtId="0" fontId="137" fillId="44" borderId="87" xfId="8726" applyFont="1" applyFill="1" applyBorder="1" applyAlignment="1">
      <alignment horizontal="center"/>
    </xf>
    <xf numFmtId="0" fontId="137" fillId="44" borderId="88" xfId="8726" applyFont="1" applyFill="1" applyBorder="1" applyAlignment="1">
      <alignment horizontal="center"/>
    </xf>
    <xf numFmtId="0" fontId="153" fillId="49" borderId="80" xfId="8726" applyFont="1" applyFill="1" applyBorder="1" applyAlignment="1" applyProtection="1">
      <alignment horizontal="right"/>
      <protection locked="0"/>
    </xf>
    <xf numFmtId="0" fontId="153" fillId="49" borderId="11" xfId="8726" applyFont="1" applyFill="1" applyBorder="1" applyAlignment="1" applyProtection="1">
      <alignment horizontal="right"/>
      <protection locked="0"/>
    </xf>
    <xf numFmtId="0" fontId="152" fillId="49" borderId="11" xfId="8726" applyFont="1" applyFill="1" applyBorder="1" applyAlignment="1" applyProtection="1">
      <alignment horizontal="center"/>
      <protection locked="0"/>
    </xf>
    <xf numFmtId="1" fontId="152" fillId="49" borderId="11" xfId="8726" applyNumberFormat="1" applyFont="1" applyFill="1" applyBorder="1" applyAlignment="1" applyProtection="1">
      <alignment horizontal="center"/>
      <protection locked="0"/>
    </xf>
    <xf numFmtId="0" fontId="134" fillId="45" borderId="67" xfId="8726" applyFont="1" applyFill="1" applyBorder="1" applyAlignment="1">
      <alignment horizontal="center"/>
    </xf>
    <xf numFmtId="0" fontId="134" fillId="45" borderId="68" xfId="8726" applyFont="1" applyFill="1" applyBorder="1" applyAlignment="1">
      <alignment horizontal="center"/>
    </xf>
    <xf numFmtId="0" fontId="134" fillId="45" borderId="69" xfId="8726" applyFont="1" applyFill="1" applyBorder="1" applyAlignment="1">
      <alignment horizontal="center"/>
    </xf>
    <xf numFmtId="0" fontId="138" fillId="45" borderId="65" xfId="8726" applyFont="1" applyFill="1" applyBorder="1" applyAlignment="1">
      <alignment horizontal="center" vertical="center" wrapText="1"/>
    </xf>
    <xf numFmtId="0" fontId="138" fillId="45" borderId="29" xfId="8726" applyFont="1" applyFill="1" applyBorder="1" applyAlignment="1">
      <alignment horizontal="center" vertical="center" wrapText="1"/>
    </xf>
    <xf numFmtId="0" fontId="138" fillId="45" borderId="31" xfId="8726" applyFont="1" applyFill="1" applyBorder="1" applyAlignment="1">
      <alignment horizontal="center" vertical="center" wrapText="1"/>
    </xf>
    <xf numFmtId="0" fontId="138" fillId="45" borderId="86" xfId="8726" applyFont="1" applyFill="1" applyBorder="1" applyAlignment="1">
      <alignment horizontal="center" vertical="center" wrapText="1"/>
    </xf>
    <xf numFmtId="0" fontId="138" fillId="45" borderId="42" xfId="8726" applyFont="1" applyFill="1" applyBorder="1" applyAlignment="1">
      <alignment horizontal="center" vertical="center" wrapText="1"/>
    </xf>
    <xf numFmtId="0" fontId="138" fillId="45" borderId="44" xfId="8726" applyFont="1" applyFill="1" applyBorder="1" applyAlignment="1">
      <alignment horizontal="center" vertical="center" wrapText="1"/>
    </xf>
    <xf numFmtId="0" fontId="138" fillId="45" borderId="67" xfId="8726" applyFont="1" applyFill="1" applyBorder="1" applyAlignment="1">
      <alignment horizontal="center"/>
    </xf>
    <xf numFmtId="0" fontId="138" fillId="45" borderId="68" xfId="8726" applyFont="1" applyFill="1" applyBorder="1" applyAlignment="1">
      <alignment horizontal="center"/>
    </xf>
    <xf numFmtId="0" fontId="138" fillId="45" borderId="69" xfId="8726" applyFont="1" applyFill="1" applyBorder="1" applyAlignment="1">
      <alignment horizontal="center"/>
    </xf>
    <xf numFmtId="9" fontId="137" fillId="44" borderId="88" xfId="1022" applyFont="1" applyFill="1" applyBorder="1" applyAlignment="1">
      <alignment horizontal="center"/>
    </xf>
    <xf numFmtId="9" fontId="137" fillId="44" borderId="42" xfId="1022" applyFont="1" applyFill="1" applyBorder="1" applyAlignment="1">
      <alignment horizontal="center"/>
    </xf>
    <xf numFmtId="9" fontId="137" fillId="44" borderId="44" xfId="1022" applyFont="1" applyFill="1" applyBorder="1" applyAlignment="1">
      <alignment horizontal="center"/>
    </xf>
    <xf numFmtId="0" fontId="138" fillId="45" borderId="95" xfId="8726" applyFont="1" applyFill="1" applyBorder="1" applyAlignment="1">
      <alignment horizontal="center" vertical="center" wrapText="1"/>
    </xf>
    <xf numFmtId="0" fontId="138" fillId="45" borderId="13" xfId="8726" applyFont="1" applyFill="1" applyBorder="1" applyAlignment="1">
      <alignment horizontal="center" vertical="center"/>
    </xf>
    <xf numFmtId="0" fontId="138" fillId="45" borderId="80" xfId="8726" applyFont="1" applyFill="1" applyBorder="1" applyAlignment="1">
      <alignment horizontal="center" vertical="center"/>
    </xf>
    <xf numFmtId="0" fontId="138" fillId="45" borderId="11" xfId="8726" applyFont="1" applyFill="1" applyBorder="1" applyAlignment="1">
      <alignment horizontal="center" vertical="center"/>
    </xf>
    <xf numFmtId="1" fontId="152" fillId="49" borderId="3" xfId="8726" applyNumberFormat="1" applyFont="1" applyFill="1" applyBorder="1" applyAlignment="1" applyProtection="1">
      <alignment horizontal="center"/>
      <protection locked="0"/>
    </xf>
    <xf numFmtId="1" fontId="152" fillId="49" borderId="4" xfId="8726" applyNumberFormat="1" applyFont="1" applyFill="1" applyBorder="1" applyAlignment="1" applyProtection="1">
      <alignment horizontal="center"/>
      <protection locked="0"/>
    </xf>
    <xf numFmtId="1" fontId="152" fillId="49" borderId="5" xfId="8726" applyNumberFormat="1" applyFont="1" applyFill="1" applyBorder="1" applyAlignment="1" applyProtection="1">
      <alignment horizontal="center"/>
      <protection locked="0"/>
    </xf>
    <xf numFmtId="1" fontId="138" fillId="44" borderId="3" xfId="8726" applyNumberFormat="1" applyFont="1" applyFill="1" applyBorder="1" applyAlignment="1">
      <alignment horizontal="center"/>
    </xf>
    <xf numFmtId="1" fontId="138" fillId="44" borderId="4" xfId="8726" applyNumberFormat="1" applyFont="1" applyFill="1" applyBorder="1" applyAlignment="1">
      <alignment horizontal="center"/>
    </xf>
    <xf numFmtId="1" fontId="138" fillId="44" borderId="5" xfId="8726" applyNumberFormat="1" applyFont="1" applyFill="1" applyBorder="1" applyAlignment="1">
      <alignment horizontal="center"/>
    </xf>
    <xf numFmtId="9" fontId="138" fillId="44" borderId="3" xfId="8728" applyFont="1" applyFill="1" applyBorder="1" applyAlignment="1">
      <alignment horizontal="center"/>
    </xf>
    <xf numFmtId="9" fontId="138" fillId="44" borderId="4" xfId="8728" applyFont="1" applyFill="1" applyBorder="1" applyAlignment="1">
      <alignment horizontal="center"/>
    </xf>
    <xf numFmtId="9" fontId="138" fillId="44" borderId="79" xfId="8728" applyFont="1" applyFill="1" applyBorder="1" applyAlignment="1">
      <alignment horizontal="center"/>
    </xf>
    <xf numFmtId="0" fontId="151" fillId="49" borderId="80" xfId="8726" applyFont="1" applyFill="1" applyBorder="1" applyAlignment="1" applyProtection="1">
      <alignment horizontal="right"/>
      <protection locked="0"/>
    </xf>
    <xf numFmtId="0" fontId="151" fillId="49" borderId="11" xfId="8726" applyFont="1" applyFill="1" applyBorder="1" applyAlignment="1" applyProtection="1">
      <alignment horizontal="right"/>
      <protection locked="0"/>
    </xf>
    <xf numFmtId="1" fontId="152" fillId="49" borderId="84" xfId="8726" applyNumberFormat="1" applyFont="1" applyFill="1" applyBorder="1" applyAlignment="1" applyProtection="1">
      <alignment horizontal="center"/>
      <protection locked="0"/>
    </xf>
    <xf numFmtId="1" fontId="152" fillId="49" borderId="82" xfId="8726" applyNumberFormat="1" applyFont="1" applyFill="1" applyBorder="1" applyAlignment="1" applyProtection="1">
      <alignment horizontal="center"/>
      <protection locked="0"/>
    </xf>
    <xf numFmtId="1" fontId="152" fillId="49" borderId="83" xfId="8726" applyNumberFormat="1" applyFont="1" applyFill="1" applyBorder="1" applyAlignment="1" applyProtection="1">
      <alignment horizontal="center"/>
      <protection locked="0"/>
    </xf>
    <xf numFmtId="9" fontId="138" fillId="44" borderId="84" xfId="8728" applyFont="1" applyFill="1" applyBorder="1" applyAlignment="1">
      <alignment horizontal="center"/>
    </xf>
    <xf numFmtId="9" fontId="138" fillId="44" borderId="82" xfId="8728" applyFont="1" applyFill="1" applyBorder="1" applyAlignment="1">
      <alignment horizontal="center"/>
    </xf>
    <xf numFmtId="9" fontId="138" fillId="44" borderId="85" xfId="8728" applyFont="1" applyFill="1" applyBorder="1" applyAlignment="1">
      <alignment horizontal="center"/>
    </xf>
    <xf numFmtId="0" fontId="134" fillId="45" borderId="70" xfId="8726" applyFont="1" applyFill="1" applyBorder="1" applyAlignment="1">
      <alignment horizontal="center"/>
    </xf>
    <xf numFmtId="0" fontId="134" fillId="45" borderId="71" xfId="8726" applyFont="1" applyFill="1" applyBorder="1" applyAlignment="1">
      <alignment horizontal="center"/>
    </xf>
    <xf numFmtId="0" fontId="134" fillId="45" borderId="74" xfId="8726" applyFont="1" applyFill="1" applyBorder="1" applyAlignment="1">
      <alignment horizontal="center"/>
    </xf>
    <xf numFmtId="0" fontId="138" fillId="45" borderId="11" xfId="8726" applyFont="1" applyFill="1" applyBorder="1" applyAlignment="1">
      <alignment horizontal="center" vertical="center" wrapText="1"/>
    </xf>
    <xf numFmtId="0" fontId="138" fillId="45" borderId="91" xfId="8726" applyFont="1" applyFill="1" applyBorder="1" applyAlignment="1">
      <alignment horizontal="center" vertical="center" wrapText="1"/>
    </xf>
    <xf numFmtId="1" fontId="152" fillId="49" borderId="73" xfId="8726" applyNumberFormat="1" applyFont="1" applyFill="1" applyBorder="1" applyAlignment="1" applyProtection="1">
      <alignment horizontal="center"/>
      <protection locked="0"/>
    </xf>
    <xf numFmtId="0" fontId="151" fillId="49" borderId="72" xfId="8726" applyFont="1" applyFill="1" applyBorder="1" applyAlignment="1" applyProtection="1">
      <alignment horizontal="right"/>
      <protection locked="0"/>
    </xf>
    <xf numFmtId="0" fontId="151" fillId="49" borderId="73" xfId="8726" applyFont="1" applyFill="1" applyBorder="1" applyAlignment="1" applyProtection="1">
      <alignment horizontal="right"/>
      <protection locked="0"/>
    </xf>
    <xf numFmtId="0" fontId="152" fillId="49" borderId="73" xfId="8726" applyFont="1" applyFill="1" applyBorder="1" applyAlignment="1" applyProtection="1">
      <alignment horizontal="center"/>
      <protection locked="0"/>
    </xf>
    <xf numFmtId="0" fontId="151" fillId="49" borderId="11" xfId="8726" applyFont="1" applyFill="1" applyBorder="1" applyAlignment="1" applyProtection="1">
      <alignment horizontal="center"/>
      <protection locked="0"/>
    </xf>
    <xf numFmtId="168" fontId="151" fillId="49" borderId="11" xfId="8727" applyNumberFormat="1"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0" fontId="151" fillId="49" borderId="11" xfId="700" applyNumberFormat="1" applyFont="1" applyFill="1" applyBorder="1" applyAlignment="1" applyProtection="1">
      <alignment horizontal="left"/>
      <protection locked="0"/>
    </xf>
    <xf numFmtId="0" fontId="151" fillId="49" borderId="91" xfId="700" applyNumberFormat="1" applyFont="1" applyFill="1" applyBorder="1" applyAlignment="1" applyProtection="1">
      <alignment horizontal="left"/>
      <protection locked="0"/>
    </xf>
    <xf numFmtId="0" fontId="151" fillId="44" borderId="80" xfId="8726" applyFont="1" applyFill="1" applyBorder="1" applyAlignment="1" applyProtection="1">
      <alignment horizontal="right"/>
      <protection locked="0"/>
    </xf>
    <xf numFmtId="0" fontId="151" fillId="44" borderId="11" xfId="8726" applyFont="1" applyFill="1" applyBorder="1" applyAlignment="1" applyProtection="1">
      <alignment horizontal="right"/>
      <protection locked="0"/>
    </xf>
    <xf numFmtId="0" fontId="151" fillId="44" borderId="91" xfId="8726" applyFont="1" applyFill="1" applyBorder="1" applyAlignment="1" applyProtection="1">
      <alignment horizontal="right"/>
      <protection locked="0"/>
    </xf>
    <xf numFmtId="0" fontId="151" fillId="49" borderId="5" xfId="8726" applyFont="1" applyFill="1" applyBorder="1" applyAlignment="1" applyProtection="1">
      <alignment horizontal="left"/>
      <protection locked="0"/>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1" fillId="44" borderId="72" xfId="8726" applyFont="1" applyFill="1" applyBorder="1" applyAlignment="1" applyProtection="1">
      <alignment horizontal="right"/>
      <protection locked="0"/>
    </xf>
    <xf numFmtId="0" fontId="151" fillId="44" borderId="73" xfId="8726" applyFont="1" applyFill="1" applyBorder="1" applyAlignment="1" applyProtection="1">
      <alignment horizontal="right"/>
      <protection locked="0"/>
    </xf>
    <xf numFmtId="0" fontId="151" fillId="44" borderId="93" xfId="8726" applyFont="1" applyFill="1" applyBorder="1" applyAlignment="1" applyProtection="1">
      <alignment horizontal="right"/>
      <protection locked="0"/>
    </xf>
    <xf numFmtId="168" fontId="137" fillId="45" borderId="73" xfId="8727" applyNumberFormat="1" applyFont="1" applyFill="1" applyBorder="1" applyAlignment="1">
      <alignment horizontal="center"/>
    </xf>
    <xf numFmtId="1" fontId="137" fillId="45" borderId="73" xfId="8727" applyNumberFormat="1" applyFont="1" applyFill="1" applyBorder="1" applyAlignment="1">
      <alignment horizontal="center"/>
    </xf>
    <xf numFmtId="0" fontId="137" fillId="45" borderId="73" xfId="8727" applyNumberFormat="1" applyFont="1" applyFill="1" applyBorder="1" applyAlignment="1">
      <alignment horizontal="center"/>
    </xf>
    <xf numFmtId="0" fontId="137" fillId="45" borderId="93" xfId="8727" applyNumberFormat="1" applyFont="1" applyFill="1" applyBorder="1" applyAlignment="1">
      <alignment horizontal="center"/>
    </xf>
    <xf numFmtId="0" fontId="134" fillId="45" borderId="65" xfId="8726" applyFont="1" applyFill="1" applyBorder="1" applyAlignment="1">
      <alignment horizontal="center"/>
    </xf>
    <xf numFmtId="0" fontId="134" fillId="45" borderId="29" xfId="8726" applyFont="1" applyFill="1" applyBorder="1" applyAlignment="1">
      <alignment horizontal="center"/>
    </xf>
    <xf numFmtId="0" fontId="134" fillId="45" borderId="31" xfId="8726" applyFont="1" applyFill="1" applyBorder="1" applyAlignment="1">
      <alignment horizontal="center"/>
    </xf>
    <xf numFmtId="0" fontId="151" fillId="49" borderId="83" xfId="8726" applyFont="1" applyFill="1" applyBorder="1" applyAlignment="1" applyProtection="1">
      <alignment horizontal="left"/>
      <protection locked="0"/>
    </xf>
    <xf numFmtId="0" fontId="151" fillId="49" borderId="73" xfId="8726" applyFont="1" applyFill="1" applyBorder="1" applyAlignment="1" applyProtection="1">
      <alignment horizontal="left"/>
      <protection locked="0"/>
    </xf>
    <xf numFmtId="0" fontId="151" fillId="49" borderId="93" xfId="8726" applyFont="1" applyFill="1" applyBorder="1" applyAlignment="1" applyProtection="1">
      <alignment horizontal="left"/>
      <protection locked="0"/>
    </xf>
    <xf numFmtId="0" fontId="151" fillId="49" borderId="80" xfId="8726" applyFont="1" applyFill="1" applyBorder="1" applyAlignment="1" applyProtection="1">
      <alignment horizontal="left" vertical="top"/>
      <protection locked="0"/>
    </xf>
    <xf numFmtId="0" fontId="151" fillId="49" borderId="11" xfId="8726" applyFont="1" applyFill="1" applyBorder="1" applyAlignment="1" applyProtection="1">
      <alignment horizontal="left" vertical="top"/>
      <protection locked="0"/>
    </xf>
    <xf numFmtId="0" fontId="151" fillId="49" borderId="91" xfId="8726" applyFont="1" applyFill="1" applyBorder="1" applyAlignment="1" applyProtection="1">
      <alignment horizontal="left" vertical="top"/>
      <protection locked="0"/>
    </xf>
    <xf numFmtId="0" fontId="151" fillId="49" borderId="72" xfId="8726" applyFont="1" applyFill="1" applyBorder="1" applyAlignment="1" applyProtection="1">
      <alignment horizontal="left" vertical="top"/>
      <protection locked="0"/>
    </xf>
    <xf numFmtId="0" fontId="151" fillId="49" borderId="73" xfId="8726" applyFont="1" applyFill="1" applyBorder="1" applyAlignment="1" applyProtection="1">
      <alignment horizontal="left" vertical="top"/>
      <protection locked="0"/>
    </xf>
    <xf numFmtId="0" fontId="151" fillId="49" borderId="93" xfId="8726" applyFont="1" applyFill="1" applyBorder="1" applyAlignment="1" applyProtection="1">
      <alignment horizontal="left" vertical="top"/>
      <protection locked="0"/>
    </xf>
    <xf numFmtId="0" fontId="151" fillId="49" borderId="80" xfId="8726" applyFont="1" applyFill="1" applyBorder="1" applyAlignment="1" applyProtection="1">
      <alignment horizontal="center"/>
      <protection locked="0"/>
    </xf>
    <xf numFmtId="168" fontId="153" fillId="49" borderId="11" xfId="700" applyNumberFormat="1" applyFont="1" applyFill="1" applyBorder="1" applyAlignment="1" applyProtection="1">
      <alignment horizontal="left"/>
      <protection locked="0"/>
    </xf>
    <xf numFmtId="168" fontId="153" fillId="49" borderId="91" xfId="700" applyNumberFormat="1" applyFont="1" applyFill="1" applyBorder="1" applyAlignment="1" applyProtection="1">
      <alignment horizontal="left"/>
      <protection locked="0"/>
    </xf>
    <xf numFmtId="0" fontId="134" fillId="45" borderId="94" xfId="8726" applyFont="1" applyFill="1" applyBorder="1" applyAlignment="1">
      <alignment horizontal="right"/>
    </xf>
    <xf numFmtId="0" fontId="134" fillId="45" borderId="43" xfId="8726" applyFont="1" applyFill="1" applyBorder="1" applyAlignment="1">
      <alignment horizontal="right"/>
    </xf>
    <xf numFmtId="0" fontId="151" fillId="49" borderId="71" xfId="8726" applyFont="1" applyFill="1" applyBorder="1" applyAlignment="1" applyProtection="1">
      <alignment horizontal="left"/>
      <protection locked="0"/>
    </xf>
    <xf numFmtId="0" fontId="151" fillId="49" borderId="74" xfId="8726" applyFont="1" applyFill="1" applyBorder="1" applyAlignment="1" applyProtection="1">
      <alignment horizontal="left"/>
      <protection locked="0"/>
    </xf>
    <xf numFmtId="0" fontId="134" fillId="45" borderId="72" xfId="8726" applyFont="1" applyFill="1" applyBorder="1" applyAlignment="1">
      <alignment horizontal="center"/>
    </xf>
    <xf numFmtId="0" fontId="134" fillId="45" borderId="73" xfId="8726" applyFont="1" applyFill="1" applyBorder="1" applyAlignment="1">
      <alignment horizontal="center"/>
    </xf>
    <xf numFmtId="0" fontId="90" fillId="45" borderId="74" xfId="8726" applyFont="1" applyFill="1" applyBorder="1" applyAlignment="1">
      <alignment horizontal="left" wrapText="1"/>
    </xf>
    <xf numFmtId="0" fontId="90" fillId="45" borderId="91" xfId="8726" applyFont="1" applyFill="1" applyBorder="1" applyAlignment="1">
      <alignment horizontal="left" wrapText="1"/>
    </xf>
    <xf numFmtId="0" fontId="90" fillId="45" borderId="65" xfId="8726" applyFont="1" applyFill="1" applyBorder="1" applyAlignment="1">
      <alignment horizontal="center"/>
    </xf>
    <xf numFmtId="0" fontId="90" fillId="45" borderId="29" xfId="8726" applyFont="1" applyFill="1" applyBorder="1" applyAlignment="1">
      <alignment horizontal="center"/>
    </xf>
    <xf numFmtId="0" fontId="90" fillId="45" borderId="31" xfId="8726" applyFont="1" applyFill="1" applyBorder="1" applyAlignment="1">
      <alignment horizontal="center"/>
    </xf>
    <xf numFmtId="0" fontId="90" fillId="45" borderId="80" xfId="8726" applyFont="1" applyFill="1" applyBorder="1" applyAlignment="1">
      <alignment horizontal="center"/>
    </xf>
    <xf numFmtId="0" fontId="90" fillId="45" borderId="11" xfId="8726" applyFont="1" applyFill="1" applyBorder="1" applyAlignment="1">
      <alignment horizontal="center"/>
    </xf>
    <xf numFmtId="0" fontId="148" fillId="45" borderId="11" xfId="8726" applyFont="1" applyFill="1" applyBorder="1" applyAlignment="1">
      <alignment horizontal="left"/>
    </xf>
    <xf numFmtId="0" fontId="148" fillId="45" borderId="91" xfId="8726" applyFont="1" applyFill="1" applyBorder="1" applyAlignment="1">
      <alignment horizontal="left"/>
    </xf>
    <xf numFmtId="0" fontId="2" fillId="47" borderId="73" xfId="8726" applyFill="1" applyBorder="1" applyAlignment="1" applyProtection="1">
      <alignment horizontal="center"/>
      <protection locked="0"/>
    </xf>
    <xf numFmtId="0" fontId="2" fillId="47" borderId="93" xfId="8726" applyFill="1" applyBorder="1" applyAlignment="1" applyProtection="1">
      <alignment horizontal="center"/>
      <protection locked="0"/>
    </xf>
    <xf numFmtId="0" fontId="149" fillId="45" borderId="80" xfId="8726" applyFont="1" applyFill="1" applyBorder="1" applyAlignment="1">
      <alignment horizontal="left"/>
    </xf>
    <xf numFmtId="0" fontId="149" fillId="45" borderId="11" xfId="8726" applyFont="1" applyFill="1" applyBorder="1" applyAlignment="1">
      <alignment horizontal="left"/>
    </xf>
    <xf numFmtId="0" fontId="149" fillId="45" borderId="72" xfId="8726" applyFont="1" applyFill="1" applyBorder="1" applyAlignment="1">
      <alignment horizontal="left"/>
    </xf>
    <xf numFmtId="0" fontId="149" fillId="45" borderId="73" xfId="8726" applyFont="1" applyFill="1" applyBorder="1" applyAlignment="1">
      <alignment horizontal="left"/>
    </xf>
    <xf numFmtId="0" fontId="134" fillId="45" borderId="70" xfId="8726" applyFont="1" applyFill="1" applyBorder="1" applyAlignment="1">
      <alignment horizontal="left"/>
    </xf>
    <xf numFmtId="0" fontId="134" fillId="45" borderId="71" xfId="8726" applyFont="1" applyFill="1" applyBorder="1" applyAlignment="1">
      <alignment horizontal="left"/>
    </xf>
    <xf numFmtId="0" fontId="136" fillId="49" borderId="71" xfId="8726" applyFont="1" applyFill="1" applyBorder="1" applyAlignment="1" applyProtection="1">
      <alignment horizontal="left"/>
      <protection locked="0"/>
    </xf>
    <xf numFmtId="0" fontId="136" fillId="49" borderId="74" xfId="8726" applyFont="1" applyFill="1" applyBorder="1" applyAlignment="1" applyProtection="1">
      <alignment horizontal="left"/>
      <protection locked="0"/>
    </xf>
    <xf numFmtId="0" fontId="142" fillId="45" borderId="80" xfId="8726" applyFont="1" applyFill="1" applyBorder="1" applyAlignment="1">
      <alignment horizontal="left"/>
    </xf>
    <xf numFmtId="0" fontId="142" fillId="45" borderId="11" xfId="8726" applyFont="1" applyFill="1" applyBorder="1" applyAlignment="1">
      <alignment horizontal="left"/>
    </xf>
    <xf numFmtId="0" fontId="152" fillId="49" borderId="11" xfId="8726" applyFont="1" applyFill="1" applyBorder="1" applyAlignment="1" applyProtection="1">
      <alignment horizontal="left"/>
      <protection locked="0"/>
    </xf>
    <xf numFmtId="0" fontId="152" fillId="49" borderId="91" xfId="8726" applyFont="1" applyFill="1" applyBorder="1" applyAlignment="1" applyProtection="1">
      <alignment horizontal="left"/>
      <protection locked="0"/>
    </xf>
    <xf numFmtId="0" fontId="153" fillId="49" borderId="80" xfId="8726" applyFont="1" applyFill="1" applyBorder="1" applyAlignment="1" applyProtection="1">
      <alignment horizontal="left" vertical="top"/>
      <protection locked="0"/>
    </xf>
    <xf numFmtId="0" fontId="153" fillId="49" borderId="11" xfId="8726" applyFont="1" applyFill="1" applyBorder="1" applyAlignment="1" applyProtection="1">
      <alignment horizontal="left" vertical="top"/>
      <protection locked="0"/>
    </xf>
    <xf numFmtId="0" fontId="153" fillId="49" borderId="91" xfId="8726" applyFont="1" applyFill="1" applyBorder="1" applyAlignment="1" applyProtection="1">
      <alignment horizontal="left" vertical="top"/>
      <protection locked="0"/>
    </xf>
    <xf numFmtId="0" fontId="153" fillId="49" borderId="72" xfId="8726" applyFont="1" applyFill="1" applyBorder="1" applyAlignment="1" applyProtection="1">
      <alignment horizontal="left" vertical="top"/>
      <protection locked="0"/>
    </xf>
    <xf numFmtId="0" fontId="153" fillId="49" borderId="73" xfId="8726" applyFont="1" applyFill="1" applyBorder="1" applyAlignment="1" applyProtection="1">
      <alignment horizontal="left" vertical="top"/>
      <protection locked="0"/>
    </xf>
    <xf numFmtId="0" fontId="153" fillId="49" borderId="93" xfId="8726" applyFont="1" applyFill="1" applyBorder="1" applyAlignment="1" applyProtection="1">
      <alignment horizontal="left" vertical="top"/>
      <protection locked="0"/>
    </xf>
    <xf numFmtId="0" fontId="138" fillId="45" borderId="11" xfId="8726" applyFont="1" applyFill="1" applyBorder="1" applyAlignment="1">
      <alignment horizontal="center" wrapText="1"/>
    </xf>
    <xf numFmtId="0" fontId="138" fillId="45" borderId="91" xfId="8726" applyFont="1" applyFill="1" applyBorder="1" applyAlignment="1">
      <alignment horizontal="center" wrapText="1"/>
    </xf>
    <xf numFmtId="0" fontId="90" fillId="45" borderId="91" xfId="8726" applyFont="1" applyFill="1" applyBorder="1" applyAlignment="1">
      <alignment horizontal="center"/>
    </xf>
    <xf numFmtId="0" fontId="161" fillId="45" borderId="80" xfId="8726" applyFont="1" applyFill="1" applyBorder="1" applyAlignment="1">
      <alignment horizontal="center"/>
    </xf>
    <xf numFmtId="0" fontId="161" fillId="45" borderId="11" xfId="8726" applyFont="1" applyFill="1" applyBorder="1" applyAlignment="1">
      <alignment horizontal="center"/>
    </xf>
    <xf numFmtId="0" fontId="153" fillId="49" borderId="11" xfId="8726" applyFont="1" applyFill="1" applyBorder="1" applyAlignment="1" applyProtection="1">
      <alignment horizontal="center"/>
      <protection locked="0"/>
    </xf>
    <xf numFmtId="14" fontId="151" fillId="49" borderId="11" xfId="8726" applyNumberFormat="1" applyFont="1" applyFill="1" applyBorder="1" applyAlignment="1" applyProtection="1">
      <alignment horizontal="center"/>
      <protection locked="0"/>
    </xf>
    <xf numFmtId="168" fontId="153" fillId="49" borderId="11" xfId="8727" applyNumberFormat="1" applyFont="1" applyFill="1" applyBorder="1" applyAlignment="1" applyProtection="1">
      <alignment horizontal="center"/>
      <protection locked="0"/>
    </xf>
    <xf numFmtId="168" fontId="153" fillId="49" borderId="91" xfId="8727" applyNumberFormat="1" applyFont="1" applyFill="1" applyBorder="1" applyAlignment="1" applyProtection="1">
      <alignment horizontal="center"/>
      <protection locked="0"/>
    </xf>
    <xf numFmtId="14" fontId="153" fillId="49" borderId="11" xfId="8726" applyNumberFormat="1" applyFont="1" applyFill="1" applyBorder="1" applyAlignment="1" applyProtection="1">
      <alignment horizontal="center"/>
      <protection locked="0"/>
    </xf>
    <xf numFmtId="0" fontId="147" fillId="49" borderId="11" xfId="8726" applyFont="1" applyFill="1" applyBorder="1" applyAlignment="1" applyProtection="1">
      <alignment horizontal="left"/>
      <protection locked="0"/>
    </xf>
    <xf numFmtId="0" fontId="161" fillId="45" borderId="72" xfId="8726" applyFont="1" applyFill="1" applyBorder="1" applyAlignment="1">
      <alignment horizontal="center"/>
    </xf>
    <xf numFmtId="0" fontId="161" fillId="45" borderId="73" xfId="8726" applyFont="1" applyFill="1" applyBorder="1" applyAlignment="1">
      <alignment horizontal="center"/>
    </xf>
    <xf numFmtId="0" fontId="147" fillId="49" borderId="73" xfId="8726" applyFont="1" applyFill="1" applyBorder="1" applyAlignment="1" applyProtection="1">
      <alignment horizontal="left"/>
      <protection locked="0"/>
    </xf>
    <xf numFmtId="0" fontId="153" fillId="49" borderId="73" xfId="8726" applyFont="1" applyFill="1" applyBorder="1" applyAlignment="1" applyProtection="1">
      <alignment horizontal="center"/>
      <protection locked="0"/>
    </xf>
    <xf numFmtId="14" fontId="153" fillId="49" borderId="73" xfId="8726" applyNumberFormat="1" applyFont="1" applyFill="1" applyBorder="1" applyAlignment="1" applyProtection="1">
      <alignment horizontal="center"/>
      <protection locked="0"/>
    </xf>
    <xf numFmtId="168" fontId="153" fillId="49" borderId="73" xfId="8727" applyNumberFormat="1" applyFont="1" applyFill="1" applyBorder="1" applyAlignment="1" applyProtection="1">
      <alignment horizontal="center"/>
      <protection locked="0"/>
    </xf>
    <xf numFmtId="168" fontId="153" fillId="49" borderId="93" xfId="8727" applyNumberFormat="1" applyFont="1" applyFill="1" applyBorder="1" applyAlignment="1" applyProtection="1">
      <alignment horizontal="center"/>
      <protection locked="0"/>
    </xf>
    <xf numFmtId="0" fontId="151" fillId="49" borderId="72" xfId="8726" applyFont="1" applyFill="1" applyBorder="1" applyAlignment="1" applyProtection="1">
      <alignment horizontal="center"/>
      <protection locked="0"/>
    </xf>
    <xf numFmtId="0" fontId="151" fillId="49" borderId="73" xfId="8726" applyFont="1" applyFill="1" applyBorder="1" applyAlignment="1" applyProtection="1">
      <alignment horizontal="center"/>
      <protection locked="0"/>
    </xf>
    <xf numFmtId="14" fontId="151" fillId="49" borderId="73" xfId="8726" applyNumberFormat="1" applyFont="1" applyFill="1" applyBorder="1" applyAlignment="1" applyProtection="1">
      <alignment horizontal="center"/>
      <protection locked="0"/>
    </xf>
    <xf numFmtId="14" fontId="151" fillId="49" borderId="93" xfId="8726" applyNumberFormat="1" applyFont="1" applyFill="1" applyBorder="1" applyAlignment="1" applyProtection="1">
      <alignment horizontal="center"/>
      <protection locked="0"/>
    </xf>
    <xf numFmtId="0" fontId="90" fillId="45" borderId="65" xfId="8726" applyFont="1" applyFill="1" applyBorder="1" applyAlignment="1">
      <alignment horizontal="left" wrapText="1"/>
    </xf>
    <xf numFmtId="0" fontId="90" fillId="45" borderId="29" xfId="8726" applyFont="1" applyFill="1" applyBorder="1" applyAlignment="1">
      <alignment horizontal="left" wrapText="1"/>
    </xf>
    <xf numFmtId="0" fontId="90" fillId="45" borderId="31" xfId="8726" applyFont="1" applyFill="1" applyBorder="1" applyAlignment="1">
      <alignment horizontal="left" wrapText="1"/>
    </xf>
    <xf numFmtId="0" fontId="90" fillId="45" borderId="86" xfId="8726" applyFont="1" applyFill="1" applyBorder="1" applyAlignment="1">
      <alignment horizontal="left" wrapText="1"/>
    </xf>
    <xf numFmtId="0" fontId="90" fillId="45" borderId="42" xfId="8726" applyFont="1" applyFill="1" applyBorder="1" applyAlignment="1">
      <alignment horizontal="left" wrapText="1"/>
    </xf>
    <xf numFmtId="0" fontId="90" fillId="45" borderId="44" xfId="8726" applyFont="1" applyFill="1" applyBorder="1" applyAlignment="1">
      <alignment horizontal="left" wrapText="1"/>
    </xf>
    <xf numFmtId="0" fontId="90" fillId="45" borderId="70" xfId="8726" applyFont="1" applyFill="1" applyBorder="1" applyAlignment="1">
      <alignment horizontal="center"/>
    </xf>
    <xf numFmtId="0" fontId="90" fillId="45" borderId="71" xfId="8726" applyFont="1" applyFill="1" applyBorder="1" applyAlignment="1">
      <alignment horizontal="center"/>
    </xf>
    <xf numFmtId="0" fontId="90" fillId="45" borderId="74" xfId="8726" applyFont="1" applyFill="1" applyBorder="1" applyAlignment="1">
      <alignment horizontal="center"/>
    </xf>
    <xf numFmtId="0" fontId="134" fillId="45" borderId="74" xfId="8726" applyFont="1" applyFill="1" applyBorder="1" applyAlignment="1">
      <alignment horizontal="left"/>
    </xf>
    <xf numFmtId="14" fontId="151" fillId="49" borderId="91" xfId="8726" applyNumberFormat="1" applyFont="1" applyFill="1" applyBorder="1" applyAlignment="1" applyProtection="1">
      <alignment horizontal="center"/>
      <protection locked="0"/>
    </xf>
    <xf numFmtId="168" fontId="151" fillId="44" borderId="11" xfId="700" applyNumberFormat="1" applyFont="1" applyFill="1" applyBorder="1" applyAlignment="1">
      <alignment horizontal="left"/>
    </xf>
    <xf numFmtId="168" fontId="153" fillId="44" borderId="11" xfId="700" applyNumberFormat="1" applyFont="1" applyFill="1" applyBorder="1" applyAlignment="1">
      <alignment horizontal="left"/>
    </xf>
    <xf numFmtId="0" fontId="137" fillId="47" borderId="11" xfId="8726" applyFont="1" applyFill="1" applyBorder="1" applyAlignment="1">
      <alignment horizontal="center"/>
    </xf>
    <xf numFmtId="0" fontId="137" fillId="47" borderId="91" xfId="8726" applyFont="1" applyFill="1" applyBorder="1" applyAlignment="1">
      <alignment horizontal="center"/>
    </xf>
    <xf numFmtId="0" fontId="153" fillId="45" borderId="80" xfId="8726" applyFont="1" applyFill="1" applyBorder="1" applyAlignment="1">
      <alignment horizontal="right"/>
    </xf>
    <xf numFmtId="0" fontId="153"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34" fillId="55" borderId="104" xfId="698" applyFont="1" applyFill="1" applyBorder="1" applyAlignment="1" applyProtection="1">
      <alignment horizontal="center"/>
      <protection hidden="1"/>
    </xf>
    <xf numFmtId="43" fontId="134" fillId="55" borderId="97" xfId="698" applyFont="1" applyFill="1" applyBorder="1" applyAlignment="1" applyProtection="1">
      <alignment horizontal="center"/>
      <protection hidden="1"/>
    </xf>
    <xf numFmtId="43" fontId="134" fillId="55" borderId="98" xfId="698" applyFont="1" applyFill="1" applyBorder="1" applyAlignment="1" applyProtection="1">
      <alignment horizontal="center"/>
      <protection hidden="1"/>
    </xf>
    <xf numFmtId="43" fontId="136"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1" fillId="48" borderId="9" xfId="8726" applyFont="1" applyFill="1" applyBorder="1" applyAlignment="1">
      <alignment horizontal="center"/>
    </xf>
    <xf numFmtId="0" fontId="151" fillId="48" borderId="6" xfId="8726" applyFont="1" applyFill="1" applyBorder="1" applyAlignment="1">
      <alignment horizontal="center"/>
    </xf>
    <xf numFmtId="0" fontId="151" fillId="48" borderId="10" xfId="8726" applyFont="1" applyFill="1" applyBorder="1" applyAlignment="1">
      <alignment horizontal="center"/>
    </xf>
    <xf numFmtId="168" fontId="151"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35" fillId="48" borderId="0" xfId="700" applyNumberFormat="1" applyFont="1" applyFill="1" applyBorder="1" applyAlignment="1" applyProtection="1">
      <alignment horizontal="left"/>
      <protection locked="0"/>
    </xf>
    <xf numFmtId="0" fontId="138" fillId="45" borderId="67" xfId="0" applyFont="1" applyFill="1" applyBorder="1" applyAlignment="1" applyProtection="1">
      <alignment horizontal="center" wrapText="1"/>
      <protection hidden="1"/>
    </xf>
    <xf numFmtId="0" fontId="138" fillId="45" borderId="68" xfId="0" applyFont="1" applyFill="1" applyBorder="1" applyAlignment="1" applyProtection="1">
      <alignment horizontal="center" wrapText="1"/>
      <protection hidden="1"/>
    </xf>
    <xf numFmtId="0" fontId="138"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2" fillId="48" borderId="1" xfId="8726" applyFill="1" applyBorder="1" applyAlignment="1">
      <alignment horizontal="center"/>
    </xf>
    <xf numFmtId="0" fontId="2" fillId="48" borderId="2" xfId="8726" applyFill="1" applyBorder="1" applyAlignment="1">
      <alignment horizontal="center"/>
    </xf>
    <xf numFmtId="0" fontId="2" fillId="48" borderId="7" xfId="8726" applyFill="1" applyBorder="1" applyAlignment="1">
      <alignment horizontal="center"/>
    </xf>
    <xf numFmtId="0" fontId="153" fillId="45" borderId="70" xfId="8726" applyFont="1" applyFill="1" applyBorder="1" applyAlignment="1">
      <alignment horizontal="right"/>
    </xf>
    <xf numFmtId="0" fontId="153" fillId="45" borderId="71" xfId="8726" applyFont="1" applyFill="1" applyBorder="1" applyAlignment="1">
      <alignment horizontal="right"/>
    </xf>
    <xf numFmtId="168" fontId="136" fillId="44" borderId="71" xfId="700" applyNumberFormat="1" applyFont="1" applyFill="1" applyBorder="1" applyAlignment="1">
      <alignment horizontal="left"/>
    </xf>
    <xf numFmtId="168" fontId="136" fillId="44" borderId="74" xfId="700" applyNumberFormat="1" applyFont="1" applyFill="1" applyBorder="1" applyAlignment="1">
      <alignment horizontal="left"/>
    </xf>
    <xf numFmtId="0" fontId="151" fillId="49" borderId="81" xfId="8726" applyFont="1" applyFill="1" applyBorder="1" applyAlignment="1" applyProtection="1">
      <alignment horizontal="center"/>
      <protection locked="0"/>
    </xf>
    <xf numFmtId="0" fontId="151" fillId="49" borderId="82" xfId="8726" applyFont="1" applyFill="1" applyBorder="1" applyAlignment="1" applyProtection="1">
      <alignment horizontal="center"/>
      <protection locked="0"/>
    </xf>
    <xf numFmtId="0" fontId="153" fillId="49" borderId="73" xfId="8726" applyFont="1" applyFill="1" applyBorder="1" applyAlignment="1" applyProtection="1">
      <alignment horizontal="left"/>
      <protection locked="0"/>
    </xf>
    <xf numFmtId="0" fontId="153" fillId="49" borderId="93" xfId="8726" applyFont="1" applyFill="1" applyBorder="1" applyAlignment="1" applyProtection="1">
      <alignment horizontal="left"/>
      <protection locked="0"/>
    </xf>
    <xf numFmtId="168" fontId="151" fillId="49" borderId="82" xfId="700" applyNumberFormat="1" applyFont="1" applyFill="1" applyBorder="1" applyAlignment="1" applyProtection="1">
      <alignment horizontal="left"/>
      <protection locked="0"/>
    </xf>
    <xf numFmtId="168" fontId="151" fillId="49" borderId="85" xfId="700" applyNumberFormat="1" applyFont="1" applyFill="1" applyBorder="1" applyAlignment="1" applyProtection="1">
      <alignment horizontal="left"/>
      <protection locked="0"/>
    </xf>
    <xf numFmtId="0" fontId="151" fillId="49" borderId="81" xfId="8726" applyFont="1" applyFill="1" applyBorder="1" applyAlignment="1" applyProtection="1">
      <alignment horizontal="left"/>
      <protection locked="0"/>
    </xf>
    <xf numFmtId="0" fontId="151" fillId="49" borderId="82" xfId="8726" applyFont="1" applyFill="1" applyBorder="1" applyAlignment="1" applyProtection="1">
      <alignment horizontal="left"/>
      <protection locked="0"/>
    </xf>
    <xf numFmtId="0" fontId="151" fillId="49" borderId="85" xfId="8726" applyFont="1" applyFill="1" applyBorder="1" applyAlignment="1" applyProtection="1">
      <alignment horizontal="left"/>
      <protection locked="0"/>
    </xf>
    <xf numFmtId="0" fontId="161" fillId="48" borderId="0" xfId="8726" applyFont="1" applyFill="1" applyAlignment="1">
      <alignment horizontal="left" wrapText="1"/>
    </xf>
    <xf numFmtId="0" fontId="161" fillId="48" borderId="41" xfId="8726" applyFont="1" applyFill="1" applyBorder="1" applyAlignment="1">
      <alignment horizontal="left" wrapText="1"/>
    </xf>
    <xf numFmtId="0" fontId="153" fillId="49" borderId="11" xfId="8726" applyFont="1" applyFill="1" applyBorder="1" applyAlignment="1" applyProtection="1">
      <alignment horizontal="left"/>
      <protection locked="0"/>
    </xf>
    <xf numFmtId="0" fontId="153" fillId="49" borderId="80" xfId="8726" applyFont="1" applyFill="1" applyBorder="1" applyAlignment="1" applyProtection="1">
      <alignment horizontal="center"/>
      <protection locked="0"/>
    </xf>
    <xf numFmtId="10" fontId="151" fillId="49" borderId="11" xfId="1022" applyNumberFormat="1" applyFont="1" applyFill="1" applyBorder="1" applyAlignment="1" applyProtection="1">
      <alignment horizontal="center"/>
      <protection locked="0"/>
    </xf>
    <xf numFmtId="43" fontId="134" fillId="45" borderId="67" xfId="698" applyFont="1" applyFill="1" applyBorder="1" applyAlignment="1" applyProtection="1">
      <alignment horizontal="center"/>
      <protection hidden="1"/>
    </xf>
    <xf numFmtId="43" fontId="134" fillId="45" borderId="68" xfId="698" applyFont="1" applyFill="1" applyBorder="1" applyAlignment="1" applyProtection="1">
      <alignment horizontal="center"/>
      <protection hidden="1"/>
    </xf>
    <xf numFmtId="43" fontId="134" fillId="45" borderId="69" xfId="698" applyFont="1" applyFill="1" applyBorder="1" applyAlignment="1" applyProtection="1">
      <alignment horizontal="center"/>
      <protection hidden="1"/>
    </xf>
    <xf numFmtId="43" fontId="135" fillId="53" borderId="66" xfId="698" applyFont="1" applyFill="1" applyBorder="1" applyAlignment="1" applyProtection="1">
      <alignment horizontal="center" wrapText="1"/>
      <protection hidden="1"/>
    </xf>
    <xf numFmtId="43" fontId="135" fillId="53" borderId="0" xfId="698" applyFont="1" applyFill="1" applyBorder="1" applyAlignment="1" applyProtection="1">
      <alignment horizontal="center" wrapText="1"/>
      <protection hidden="1"/>
    </xf>
    <xf numFmtId="43" fontId="135" fillId="53" borderId="12" xfId="698" applyFont="1" applyFill="1" applyBorder="1" applyAlignment="1" applyProtection="1">
      <alignment horizontal="center" wrapText="1"/>
      <protection hidden="1"/>
    </xf>
    <xf numFmtId="43" fontId="135" fillId="53" borderId="102" xfId="698" applyFont="1" applyFill="1" applyBorder="1" applyAlignment="1" applyProtection="1">
      <alignment horizontal="center" wrapText="1"/>
      <protection hidden="1"/>
    </xf>
    <xf numFmtId="43" fontId="135" fillId="53" borderId="6" xfId="698" applyFont="1" applyFill="1" applyBorder="1" applyAlignment="1" applyProtection="1">
      <alignment horizontal="center" wrapText="1"/>
      <protection hidden="1"/>
    </xf>
    <xf numFmtId="43" fontId="135" fillId="53" borderId="10" xfId="698" applyFont="1" applyFill="1" applyBorder="1" applyAlignment="1" applyProtection="1">
      <alignment horizontal="center" wrapText="1"/>
      <protection hidden="1"/>
    </xf>
    <xf numFmtId="43" fontId="135" fillId="53" borderId="8" xfId="698" applyFont="1" applyFill="1" applyBorder="1" applyAlignment="1" applyProtection="1">
      <alignment horizontal="center" wrapText="1"/>
      <protection hidden="1"/>
    </xf>
    <xf numFmtId="43" fontId="135" fillId="53" borderId="9" xfId="698" applyFont="1" applyFill="1" applyBorder="1" applyAlignment="1" applyProtection="1">
      <alignment horizontal="center" wrapText="1"/>
      <protection hidden="1"/>
    </xf>
    <xf numFmtId="14" fontId="135" fillId="0" borderId="8" xfId="700" applyNumberFormat="1" applyFont="1" applyFill="1" applyBorder="1" applyAlignment="1" applyProtection="1">
      <alignment horizontal="center" wrapText="1"/>
      <protection hidden="1"/>
    </xf>
    <xf numFmtId="14" fontId="135" fillId="0" borderId="0" xfId="700" applyNumberFormat="1" applyFont="1" applyFill="1" applyBorder="1" applyAlignment="1" applyProtection="1">
      <alignment horizontal="center" wrapText="1"/>
      <protection hidden="1"/>
    </xf>
    <xf numFmtId="14" fontId="135" fillId="0" borderId="12" xfId="700" applyNumberFormat="1" applyFont="1" applyFill="1" applyBorder="1" applyAlignment="1" applyProtection="1">
      <alignment horizontal="center" wrapText="1"/>
      <protection hidden="1"/>
    </xf>
    <xf numFmtId="14" fontId="135" fillId="0" borderId="9" xfId="700" applyNumberFormat="1" applyFont="1" applyFill="1" applyBorder="1" applyAlignment="1" applyProtection="1">
      <alignment horizontal="center" wrapText="1"/>
      <protection hidden="1"/>
    </xf>
    <xf numFmtId="14" fontId="135" fillId="0" borderId="6" xfId="700" applyNumberFormat="1" applyFont="1" applyFill="1" applyBorder="1" applyAlignment="1" applyProtection="1">
      <alignment horizontal="center" wrapText="1"/>
      <protection hidden="1"/>
    </xf>
    <xf numFmtId="14" fontId="135" fillId="0" borderId="10" xfId="700" applyNumberFormat="1" applyFont="1" applyFill="1" applyBorder="1" applyAlignment="1" applyProtection="1">
      <alignment horizontal="center" wrapText="1"/>
      <protection hidden="1"/>
    </xf>
    <xf numFmtId="44" fontId="135" fillId="0" borderId="8" xfId="700" applyFont="1" applyBorder="1" applyAlignment="1" applyProtection="1">
      <alignment horizontal="center" wrapText="1"/>
      <protection hidden="1"/>
    </xf>
    <xf numFmtId="44" fontId="135" fillId="0" borderId="0" xfId="700" applyFont="1" applyBorder="1" applyAlignment="1" applyProtection="1">
      <alignment horizontal="center" wrapText="1"/>
      <protection hidden="1"/>
    </xf>
    <xf numFmtId="44" fontId="135" fillId="0" borderId="12" xfId="700" applyFont="1" applyBorder="1" applyAlignment="1" applyProtection="1">
      <alignment horizontal="center" wrapText="1"/>
      <protection hidden="1"/>
    </xf>
    <xf numFmtId="44" fontId="135" fillId="0" borderId="9" xfId="700" applyFont="1" applyBorder="1" applyAlignment="1" applyProtection="1">
      <alignment horizontal="center" wrapText="1"/>
      <protection hidden="1"/>
    </xf>
    <xf numFmtId="44" fontId="135" fillId="0" borderId="6" xfId="700" applyFont="1" applyBorder="1" applyAlignment="1" applyProtection="1">
      <alignment horizontal="center" wrapText="1"/>
      <protection hidden="1"/>
    </xf>
    <xf numFmtId="44" fontId="135" fillId="0" borderId="10" xfId="700" applyFont="1" applyBorder="1" applyAlignment="1" applyProtection="1">
      <alignment horizontal="center" wrapText="1"/>
      <protection hidden="1"/>
    </xf>
    <xf numFmtId="0" fontId="90" fillId="0" borderId="67" xfId="8726" applyFont="1" applyBorder="1" applyAlignment="1">
      <alignment horizontal="left"/>
    </xf>
    <xf numFmtId="0" fontId="90" fillId="0" borderId="68" xfId="8726" applyFont="1" applyBorder="1" applyAlignment="1">
      <alignment horizontal="left"/>
    </xf>
    <xf numFmtId="0" fontId="137" fillId="45" borderId="72" xfId="8726" applyFont="1" applyFill="1" applyBorder="1" applyAlignment="1">
      <alignment horizontal="right"/>
    </xf>
    <xf numFmtId="0" fontId="137" fillId="45" borderId="73" xfId="8726" applyFont="1" applyFill="1" applyBorder="1" applyAlignment="1">
      <alignment horizontal="right"/>
    </xf>
    <xf numFmtId="0" fontId="138" fillId="44" borderId="73" xfId="700" applyNumberFormat="1" applyFont="1" applyFill="1" applyBorder="1" applyAlignment="1">
      <alignment horizontal="left"/>
    </xf>
    <xf numFmtId="168" fontId="138" fillId="44" borderId="73" xfId="700" applyNumberFormat="1" applyFont="1" applyFill="1" applyBorder="1" applyAlignment="1">
      <alignment horizontal="left"/>
    </xf>
    <xf numFmtId="168" fontId="138" fillId="44" borderId="93" xfId="700" applyNumberFormat="1" applyFont="1" applyFill="1" applyBorder="1" applyAlignment="1">
      <alignment horizontal="left"/>
    </xf>
    <xf numFmtId="0" fontId="134" fillId="48" borderId="0" xfId="8726" applyFont="1" applyFill="1" applyAlignment="1">
      <alignment horizontal="right"/>
    </xf>
    <xf numFmtId="0" fontId="136" fillId="49" borderId="3" xfId="8726" applyFont="1" applyFill="1" applyBorder="1" applyAlignment="1" applyProtection="1">
      <alignment horizontal="center"/>
      <protection locked="0"/>
    </xf>
    <xf numFmtId="0" fontId="136" fillId="49" borderId="4" xfId="8726" applyFont="1" applyFill="1" applyBorder="1" applyAlignment="1" applyProtection="1">
      <alignment horizontal="center"/>
      <protection locked="0"/>
    </xf>
    <xf numFmtId="0" fontId="136" fillId="49" borderId="79" xfId="8726" applyFont="1" applyFill="1" applyBorder="1" applyAlignment="1" applyProtection="1">
      <alignment horizontal="center"/>
      <protection locked="0"/>
    </xf>
    <xf numFmtId="0" fontId="90" fillId="44" borderId="0" xfId="8726" applyFont="1" applyFill="1" applyAlignment="1">
      <alignment horizontal="left"/>
    </xf>
    <xf numFmtId="0" fontId="138" fillId="44" borderId="0" xfId="8726" applyFont="1" applyFill="1" applyAlignment="1">
      <alignment horizontal="left" vertical="top"/>
    </xf>
    <xf numFmtId="0" fontId="90" fillId="44" borderId="0" xfId="4503" applyFont="1" applyFill="1" applyBorder="1" applyAlignment="1">
      <alignment horizontal="left" vertical="top"/>
    </xf>
    <xf numFmtId="0" fontId="162" fillId="48" borderId="65" xfId="8726" applyFont="1" applyFill="1" applyBorder="1" applyAlignment="1">
      <alignment horizontal="center"/>
    </xf>
    <xf numFmtId="0" fontId="162" fillId="48" borderId="29" xfId="8726" applyFont="1" applyFill="1" applyBorder="1" applyAlignment="1">
      <alignment horizontal="center"/>
    </xf>
    <xf numFmtId="0" fontId="162" fillId="48" borderId="31" xfId="8726" applyFont="1" applyFill="1" applyBorder="1" applyAlignment="1">
      <alignment horizontal="center"/>
    </xf>
    <xf numFmtId="0" fontId="2" fillId="48" borderId="66" xfId="8726" applyFill="1" applyBorder="1" applyAlignment="1">
      <alignment horizontal="center"/>
    </xf>
    <xf numFmtId="0" fontId="2" fillId="48" borderId="0" xfId="8726" applyFill="1" applyAlignment="1">
      <alignment horizontal="center"/>
    </xf>
    <xf numFmtId="0" fontId="2" fillId="48" borderId="41" xfId="8726" applyFill="1" applyBorder="1" applyAlignment="1">
      <alignment horizontal="center"/>
    </xf>
    <xf numFmtId="0" fontId="134" fillId="48" borderId="66" xfId="8726" applyFont="1" applyFill="1" applyBorder="1" applyAlignment="1">
      <alignment horizontal="center"/>
    </xf>
    <xf numFmtId="0" fontId="134" fillId="48" borderId="0" xfId="8726" applyFont="1" applyFill="1" applyAlignment="1">
      <alignment horizontal="center"/>
    </xf>
    <xf numFmtId="0" fontId="134" fillId="48" borderId="41" xfId="8726" applyFont="1" applyFill="1" applyBorder="1" applyAlignment="1">
      <alignment horizontal="center"/>
    </xf>
    <xf numFmtId="0" fontId="90" fillId="48" borderId="66" xfId="8726" applyFont="1" applyFill="1" applyBorder="1" applyAlignment="1">
      <alignment horizontal="center"/>
    </xf>
    <xf numFmtId="0" fontId="90" fillId="48" borderId="0" xfId="8726" applyFont="1" applyFill="1" applyAlignment="1">
      <alignment horizontal="center"/>
    </xf>
    <xf numFmtId="0" fontId="90" fillId="48" borderId="41" xfId="8726" applyFont="1" applyFill="1" applyBorder="1" applyAlignment="1">
      <alignment horizontal="center"/>
    </xf>
    <xf numFmtId="14" fontId="2" fillId="49" borderId="67" xfId="8726" applyNumberFormat="1" applyFill="1" applyBorder="1" applyAlignment="1" applyProtection="1">
      <alignment horizontal="center"/>
      <protection locked="0"/>
    </xf>
    <xf numFmtId="14" fontId="2" fillId="49" borderId="68" xfId="8726" applyNumberFormat="1" applyFill="1" applyBorder="1" applyAlignment="1" applyProtection="1">
      <alignment horizontal="center"/>
      <protection locked="0"/>
    </xf>
    <xf numFmtId="14" fontId="2" fillId="49" borderId="69" xfId="8726" applyNumberFormat="1" applyFill="1" applyBorder="1" applyAlignment="1" applyProtection="1">
      <alignment horizontal="center"/>
      <protection locked="0"/>
    </xf>
    <xf numFmtId="0" fontId="2" fillId="49" borderId="67" xfId="8726" applyFill="1" applyBorder="1" applyAlignment="1" applyProtection="1">
      <alignment horizontal="left"/>
      <protection locked="0"/>
    </xf>
    <xf numFmtId="0" fontId="2" fillId="49" borderId="68" xfId="8726" applyFill="1" applyBorder="1" applyAlignment="1" applyProtection="1">
      <alignment horizontal="left"/>
      <protection locked="0"/>
    </xf>
    <xf numFmtId="0" fontId="2" fillId="49" borderId="69" xfId="8726" applyFill="1" applyBorder="1" applyAlignment="1" applyProtection="1">
      <alignment horizontal="left"/>
      <protection locked="0"/>
    </xf>
    <xf numFmtId="0" fontId="2" fillId="49" borderId="67" xfId="8726" applyFill="1" applyBorder="1" applyAlignment="1" applyProtection="1">
      <alignment horizontal="center"/>
      <protection locked="0"/>
    </xf>
    <xf numFmtId="0" fontId="2" fillId="49" borderId="68" xfId="8726" applyFill="1" applyBorder="1" applyAlignment="1" applyProtection="1">
      <alignment horizontal="center"/>
      <protection locked="0"/>
    </xf>
    <xf numFmtId="0" fontId="2" fillId="49" borderId="69" xfId="8726" applyFill="1" applyBorder="1" applyAlignment="1" applyProtection="1">
      <alignment horizontal="center"/>
      <protection locked="0"/>
    </xf>
    <xf numFmtId="0" fontId="90" fillId="48" borderId="42" xfId="8726" applyFont="1" applyFill="1" applyBorder="1" applyAlignment="1">
      <alignment horizontal="center"/>
    </xf>
    <xf numFmtId="0" fontId="134" fillId="48" borderId="0" xfId="8726" applyFont="1" applyFill="1" applyAlignment="1">
      <alignment horizontal="left" vertical="top" wrapText="1"/>
    </xf>
    <xf numFmtId="0" fontId="90" fillId="48" borderId="0" xfId="8726" applyFont="1" applyFill="1" applyAlignment="1">
      <alignment horizontal="left"/>
    </xf>
    <xf numFmtId="0" fontId="166" fillId="54" borderId="3" xfId="698" applyNumberFormat="1" applyFont="1" applyFill="1" applyBorder="1" applyAlignment="1" applyProtection="1">
      <alignment horizontal="center"/>
      <protection locked="0"/>
    </xf>
    <xf numFmtId="0" fontId="166" fillId="54" borderId="4" xfId="698" applyNumberFormat="1" applyFont="1" applyFill="1" applyBorder="1" applyAlignment="1" applyProtection="1">
      <alignment horizontal="center"/>
      <protection locked="0"/>
    </xf>
    <xf numFmtId="0" fontId="166" fillId="54" borderId="79" xfId="698" applyNumberFormat="1" applyFont="1" applyFill="1" applyBorder="1" applyAlignment="1" applyProtection="1">
      <alignment horizontal="center"/>
      <protection locked="0"/>
    </xf>
    <xf numFmtId="43" fontId="134" fillId="53" borderId="3" xfId="698" applyFont="1" applyFill="1" applyBorder="1" applyAlignment="1" applyProtection="1">
      <alignment horizontal="center"/>
      <protection hidden="1"/>
    </xf>
    <xf numFmtId="43" fontId="134" fillId="53" borderId="4" xfId="698" applyFont="1" applyFill="1" applyBorder="1" applyAlignment="1" applyProtection="1">
      <alignment horizontal="center"/>
      <protection hidden="1"/>
    </xf>
    <xf numFmtId="43" fontId="134" fillId="53" borderId="79" xfId="698" applyFont="1" applyFill="1" applyBorder="1" applyAlignment="1" applyProtection="1">
      <alignment horizontal="center"/>
      <protection hidden="1"/>
    </xf>
    <xf numFmtId="43" fontId="135" fillId="53" borderId="41" xfId="698" applyFont="1" applyFill="1" applyBorder="1" applyAlignment="1" applyProtection="1">
      <alignment horizontal="center" wrapText="1"/>
      <protection hidden="1"/>
    </xf>
    <xf numFmtId="43" fontId="135" fillId="53" borderId="103" xfId="698" applyFont="1" applyFill="1" applyBorder="1" applyAlignment="1" applyProtection="1">
      <alignment horizontal="center" wrapText="1"/>
      <protection hidden="1"/>
    </xf>
    <xf numFmtId="44" fontId="166" fillId="49" borderId="11" xfId="700" applyFont="1" applyFill="1" applyBorder="1" applyAlignment="1" applyProtection="1">
      <alignment horizontal="center"/>
      <protection locked="0"/>
    </xf>
    <xf numFmtId="168" fontId="134" fillId="45" borderId="43" xfId="8726" applyNumberFormat="1" applyFont="1" applyFill="1" applyBorder="1" applyAlignment="1">
      <alignment horizontal="left"/>
    </xf>
    <xf numFmtId="168" fontId="134" fillId="45" borderId="96" xfId="8726" applyNumberFormat="1" applyFont="1" applyFill="1" applyBorder="1" applyAlignment="1">
      <alignment horizontal="left"/>
    </xf>
    <xf numFmtId="0" fontId="2" fillId="49" borderId="1" xfId="8726" applyFill="1" applyBorder="1" applyAlignment="1" applyProtection="1">
      <alignment horizontal="center"/>
      <protection locked="0"/>
    </xf>
    <xf numFmtId="0" fontId="2" fillId="49" borderId="2" xfId="8726" applyFill="1" applyBorder="1" applyAlignment="1" applyProtection="1">
      <alignment horizontal="center"/>
      <protection locked="0"/>
    </xf>
    <xf numFmtId="0" fontId="2" fillId="49" borderId="4" xfId="8726" applyFill="1" applyBorder="1" applyAlignment="1" applyProtection="1">
      <alignment horizontal="center"/>
      <protection locked="0"/>
    </xf>
    <xf numFmtId="0" fontId="2" fillId="49" borderId="79" xfId="8726" applyFill="1" applyBorder="1" applyAlignment="1" applyProtection="1">
      <alignment horizontal="center"/>
      <protection locked="0"/>
    </xf>
    <xf numFmtId="10" fontId="2" fillId="0" borderId="84" xfId="8726" applyNumberFormat="1" applyBorder="1" applyAlignment="1">
      <alignment horizontal="center"/>
    </xf>
    <xf numFmtId="10" fontId="2" fillId="0" borderId="82" xfId="8726" applyNumberFormat="1" applyBorder="1" applyAlignment="1">
      <alignment horizontal="center"/>
    </xf>
    <xf numFmtId="10" fontId="2" fillId="0" borderId="85" xfId="8726" applyNumberFormat="1" applyBorder="1" applyAlignment="1">
      <alignment horizontal="center"/>
    </xf>
    <xf numFmtId="0" fontId="136" fillId="49" borderId="89" xfId="8726" applyFont="1" applyFill="1" applyBorder="1" applyAlignment="1" applyProtection="1">
      <alignment horizontal="left"/>
      <protection locked="0"/>
    </xf>
    <xf numFmtId="0" fontId="134" fillId="45" borderId="80" xfId="8726" applyFont="1" applyFill="1" applyBorder="1" applyAlignment="1">
      <alignment horizontal="center"/>
    </xf>
    <xf numFmtId="0" fontId="134" fillId="45" borderId="11" xfId="8726" applyFont="1" applyFill="1" applyBorder="1" applyAlignment="1">
      <alignment horizontal="center"/>
    </xf>
    <xf numFmtId="0" fontId="134" fillId="45" borderId="3" xfId="8726" applyFont="1" applyFill="1" applyBorder="1" applyAlignment="1">
      <alignment horizontal="center"/>
    </xf>
    <xf numFmtId="0" fontId="134" fillId="45" borderId="4" xfId="8726" applyFont="1" applyFill="1" applyBorder="1" applyAlignment="1">
      <alignment horizontal="center"/>
    </xf>
    <xf numFmtId="0" fontId="134" fillId="45" borderId="79" xfId="8726" applyFont="1" applyFill="1" applyBorder="1" applyAlignment="1">
      <alignment horizontal="center"/>
    </xf>
    <xf numFmtId="0" fontId="90" fillId="45" borderId="72" xfId="8726" applyFont="1" applyFill="1" applyBorder="1" applyAlignment="1">
      <alignment horizontal="center"/>
    </xf>
    <xf numFmtId="0" fontId="90" fillId="45" borderId="73" xfId="8726" applyFont="1" applyFill="1" applyBorder="1" applyAlignment="1">
      <alignment horizontal="center"/>
    </xf>
    <xf numFmtId="14" fontId="136" fillId="49" borderId="83" xfId="8726" applyNumberFormat="1" applyFont="1" applyFill="1" applyBorder="1" applyAlignment="1" applyProtection="1">
      <alignment horizontal="center"/>
      <protection locked="0"/>
    </xf>
    <xf numFmtId="0" fontId="136" fillId="49" borderId="73" xfId="8726" applyFont="1" applyFill="1" applyBorder="1" applyAlignment="1" applyProtection="1">
      <alignment horizontal="center"/>
      <protection locked="0"/>
    </xf>
    <xf numFmtId="0" fontId="136" fillId="49" borderId="93" xfId="8726" applyFont="1" applyFill="1" applyBorder="1" applyAlignment="1" applyProtection="1">
      <alignment horizontal="center"/>
      <protection locked="0"/>
    </xf>
    <xf numFmtId="10" fontId="2" fillId="49" borderId="84" xfId="8726" applyNumberFormat="1" applyFill="1" applyBorder="1" applyAlignment="1" applyProtection="1">
      <alignment horizontal="center"/>
      <protection locked="0"/>
    </xf>
    <xf numFmtId="10" fontId="2" fillId="49" borderId="82" xfId="8726" applyNumberFormat="1" applyFill="1" applyBorder="1" applyAlignment="1" applyProtection="1">
      <alignment horizontal="center"/>
      <protection locked="0"/>
    </xf>
    <xf numFmtId="10" fontId="2" fillId="49" borderId="85" xfId="8726" applyNumberFormat="1" applyFill="1" applyBorder="1" applyAlignment="1" applyProtection="1">
      <alignment horizontal="center"/>
      <protection locked="0"/>
    </xf>
    <xf numFmtId="0" fontId="2" fillId="49" borderId="3" xfId="8726" applyFill="1" applyBorder="1" applyAlignment="1" applyProtection="1">
      <alignment horizontal="center"/>
      <protection locked="0"/>
    </xf>
    <xf numFmtId="0" fontId="134" fillId="45" borderId="95" xfId="8726" applyFont="1" applyFill="1" applyBorder="1" applyAlignment="1">
      <alignment horizontal="center"/>
    </xf>
    <xf numFmtId="0" fontId="134" fillId="45" borderId="13" xfId="8726" applyFont="1" applyFill="1" applyBorder="1" applyAlignment="1">
      <alignment horizontal="center"/>
    </xf>
    <xf numFmtId="168" fontId="14" fillId="0" borderId="11" xfId="569" applyNumberFormat="1" applyBorder="1"/>
    <xf numFmtId="168" fontId="14" fillId="0" borderId="3" xfId="569" applyNumberFormat="1" applyBorder="1"/>
    <xf numFmtId="168" fontId="14" fillId="0" borderId="4" xfId="569" applyNumberFormat="1" applyBorder="1"/>
    <xf numFmtId="168" fontId="14" fillId="0" borderId="5" xfId="569" applyNumberFormat="1" applyBorder="1"/>
    <xf numFmtId="168" fontId="14" fillId="0" borderId="11" xfId="569" applyNumberFormat="1" applyBorder="1" applyAlignment="1">
      <alignment wrapText="1"/>
    </xf>
    <xf numFmtId="168" fontId="14" fillId="0" borderId="11" xfId="569" applyNumberFormat="1" applyBorder="1" applyAlignment="1">
      <alignment horizontal="right"/>
    </xf>
    <xf numFmtId="9" fontId="14" fillId="0" borderId="15" xfId="569" applyNumberFormat="1" applyBorder="1" applyAlignment="1">
      <alignment horizontal="center"/>
    </xf>
    <xf numFmtId="168" fontId="14" fillId="0" borderId="11" xfId="569" applyNumberFormat="1" applyBorder="1" applyAlignment="1">
      <alignment horizontal="center"/>
    </xf>
    <xf numFmtId="0" fontId="14" fillId="0" borderId="11" xfId="569" applyBorder="1" applyAlignment="1">
      <alignment horizontal="center"/>
    </xf>
    <xf numFmtId="176" fontId="14" fillId="5" borderId="3" xfId="569" applyNumberFormat="1" applyFill="1" applyBorder="1" applyAlignment="1" applyProtection="1">
      <alignment horizontal="right"/>
      <protection locked="0"/>
    </xf>
    <xf numFmtId="176" fontId="14" fillId="5" borderId="4" xfId="569" applyNumberFormat="1" applyFill="1" applyBorder="1" applyAlignment="1" applyProtection="1">
      <alignment horizontal="right"/>
      <protection locked="0"/>
    </xf>
    <xf numFmtId="176" fontId="14" fillId="5" borderId="5" xfId="569" applyNumberFormat="1" applyFill="1" applyBorder="1" applyAlignment="1" applyProtection="1">
      <alignment horizontal="right"/>
      <protection locked="0"/>
    </xf>
    <xf numFmtId="0" fontId="95" fillId="0" borderId="0" xfId="0" applyFont="1" applyAlignment="1">
      <alignment horizontal="left" vertical="top" wrapText="1"/>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21" fillId="0" borderId="6" xfId="569" applyFont="1" applyBorder="1" applyAlignment="1">
      <alignment horizontal="center"/>
    </xf>
    <xf numFmtId="168" fontId="14" fillId="0" borderId="3" xfId="569" applyNumberFormat="1" applyBorder="1" applyAlignment="1">
      <alignment horizontal="center"/>
    </xf>
    <xf numFmtId="0" fontId="14" fillId="0" borderId="4" xfId="569" applyBorder="1" applyAlignment="1">
      <alignment horizontal="center"/>
    </xf>
    <xf numFmtId="0" fontId="14" fillId="0" borderId="5" xfId="569" applyBorder="1" applyAlignment="1">
      <alignment horizontal="center"/>
    </xf>
    <xf numFmtId="0" fontId="95" fillId="0" borderId="0" xfId="569" applyFont="1" applyAlignment="1">
      <alignment horizontal="left" wrapText="1"/>
    </xf>
    <xf numFmtId="168" fontId="14" fillId="0" borderId="3" xfId="569" applyNumberFormat="1" applyBorder="1" applyAlignment="1">
      <alignment horizontal="right"/>
    </xf>
    <xf numFmtId="168" fontId="14" fillId="0" borderId="4" xfId="569" applyNumberFormat="1" applyBorder="1" applyAlignment="1">
      <alignment horizontal="right"/>
    </xf>
    <xf numFmtId="168" fontId="14" fillId="0" borderId="5" xfId="569" applyNumberFormat="1" applyBorder="1" applyAlignment="1">
      <alignment horizontal="right"/>
    </xf>
    <xf numFmtId="168" fontId="14" fillId="0" borderId="3" xfId="569" applyNumberFormat="1" applyBorder="1" applyAlignment="1" applyProtection="1">
      <alignment horizontal="right"/>
      <protection locked="0"/>
    </xf>
    <xf numFmtId="168" fontId="14" fillId="0" borderId="4" xfId="569" applyNumberFormat="1" applyBorder="1" applyAlignment="1" applyProtection="1">
      <alignment horizontal="right"/>
      <protection locked="0"/>
    </xf>
    <xf numFmtId="168" fontId="14" fillId="0" borderId="5" xfId="569" applyNumberFormat="1" applyBorder="1" applyAlignment="1" applyProtection="1">
      <alignment horizontal="right"/>
      <protection locked="0"/>
    </xf>
    <xf numFmtId="0" fontId="21" fillId="0" borderId="16" xfId="271" applyFont="1" applyBorder="1" applyAlignment="1">
      <alignment horizontal="center"/>
    </xf>
    <xf numFmtId="168" fontId="14" fillId="0" borderId="4" xfId="569" applyNumberFormat="1" applyBorder="1" applyAlignment="1">
      <alignment horizontal="center"/>
    </xf>
    <xf numFmtId="168" fontId="14" fillId="0" borderId="5" xfId="569" applyNumberFormat="1" applyBorder="1" applyAlignment="1">
      <alignment horizontal="center"/>
    </xf>
    <xf numFmtId="0" fontId="21" fillId="0" borderId="11" xfId="569" applyFont="1" applyBorder="1" applyAlignment="1">
      <alignment horizontal="center" wrapText="1"/>
    </xf>
    <xf numFmtId="0" fontId="21" fillId="0" borderId="11" xfId="569" applyFont="1" applyBorder="1" applyAlignment="1">
      <alignment horizontal="center"/>
    </xf>
    <xf numFmtId="165" fontId="14" fillId="0" borderId="11" xfId="569" applyNumberFormat="1" applyBorder="1" applyAlignment="1" applyProtection="1">
      <alignment horizontal="center"/>
      <protection locked="0"/>
    </xf>
    <xf numFmtId="0" fontId="44" fillId="0" borderId="0" xfId="569" applyFont="1" applyAlignment="1">
      <alignment horizontal="left"/>
    </xf>
    <xf numFmtId="5" fontId="14" fillId="0" borderId="5" xfId="569" applyNumberFormat="1" applyBorder="1" applyAlignment="1">
      <alignment horizontal="center"/>
    </xf>
    <xf numFmtId="5" fontId="14" fillId="0" borderId="11" xfId="569" applyNumberFormat="1" applyBorder="1" applyAlignment="1">
      <alignment horizontal="center"/>
    </xf>
    <xf numFmtId="5" fontId="14" fillId="0" borderId="3" xfId="569" applyNumberFormat="1" applyBorder="1" applyAlignment="1">
      <alignment horizontal="center"/>
    </xf>
    <xf numFmtId="5" fontId="14" fillId="0" borderId="4" xfId="569" applyNumberFormat="1" applyBorder="1" applyAlignment="1">
      <alignment horizontal="center"/>
    </xf>
    <xf numFmtId="168" fontId="14" fillId="5" borderId="5" xfId="569" applyNumberFormat="1" applyFill="1" applyBorder="1" applyAlignment="1" applyProtection="1">
      <alignment horizontal="center"/>
      <protection locked="0"/>
    </xf>
    <xf numFmtId="168" fontId="14" fillId="5" borderId="11" xfId="569" applyNumberFormat="1" applyFill="1" applyBorder="1" applyAlignment="1" applyProtection="1">
      <alignment horizontal="center"/>
      <protection locked="0"/>
    </xf>
    <xf numFmtId="9" fontId="14" fillId="0" borderId="5" xfId="569" applyNumberFormat="1" applyBorder="1" applyAlignment="1">
      <alignment horizontal="center"/>
    </xf>
    <xf numFmtId="9" fontId="14" fillId="0" borderId="11" xfId="569" applyNumberFormat="1" applyBorder="1" applyAlignment="1">
      <alignment horizontal="center"/>
    </xf>
    <xf numFmtId="9" fontId="14" fillId="0" borderId="9" xfId="569" applyNumberFormat="1" applyBorder="1" applyAlignment="1">
      <alignment horizontal="center" vertical="center"/>
    </xf>
    <xf numFmtId="9" fontId="14" fillId="0" borderId="6" xfId="569" applyNumberFormat="1" applyBorder="1" applyAlignment="1">
      <alignment horizontal="center" vertical="center"/>
    </xf>
    <xf numFmtId="9" fontId="14" fillId="0" borderId="10" xfId="569" applyNumberFormat="1" applyBorder="1" applyAlignment="1">
      <alignment horizontal="center" vertical="center"/>
    </xf>
    <xf numFmtId="168" fontId="14" fillId="2" borderId="3" xfId="569" applyNumberFormat="1" applyFill="1" applyBorder="1" applyAlignment="1">
      <alignment horizontal="center"/>
    </xf>
    <xf numFmtId="168" fontId="14" fillId="2" borderId="4" xfId="569" applyNumberFormat="1" applyFill="1" applyBorder="1" applyAlignment="1">
      <alignment horizontal="center"/>
    </xf>
    <xf numFmtId="168" fontId="14" fillId="2" borderId="5" xfId="569" applyNumberFormat="1" applyFill="1" applyBorder="1" applyAlignment="1">
      <alignment horizontal="center"/>
    </xf>
    <xf numFmtId="168" fontId="14" fillId="5" borderId="10" xfId="569" applyNumberFormat="1" applyFill="1" applyBorder="1" applyAlignment="1" applyProtection="1">
      <alignment horizontal="center"/>
      <protection locked="0"/>
    </xf>
    <xf numFmtId="168" fontId="14" fillId="5" borderId="13" xfId="569" applyNumberFormat="1" applyFill="1" applyBorder="1" applyAlignment="1" applyProtection="1">
      <alignment horizontal="center"/>
      <protection locked="0"/>
    </xf>
    <xf numFmtId="0" fontId="20" fillId="3" borderId="2" xfId="569" applyFont="1" applyFill="1" applyBorder="1" applyAlignment="1">
      <alignment horizontal="center" vertical="center"/>
    </xf>
    <xf numFmtId="0" fontId="20" fillId="3" borderId="16" xfId="569" applyFont="1" applyFill="1" applyBorder="1" applyAlignment="1">
      <alignment horizontal="center" vertical="center"/>
    </xf>
    <xf numFmtId="168" fontId="14" fillId="0" borderId="7" xfId="569" applyNumberFormat="1" applyBorder="1" applyAlignment="1">
      <alignment horizontal="center"/>
    </xf>
    <xf numFmtId="168" fontId="14" fillId="0" borderId="15" xfId="569" applyNumberFormat="1" applyBorder="1" applyAlignment="1">
      <alignment horizontal="center"/>
    </xf>
    <xf numFmtId="0" fontId="21" fillId="0" borderId="3" xfId="569" applyFont="1" applyBorder="1" applyAlignment="1">
      <alignment horizontal="left"/>
    </xf>
    <xf numFmtId="0" fontId="21" fillId="0" borderId="5" xfId="569" applyFont="1" applyBorder="1" applyAlignment="1">
      <alignment horizontal="left"/>
    </xf>
    <xf numFmtId="0" fontId="22" fillId="0" borderId="4" xfId="569" applyFont="1" applyBorder="1" applyAlignment="1">
      <alignment horizontal="left"/>
    </xf>
    <xf numFmtId="0" fontId="22" fillId="0" borderId="5" xfId="569" applyFont="1" applyBorder="1" applyAlignment="1">
      <alignment horizontal="left"/>
    </xf>
    <xf numFmtId="179" fontId="21" fillId="0" borderId="0" xfId="569" applyNumberFormat="1" applyFont="1" applyAlignment="1">
      <alignment horizontal="center" wrapText="1"/>
    </xf>
    <xf numFmtId="164" fontId="21" fillId="0" borderId="0" xfId="569" applyNumberFormat="1" applyFont="1" applyAlignment="1">
      <alignment horizontal="center" wrapText="1"/>
    </xf>
    <xf numFmtId="0" fontId="14" fillId="0" borderId="3" xfId="569" applyBorder="1" applyAlignment="1">
      <alignment horizontal="right"/>
    </xf>
    <xf numFmtId="0" fontId="14" fillId="0" borderId="4" xfId="569" applyBorder="1" applyAlignment="1">
      <alignment horizontal="right"/>
    </xf>
    <xf numFmtId="0" fontId="14" fillId="0" borderId="5" xfId="569" applyBorder="1" applyAlignment="1">
      <alignment horizontal="right"/>
    </xf>
    <xf numFmtId="0" fontId="22" fillId="0" borderId="3" xfId="569" applyFont="1" applyBorder="1" applyAlignment="1">
      <alignment horizontal="right"/>
    </xf>
    <xf numFmtId="0" fontId="22" fillId="0" borderId="4" xfId="569" applyFont="1" applyBorder="1" applyAlignment="1">
      <alignment horizontal="right"/>
    </xf>
    <xf numFmtId="0" fontId="22" fillId="0" borderId="5" xfId="569" applyFont="1" applyBorder="1" applyAlignment="1">
      <alignment horizontal="right"/>
    </xf>
    <xf numFmtId="0" fontId="19" fillId="0" borderId="6" xfId="271" applyFont="1" applyBorder="1" applyAlignment="1">
      <alignment horizontal="center"/>
    </xf>
    <xf numFmtId="3" fontId="14" fillId="0" borderId="0" xfId="0" applyNumberFormat="1" applyFont="1" applyAlignment="1">
      <alignment horizontal="left" vertical="top" wrapText="1"/>
    </xf>
    <xf numFmtId="0" fontId="14" fillId="43" borderId="0" xfId="0" applyFont="1" applyFill="1" applyAlignment="1">
      <alignment horizontal="left"/>
    </xf>
  </cellXfs>
  <cellStyles count="17170">
    <cellStyle name="20% - Accent1" xfId="1" builtinId="30" customBuiltin="1"/>
    <cellStyle name="20% - Accent1 10" xfId="4505" xr:uid="{00000000-0005-0000-0000-000001000000}"/>
    <cellStyle name="20% - Accent1 10 2" xfId="12947" xr:uid="{120783B5-0AC3-439B-A401-B81B93AEB621}"/>
    <cellStyle name="20% - Accent1 11" xfId="8729" xr:uid="{09D97C57-551C-4A35-B654-638C9E83F266}"/>
    <cellStyle name="20% - Accent1 2" xfId="2" xr:uid="{00000000-0005-0000-0000-000002000000}"/>
    <cellStyle name="20% - Accent1 2 10" xfId="8730" xr:uid="{3CCDFCCD-2552-4853-96C9-D89C3F5E44BD}"/>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2 2 2" xfId="15509" xr:uid="{96775109-F429-40A0-9DFE-E8E90C81FC01}"/>
    <cellStyle name="20% - Accent1 2 2 2 2 2 3" xfId="11291" xr:uid="{93C63B92-A9F9-4B55-86F8-F100810832E7}"/>
    <cellStyle name="20% - Accent1 2 2 2 2 3" xfId="4922" xr:uid="{00000000-0005-0000-0000-000008000000}"/>
    <cellStyle name="20% - Accent1 2 2 2 2 3 2" xfId="13364" xr:uid="{CDD8E7A3-3439-4EFD-A5DC-0945F78CCAE5}"/>
    <cellStyle name="20% - Accent1 2 2 2 2 4" xfId="9146" xr:uid="{F1E50D33-6E2F-40D3-9609-DAF39CDA1C16}"/>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2 2 2" xfId="15922" xr:uid="{5E801370-FF1F-46DD-973C-DF6CEA7537B4}"/>
    <cellStyle name="20% - Accent1 2 2 2 3 2 3" xfId="11704" xr:uid="{CE0C30DB-7BF0-41DA-BABC-0BA8314BEC01}"/>
    <cellStyle name="20% - Accent1 2 2 2 3 3" xfId="5335" xr:uid="{00000000-0005-0000-0000-00000C000000}"/>
    <cellStyle name="20% - Accent1 2 2 2 3 3 2" xfId="13777" xr:uid="{BCD38D80-7644-410B-A7FB-68FB3893BF82}"/>
    <cellStyle name="20% - Accent1 2 2 2 3 4" xfId="9559" xr:uid="{B8B54B44-E835-476D-9AF5-435FCC72D96B}"/>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2 2 2" xfId="16335" xr:uid="{049F9EE1-205A-4CDC-96B9-F8D067EF0E4D}"/>
    <cellStyle name="20% - Accent1 2 2 2 4 2 3" xfId="12117" xr:uid="{B02EC8F3-3257-4039-AA11-B5062976EED1}"/>
    <cellStyle name="20% - Accent1 2 2 2 4 3" xfId="5748" xr:uid="{00000000-0005-0000-0000-000010000000}"/>
    <cellStyle name="20% - Accent1 2 2 2 4 3 2" xfId="14190" xr:uid="{908A57D7-3B85-4B42-8777-58138E5BE7CB}"/>
    <cellStyle name="20% - Accent1 2 2 2 4 4" xfId="9972" xr:uid="{A9A4A59B-1513-4BE2-AD66-AACF1450ECE4}"/>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2 2 2" xfId="16748" xr:uid="{09AC0E73-B9BA-4277-BE94-9A54F429855E}"/>
    <cellStyle name="20% - Accent1 2 2 2 5 2 3" xfId="12530" xr:uid="{4DAC6AB3-C248-4F23-B494-47D9AA762341}"/>
    <cellStyle name="20% - Accent1 2 2 2 5 3" xfId="6161" xr:uid="{00000000-0005-0000-0000-000014000000}"/>
    <cellStyle name="20% - Accent1 2 2 2 5 3 2" xfId="14603" xr:uid="{83C3F27E-2FDD-48ED-8105-06BCC0CFCAC9}"/>
    <cellStyle name="20% - Accent1 2 2 2 5 4" xfId="10385" xr:uid="{0BB522F8-386C-43E3-820F-42FDF9A32D88}"/>
    <cellStyle name="20% - Accent1 2 2 2 6" xfId="2267" xr:uid="{00000000-0005-0000-0000-000015000000}"/>
    <cellStyle name="20% - Accent1 2 2 2 6 2" xfId="6574" xr:uid="{00000000-0005-0000-0000-000016000000}"/>
    <cellStyle name="20% - Accent1 2 2 2 6 2 2" xfId="15016" xr:uid="{CACD4CC9-BA23-4A09-9632-7B1CEE2B3FD5}"/>
    <cellStyle name="20% - Accent1 2 2 2 6 3" xfId="10798" xr:uid="{2135ED1E-B77A-4030-AF16-3F0BBD606211}"/>
    <cellStyle name="20% - Accent1 2 2 2 7" xfId="4508" xr:uid="{00000000-0005-0000-0000-000017000000}"/>
    <cellStyle name="20% - Accent1 2 2 2 7 2" xfId="12950" xr:uid="{75F7A2C1-8D1A-4BD8-8D91-F01552269647}"/>
    <cellStyle name="20% - Accent1 2 2 2 8" xfId="8732" xr:uid="{87DED582-BAC6-4E54-BCFC-54691E8E4D47}"/>
    <cellStyle name="20% - Accent1 2 2 3" xfId="572" xr:uid="{00000000-0005-0000-0000-000018000000}"/>
    <cellStyle name="20% - Accent1 2 2 3 2" xfId="2843" xr:uid="{00000000-0005-0000-0000-000019000000}"/>
    <cellStyle name="20% - Accent1 2 2 3 2 2" xfId="7066" xr:uid="{00000000-0005-0000-0000-00001A000000}"/>
    <cellStyle name="20% - Accent1 2 2 3 2 2 2" xfId="15508" xr:uid="{8D6F66AC-AABE-4C88-92B0-BDFDAB6C5320}"/>
    <cellStyle name="20% - Accent1 2 2 3 2 3" xfId="11290" xr:uid="{60F7261B-7A9B-4421-97A1-8B9D60EE472E}"/>
    <cellStyle name="20% - Accent1 2 2 3 3" xfId="4921" xr:uid="{00000000-0005-0000-0000-00001B000000}"/>
    <cellStyle name="20% - Accent1 2 2 3 3 2" xfId="13363" xr:uid="{38098CAF-D1F9-4BE0-AAFA-534364CFF8E9}"/>
    <cellStyle name="20% - Accent1 2 2 3 4" xfId="9145" xr:uid="{A7484872-2BCE-4DA1-A105-B0F02B86402D}"/>
    <cellStyle name="20% - Accent1 2 2 4" xfId="1025" xr:uid="{00000000-0005-0000-0000-00001C000000}"/>
    <cellStyle name="20% - Accent1 2 2 4 2" xfId="3256" xr:uid="{00000000-0005-0000-0000-00001D000000}"/>
    <cellStyle name="20% - Accent1 2 2 4 2 2" xfId="7479" xr:uid="{00000000-0005-0000-0000-00001E000000}"/>
    <cellStyle name="20% - Accent1 2 2 4 2 2 2" xfId="15921" xr:uid="{4B63E98F-D9D5-44C0-9B2E-7D30B8056DD8}"/>
    <cellStyle name="20% - Accent1 2 2 4 2 3" xfId="11703" xr:uid="{3C4BE946-0423-45DE-92D7-E1755778541C}"/>
    <cellStyle name="20% - Accent1 2 2 4 3" xfId="5334" xr:uid="{00000000-0005-0000-0000-00001F000000}"/>
    <cellStyle name="20% - Accent1 2 2 4 3 2" xfId="13776" xr:uid="{5FE66310-4B3D-49E9-A9BA-163F3F72A4AF}"/>
    <cellStyle name="20% - Accent1 2 2 4 4" xfId="9558" xr:uid="{94BEB63C-135F-48B1-BB48-E14B99C496C8}"/>
    <cellStyle name="20% - Accent1 2 2 5" xfId="1439" xr:uid="{00000000-0005-0000-0000-000020000000}"/>
    <cellStyle name="20% - Accent1 2 2 5 2" xfId="3669" xr:uid="{00000000-0005-0000-0000-000021000000}"/>
    <cellStyle name="20% - Accent1 2 2 5 2 2" xfId="7892" xr:uid="{00000000-0005-0000-0000-000022000000}"/>
    <cellStyle name="20% - Accent1 2 2 5 2 2 2" xfId="16334" xr:uid="{19129840-629C-4D97-B3FC-A5EB5D24A46E}"/>
    <cellStyle name="20% - Accent1 2 2 5 2 3" xfId="12116" xr:uid="{232B1600-628F-4BD9-B89B-3BD4B1E67972}"/>
    <cellStyle name="20% - Accent1 2 2 5 3" xfId="5747" xr:uid="{00000000-0005-0000-0000-000023000000}"/>
    <cellStyle name="20% - Accent1 2 2 5 3 2" xfId="14189" xr:uid="{A401C1FF-A8F6-4CD1-A446-E6305A877866}"/>
    <cellStyle name="20% - Accent1 2 2 5 4" xfId="9971" xr:uid="{42D1544C-8316-4748-89A8-8A2CE0D3ED53}"/>
    <cellStyle name="20% - Accent1 2 2 6" xfId="1853" xr:uid="{00000000-0005-0000-0000-000024000000}"/>
    <cellStyle name="20% - Accent1 2 2 6 2" xfId="4082" xr:uid="{00000000-0005-0000-0000-000025000000}"/>
    <cellStyle name="20% - Accent1 2 2 6 2 2" xfId="8305" xr:uid="{00000000-0005-0000-0000-000026000000}"/>
    <cellStyle name="20% - Accent1 2 2 6 2 2 2" xfId="16747" xr:uid="{18D80533-8269-4E86-826F-D94324A888C7}"/>
    <cellStyle name="20% - Accent1 2 2 6 2 3" xfId="12529" xr:uid="{DE972A66-A9B6-4052-85FB-64C81B93F630}"/>
    <cellStyle name="20% - Accent1 2 2 6 3" xfId="6160" xr:uid="{00000000-0005-0000-0000-000027000000}"/>
    <cellStyle name="20% - Accent1 2 2 6 3 2" xfId="14602" xr:uid="{8731E566-FC45-4622-BC1C-BCD61DC1D2B1}"/>
    <cellStyle name="20% - Accent1 2 2 6 4" xfId="10384" xr:uid="{BD54C3B6-632E-477C-9599-53C3DFF25853}"/>
    <cellStyle name="20% - Accent1 2 2 7" xfId="2266" xr:uid="{00000000-0005-0000-0000-000028000000}"/>
    <cellStyle name="20% - Accent1 2 2 7 2" xfId="6573" xr:uid="{00000000-0005-0000-0000-000029000000}"/>
    <cellStyle name="20% - Accent1 2 2 7 2 2" xfId="15015" xr:uid="{96993C87-27F0-4C5C-A00B-A62B9BED2993}"/>
    <cellStyle name="20% - Accent1 2 2 7 3" xfId="10797" xr:uid="{8FF7F034-DD57-45EE-B068-A42BE998C86C}"/>
    <cellStyle name="20% - Accent1 2 2 8" xfId="4507" xr:uid="{00000000-0005-0000-0000-00002A000000}"/>
    <cellStyle name="20% - Accent1 2 2 8 2" xfId="12949" xr:uid="{BC01B642-64F9-4597-BB7B-C78963BB3485}"/>
    <cellStyle name="20% - Accent1 2 2 9" xfId="8731" xr:uid="{FD5299F9-4D40-4A06-9D99-08DE61F53EF7}"/>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2 2 2" xfId="15510" xr:uid="{15A14DC3-6E1D-46F8-8C54-9D95AE6072BF}"/>
    <cellStyle name="20% - Accent1 2 3 2 2 3" xfId="11292" xr:uid="{6D55BCD0-DDD6-416A-A5FC-D9E11F8886EA}"/>
    <cellStyle name="20% - Accent1 2 3 2 3" xfId="4923" xr:uid="{00000000-0005-0000-0000-00002F000000}"/>
    <cellStyle name="20% - Accent1 2 3 2 3 2" xfId="13365" xr:uid="{0F75728C-14F9-4E4B-9B48-47EDE64DEDC5}"/>
    <cellStyle name="20% - Accent1 2 3 2 4" xfId="9147" xr:uid="{0F5536CC-8961-4B48-9638-87B3553D5E8C}"/>
    <cellStyle name="20% - Accent1 2 3 3" xfId="1027" xr:uid="{00000000-0005-0000-0000-000030000000}"/>
    <cellStyle name="20% - Accent1 2 3 3 2" xfId="3258" xr:uid="{00000000-0005-0000-0000-000031000000}"/>
    <cellStyle name="20% - Accent1 2 3 3 2 2" xfId="7481" xr:uid="{00000000-0005-0000-0000-000032000000}"/>
    <cellStyle name="20% - Accent1 2 3 3 2 2 2" xfId="15923" xr:uid="{536A224B-4D6E-46D0-8FC8-53830B6FF598}"/>
    <cellStyle name="20% - Accent1 2 3 3 2 3" xfId="11705" xr:uid="{BD311B6D-6E5D-41A7-AB7D-D6E304C2E1DF}"/>
    <cellStyle name="20% - Accent1 2 3 3 3" xfId="5336" xr:uid="{00000000-0005-0000-0000-000033000000}"/>
    <cellStyle name="20% - Accent1 2 3 3 3 2" xfId="13778" xr:uid="{C10899D4-9BB7-4926-9E53-981380047B12}"/>
    <cellStyle name="20% - Accent1 2 3 3 4" xfId="9560" xr:uid="{3AA528ED-53C2-43A6-8BCC-4EE42B4BAC0A}"/>
    <cellStyle name="20% - Accent1 2 3 4" xfId="1441" xr:uid="{00000000-0005-0000-0000-000034000000}"/>
    <cellStyle name="20% - Accent1 2 3 4 2" xfId="3671" xr:uid="{00000000-0005-0000-0000-000035000000}"/>
    <cellStyle name="20% - Accent1 2 3 4 2 2" xfId="7894" xr:uid="{00000000-0005-0000-0000-000036000000}"/>
    <cellStyle name="20% - Accent1 2 3 4 2 2 2" xfId="16336" xr:uid="{738747CD-ADC5-41A5-8147-713755A7896A}"/>
    <cellStyle name="20% - Accent1 2 3 4 2 3" xfId="12118" xr:uid="{B9CFB956-3510-4671-8190-7780ACAACBE0}"/>
    <cellStyle name="20% - Accent1 2 3 4 3" xfId="5749" xr:uid="{00000000-0005-0000-0000-000037000000}"/>
    <cellStyle name="20% - Accent1 2 3 4 3 2" xfId="14191" xr:uid="{D27360D9-CC10-412B-B612-6D05DD8ADFAD}"/>
    <cellStyle name="20% - Accent1 2 3 4 4" xfId="9973" xr:uid="{F53C9087-34C4-42E5-9F12-711752314799}"/>
    <cellStyle name="20% - Accent1 2 3 5" xfId="1855" xr:uid="{00000000-0005-0000-0000-000038000000}"/>
    <cellStyle name="20% - Accent1 2 3 5 2" xfId="4084" xr:uid="{00000000-0005-0000-0000-000039000000}"/>
    <cellStyle name="20% - Accent1 2 3 5 2 2" xfId="8307" xr:uid="{00000000-0005-0000-0000-00003A000000}"/>
    <cellStyle name="20% - Accent1 2 3 5 2 2 2" xfId="16749" xr:uid="{9F035D55-3C77-4EED-9350-D9505839BFD9}"/>
    <cellStyle name="20% - Accent1 2 3 5 2 3" xfId="12531" xr:uid="{91D2C926-AFAA-44A9-9106-97D8FC24F956}"/>
    <cellStyle name="20% - Accent1 2 3 5 3" xfId="6162" xr:uid="{00000000-0005-0000-0000-00003B000000}"/>
    <cellStyle name="20% - Accent1 2 3 5 3 2" xfId="14604" xr:uid="{8E1DF202-3070-41CE-822F-10E40D2EDF6F}"/>
    <cellStyle name="20% - Accent1 2 3 5 4" xfId="10386" xr:uid="{77FE0A7A-A491-4CBF-9BD6-8A70DB868FBF}"/>
    <cellStyle name="20% - Accent1 2 3 6" xfId="2268" xr:uid="{00000000-0005-0000-0000-00003C000000}"/>
    <cellStyle name="20% - Accent1 2 3 6 2" xfId="6575" xr:uid="{00000000-0005-0000-0000-00003D000000}"/>
    <cellStyle name="20% - Accent1 2 3 6 2 2" xfId="15017" xr:uid="{012BB99F-ECA9-422D-A4AD-E7277B6A40B1}"/>
    <cellStyle name="20% - Accent1 2 3 6 3" xfId="10799" xr:uid="{5058E1E5-6BB7-49A4-9615-5AC724F649FA}"/>
    <cellStyle name="20% - Accent1 2 3 7" xfId="4509" xr:uid="{00000000-0005-0000-0000-00003E000000}"/>
    <cellStyle name="20% - Accent1 2 3 7 2" xfId="12951" xr:uid="{15BAEE64-76B1-4D5D-B9E9-4157E6CD470E}"/>
    <cellStyle name="20% - Accent1 2 3 8" xfId="8733" xr:uid="{9E3A01CE-3CB0-4263-8024-7F62EEFDD88C}"/>
    <cellStyle name="20% - Accent1 2 4" xfId="571" xr:uid="{00000000-0005-0000-0000-00003F000000}"/>
    <cellStyle name="20% - Accent1 2 4 2" xfId="2842" xr:uid="{00000000-0005-0000-0000-000040000000}"/>
    <cellStyle name="20% - Accent1 2 4 2 2" xfId="7065" xr:uid="{00000000-0005-0000-0000-000041000000}"/>
    <cellStyle name="20% - Accent1 2 4 2 2 2" xfId="15507" xr:uid="{AD3DB678-EF6C-4B27-905C-F5B265F84D8D}"/>
    <cellStyle name="20% - Accent1 2 4 2 3" xfId="11289" xr:uid="{361D916B-A2E8-4588-8793-B7DDB6CD5550}"/>
    <cellStyle name="20% - Accent1 2 4 3" xfId="4920" xr:uid="{00000000-0005-0000-0000-000042000000}"/>
    <cellStyle name="20% - Accent1 2 4 3 2" xfId="13362" xr:uid="{3441DAE8-2179-4F70-BB63-CD19338874EC}"/>
    <cellStyle name="20% - Accent1 2 4 4" xfId="9144" xr:uid="{D175F70D-82AA-4C27-A3D4-334D7F37A572}"/>
    <cellStyle name="20% - Accent1 2 5" xfId="1024" xr:uid="{00000000-0005-0000-0000-000043000000}"/>
    <cellStyle name="20% - Accent1 2 5 2" xfId="3255" xr:uid="{00000000-0005-0000-0000-000044000000}"/>
    <cellStyle name="20% - Accent1 2 5 2 2" xfId="7478" xr:uid="{00000000-0005-0000-0000-000045000000}"/>
    <cellStyle name="20% - Accent1 2 5 2 2 2" xfId="15920" xr:uid="{C63ADA11-9109-4267-B1F5-DC9476283603}"/>
    <cellStyle name="20% - Accent1 2 5 2 3" xfId="11702" xr:uid="{5EBE133B-CC37-404B-90A2-1C1CF43AC28F}"/>
    <cellStyle name="20% - Accent1 2 5 3" xfId="5333" xr:uid="{00000000-0005-0000-0000-000046000000}"/>
    <cellStyle name="20% - Accent1 2 5 3 2" xfId="13775" xr:uid="{43C001CF-8824-4F95-BEE0-B4E3D34F8757}"/>
    <cellStyle name="20% - Accent1 2 5 4" xfId="9557" xr:uid="{B46A1922-39FC-4305-BB37-182CB7A31AE4}"/>
    <cellStyle name="20% - Accent1 2 6" xfId="1438" xr:uid="{00000000-0005-0000-0000-000047000000}"/>
    <cellStyle name="20% - Accent1 2 6 2" xfId="3668" xr:uid="{00000000-0005-0000-0000-000048000000}"/>
    <cellStyle name="20% - Accent1 2 6 2 2" xfId="7891" xr:uid="{00000000-0005-0000-0000-000049000000}"/>
    <cellStyle name="20% - Accent1 2 6 2 2 2" xfId="16333" xr:uid="{2CA77241-0349-4B0F-8696-E5E8BAD9BA81}"/>
    <cellStyle name="20% - Accent1 2 6 2 3" xfId="12115" xr:uid="{1023FFE7-8A86-4CD0-AA51-EE0924344E7F}"/>
    <cellStyle name="20% - Accent1 2 6 3" xfId="5746" xr:uid="{00000000-0005-0000-0000-00004A000000}"/>
    <cellStyle name="20% - Accent1 2 6 3 2" xfId="14188" xr:uid="{898BBC4A-4E73-484D-A988-6C8EFEF2D9B1}"/>
    <cellStyle name="20% - Accent1 2 6 4" xfId="9970" xr:uid="{95CDBA5D-E4A2-4C39-BC7B-F4D34BD3BB65}"/>
    <cellStyle name="20% - Accent1 2 7" xfId="1852" xr:uid="{00000000-0005-0000-0000-00004B000000}"/>
    <cellStyle name="20% - Accent1 2 7 2" xfId="4081" xr:uid="{00000000-0005-0000-0000-00004C000000}"/>
    <cellStyle name="20% - Accent1 2 7 2 2" xfId="8304" xr:uid="{00000000-0005-0000-0000-00004D000000}"/>
    <cellStyle name="20% - Accent1 2 7 2 2 2" xfId="16746" xr:uid="{2003C56B-E84A-4A31-A001-C12A4964B57C}"/>
    <cellStyle name="20% - Accent1 2 7 2 3" xfId="12528" xr:uid="{95292915-0DC8-484F-AEE5-49F1F9887E52}"/>
    <cellStyle name="20% - Accent1 2 7 3" xfId="6159" xr:uid="{00000000-0005-0000-0000-00004E000000}"/>
    <cellStyle name="20% - Accent1 2 7 3 2" xfId="14601" xr:uid="{9F4BF802-646B-4B93-AFC0-8AF32289912C}"/>
    <cellStyle name="20% - Accent1 2 7 4" xfId="10383" xr:uid="{C6568A34-D966-48D6-8BCB-004C64203323}"/>
    <cellStyle name="20% - Accent1 2 8" xfId="2265" xr:uid="{00000000-0005-0000-0000-00004F000000}"/>
    <cellStyle name="20% - Accent1 2 8 2" xfId="6572" xr:uid="{00000000-0005-0000-0000-000050000000}"/>
    <cellStyle name="20% - Accent1 2 8 2 2" xfId="15014" xr:uid="{7728CB7D-F3F3-4191-8E77-D82B9D483542}"/>
    <cellStyle name="20% - Accent1 2 8 3" xfId="10796" xr:uid="{4429CCAF-9C58-46C3-A3EC-F35DAD70495B}"/>
    <cellStyle name="20% - Accent1 2 9" xfId="4506" xr:uid="{00000000-0005-0000-0000-000051000000}"/>
    <cellStyle name="20% - Accent1 2 9 2" xfId="12948" xr:uid="{8812806C-316A-41CD-B154-4E3B8A2CA081}"/>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2 2 2" xfId="15512" xr:uid="{7763E458-254A-4398-B658-600713322AE4}"/>
    <cellStyle name="20% - Accent1 3 2 2 2 3" xfId="11294" xr:uid="{7D4B85E4-1F91-43F7-A2DA-D593971A0F3A}"/>
    <cellStyle name="20% - Accent1 3 2 2 3" xfId="4925" xr:uid="{00000000-0005-0000-0000-000057000000}"/>
    <cellStyle name="20% - Accent1 3 2 2 3 2" xfId="13367" xr:uid="{1726326F-57AB-423D-98E9-47B520B5C545}"/>
    <cellStyle name="20% - Accent1 3 2 2 4" xfId="9149" xr:uid="{4FAEAD34-2905-43F9-961C-D70F9704A2D6}"/>
    <cellStyle name="20% - Accent1 3 2 3" xfId="1029" xr:uid="{00000000-0005-0000-0000-000058000000}"/>
    <cellStyle name="20% - Accent1 3 2 3 2" xfId="3260" xr:uid="{00000000-0005-0000-0000-000059000000}"/>
    <cellStyle name="20% - Accent1 3 2 3 2 2" xfId="7483" xr:uid="{00000000-0005-0000-0000-00005A000000}"/>
    <cellStyle name="20% - Accent1 3 2 3 2 2 2" xfId="15925" xr:uid="{461A423C-2AA3-414A-98F8-95B2566D9A02}"/>
    <cellStyle name="20% - Accent1 3 2 3 2 3" xfId="11707" xr:uid="{098694A6-4D07-4678-A6A1-DDAEBE6567BA}"/>
    <cellStyle name="20% - Accent1 3 2 3 3" xfId="5338" xr:uid="{00000000-0005-0000-0000-00005B000000}"/>
    <cellStyle name="20% - Accent1 3 2 3 3 2" xfId="13780" xr:uid="{9EEB1DEC-D563-455F-A18B-268C86EEC3EB}"/>
    <cellStyle name="20% - Accent1 3 2 3 4" xfId="9562" xr:uid="{1D584A56-AB2A-47A7-B377-D07EDF543339}"/>
    <cellStyle name="20% - Accent1 3 2 4" xfId="1443" xr:uid="{00000000-0005-0000-0000-00005C000000}"/>
    <cellStyle name="20% - Accent1 3 2 4 2" xfId="3673" xr:uid="{00000000-0005-0000-0000-00005D000000}"/>
    <cellStyle name="20% - Accent1 3 2 4 2 2" xfId="7896" xr:uid="{00000000-0005-0000-0000-00005E000000}"/>
    <cellStyle name="20% - Accent1 3 2 4 2 2 2" xfId="16338" xr:uid="{AC250E28-3085-4D53-94E1-BC8D1BB9FAF7}"/>
    <cellStyle name="20% - Accent1 3 2 4 2 3" xfId="12120" xr:uid="{1388A084-1BE1-4017-A98A-E26F557D757B}"/>
    <cellStyle name="20% - Accent1 3 2 4 3" xfId="5751" xr:uid="{00000000-0005-0000-0000-00005F000000}"/>
    <cellStyle name="20% - Accent1 3 2 4 3 2" xfId="14193" xr:uid="{7E959EB7-E14E-4C9F-9582-3102D868D944}"/>
    <cellStyle name="20% - Accent1 3 2 4 4" xfId="9975" xr:uid="{C965E678-9339-4F97-80BE-2B62F471FE97}"/>
    <cellStyle name="20% - Accent1 3 2 5" xfId="1857" xr:uid="{00000000-0005-0000-0000-000060000000}"/>
    <cellStyle name="20% - Accent1 3 2 5 2" xfId="4086" xr:uid="{00000000-0005-0000-0000-000061000000}"/>
    <cellStyle name="20% - Accent1 3 2 5 2 2" xfId="8309" xr:uid="{00000000-0005-0000-0000-000062000000}"/>
    <cellStyle name="20% - Accent1 3 2 5 2 2 2" xfId="16751" xr:uid="{CCB3F8AA-C625-4C73-A676-474C2E623848}"/>
    <cellStyle name="20% - Accent1 3 2 5 2 3" xfId="12533" xr:uid="{951F28A9-B735-4D53-8F2B-05B043AA3001}"/>
    <cellStyle name="20% - Accent1 3 2 5 3" xfId="6164" xr:uid="{00000000-0005-0000-0000-000063000000}"/>
    <cellStyle name="20% - Accent1 3 2 5 3 2" xfId="14606" xr:uid="{F90AF5CE-7944-448D-8DD3-9A36BFB48899}"/>
    <cellStyle name="20% - Accent1 3 2 5 4" xfId="10388" xr:uid="{16F75DDB-7846-4B6C-85C8-1DB0A2976A2E}"/>
    <cellStyle name="20% - Accent1 3 2 6" xfId="2270" xr:uid="{00000000-0005-0000-0000-000064000000}"/>
    <cellStyle name="20% - Accent1 3 2 6 2" xfId="6577" xr:uid="{00000000-0005-0000-0000-000065000000}"/>
    <cellStyle name="20% - Accent1 3 2 6 2 2" xfId="15019" xr:uid="{85EBDCF6-7F0A-43E9-98AF-AE8FE5485CBA}"/>
    <cellStyle name="20% - Accent1 3 2 6 3" xfId="10801" xr:uid="{D52DDD64-58AE-4A3E-A790-1C081A26FB2C}"/>
    <cellStyle name="20% - Accent1 3 2 7" xfId="4511" xr:uid="{00000000-0005-0000-0000-000066000000}"/>
    <cellStyle name="20% - Accent1 3 2 7 2" xfId="12953" xr:uid="{4E8F0714-F87B-4DA0-8417-6B8557A1371A}"/>
    <cellStyle name="20% - Accent1 3 2 8" xfId="8735" xr:uid="{43F48B17-836F-48EC-BC7A-3CB4C4A1B6A9}"/>
    <cellStyle name="20% - Accent1 3 3" xfId="575" xr:uid="{00000000-0005-0000-0000-000067000000}"/>
    <cellStyle name="20% - Accent1 3 3 2" xfId="2846" xr:uid="{00000000-0005-0000-0000-000068000000}"/>
    <cellStyle name="20% - Accent1 3 3 2 2" xfId="7069" xr:uid="{00000000-0005-0000-0000-000069000000}"/>
    <cellStyle name="20% - Accent1 3 3 2 2 2" xfId="15511" xr:uid="{AE9AEE10-342E-4D6F-9334-9C638F09EC8F}"/>
    <cellStyle name="20% - Accent1 3 3 2 3" xfId="11293" xr:uid="{842839DB-08E7-41EB-BD5E-5D7B06B7842E}"/>
    <cellStyle name="20% - Accent1 3 3 3" xfId="4924" xr:uid="{00000000-0005-0000-0000-00006A000000}"/>
    <cellStyle name="20% - Accent1 3 3 3 2" xfId="13366" xr:uid="{C63F31BB-05C3-42CC-B802-F92E526EE0FE}"/>
    <cellStyle name="20% - Accent1 3 3 4" xfId="9148" xr:uid="{9764E54E-5461-4649-910C-C1F71D6B37FE}"/>
    <cellStyle name="20% - Accent1 3 4" xfId="1028" xr:uid="{00000000-0005-0000-0000-00006B000000}"/>
    <cellStyle name="20% - Accent1 3 4 2" xfId="3259" xr:uid="{00000000-0005-0000-0000-00006C000000}"/>
    <cellStyle name="20% - Accent1 3 4 2 2" xfId="7482" xr:uid="{00000000-0005-0000-0000-00006D000000}"/>
    <cellStyle name="20% - Accent1 3 4 2 2 2" xfId="15924" xr:uid="{9E1BADF1-2072-4372-B293-BEC99E14AB76}"/>
    <cellStyle name="20% - Accent1 3 4 2 3" xfId="11706" xr:uid="{73CC77C2-40CF-4094-AD84-9FC0C20F93E4}"/>
    <cellStyle name="20% - Accent1 3 4 3" xfId="5337" xr:uid="{00000000-0005-0000-0000-00006E000000}"/>
    <cellStyle name="20% - Accent1 3 4 3 2" xfId="13779" xr:uid="{BC1E4A23-0C33-4AF9-9FFC-84F5BC2EA0F6}"/>
    <cellStyle name="20% - Accent1 3 4 4" xfId="9561" xr:uid="{F02C23D0-836E-4EA1-A434-C53EFC41352D}"/>
    <cellStyle name="20% - Accent1 3 5" xfId="1442" xr:uid="{00000000-0005-0000-0000-00006F000000}"/>
    <cellStyle name="20% - Accent1 3 5 2" xfId="3672" xr:uid="{00000000-0005-0000-0000-000070000000}"/>
    <cellStyle name="20% - Accent1 3 5 2 2" xfId="7895" xr:uid="{00000000-0005-0000-0000-000071000000}"/>
    <cellStyle name="20% - Accent1 3 5 2 2 2" xfId="16337" xr:uid="{910F43CF-F5CB-42A4-8E54-F5F24EBB5D19}"/>
    <cellStyle name="20% - Accent1 3 5 2 3" xfId="12119" xr:uid="{355258B6-EFED-4FB5-B7C7-80B4094C3AB9}"/>
    <cellStyle name="20% - Accent1 3 5 3" xfId="5750" xr:uid="{00000000-0005-0000-0000-000072000000}"/>
    <cellStyle name="20% - Accent1 3 5 3 2" xfId="14192" xr:uid="{8E6AB4EC-8935-442A-BF7E-3F79A0836702}"/>
    <cellStyle name="20% - Accent1 3 5 4" xfId="9974" xr:uid="{DB3A8401-DBEA-440F-95A5-1CBB6A56AA0D}"/>
    <cellStyle name="20% - Accent1 3 6" xfId="1856" xr:uid="{00000000-0005-0000-0000-000073000000}"/>
    <cellStyle name="20% - Accent1 3 6 2" xfId="4085" xr:uid="{00000000-0005-0000-0000-000074000000}"/>
    <cellStyle name="20% - Accent1 3 6 2 2" xfId="8308" xr:uid="{00000000-0005-0000-0000-000075000000}"/>
    <cellStyle name="20% - Accent1 3 6 2 2 2" xfId="16750" xr:uid="{A85FFA85-AF80-48E5-B8D0-0016D0D403A7}"/>
    <cellStyle name="20% - Accent1 3 6 2 3" xfId="12532" xr:uid="{AB36ED60-FCD8-4789-8D0C-3C19B06DA04C}"/>
    <cellStyle name="20% - Accent1 3 6 3" xfId="6163" xr:uid="{00000000-0005-0000-0000-000076000000}"/>
    <cellStyle name="20% - Accent1 3 6 3 2" xfId="14605" xr:uid="{A19F5B26-5E9D-47E0-9EC2-67EBABF2D36C}"/>
    <cellStyle name="20% - Accent1 3 6 4" xfId="10387" xr:uid="{716FAC62-17F0-40CC-91AE-6D85B82F0F34}"/>
    <cellStyle name="20% - Accent1 3 7" xfId="2269" xr:uid="{00000000-0005-0000-0000-000077000000}"/>
    <cellStyle name="20% - Accent1 3 7 2" xfId="6576" xr:uid="{00000000-0005-0000-0000-000078000000}"/>
    <cellStyle name="20% - Accent1 3 7 2 2" xfId="15018" xr:uid="{C6C8CB1A-E869-4E89-8E75-6415AFC68D05}"/>
    <cellStyle name="20% - Accent1 3 7 3" xfId="10800" xr:uid="{3103BBD1-6057-4A56-AEAE-A7BE0DAF9C48}"/>
    <cellStyle name="20% - Accent1 3 8" xfId="4510" xr:uid="{00000000-0005-0000-0000-000079000000}"/>
    <cellStyle name="20% - Accent1 3 8 2" xfId="12952" xr:uid="{A2A22613-4CBF-455A-ADFF-361589E52B4A}"/>
    <cellStyle name="20% - Accent1 3 9" xfId="8734" xr:uid="{49989AD5-42F7-46F9-A1B7-B1FB9296A88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2 2 2" xfId="15513" xr:uid="{C0DD6B2E-0336-44FB-9D2A-238CE3A1675F}"/>
    <cellStyle name="20% - Accent1 4 2 2 3" xfId="11295" xr:uid="{F3AA5FD5-0754-4332-8890-D1A81EF1BC68}"/>
    <cellStyle name="20% - Accent1 4 2 3" xfId="4926" xr:uid="{00000000-0005-0000-0000-00007E000000}"/>
    <cellStyle name="20% - Accent1 4 2 3 2" xfId="13368" xr:uid="{42E592E0-5B59-4A9D-8338-6F1D2822A57D}"/>
    <cellStyle name="20% - Accent1 4 2 4" xfId="9150" xr:uid="{22B64FC9-31C1-4A71-ACBB-718E3B27C1CE}"/>
    <cellStyle name="20% - Accent1 4 3" xfId="1030" xr:uid="{00000000-0005-0000-0000-00007F000000}"/>
    <cellStyle name="20% - Accent1 4 3 2" xfId="3261" xr:uid="{00000000-0005-0000-0000-000080000000}"/>
    <cellStyle name="20% - Accent1 4 3 2 2" xfId="7484" xr:uid="{00000000-0005-0000-0000-000081000000}"/>
    <cellStyle name="20% - Accent1 4 3 2 2 2" xfId="15926" xr:uid="{71BA5AAF-F632-4A28-8891-5FB769805551}"/>
    <cellStyle name="20% - Accent1 4 3 2 3" xfId="11708" xr:uid="{A1489A3F-C221-4D81-93CD-C96460260216}"/>
    <cellStyle name="20% - Accent1 4 3 3" xfId="5339" xr:uid="{00000000-0005-0000-0000-000082000000}"/>
    <cellStyle name="20% - Accent1 4 3 3 2" xfId="13781" xr:uid="{921E706F-4945-42F3-9D6A-88ED7E234E63}"/>
    <cellStyle name="20% - Accent1 4 3 4" xfId="9563" xr:uid="{27253CF9-8196-44A9-8755-F2376E664702}"/>
    <cellStyle name="20% - Accent1 4 4" xfId="1444" xr:uid="{00000000-0005-0000-0000-000083000000}"/>
    <cellStyle name="20% - Accent1 4 4 2" xfId="3674" xr:uid="{00000000-0005-0000-0000-000084000000}"/>
    <cellStyle name="20% - Accent1 4 4 2 2" xfId="7897" xr:uid="{00000000-0005-0000-0000-000085000000}"/>
    <cellStyle name="20% - Accent1 4 4 2 2 2" xfId="16339" xr:uid="{664636A3-3CCE-4F18-AC97-7C65BE67762B}"/>
    <cellStyle name="20% - Accent1 4 4 2 3" xfId="12121" xr:uid="{0B2B7BDD-1612-4ABD-82FE-0C8C86A2D292}"/>
    <cellStyle name="20% - Accent1 4 4 3" xfId="5752" xr:uid="{00000000-0005-0000-0000-000086000000}"/>
    <cellStyle name="20% - Accent1 4 4 3 2" xfId="14194" xr:uid="{9634B677-3862-4017-8D1A-424B1411C4E2}"/>
    <cellStyle name="20% - Accent1 4 4 4" xfId="9976" xr:uid="{210FE023-2591-4FB9-AB9B-662FE2FBEAF5}"/>
    <cellStyle name="20% - Accent1 4 5" xfId="1858" xr:uid="{00000000-0005-0000-0000-000087000000}"/>
    <cellStyle name="20% - Accent1 4 5 2" xfId="4087" xr:uid="{00000000-0005-0000-0000-000088000000}"/>
    <cellStyle name="20% - Accent1 4 5 2 2" xfId="8310" xr:uid="{00000000-0005-0000-0000-000089000000}"/>
    <cellStyle name="20% - Accent1 4 5 2 2 2" xfId="16752" xr:uid="{3CE9CDC8-0580-49FB-B2FB-8F796636C429}"/>
    <cellStyle name="20% - Accent1 4 5 2 3" xfId="12534" xr:uid="{AC0120C3-962D-4C78-A582-5F143232CC66}"/>
    <cellStyle name="20% - Accent1 4 5 3" xfId="6165" xr:uid="{00000000-0005-0000-0000-00008A000000}"/>
    <cellStyle name="20% - Accent1 4 5 3 2" xfId="14607" xr:uid="{21918B86-918B-45C8-B921-06AD6B72F1B2}"/>
    <cellStyle name="20% - Accent1 4 5 4" xfId="10389" xr:uid="{C9CF9341-1104-4436-A490-F477CB9FCB12}"/>
    <cellStyle name="20% - Accent1 4 6" xfId="2271" xr:uid="{00000000-0005-0000-0000-00008B000000}"/>
    <cellStyle name="20% - Accent1 4 6 2" xfId="6578" xr:uid="{00000000-0005-0000-0000-00008C000000}"/>
    <cellStyle name="20% - Accent1 4 6 2 2" xfId="15020" xr:uid="{CD4D674B-83A7-404C-A344-1D31A290A12F}"/>
    <cellStyle name="20% - Accent1 4 6 3" xfId="10802" xr:uid="{E2AF2D02-9FE2-411A-9085-48401979E6C9}"/>
    <cellStyle name="20% - Accent1 4 7" xfId="4512" xr:uid="{00000000-0005-0000-0000-00008D000000}"/>
    <cellStyle name="20% - Accent1 4 7 2" xfId="12954" xr:uid="{B3FDDE44-40CB-43AA-B25D-122ABC8592E1}"/>
    <cellStyle name="20% - Accent1 4 8" xfId="8736" xr:uid="{8039C762-9B3A-43B1-9562-BCBD1022DF3C}"/>
    <cellStyle name="20% - Accent1 5" xfId="570" xr:uid="{00000000-0005-0000-0000-00008E000000}"/>
    <cellStyle name="20% - Accent1 5 2" xfId="2841" xr:uid="{00000000-0005-0000-0000-00008F000000}"/>
    <cellStyle name="20% - Accent1 5 2 2" xfId="7064" xr:uid="{00000000-0005-0000-0000-000090000000}"/>
    <cellStyle name="20% - Accent1 5 2 2 2" xfId="15506" xr:uid="{ACD0172A-8F3A-4DF6-8BA6-F9598B966C91}"/>
    <cellStyle name="20% - Accent1 5 2 3" xfId="11288" xr:uid="{8B7BD325-DF27-430B-AC3A-D64BEB861E41}"/>
    <cellStyle name="20% - Accent1 5 3" xfId="4919" xr:uid="{00000000-0005-0000-0000-000091000000}"/>
    <cellStyle name="20% - Accent1 5 3 2" xfId="13361" xr:uid="{8EA92571-40E5-42D4-B113-2866A27576B8}"/>
    <cellStyle name="20% - Accent1 5 4" xfId="9143" xr:uid="{C49882AF-6EEF-4924-BC96-E03C12502655}"/>
    <cellStyle name="20% - Accent1 6" xfId="1023" xr:uid="{00000000-0005-0000-0000-000092000000}"/>
    <cellStyle name="20% - Accent1 6 2" xfId="3254" xr:uid="{00000000-0005-0000-0000-000093000000}"/>
    <cellStyle name="20% - Accent1 6 2 2" xfId="7477" xr:uid="{00000000-0005-0000-0000-000094000000}"/>
    <cellStyle name="20% - Accent1 6 2 2 2" xfId="15919" xr:uid="{971F1B21-79C8-4987-AE4D-206273A3354E}"/>
    <cellStyle name="20% - Accent1 6 2 3" xfId="11701" xr:uid="{090547BD-7DC1-4423-BD97-FEA025A5137F}"/>
    <cellStyle name="20% - Accent1 6 3" xfId="5332" xr:uid="{00000000-0005-0000-0000-000095000000}"/>
    <cellStyle name="20% - Accent1 6 3 2" xfId="13774" xr:uid="{81A0D63A-9702-484C-8740-DA6AB3A9F011}"/>
    <cellStyle name="20% - Accent1 6 4" xfId="9556" xr:uid="{DB0D21F7-457E-4F36-9339-39BAF0F7C2DA}"/>
    <cellStyle name="20% - Accent1 7" xfId="1437" xr:uid="{00000000-0005-0000-0000-000096000000}"/>
    <cellStyle name="20% - Accent1 7 2" xfId="3667" xr:uid="{00000000-0005-0000-0000-000097000000}"/>
    <cellStyle name="20% - Accent1 7 2 2" xfId="7890" xr:uid="{00000000-0005-0000-0000-000098000000}"/>
    <cellStyle name="20% - Accent1 7 2 2 2" xfId="16332" xr:uid="{35B742EF-8E9A-4448-A101-C334B65216E4}"/>
    <cellStyle name="20% - Accent1 7 2 3" xfId="12114" xr:uid="{45DAEDFB-B9AE-4E2C-B211-BA03F4B8FC22}"/>
    <cellStyle name="20% - Accent1 7 3" xfId="5745" xr:uid="{00000000-0005-0000-0000-000099000000}"/>
    <cellStyle name="20% - Accent1 7 3 2" xfId="14187" xr:uid="{9CF85492-C040-4AA8-8ED1-F7F12363C03E}"/>
    <cellStyle name="20% - Accent1 7 4" xfId="9969" xr:uid="{364631B2-C7EF-4A24-8539-A7A5490CD715}"/>
    <cellStyle name="20% - Accent1 8" xfId="1851" xr:uid="{00000000-0005-0000-0000-00009A000000}"/>
    <cellStyle name="20% - Accent1 8 2" xfId="4080" xr:uid="{00000000-0005-0000-0000-00009B000000}"/>
    <cellStyle name="20% - Accent1 8 2 2" xfId="8303" xr:uid="{00000000-0005-0000-0000-00009C000000}"/>
    <cellStyle name="20% - Accent1 8 2 2 2" xfId="16745" xr:uid="{5B3D4EB7-5017-4076-BD84-70FCA01A4C68}"/>
    <cellStyle name="20% - Accent1 8 2 3" xfId="12527" xr:uid="{1A58546E-D11D-4EC0-AD9F-41AFC8489D9E}"/>
    <cellStyle name="20% - Accent1 8 3" xfId="6158" xr:uid="{00000000-0005-0000-0000-00009D000000}"/>
    <cellStyle name="20% - Accent1 8 3 2" xfId="14600" xr:uid="{105049DF-1D62-475B-A487-EA2251B661BB}"/>
    <cellStyle name="20% - Accent1 8 4" xfId="10382" xr:uid="{9C5D112F-701C-48BE-BDE5-7595F1A4DFEF}"/>
    <cellStyle name="20% - Accent1 9" xfId="2264" xr:uid="{00000000-0005-0000-0000-00009E000000}"/>
    <cellStyle name="20% - Accent1 9 2" xfId="6571" xr:uid="{00000000-0005-0000-0000-00009F000000}"/>
    <cellStyle name="20% - Accent1 9 2 2" xfId="15013" xr:uid="{9F2ABDB3-7A20-45C0-A553-1EC97E264A15}"/>
    <cellStyle name="20% - Accent1 9 3" xfId="10795" xr:uid="{3F79BE19-8406-4BD9-A156-A403BF41B283}"/>
    <cellStyle name="20% - Accent2" xfId="9" builtinId="34" customBuiltin="1"/>
    <cellStyle name="20% - Accent2 10" xfId="4513" xr:uid="{00000000-0005-0000-0000-0000A1000000}"/>
    <cellStyle name="20% - Accent2 10 2" xfId="12955" xr:uid="{E9749928-3F10-4344-9581-4F618E7DA1BF}"/>
    <cellStyle name="20% - Accent2 11" xfId="8737" xr:uid="{AB2E0179-5CAA-40B4-B939-79A1D169C63C}"/>
    <cellStyle name="20% - Accent2 2" xfId="10" xr:uid="{00000000-0005-0000-0000-0000A2000000}"/>
    <cellStyle name="20% - Accent2 2 10" xfId="8738" xr:uid="{C4A397F0-8FB6-4088-9858-BDA95030A3BA}"/>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2 2 2" xfId="15517" xr:uid="{F7A82D9D-C830-4425-BA3E-D638C8173AB4}"/>
    <cellStyle name="20% - Accent2 2 2 2 2 2 3" xfId="11299" xr:uid="{CD43AB8D-70A5-44EC-B822-BB4C97C9A7FD}"/>
    <cellStyle name="20% - Accent2 2 2 2 2 3" xfId="4930" xr:uid="{00000000-0005-0000-0000-0000A8000000}"/>
    <cellStyle name="20% - Accent2 2 2 2 2 3 2" xfId="13372" xr:uid="{8CF91843-C931-43D3-96F1-B22590EB80E4}"/>
    <cellStyle name="20% - Accent2 2 2 2 2 4" xfId="9154" xr:uid="{E8123F5D-C77D-4AF8-85D7-FAC4535E225F}"/>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2 2 2" xfId="15930" xr:uid="{948D074F-1894-467D-88E5-0B167417F8EC}"/>
    <cellStyle name="20% - Accent2 2 2 2 3 2 3" xfId="11712" xr:uid="{DED128C0-A08E-4E03-AE39-D30C4FCCF25E}"/>
    <cellStyle name="20% - Accent2 2 2 2 3 3" xfId="5343" xr:uid="{00000000-0005-0000-0000-0000AC000000}"/>
    <cellStyle name="20% - Accent2 2 2 2 3 3 2" xfId="13785" xr:uid="{1727644D-A7B3-40F6-BEC4-EFC234BB6206}"/>
    <cellStyle name="20% - Accent2 2 2 2 3 4" xfId="9567" xr:uid="{BED7BA93-047B-46B7-B2FF-86FD775441D4}"/>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2 2 2" xfId="16343" xr:uid="{B264ABAF-A841-46FD-8FE4-A98578B4666A}"/>
    <cellStyle name="20% - Accent2 2 2 2 4 2 3" xfId="12125" xr:uid="{D6326789-7FA4-4E7B-A646-0C450556BD57}"/>
    <cellStyle name="20% - Accent2 2 2 2 4 3" xfId="5756" xr:uid="{00000000-0005-0000-0000-0000B0000000}"/>
    <cellStyle name="20% - Accent2 2 2 2 4 3 2" xfId="14198" xr:uid="{2823ADDF-5170-4D29-B90B-CBB1CC16C801}"/>
    <cellStyle name="20% - Accent2 2 2 2 4 4" xfId="9980" xr:uid="{BE5825AD-1AE9-40CB-AE05-9B4BADFC4766}"/>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2 2 2" xfId="16756" xr:uid="{FBE8D3B1-07CC-4FF0-8CAF-6C7546195DA3}"/>
    <cellStyle name="20% - Accent2 2 2 2 5 2 3" xfId="12538" xr:uid="{AEB37BF2-C168-4F34-A604-F4F3A42E670A}"/>
    <cellStyle name="20% - Accent2 2 2 2 5 3" xfId="6169" xr:uid="{00000000-0005-0000-0000-0000B4000000}"/>
    <cellStyle name="20% - Accent2 2 2 2 5 3 2" xfId="14611" xr:uid="{C5429016-93D3-47E0-8B9F-0C9162ED0BBE}"/>
    <cellStyle name="20% - Accent2 2 2 2 5 4" xfId="10393" xr:uid="{DE3C1788-2848-481F-B9A1-E6F849DE4572}"/>
    <cellStyle name="20% - Accent2 2 2 2 6" xfId="2275" xr:uid="{00000000-0005-0000-0000-0000B5000000}"/>
    <cellStyle name="20% - Accent2 2 2 2 6 2" xfId="6582" xr:uid="{00000000-0005-0000-0000-0000B6000000}"/>
    <cellStyle name="20% - Accent2 2 2 2 6 2 2" xfId="15024" xr:uid="{702E7A6D-C409-46EE-9E59-335277597239}"/>
    <cellStyle name="20% - Accent2 2 2 2 6 3" xfId="10806" xr:uid="{0E770D74-3B7C-40D7-B02E-6E3F90DD8595}"/>
    <cellStyle name="20% - Accent2 2 2 2 7" xfId="4516" xr:uid="{00000000-0005-0000-0000-0000B7000000}"/>
    <cellStyle name="20% - Accent2 2 2 2 7 2" xfId="12958" xr:uid="{7E83DE0F-0A1C-4E75-BF97-DC4B07FC3F7C}"/>
    <cellStyle name="20% - Accent2 2 2 2 8" xfId="8740" xr:uid="{A0E02C7C-8546-4195-A408-0D2E5C30BD74}"/>
    <cellStyle name="20% - Accent2 2 2 3" xfId="580" xr:uid="{00000000-0005-0000-0000-0000B8000000}"/>
    <cellStyle name="20% - Accent2 2 2 3 2" xfId="2851" xr:uid="{00000000-0005-0000-0000-0000B9000000}"/>
    <cellStyle name="20% - Accent2 2 2 3 2 2" xfId="7074" xr:uid="{00000000-0005-0000-0000-0000BA000000}"/>
    <cellStyle name="20% - Accent2 2 2 3 2 2 2" xfId="15516" xr:uid="{9F623C5C-7882-4904-A718-E536F6E0D289}"/>
    <cellStyle name="20% - Accent2 2 2 3 2 3" xfId="11298" xr:uid="{FD17B4CF-7BDB-4DE8-9A3C-5112576039AD}"/>
    <cellStyle name="20% - Accent2 2 2 3 3" xfId="4929" xr:uid="{00000000-0005-0000-0000-0000BB000000}"/>
    <cellStyle name="20% - Accent2 2 2 3 3 2" xfId="13371" xr:uid="{DF114676-3DBA-4217-938B-0FB4741503E8}"/>
    <cellStyle name="20% - Accent2 2 2 3 4" xfId="9153" xr:uid="{099108A7-0CA2-446F-AA9A-25D8E1EB7D7C}"/>
    <cellStyle name="20% - Accent2 2 2 4" xfId="1033" xr:uid="{00000000-0005-0000-0000-0000BC000000}"/>
    <cellStyle name="20% - Accent2 2 2 4 2" xfId="3264" xr:uid="{00000000-0005-0000-0000-0000BD000000}"/>
    <cellStyle name="20% - Accent2 2 2 4 2 2" xfId="7487" xr:uid="{00000000-0005-0000-0000-0000BE000000}"/>
    <cellStyle name="20% - Accent2 2 2 4 2 2 2" xfId="15929" xr:uid="{F7717D1E-5DBA-4790-BD85-D585BE491DE9}"/>
    <cellStyle name="20% - Accent2 2 2 4 2 3" xfId="11711" xr:uid="{B53127BE-93D7-45E9-8DB9-D9C81A2A76FB}"/>
    <cellStyle name="20% - Accent2 2 2 4 3" xfId="5342" xr:uid="{00000000-0005-0000-0000-0000BF000000}"/>
    <cellStyle name="20% - Accent2 2 2 4 3 2" xfId="13784" xr:uid="{0903DC8E-2C12-4BD2-A706-5039DDF031F8}"/>
    <cellStyle name="20% - Accent2 2 2 4 4" xfId="9566" xr:uid="{01C32A41-5FAA-417A-B473-265FB0426B86}"/>
    <cellStyle name="20% - Accent2 2 2 5" xfId="1447" xr:uid="{00000000-0005-0000-0000-0000C0000000}"/>
    <cellStyle name="20% - Accent2 2 2 5 2" xfId="3677" xr:uid="{00000000-0005-0000-0000-0000C1000000}"/>
    <cellStyle name="20% - Accent2 2 2 5 2 2" xfId="7900" xr:uid="{00000000-0005-0000-0000-0000C2000000}"/>
    <cellStyle name="20% - Accent2 2 2 5 2 2 2" xfId="16342" xr:uid="{3D1166FF-CA64-4516-8A2E-083EDABA7726}"/>
    <cellStyle name="20% - Accent2 2 2 5 2 3" xfId="12124" xr:uid="{A5F8C08D-F92B-4FF6-9B84-38F9B5727556}"/>
    <cellStyle name="20% - Accent2 2 2 5 3" xfId="5755" xr:uid="{00000000-0005-0000-0000-0000C3000000}"/>
    <cellStyle name="20% - Accent2 2 2 5 3 2" xfId="14197" xr:uid="{8CAC310C-FD2A-403E-9397-754645BA8F77}"/>
    <cellStyle name="20% - Accent2 2 2 5 4" xfId="9979" xr:uid="{E3F6F9E0-F15F-4952-96E4-D40896A9A90E}"/>
    <cellStyle name="20% - Accent2 2 2 6" xfId="1861" xr:uid="{00000000-0005-0000-0000-0000C4000000}"/>
    <cellStyle name="20% - Accent2 2 2 6 2" xfId="4090" xr:uid="{00000000-0005-0000-0000-0000C5000000}"/>
    <cellStyle name="20% - Accent2 2 2 6 2 2" xfId="8313" xr:uid="{00000000-0005-0000-0000-0000C6000000}"/>
    <cellStyle name="20% - Accent2 2 2 6 2 2 2" xfId="16755" xr:uid="{A17D4ED4-5844-4CD8-A485-28491860B56E}"/>
    <cellStyle name="20% - Accent2 2 2 6 2 3" xfId="12537" xr:uid="{2D5F93E4-FE2A-4590-A872-B5AC9C23598B}"/>
    <cellStyle name="20% - Accent2 2 2 6 3" xfId="6168" xr:uid="{00000000-0005-0000-0000-0000C7000000}"/>
    <cellStyle name="20% - Accent2 2 2 6 3 2" xfId="14610" xr:uid="{ED7F8782-3538-4AAE-84BD-8129AE94879F}"/>
    <cellStyle name="20% - Accent2 2 2 6 4" xfId="10392" xr:uid="{C89FAD2D-505E-4C9F-BB28-E47284853D88}"/>
    <cellStyle name="20% - Accent2 2 2 7" xfId="2274" xr:uid="{00000000-0005-0000-0000-0000C8000000}"/>
    <cellStyle name="20% - Accent2 2 2 7 2" xfId="6581" xr:uid="{00000000-0005-0000-0000-0000C9000000}"/>
    <cellStyle name="20% - Accent2 2 2 7 2 2" xfId="15023" xr:uid="{8B1B50B3-FEFB-4EF3-9755-F3C5D336D1B6}"/>
    <cellStyle name="20% - Accent2 2 2 7 3" xfId="10805" xr:uid="{FDD0BD2D-5F3A-4D82-911A-5A8C18D1808C}"/>
    <cellStyle name="20% - Accent2 2 2 8" xfId="4515" xr:uid="{00000000-0005-0000-0000-0000CA000000}"/>
    <cellStyle name="20% - Accent2 2 2 8 2" xfId="12957" xr:uid="{1B75F4E0-8594-4E4F-B222-4BDBEC030154}"/>
    <cellStyle name="20% - Accent2 2 2 9" xfId="8739" xr:uid="{1B129274-D347-4B9B-A824-E749EC013762}"/>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2 2 2" xfId="15518" xr:uid="{44C11AC1-B7A6-441E-A392-96F1008B9432}"/>
    <cellStyle name="20% - Accent2 2 3 2 2 3" xfId="11300" xr:uid="{B76570E9-2C60-41CA-98AE-3F79BE747455}"/>
    <cellStyle name="20% - Accent2 2 3 2 3" xfId="4931" xr:uid="{00000000-0005-0000-0000-0000CF000000}"/>
    <cellStyle name="20% - Accent2 2 3 2 3 2" xfId="13373" xr:uid="{1867FC11-7D67-420C-BF06-0806072F7CC0}"/>
    <cellStyle name="20% - Accent2 2 3 2 4" xfId="9155" xr:uid="{3EA4D7A0-15BA-405D-A0BA-0C5C46C4E994}"/>
    <cellStyle name="20% - Accent2 2 3 3" xfId="1035" xr:uid="{00000000-0005-0000-0000-0000D0000000}"/>
    <cellStyle name="20% - Accent2 2 3 3 2" xfId="3266" xr:uid="{00000000-0005-0000-0000-0000D1000000}"/>
    <cellStyle name="20% - Accent2 2 3 3 2 2" xfId="7489" xr:uid="{00000000-0005-0000-0000-0000D2000000}"/>
    <cellStyle name="20% - Accent2 2 3 3 2 2 2" xfId="15931" xr:uid="{418BC9B4-EEAF-419C-B2B4-1AB4F2C2D71D}"/>
    <cellStyle name="20% - Accent2 2 3 3 2 3" xfId="11713" xr:uid="{3B930FCF-0654-42DD-9F14-E82B31938CD3}"/>
    <cellStyle name="20% - Accent2 2 3 3 3" xfId="5344" xr:uid="{00000000-0005-0000-0000-0000D3000000}"/>
    <cellStyle name="20% - Accent2 2 3 3 3 2" xfId="13786" xr:uid="{ADB4E17C-2BCB-4B75-B8DA-DBAE32E52D1F}"/>
    <cellStyle name="20% - Accent2 2 3 3 4" xfId="9568" xr:uid="{5569E0E6-B9F2-47AF-A2B7-46322620AA89}"/>
    <cellStyle name="20% - Accent2 2 3 4" xfId="1449" xr:uid="{00000000-0005-0000-0000-0000D4000000}"/>
    <cellStyle name="20% - Accent2 2 3 4 2" xfId="3679" xr:uid="{00000000-0005-0000-0000-0000D5000000}"/>
    <cellStyle name="20% - Accent2 2 3 4 2 2" xfId="7902" xr:uid="{00000000-0005-0000-0000-0000D6000000}"/>
    <cellStyle name="20% - Accent2 2 3 4 2 2 2" xfId="16344" xr:uid="{3388ED66-A6A5-494D-A287-32061C58BE91}"/>
    <cellStyle name="20% - Accent2 2 3 4 2 3" xfId="12126" xr:uid="{7287A05E-0F82-4BEF-9B06-F1D3F6EE8C56}"/>
    <cellStyle name="20% - Accent2 2 3 4 3" xfId="5757" xr:uid="{00000000-0005-0000-0000-0000D7000000}"/>
    <cellStyle name="20% - Accent2 2 3 4 3 2" xfId="14199" xr:uid="{FA50DE32-7B0F-4574-AB03-4BECDB40591F}"/>
    <cellStyle name="20% - Accent2 2 3 4 4" xfId="9981" xr:uid="{034A89FB-F7F7-4EDD-BEC9-A4C597CC6154}"/>
    <cellStyle name="20% - Accent2 2 3 5" xfId="1863" xr:uid="{00000000-0005-0000-0000-0000D8000000}"/>
    <cellStyle name="20% - Accent2 2 3 5 2" xfId="4092" xr:uid="{00000000-0005-0000-0000-0000D9000000}"/>
    <cellStyle name="20% - Accent2 2 3 5 2 2" xfId="8315" xr:uid="{00000000-0005-0000-0000-0000DA000000}"/>
    <cellStyle name="20% - Accent2 2 3 5 2 2 2" xfId="16757" xr:uid="{6E523F19-1326-421D-9CAD-3E98C4307874}"/>
    <cellStyle name="20% - Accent2 2 3 5 2 3" xfId="12539" xr:uid="{9DBA81FD-5274-4C25-8A82-891D59E98AFA}"/>
    <cellStyle name="20% - Accent2 2 3 5 3" xfId="6170" xr:uid="{00000000-0005-0000-0000-0000DB000000}"/>
    <cellStyle name="20% - Accent2 2 3 5 3 2" xfId="14612" xr:uid="{1D979428-B73F-44A7-ADEB-6EE33990E238}"/>
    <cellStyle name="20% - Accent2 2 3 5 4" xfId="10394" xr:uid="{C617AEDC-CDBE-4BCD-BFF3-255FBB39473B}"/>
    <cellStyle name="20% - Accent2 2 3 6" xfId="2276" xr:uid="{00000000-0005-0000-0000-0000DC000000}"/>
    <cellStyle name="20% - Accent2 2 3 6 2" xfId="6583" xr:uid="{00000000-0005-0000-0000-0000DD000000}"/>
    <cellStyle name="20% - Accent2 2 3 6 2 2" xfId="15025" xr:uid="{AE664BD6-E5A9-4721-BC90-29B894BEA68E}"/>
    <cellStyle name="20% - Accent2 2 3 6 3" xfId="10807" xr:uid="{F3D5CDAE-47C7-4EB3-A5CB-46955F928C6D}"/>
    <cellStyle name="20% - Accent2 2 3 7" xfId="4517" xr:uid="{00000000-0005-0000-0000-0000DE000000}"/>
    <cellStyle name="20% - Accent2 2 3 7 2" xfId="12959" xr:uid="{F7F9C022-BD1A-47A4-8448-71581A0C8580}"/>
    <cellStyle name="20% - Accent2 2 3 8" xfId="8741" xr:uid="{C756F1FB-5685-459D-8B7D-95377AA251BD}"/>
    <cellStyle name="20% - Accent2 2 4" xfId="579" xr:uid="{00000000-0005-0000-0000-0000DF000000}"/>
    <cellStyle name="20% - Accent2 2 4 2" xfId="2850" xr:uid="{00000000-0005-0000-0000-0000E0000000}"/>
    <cellStyle name="20% - Accent2 2 4 2 2" xfId="7073" xr:uid="{00000000-0005-0000-0000-0000E1000000}"/>
    <cellStyle name="20% - Accent2 2 4 2 2 2" xfId="15515" xr:uid="{5F4E725C-FA68-4F84-8433-A2F1A0C31A2D}"/>
    <cellStyle name="20% - Accent2 2 4 2 3" xfId="11297" xr:uid="{AF798621-C4D8-4AA7-A2D4-ADB45B0645AC}"/>
    <cellStyle name="20% - Accent2 2 4 3" xfId="4928" xr:uid="{00000000-0005-0000-0000-0000E2000000}"/>
    <cellStyle name="20% - Accent2 2 4 3 2" xfId="13370" xr:uid="{6A7CDF6C-8A46-4AA9-8A50-17E8E60DC6DD}"/>
    <cellStyle name="20% - Accent2 2 4 4" xfId="9152" xr:uid="{9C733C65-5E78-4D32-92A9-38F5B2A27EFC}"/>
    <cellStyle name="20% - Accent2 2 5" xfId="1032" xr:uid="{00000000-0005-0000-0000-0000E3000000}"/>
    <cellStyle name="20% - Accent2 2 5 2" xfId="3263" xr:uid="{00000000-0005-0000-0000-0000E4000000}"/>
    <cellStyle name="20% - Accent2 2 5 2 2" xfId="7486" xr:uid="{00000000-0005-0000-0000-0000E5000000}"/>
    <cellStyle name="20% - Accent2 2 5 2 2 2" xfId="15928" xr:uid="{41250D15-B4DB-4138-9D31-2C035ED1C1F7}"/>
    <cellStyle name="20% - Accent2 2 5 2 3" xfId="11710" xr:uid="{2BA3B772-726A-4748-80DD-3C58851CC330}"/>
    <cellStyle name="20% - Accent2 2 5 3" xfId="5341" xr:uid="{00000000-0005-0000-0000-0000E6000000}"/>
    <cellStyle name="20% - Accent2 2 5 3 2" xfId="13783" xr:uid="{B6EF95BD-A8EA-4E10-93B5-D4FC1D636289}"/>
    <cellStyle name="20% - Accent2 2 5 4" xfId="9565" xr:uid="{D7139060-3F7D-40B1-BE77-E8EC66904353}"/>
    <cellStyle name="20% - Accent2 2 6" xfId="1446" xr:uid="{00000000-0005-0000-0000-0000E7000000}"/>
    <cellStyle name="20% - Accent2 2 6 2" xfId="3676" xr:uid="{00000000-0005-0000-0000-0000E8000000}"/>
    <cellStyle name="20% - Accent2 2 6 2 2" xfId="7899" xr:uid="{00000000-0005-0000-0000-0000E9000000}"/>
    <cellStyle name="20% - Accent2 2 6 2 2 2" xfId="16341" xr:uid="{91A595CD-8210-4357-96C7-4FFB008DF330}"/>
    <cellStyle name="20% - Accent2 2 6 2 3" xfId="12123" xr:uid="{959BADF6-9366-4C5A-BF1A-EA65A2F4B1FC}"/>
    <cellStyle name="20% - Accent2 2 6 3" xfId="5754" xr:uid="{00000000-0005-0000-0000-0000EA000000}"/>
    <cellStyle name="20% - Accent2 2 6 3 2" xfId="14196" xr:uid="{C3B957B0-775E-4C4F-9539-11F5B7C2E3F3}"/>
    <cellStyle name="20% - Accent2 2 6 4" xfId="9978" xr:uid="{4A69D904-4755-4929-A8DF-AC8385D12229}"/>
    <cellStyle name="20% - Accent2 2 7" xfId="1860" xr:uid="{00000000-0005-0000-0000-0000EB000000}"/>
    <cellStyle name="20% - Accent2 2 7 2" xfId="4089" xr:uid="{00000000-0005-0000-0000-0000EC000000}"/>
    <cellStyle name="20% - Accent2 2 7 2 2" xfId="8312" xr:uid="{00000000-0005-0000-0000-0000ED000000}"/>
    <cellStyle name="20% - Accent2 2 7 2 2 2" xfId="16754" xr:uid="{352666F3-CBC3-423B-8DA6-D8D413953E36}"/>
    <cellStyle name="20% - Accent2 2 7 2 3" xfId="12536" xr:uid="{7E14476A-627A-40B9-A7A4-8073BA95EEDA}"/>
    <cellStyle name="20% - Accent2 2 7 3" xfId="6167" xr:uid="{00000000-0005-0000-0000-0000EE000000}"/>
    <cellStyle name="20% - Accent2 2 7 3 2" xfId="14609" xr:uid="{2A8A0169-9123-4DFE-AAD1-B907251EC022}"/>
    <cellStyle name="20% - Accent2 2 7 4" xfId="10391" xr:uid="{B46C119F-A95F-491F-8004-99A041A95363}"/>
    <cellStyle name="20% - Accent2 2 8" xfId="2273" xr:uid="{00000000-0005-0000-0000-0000EF000000}"/>
    <cellStyle name="20% - Accent2 2 8 2" xfId="6580" xr:uid="{00000000-0005-0000-0000-0000F0000000}"/>
    <cellStyle name="20% - Accent2 2 8 2 2" xfId="15022" xr:uid="{77BC3CED-8D2B-4856-8194-3346DEC261F7}"/>
    <cellStyle name="20% - Accent2 2 8 3" xfId="10804" xr:uid="{5FAB4F69-C7A0-446B-A2EE-FE929C125638}"/>
    <cellStyle name="20% - Accent2 2 9" xfId="4514" xr:uid="{00000000-0005-0000-0000-0000F1000000}"/>
    <cellStyle name="20% - Accent2 2 9 2" xfId="12956" xr:uid="{021D438F-DDA5-4F53-890B-3AA4DFE39CDA}"/>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2 2 2" xfId="15520" xr:uid="{1C35A0F2-B2AC-4DF4-9316-3CF9ED5AA852}"/>
    <cellStyle name="20% - Accent2 3 2 2 2 3" xfId="11302" xr:uid="{61E5141C-3208-4F87-ABCE-F1FC3ECE44F5}"/>
    <cellStyle name="20% - Accent2 3 2 2 3" xfId="4933" xr:uid="{00000000-0005-0000-0000-0000F7000000}"/>
    <cellStyle name="20% - Accent2 3 2 2 3 2" xfId="13375" xr:uid="{3C82D67C-89E4-4767-A19F-E4F9897846BF}"/>
    <cellStyle name="20% - Accent2 3 2 2 4" xfId="9157" xr:uid="{8C0C4011-0D6A-4A90-B70F-5F78695C3185}"/>
    <cellStyle name="20% - Accent2 3 2 3" xfId="1037" xr:uid="{00000000-0005-0000-0000-0000F8000000}"/>
    <cellStyle name="20% - Accent2 3 2 3 2" xfId="3268" xr:uid="{00000000-0005-0000-0000-0000F9000000}"/>
    <cellStyle name="20% - Accent2 3 2 3 2 2" xfId="7491" xr:uid="{00000000-0005-0000-0000-0000FA000000}"/>
    <cellStyle name="20% - Accent2 3 2 3 2 2 2" xfId="15933" xr:uid="{AB702BC7-44BA-4CD5-A648-D38C492BE672}"/>
    <cellStyle name="20% - Accent2 3 2 3 2 3" xfId="11715" xr:uid="{971A9D28-9140-4518-A3F5-994A192FF2C1}"/>
    <cellStyle name="20% - Accent2 3 2 3 3" xfId="5346" xr:uid="{00000000-0005-0000-0000-0000FB000000}"/>
    <cellStyle name="20% - Accent2 3 2 3 3 2" xfId="13788" xr:uid="{9079FA2B-DB1C-49DE-BB0F-A24F8AF55A88}"/>
    <cellStyle name="20% - Accent2 3 2 3 4" xfId="9570" xr:uid="{2EBAE0AF-2DE6-4350-A700-66C44FF10C4F}"/>
    <cellStyle name="20% - Accent2 3 2 4" xfId="1451" xr:uid="{00000000-0005-0000-0000-0000FC000000}"/>
    <cellStyle name="20% - Accent2 3 2 4 2" xfId="3681" xr:uid="{00000000-0005-0000-0000-0000FD000000}"/>
    <cellStyle name="20% - Accent2 3 2 4 2 2" xfId="7904" xr:uid="{00000000-0005-0000-0000-0000FE000000}"/>
    <cellStyle name="20% - Accent2 3 2 4 2 2 2" xfId="16346" xr:uid="{AEDC1AE0-835E-474E-B971-0BF58978AF3F}"/>
    <cellStyle name="20% - Accent2 3 2 4 2 3" xfId="12128" xr:uid="{6DC6D9F6-7BD9-474A-BD5D-F6F222EE3629}"/>
    <cellStyle name="20% - Accent2 3 2 4 3" xfId="5759" xr:uid="{00000000-0005-0000-0000-0000FF000000}"/>
    <cellStyle name="20% - Accent2 3 2 4 3 2" xfId="14201" xr:uid="{D49FBAF2-7246-4B6C-8D91-12A15F5147E7}"/>
    <cellStyle name="20% - Accent2 3 2 4 4" xfId="9983" xr:uid="{6C592A0A-784A-4FC1-83CA-5A1104AA1AB4}"/>
    <cellStyle name="20% - Accent2 3 2 5" xfId="1865" xr:uid="{00000000-0005-0000-0000-000000010000}"/>
    <cellStyle name="20% - Accent2 3 2 5 2" xfId="4094" xr:uid="{00000000-0005-0000-0000-000001010000}"/>
    <cellStyle name="20% - Accent2 3 2 5 2 2" xfId="8317" xr:uid="{00000000-0005-0000-0000-000002010000}"/>
    <cellStyle name="20% - Accent2 3 2 5 2 2 2" xfId="16759" xr:uid="{30A70386-0CA7-456F-A5F0-4D9A348151C8}"/>
    <cellStyle name="20% - Accent2 3 2 5 2 3" xfId="12541" xr:uid="{564BA3C0-3C69-4CE3-9717-503E035C6EB9}"/>
    <cellStyle name="20% - Accent2 3 2 5 3" xfId="6172" xr:uid="{00000000-0005-0000-0000-000003010000}"/>
    <cellStyle name="20% - Accent2 3 2 5 3 2" xfId="14614" xr:uid="{BF1FB5DE-8893-4818-B570-EFDBC19A6874}"/>
    <cellStyle name="20% - Accent2 3 2 5 4" xfId="10396" xr:uid="{E377CA98-9493-4D28-ACB1-E7D7211B6EB3}"/>
    <cellStyle name="20% - Accent2 3 2 6" xfId="2278" xr:uid="{00000000-0005-0000-0000-000004010000}"/>
    <cellStyle name="20% - Accent2 3 2 6 2" xfId="6585" xr:uid="{00000000-0005-0000-0000-000005010000}"/>
    <cellStyle name="20% - Accent2 3 2 6 2 2" xfId="15027" xr:uid="{EEA1AF16-087B-4B74-BBCF-88AA345A31A3}"/>
    <cellStyle name="20% - Accent2 3 2 6 3" xfId="10809" xr:uid="{D12DA64F-1FE7-4921-AE3F-1144EB3CA3EF}"/>
    <cellStyle name="20% - Accent2 3 2 7" xfId="4519" xr:uid="{00000000-0005-0000-0000-000006010000}"/>
    <cellStyle name="20% - Accent2 3 2 7 2" xfId="12961" xr:uid="{7E25D922-F592-475B-9A6D-9EE5B60E6749}"/>
    <cellStyle name="20% - Accent2 3 2 8" xfId="8743" xr:uid="{204D8C91-C95D-40E3-8FF7-5C3D47AAEB2F}"/>
    <cellStyle name="20% - Accent2 3 3" xfId="583" xr:uid="{00000000-0005-0000-0000-000007010000}"/>
    <cellStyle name="20% - Accent2 3 3 2" xfId="2854" xr:uid="{00000000-0005-0000-0000-000008010000}"/>
    <cellStyle name="20% - Accent2 3 3 2 2" xfId="7077" xr:uid="{00000000-0005-0000-0000-000009010000}"/>
    <cellStyle name="20% - Accent2 3 3 2 2 2" xfId="15519" xr:uid="{6C57B0DB-0C5A-49A2-85D6-4F9AE9C41B07}"/>
    <cellStyle name="20% - Accent2 3 3 2 3" xfId="11301" xr:uid="{DF699F7B-93E0-429A-9F3D-9186B87A87CE}"/>
    <cellStyle name="20% - Accent2 3 3 3" xfId="4932" xr:uid="{00000000-0005-0000-0000-00000A010000}"/>
    <cellStyle name="20% - Accent2 3 3 3 2" xfId="13374" xr:uid="{F6D1FD3C-EE3A-4C7D-B0CA-7F22BD1FA339}"/>
    <cellStyle name="20% - Accent2 3 3 4" xfId="9156" xr:uid="{4C3B218D-A22C-41CC-9FAC-044A4D1A392B}"/>
    <cellStyle name="20% - Accent2 3 4" xfId="1036" xr:uid="{00000000-0005-0000-0000-00000B010000}"/>
    <cellStyle name="20% - Accent2 3 4 2" xfId="3267" xr:uid="{00000000-0005-0000-0000-00000C010000}"/>
    <cellStyle name="20% - Accent2 3 4 2 2" xfId="7490" xr:uid="{00000000-0005-0000-0000-00000D010000}"/>
    <cellStyle name="20% - Accent2 3 4 2 2 2" xfId="15932" xr:uid="{CCCDDD62-5FCA-480D-9EFB-374A2888D419}"/>
    <cellStyle name="20% - Accent2 3 4 2 3" xfId="11714" xr:uid="{060ED171-1968-46A5-81DF-9BB0DD72C7F4}"/>
    <cellStyle name="20% - Accent2 3 4 3" xfId="5345" xr:uid="{00000000-0005-0000-0000-00000E010000}"/>
    <cellStyle name="20% - Accent2 3 4 3 2" xfId="13787" xr:uid="{5FB73CFE-96D8-40CD-BCCF-BC6909D232A2}"/>
    <cellStyle name="20% - Accent2 3 4 4" xfId="9569" xr:uid="{01619C97-8FAC-4551-B19A-22482DC20D2C}"/>
    <cellStyle name="20% - Accent2 3 5" xfId="1450" xr:uid="{00000000-0005-0000-0000-00000F010000}"/>
    <cellStyle name="20% - Accent2 3 5 2" xfId="3680" xr:uid="{00000000-0005-0000-0000-000010010000}"/>
    <cellStyle name="20% - Accent2 3 5 2 2" xfId="7903" xr:uid="{00000000-0005-0000-0000-000011010000}"/>
    <cellStyle name="20% - Accent2 3 5 2 2 2" xfId="16345" xr:uid="{1067E1B1-8E83-4404-98ED-21CA0B55B69B}"/>
    <cellStyle name="20% - Accent2 3 5 2 3" xfId="12127" xr:uid="{068C73BE-5740-44C0-9D45-6B9E2A5B1096}"/>
    <cellStyle name="20% - Accent2 3 5 3" xfId="5758" xr:uid="{00000000-0005-0000-0000-000012010000}"/>
    <cellStyle name="20% - Accent2 3 5 3 2" xfId="14200" xr:uid="{3E0E96E8-2CAD-4F02-A255-82BE9C94FC3A}"/>
    <cellStyle name="20% - Accent2 3 5 4" xfId="9982" xr:uid="{879FBF24-1C7E-4F6A-82AF-FF629682EF56}"/>
    <cellStyle name="20% - Accent2 3 6" xfId="1864" xr:uid="{00000000-0005-0000-0000-000013010000}"/>
    <cellStyle name="20% - Accent2 3 6 2" xfId="4093" xr:uid="{00000000-0005-0000-0000-000014010000}"/>
    <cellStyle name="20% - Accent2 3 6 2 2" xfId="8316" xr:uid="{00000000-0005-0000-0000-000015010000}"/>
    <cellStyle name="20% - Accent2 3 6 2 2 2" xfId="16758" xr:uid="{40E6D957-0C0E-45D6-A32F-E2FF25985F5F}"/>
    <cellStyle name="20% - Accent2 3 6 2 3" xfId="12540" xr:uid="{788169CE-F8A9-41BE-951B-DA8D69C02DD1}"/>
    <cellStyle name="20% - Accent2 3 6 3" xfId="6171" xr:uid="{00000000-0005-0000-0000-000016010000}"/>
    <cellStyle name="20% - Accent2 3 6 3 2" xfId="14613" xr:uid="{C98ECB5B-852E-4410-A902-F9B335585FF0}"/>
    <cellStyle name="20% - Accent2 3 6 4" xfId="10395" xr:uid="{28D1ABED-4EEB-42BD-B795-9AA0F2EB5D26}"/>
    <cellStyle name="20% - Accent2 3 7" xfId="2277" xr:uid="{00000000-0005-0000-0000-000017010000}"/>
    <cellStyle name="20% - Accent2 3 7 2" xfId="6584" xr:uid="{00000000-0005-0000-0000-000018010000}"/>
    <cellStyle name="20% - Accent2 3 7 2 2" xfId="15026" xr:uid="{4E00142C-92A5-4773-B8D8-586C5413A46D}"/>
    <cellStyle name="20% - Accent2 3 7 3" xfId="10808" xr:uid="{1ED58711-2354-4320-867E-7593DC845D1A}"/>
    <cellStyle name="20% - Accent2 3 8" xfId="4518" xr:uid="{00000000-0005-0000-0000-000019010000}"/>
    <cellStyle name="20% - Accent2 3 8 2" xfId="12960" xr:uid="{EE1B4D40-C262-481E-910A-CCA33F239B7F}"/>
    <cellStyle name="20% - Accent2 3 9" xfId="8742" xr:uid="{3D5AB4CA-2E01-4EED-9407-4FECDC71C3CC}"/>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2 2 2" xfId="15521" xr:uid="{C0054A53-630C-423D-A239-966CA931DB1F}"/>
    <cellStyle name="20% - Accent2 4 2 2 3" xfId="11303" xr:uid="{775B76E9-F6CB-4DA7-9B4A-E3BA1B1076C4}"/>
    <cellStyle name="20% - Accent2 4 2 3" xfId="4934" xr:uid="{00000000-0005-0000-0000-00001E010000}"/>
    <cellStyle name="20% - Accent2 4 2 3 2" xfId="13376" xr:uid="{06CD3DFB-C34E-46BC-A0E8-20185A1FB1B0}"/>
    <cellStyle name="20% - Accent2 4 2 4" xfId="9158" xr:uid="{4F49F6C8-0B83-4277-B645-225DC5F94056}"/>
    <cellStyle name="20% - Accent2 4 3" xfId="1038" xr:uid="{00000000-0005-0000-0000-00001F010000}"/>
    <cellStyle name="20% - Accent2 4 3 2" xfId="3269" xr:uid="{00000000-0005-0000-0000-000020010000}"/>
    <cellStyle name="20% - Accent2 4 3 2 2" xfId="7492" xr:uid="{00000000-0005-0000-0000-000021010000}"/>
    <cellStyle name="20% - Accent2 4 3 2 2 2" xfId="15934" xr:uid="{A0CAD8A6-7F63-437E-9F76-E38469B0C31F}"/>
    <cellStyle name="20% - Accent2 4 3 2 3" xfId="11716" xr:uid="{38978494-A9FA-4B3B-949E-A5022E12B062}"/>
    <cellStyle name="20% - Accent2 4 3 3" xfId="5347" xr:uid="{00000000-0005-0000-0000-000022010000}"/>
    <cellStyle name="20% - Accent2 4 3 3 2" xfId="13789" xr:uid="{4F94E443-CAA4-428A-A057-291811373B3E}"/>
    <cellStyle name="20% - Accent2 4 3 4" xfId="9571" xr:uid="{CC465F13-331B-4801-9102-E520B12E2D64}"/>
    <cellStyle name="20% - Accent2 4 4" xfId="1452" xr:uid="{00000000-0005-0000-0000-000023010000}"/>
    <cellStyle name="20% - Accent2 4 4 2" xfId="3682" xr:uid="{00000000-0005-0000-0000-000024010000}"/>
    <cellStyle name="20% - Accent2 4 4 2 2" xfId="7905" xr:uid="{00000000-0005-0000-0000-000025010000}"/>
    <cellStyle name="20% - Accent2 4 4 2 2 2" xfId="16347" xr:uid="{6417F480-7EE0-4BF0-A898-C7E96E25C058}"/>
    <cellStyle name="20% - Accent2 4 4 2 3" xfId="12129" xr:uid="{8D720571-BE51-44BD-BCCC-941AEC96D7EE}"/>
    <cellStyle name="20% - Accent2 4 4 3" xfId="5760" xr:uid="{00000000-0005-0000-0000-000026010000}"/>
    <cellStyle name="20% - Accent2 4 4 3 2" xfId="14202" xr:uid="{0F39D681-E070-4384-9D32-9D3C5D96934D}"/>
    <cellStyle name="20% - Accent2 4 4 4" xfId="9984" xr:uid="{D1043C64-B8AA-4631-8C86-A39203165896}"/>
    <cellStyle name="20% - Accent2 4 5" xfId="1866" xr:uid="{00000000-0005-0000-0000-000027010000}"/>
    <cellStyle name="20% - Accent2 4 5 2" xfId="4095" xr:uid="{00000000-0005-0000-0000-000028010000}"/>
    <cellStyle name="20% - Accent2 4 5 2 2" xfId="8318" xr:uid="{00000000-0005-0000-0000-000029010000}"/>
    <cellStyle name="20% - Accent2 4 5 2 2 2" xfId="16760" xr:uid="{FAFB7E20-091B-42F9-BF12-AAFB4C532BAB}"/>
    <cellStyle name="20% - Accent2 4 5 2 3" xfId="12542" xr:uid="{C1A87A89-E6A2-4C3C-ACC0-DAE78BB1DEF0}"/>
    <cellStyle name="20% - Accent2 4 5 3" xfId="6173" xr:uid="{00000000-0005-0000-0000-00002A010000}"/>
    <cellStyle name="20% - Accent2 4 5 3 2" xfId="14615" xr:uid="{FDFEC37B-2B6A-44BA-B8B7-B7C37BDCFFFF}"/>
    <cellStyle name="20% - Accent2 4 5 4" xfId="10397" xr:uid="{1D04E291-795B-4523-823C-F3DE72E3DE81}"/>
    <cellStyle name="20% - Accent2 4 6" xfId="2279" xr:uid="{00000000-0005-0000-0000-00002B010000}"/>
    <cellStyle name="20% - Accent2 4 6 2" xfId="6586" xr:uid="{00000000-0005-0000-0000-00002C010000}"/>
    <cellStyle name="20% - Accent2 4 6 2 2" xfId="15028" xr:uid="{B9070269-5E8D-46AE-A864-28BCBAAD457C}"/>
    <cellStyle name="20% - Accent2 4 6 3" xfId="10810" xr:uid="{3FB50C7C-E76C-411D-8789-DE0B65E3136D}"/>
    <cellStyle name="20% - Accent2 4 7" xfId="4520" xr:uid="{00000000-0005-0000-0000-00002D010000}"/>
    <cellStyle name="20% - Accent2 4 7 2" xfId="12962" xr:uid="{8EF660BB-84F1-403F-85F8-B80D4BAA66C2}"/>
    <cellStyle name="20% - Accent2 4 8" xfId="8744" xr:uid="{6C97A4C5-4423-4F44-8B9F-2A73CA3EA46B}"/>
    <cellStyle name="20% - Accent2 5" xfId="578" xr:uid="{00000000-0005-0000-0000-00002E010000}"/>
    <cellStyle name="20% - Accent2 5 2" xfId="2849" xr:uid="{00000000-0005-0000-0000-00002F010000}"/>
    <cellStyle name="20% - Accent2 5 2 2" xfId="7072" xr:uid="{00000000-0005-0000-0000-000030010000}"/>
    <cellStyle name="20% - Accent2 5 2 2 2" xfId="15514" xr:uid="{F2C05680-BE9F-4223-A73C-F0A3E498068E}"/>
    <cellStyle name="20% - Accent2 5 2 3" xfId="11296" xr:uid="{49C3B0B5-840C-41D2-A4D3-C37BC5E9C6DA}"/>
    <cellStyle name="20% - Accent2 5 3" xfId="4927" xr:uid="{00000000-0005-0000-0000-000031010000}"/>
    <cellStyle name="20% - Accent2 5 3 2" xfId="13369" xr:uid="{5E2BED9C-AC3A-48C3-92E8-67D959DF9B93}"/>
    <cellStyle name="20% - Accent2 5 4" xfId="9151" xr:uid="{656B6C59-6DC8-4B22-A6C1-4B53958154A0}"/>
    <cellStyle name="20% - Accent2 6" xfId="1031" xr:uid="{00000000-0005-0000-0000-000032010000}"/>
    <cellStyle name="20% - Accent2 6 2" xfId="3262" xr:uid="{00000000-0005-0000-0000-000033010000}"/>
    <cellStyle name="20% - Accent2 6 2 2" xfId="7485" xr:uid="{00000000-0005-0000-0000-000034010000}"/>
    <cellStyle name="20% - Accent2 6 2 2 2" xfId="15927" xr:uid="{0BB70507-3BAB-4104-AFD9-4A5D91BF3927}"/>
    <cellStyle name="20% - Accent2 6 2 3" xfId="11709" xr:uid="{699C161E-1C38-4A94-BAF6-C45453FFA4BA}"/>
    <cellStyle name="20% - Accent2 6 3" xfId="5340" xr:uid="{00000000-0005-0000-0000-000035010000}"/>
    <cellStyle name="20% - Accent2 6 3 2" xfId="13782" xr:uid="{9BFCF6DA-756C-48AB-B246-C0B4FCC93B47}"/>
    <cellStyle name="20% - Accent2 6 4" xfId="9564" xr:uid="{02B8C710-A639-4D86-9FCB-56C3D6189974}"/>
    <cellStyle name="20% - Accent2 7" xfId="1445" xr:uid="{00000000-0005-0000-0000-000036010000}"/>
    <cellStyle name="20% - Accent2 7 2" xfId="3675" xr:uid="{00000000-0005-0000-0000-000037010000}"/>
    <cellStyle name="20% - Accent2 7 2 2" xfId="7898" xr:uid="{00000000-0005-0000-0000-000038010000}"/>
    <cellStyle name="20% - Accent2 7 2 2 2" xfId="16340" xr:uid="{124861FA-6435-4787-B548-AFABCE02C359}"/>
    <cellStyle name="20% - Accent2 7 2 3" xfId="12122" xr:uid="{07339EE2-9CA3-4180-80CE-130619562B81}"/>
    <cellStyle name="20% - Accent2 7 3" xfId="5753" xr:uid="{00000000-0005-0000-0000-000039010000}"/>
    <cellStyle name="20% - Accent2 7 3 2" xfId="14195" xr:uid="{ACE5041F-F7E9-4A43-BD21-76BFF7166B89}"/>
    <cellStyle name="20% - Accent2 7 4" xfId="9977" xr:uid="{D40E5315-FB0A-4D99-BE36-F9EE6A42FE3B}"/>
    <cellStyle name="20% - Accent2 8" xfId="1859" xr:uid="{00000000-0005-0000-0000-00003A010000}"/>
    <cellStyle name="20% - Accent2 8 2" xfId="4088" xr:uid="{00000000-0005-0000-0000-00003B010000}"/>
    <cellStyle name="20% - Accent2 8 2 2" xfId="8311" xr:uid="{00000000-0005-0000-0000-00003C010000}"/>
    <cellStyle name="20% - Accent2 8 2 2 2" xfId="16753" xr:uid="{037C708F-9DC0-4567-9C9D-DD714D4634FA}"/>
    <cellStyle name="20% - Accent2 8 2 3" xfId="12535" xr:uid="{CD3789DA-AF05-489D-A55A-54B6A8117F72}"/>
    <cellStyle name="20% - Accent2 8 3" xfId="6166" xr:uid="{00000000-0005-0000-0000-00003D010000}"/>
    <cellStyle name="20% - Accent2 8 3 2" xfId="14608" xr:uid="{CD8BA6B5-A05B-47FA-A8E4-BEC4EF40E65D}"/>
    <cellStyle name="20% - Accent2 8 4" xfId="10390" xr:uid="{4B4B7E3C-E1A7-4003-85CF-9B523BBD2851}"/>
    <cellStyle name="20% - Accent2 9" xfId="2272" xr:uid="{00000000-0005-0000-0000-00003E010000}"/>
    <cellStyle name="20% - Accent2 9 2" xfId="6579" xr:uid="{00000000-0005-0000-0000-00003F010000}"/>
    <cellStyle name="20% - Accent2 9 2 2" xfId="15021" xr:uid="{88390DF8-9EE1-4B89-8E5B-D4DCA8567039}"/>
    <cellStyle name="20% - Accent2 9 3" xfId="10803" xr:uid="{7FC34A0E-0AD8-41B5-8FFD-C99A99C6173F}"/>
    <cellStyle name="20% - Accent3" xfId="17" builtinId="38" customBuiltin="1"/>
    <cellStyle name="20% - Accent3 10" xfId="4521" xr:uid="{00000000-0005-0000-0000-000041010000}"/>
    <cellStyle name="20% - Accent3 10 2" xfId="12963" xr:uid="{8F14ACE0-7018-4E30-8119-611F030B0081}"/>
    <cellStyle name="20% - Accent3 11" xfId="8745" xr:uid="{0CF0DE1E-736E-4ED6-BA6A-374DEED5B1FD}"/>
    <cellStyle name="20% - Accent3 2" xfId="18" xr:uid="{00000000-0005-0000-0000-000042010000}"/>
    <cellStyle name="20% - Accent3 2 10" xfId="8746" xr:uid="{C3113E01-413F-4619-9778-97110ED9E9ED}"/>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2 2 2" xfId="15525" xr:uid="{222D5EBB-8454-4AAD-BC02-02FA9D3F4EBD}"/>
    <cellStyle name="20% - Accent3 2 2 2 2 2 3" xfId="11307" xr:uid="{649EFB32-0DD8-4318-8C41-1F36481A816B}"/>
    <cellStyle name="20% - Accent3 2 2 2 2 3" xfId="4938" xr:uid="{00000000-0005-0000-0000-000048010000}"/>
    <cellStyle name="20% - Accent3 2 2 2 2 3 2" xfId="13380" xr:uid="{1DE54E63-FADA-4513-B9AC-EC2FB6BAEE50}"/>
    <cellStyle name="20% - Accent3 2 2 2 2 4" xfId="9162" xr:uid="{6E7D601F-38B0-478D-A38F-F2A25B024CE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2 2 2" xfId="15938" xr:uid="{B4F0669D-31C6-44DE-A6F1-CFC0FDEE67B5}"/>
    <cellStyle name="20% - Accent3 2 2 2 3 2 3" xfId="11720" xr:uid="{B5170805-93D5-4DD0-B63D-6C866A83F255}"/>
    <cellStyle name="20% - Accent3 2 2 2 3 3" xfId="5351" xr:uid="{00000000-0005-0000-0000-00004C010000}"/>
    <cellStyle name="20% - Accent3 2 2 2 3 3 2" xfId="13793" xr:uid="{6BD5FE66-A856-4F41-9DC7-B25C99E3E578}"/>
    <cellStyle name="20% - Accent3 2 2 2 3 4" xfId="9575" xr:uid="{456D2418-8277-4221-9819-E659B88D7D22}"/>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2 2 2" xfId="16351" xr:uid="{AE0EB507-677C-48C1-9EC9-AC84EE2761D5}"/>
    <cellStyle name="20% - Accent3 2 2 2 4 2 3" xfId="12133" xr:uid="{F1F85BE4-A999-4D8C-8C45-10A1810F7842}"/>
    <cellStyle name="20% - Accent3 2 2 2 4 3" xfId="5764" xr:uid="{00000000-0005-0000-0000-000050010000}"/>
    <cellStyle name="20% - Accent3 2 2 2 4 3 2" xfId="14206" xr:uid="{73373073-CD4D-4B8C-A496-9EFB68F25649}"/>
    <cellStyle name="20% - Accent3 2 2 2 4 4" xfId="9988" xr:uid="{CF1E7330-E926-4F3A-99A5-CF7735767181}"/>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2 2 2" xfId="16764" xr:uid="{C8FC952F-5959-4C3E-8F24-EA0542B4EC90}"/>
    <cellStyle name="20% - Accent3 2 2 2 5 2 3" xfId="12546" xr:uid="{49E5E298-E8C1-40B6-8310-0EE454DF4B80}"/>
    <cellStyle name="20% - Accent3 2 2 2 5 3" xfId="6177" xr:uid="{00000000-0005-0000-0000-000054010000}"/>
    <cellStyle name="20% - Accent3 2 2 2 5 3 2" xfId="14619" xr:uid="{1B335A68-6127-4BB3-B0E7-B16D126CDCC7}"/>
    <cellStyle name="20% - Accent3 2 2 2 5 4" xfId="10401" xr:uid="{B3F5639E-1025-410F-AB04-F72ADC8385CC}"/>
    <cellStyle name="20% - Accent3 2 2 2 6" xfId="2283" xr:uid="{00000000-0005-0000-0000-000055010000}"/>
    <cellStyle name="20% - Accent3 2 2 2 6 2" xfId="6590" xr:uid="{00000000-0005-0000-0000-000056010000}"/>
    <cellStyle name="20% - Accent3 2 2 2 6 2 2" xfId="15032" xr:uid="{1A12A909-0090-4BF4-A40C-31357C072786}"/>
    <cellStyle name="20% - Accent3 2 2 2 6 3" xfId="10814" xr:uid="{0D142CED-25F9-4132-A931-D27A7E95C5A7}"/>
    <cellStyle name="20% - Accent3 2 2 2 7" xfId="4524" xr:uid="{00000000-0005-0000-0000-000057010000}"/>
    <cellStyle name="20% - Accent3 2 2 2 7 2" xfId="12966" xr:uid="{97045A34-CAE4-4037-85E9-B895B7CCF706}"/>
    <cellStyle name="20% - Accent3 2 2 2 8" xfId="8748" xr:uid="{DF95CC3B-82BF-417C-8BCF-CB738A1DB469}"/>
    <cellStyle name="20% - Accent3 2 2 3" xfId="588" xr:uid="{00000000-0005-0000-0000-000058010000}"/>
    <cellStyle name="20% - Accent3 2 2 3 2" xfId="2859" xr:uid="{00000000-0005-0000-0000-000059010000}"/>
    <cellStyle name="20% - Accent3 2 2 3 2 2" xfId="7082" xr:uid="{00000000-0005-0000-0000-00005A010000}"/>
    <cellStyle name="20% - Accent3 2 2 3 2 2 2" xfId="15524" xr:uid="{9EE09C34-51F0-4400-84A1-8749DB1D53CF}"/>
    <cellStyle name="20% - Accent3 2 2 3 2 3" xfId="11306" xr:uid="{C7BAAEAB-EF49-4491-BE58-4CC0C460BC07}"/>
    <cellStyle name="20% - Accent3 2 2 3 3" xfId="4937" xr:uid="{00000000-0005-0000-0000-00005B010000}"/>
    <cellStyle name="20% - Accent3 2 2 3 3 2" xfId="13379" xr:uid="{EC2DE9A8-6256-42EB-93C0-507EDE45A729}"/>
    <cellStyle name="20% - Accent3 2 2 3 4" xfId="9161" xr:uid="{6B6E2752-FF6F-4683-8FF5-66BFBF05787A}"/>
    <cellStyle name="20% - Accent3 2 2 4" xfId="1041" xr:uid="{00000000-0005-0000-0000-00005C010000}"/>
    <cellStyle name="20% - Accent3 2 2 4 2" xfId="3272" xr:uid="{00000000-0005-0000-0000-00005D010000}"/>
    <cellStyle name="20% - Accent3 2 2 4 2 2" xfId="7495" xr:uid="{00000000-0005-0000-0000-00005E010000}"/>
    <cellStyle name="20% - Accent3 2 2 4 2 2 2" xfId="15937" xr:uid="{D50E29E1-D35D-473D-B961-FAD70314DBA5}"/>
    <cellStyle name="20% - Accent3 2 2 4 2 3" xfId="11719" xr:uid="{B25CAA61-AEBF-431C-ACB8-7EBD884B71C7}"/>
    <cellStyle name="20% - Accent3 2 2 4 3" xfId="5350" xr:uid="{00000000-0005-0000-0000-00005F010000}"/>
    <cellStyle name="20% - Accent3 2 2 4 3 2" xfId="13792" xr:uid="{A3E234D5-FBD5-4D1F-9A43-BFD89966551D}"/>
    <cellStyle name="20% - Accent3 2 2 4 4" xfId="9574" xr:uid="{4AE97B25-992E-4E9B-9CFD-8F502EF4A39C}"/>
    <cellStyle name="20% - Accent3 2 2 5" xfId="1455" xr:uid="{00000000-0005-0000-0000-000060010000}"/>
    <cellStyle name="20% - Accent3 2 2 5 2" xfId="3685" xr:uid="{00000000-0005-0000-0000-000061010000}"/>
    <cellStyle name="20% - Accent3 2 2 5 2 2" xfId="7908" xr:uid="{00000000-0005-0000-0000-000062010000}"/>
    <cellStyle name="20% - Accent3 2 2 5 2 2 2" xfId="16350" xr:uid="{ABFBC7E4-B612-4007-8E51-BC0E0BAF4EC4}"/>
    <cellStyle name="20% - Accent3 2 2 5 2 3" xfId="12132" xr:uid="{444B289A-6BE3-4C0D-9D72-23E4F1CAEF50}"/>
    <cellStyle name="20% - Accent3 2 2 5 3" xfId="5763" xr:uid="{00000000-0005-0000-0000-000063010000}"/>
    <cellStyle name="20% - Accent3 2 2 5 3 2" xfId="14205" xr:uid="{19675B3D-F732-4191-9AAC-96D01CFECC92}"/>
    <cellStyle name="20% - Accent3 2 2 5 4" xfId="9987" xr:uid="{B6244571-53AF-436E-914C-FFD3D69D78FC}"/>
    <cellStyle name="20% - Accent3 2 2 6" xfId="1869" xr:uid="{00000000-0005-0000-0000-000064010000}"/>
    <cellStyle name="20% - Accent3 2 2 6 2" xfId="4098" xr:uid="{00000000-0005-0000-0000-000065010000}"/>
    <cellStyle name="20% - Accent3 2 2 6 2 2" xfId="8321" xr:uid="{00000000-0005-0000-0000-000066010000}"/>
    <cellStyle name="20% - Accent3 2 2 6 2 2 2" xfId="16763" xr:uid="{8777D466-3C9D-47D7-992C-A3AF27B4C4AD}"/>
    <cellStyle name="20% - Accent3 2 2 6 2 3" xfId="12545" xr:uid="{6C9FB475-AFFA-4B82-9B8F-FE90380079BC}"/>
    <cellStyle name="20% - Accent3 2 2 6 3" xfId="6176" xr:uid="{00000000-0005-0000-0000-000067010000}"/>
    <cellStyle name="20% - Accent3 2 2 6 3 2" xfId="14618" xr:uid="{E2928FB0-ACE7-4675-938D-4CACBB2C5427}"/>
    <cellStyle name="20% - Accent3 2 2 6 4" xfId="10400" xr:uid="{91071E77-FE7A-4E93-9642-8BD532C1D76F}"/>
    <cellStyle name="20% - Accent3 2 2 7" xfId="2282" xr:uid="{00000000-0005-0000-0000-000068010000}"/>
    <cellStyle name="20% - Accent3 2 2 7 2" xfId="6589" xr:uid="{00000000-0005-0000-0000-000069010000}"/>
    <cellStyle name="20% - Accent3 2 2 7 2 2" xfId="15031" xr:uid="{D8975AFD-A02B-48B7-8E29-3869CEECC802}"/>
    <cellStyle name="20% - Accent3 2 2 7 3" xfId="10813" xr:uid="{D231A31E-4128-4FD4-A105-F82B9A777A58}"/>
    <cellStyle name="20% - Accent3 2 2 8" xfId="4523" xr:uid="{00000000-0005-0000-0000-00006A010000}"/>
    <cellStyle name="20% - Accent3 2 2 8 2" xfId="12965" xr:uid="{EE805F5C-A054-41C8-B600-12091425A3F8}"/>
    <cellStyle name="20% - Accent3 2 2 9" xfId="8747" xr:uid="{F0521871-91F0-4EEC-9D44-F19DA0B65736}"/>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2 2 2" xfId="15526" xr:uid="{775CCBDC-E756-47BC-BB7B-F79E6F6644B1}"/>
    <cellStyle name="20% - Accent3 2 3 2 2 3" xfId="11308" xr:uid="{5B951B3E-AE6E-4F20-A98E-E5E17277EFB8}"/>
    <cellStyle name="20% - Accent3 2 3 2 3" xfId="4939" xr:uid="{00000000-0005-0000-0000-00006F010000}"/>
    <cellStyle name="20% - Accent3 2 3 2 3 2" xfId="13381" xr:uid="{501887AD-A102-4918-B9C8-35C5C8F6039C}"/>
    <cellStyle name="20% - Accent3 2 3 2 4" xfId="9163" xr:uid="{B975787E-8005-4469-8A2B-F3E075BC8E21}"/>
    <cellStyle name="20% - Accent3 2 3 3" xfId="1043" xr:uid="{00000000-0005-0000-0000-000070010000}"/>
    <cellStyle name="20% - Accent3 2 3 3 2" xfId="3274" xr:uid="{00000000-0005-0000-0000-000071010000}"/>
    <cellStyle name="20% - Accent3 2 3 3 2 2" xfId="7497" xr:uid="{00000000-0005-0000-0000-000072010000}"/>
    <cellStyle name="20% - Accent3 2 3 3 2 2 2" xfId="15939" xr:uid="{F2E7B827-A510-4483-A759-B0055B90E891}"/>
    <cellStyle name="20% - Accent3 2 3 3 2 3" xfId="11721" xr:uid="{ABA92403-426E-493F-BD06-47D4BA89578B}"/>
    <cellStyle name="20% - Accent3 2 3 3 3" xfId="5352" xr:uid="{00000000-0005-0000-0000-000073010000}"/>
    <cellStyle name="20% - Accent3 2 3 3 3 2" xfId="13794" xr:uid="{4B0EA76C-D023-4EF0-AE47-AC9520E56686}"/>
    <cellStyle name="20% - Accent3 2 3 3 4" xfId="9576" xr:uid="{5DBC529C-0B8C-4D87-BF8E-62B19BF52346}"/>
    <cellStyle name="20% - Accent3 2 3 4" xfId="1457" xr:uid="{00000000-0005-0000-0000-000074010000}"/>
    <cellStyle name="20% - Accent3 2 3 4 2" xfId="3687" xr:uid="{00000000-0005-0000-0000-000075010000}"/>
    <cellStyle name="20% - Accent3 2 3 4 2 2" xfId="7910" xr:uid="{00000000-0005-0000-0000-000076010000}"/>
    <cellStyle name="20% - Accent3 2 3 4 2 2 2" xfId="16352" xr:uid="{5D75DA96-6A77-43A9-A16F-DC1A55F9F58B}"/>
    <cellStyle name="20% - Accent3 2 3 4 2 3" xfId="12134" xr:uid="{955C7C95-A673-443E-BC45-CC25970108D5}"/>
    <cellStyle name="20% - Accent3 2 3 4 3" xfId="5765" xr:uid="{00000000-0005-0000-0000-000077010000}"/>
    <cellStyle name="20% - Accent3 2 3 4 3 2" xfId="14207" xr:uid="{41DAD6F6-1385-4115-AA55-048E07572861}"/>
    <cellStyle name="20% - Accent3 2 3 4 4" xfId="9989" xr:uid="{46828260-60D6-4F2F-8C7F-5B70C7D3027A}"/>
    <cellStyle name="20% - Accent3 2 3 5" xfId="1871" xr:uid="{00000000-0005-0000-0000-000078010000}"/>
    <cellStyle name="20% - Accent3 2 3 5 2" xfId="4100" xr:uid="{00000000-0005-0000-0000-000079010000}"/>
    <cellStyle name="20% - Accent3 2 3 5 2 2" xfId="8323" xr:uid="{00000000-0005-0000-0000-00007A010000}"/>
    <cellStyle name="20% - Accent3 2 3 5 2 2 2" xfId="16765" xr:uid="{B63A3833-89DB-48E5-AE85-8F4D51D44486}"/>
    <cellStyle name="20% - Accent3 2 3 5 2 3" xfId="12547" xr:uid="{87E7ECD2-7D8F-48C0-B533-CAD0B15EC850}"/>
    <cellStyle name="20% - Accent3 2 3 5 3" xfId="6178" xr:uid="{00000000-0005-0000-0000-00007B010000}"/>
    <cellStyle name="20% - Accent3 2 3 5 3 2" xfId="14620" xr:uid="{2C0F43A3-4E75-4954-97E3-22F4D804245C}"/>
    <cellStyle name="20% - Accent3 2 3 5 4" xfId="10402" xr:uid="{1BF7350E-0448-4884-B07B-5799DD21B114}"/>
    <cellStyle name="20% - Accent3 2 3 6" xfId="2284" xr:uid="{00000000-0005-0000-0000-00007C010000}"/>
    <cellStyle name="20% - Accent3 2 3 6 2" xfId="6591" xr:uid="{00000000-0005-0000-0000-00007D010000}"/>
    <cellStyle name="20% - Accent3 2 3 6 2 2" xfId="15033" xr:uid="{3AD395E9-E6C8-4EB0-A827-68D3FA7828BD}"/>
    <cellStyle name="20% - Accent3 2 3 6 3" xfId="10815" xr:uid="{98E0A914-6048-4E84-A7FC-18A3B1906A5F}"/>
    <cellStyle name="20% - Accent3 2 3 7" xfId="4525" xr:uid="{00000000-0005-0000-0000-00007E010000}"/>
    <cellStyle name="20% - Accent3 2 3 7 2" xfId="12967" xr:uid="{420D97A6-0155-457B-9881-B9FB6F9E2AC5}"/>
    <cellStyle name="20% - Accent3 2 3 8" xfId="8749" xr:uid="{A21E449F-BF91-41BA-8E40-DBC6414F762C}"/>
    <cellStyle name="20% - Accent3 2 4" xfId="587" xr:uid="{00000000-0005-0000-0000-00007F010000}"/>
    <cellStyle name="20% - Accent3 2 4 2" xfId="2858" xr:uid="{00000000-0005-0000-0000-000080010000}"/>
    <cellStyle name="20% - Accent3 2 4 2 2" xfId="7081" xr:uid="{00000000-0005-0000-0000-000081010000}"/>
    <cellStyle name="20% - Accent3 2 4 2 2 2" xfId="15523" xr:uid="{05193CC2-E82F-4215-8A45-3E369FD135F0}"/>
    <cellStyle name="20% - Accent3 2 4 2 3" xfId="11305" xr:uid="{451DDE03-4C9C-425D-8002-4621068A2778}"/>
    <cellStyle name="20% - Accent3 2 4 3" xfId="4936" xr:uid="{00000000-0005-0000-0000-000082010000}"/>
    <cellStyle name="20% - Accent3 2 4 3 2" xfId="13378" xr:uid="{1C2D3E1C-ED28-43D7-B5FD-FAA0E598F34A}"/>
    <cellStyle name="20% - Accent3 2 4 4" xfId="9160" xr:uid="{7C881FE9-9433-4859-A4BE-B76D2F0E10D4}"/>
    <cellStyle name="20% - Accent3 2 5" xfId="1040" xr:uid="{00000000-0005-0000-0000-000083010000}"/>
    <cellStyle name="20% - Accent3 2 5 2" xfId="3271" xr:uid="{00000000-0005-0000-0000-000084010000}"/>
    <cellStyle name="20% - Accent3 2 5 2 2" xfId="7494" xr:uid="{00000000-0005-0000-0000-000085010000}"/>
    <cellStyle name="20% - Accent3 2 5 2 2 2" xfId="15936" xr:uid="{7BA20558-1D68-403C-8164-4CFE48D0665F}"/>
    <cellStyle name="20% - Accent3 2 5 2 3" xfId="11718" xr:uid="{3E59BF60-227D-4030-B04D-11DDAD91DCCE}"/>
    <cellStyle name="20% - Accent3 2 5 3" xfId="5349" xr:uid="{00000000-0005-0000-0000-000086010000}"/>
    <cellStyle name="20% - Accent3 2 5 3 2" xfId="13791" xr:uid="{5ABE7065-0462-4A08-AA41-9263565D617C}"/>
    <cellStyle name="20% - Accent3 2 5 4" xfId="9573" xr:uid="{0208273C-D07F-4CCD-9AD0-5A994E34F667}"/>
    <cellStyle name="20% - Accent3 2 6" xfId="1454" xr:uid="{00000000-0005-0000-0000-000087010000}"/>
    <cellStyle name="20% - Accent3 2 6 2" xfId="3684" xr:uid="{00000000-0005-0000-0000-000088010000}"/>
    <cellStyle name="20% - Accent3 2 6 2 2" xfId="7907" xr:uid="{00000000-0005-0000-0000-000089010000}"/>
    <cellStyle name="20% - Accent3 2 6 2 2 2" xfId="16349" xr:uid="{24ABB85F-4CFB-4188-A41B-E735C6491ACF}"/>
    <cellStyle name="20% - Accent3 2 6 2 3" xfId="12131" xr:uid="{190E2481-0000-4464-A849-AC5FBA078980}"/>
    <cellStyle name="20% - Accent3 2 6 3" xfId="5762" xr:uid="{00000000-0005-0000-0000-00008A010000}"/>
    <cellStyle name="20% - Accent3 2 6 3 2" xfId="14204" xr:uid="{B319923F-D462-47E3-9812-49DA969DA4F1}"/>
    <cellStyle name="20% - Accent3 2 6 4" xfId="9986" xr:uid="{5B444F19-F8E2-456C-9A14-F552EAC99DCF}"/>
    <cellStyle name="20% - Accent3 2 7" xfId="1868" xr:uid="{00000000-0005-0000-0000-00008B010000}"/>
    <cellStyle name="20% - Accent3 2 7 2" xfId="4097" xr:uid="{00000000-0005-0000-0000-00008C010000}"/>
    <cellStyle name="20% - Accent3 2 7 2 2" xfId="8320" xr:uid="{00000000-0005-0000-0000-00008D010000}"/>
    <cellStyle name="20% - Accent3 2 7 2 2 2" xfId="16762" xr:uid="{480DA2D4-C127-4841-B3A7-E72F6DEC0956}"/>
    <cellStyle name="20% - Accent3 2 7 2 3" xfId="12544" xr:uid="{C3144164-DA2B-4061-AA7C-9AB02074B81C}"/>
    <cellStyle name="20% - Accent3 2 7 3" xfId="6175" xr:uid="{00000000-0005-0000-0000-00008E010000}"/>
    <cellStyle name="20% - Accent3 2 7 3 2" xfId="14617" xr:uid="{9F4881CD-676F-4E60-AE69-C238E7474EF5}"/>
    <cellStyle name="20% - Accent3 2 7 4" xfId="10399" xr:uid="{12A02774-B81A-4199-A85B-8272129CD8C8}"/>
    <cellStyle name="20% - Accent3 2 8" xfId="2281" xr:uid="{00000000-0005-0000-0000-00008F010000}"/>
    <cellStyle name="20% - Accent3 2 8 2" xfId="6588" xr:uid="{00000000-0005-0000-0000-000090010000}"/>
    <cellStyle name="20% - Accent3 2 8 2 2" xfId="15030" xr:uid="{85B9F121-D29B-4CEE-9F71-EA94B7C575FA}"/>
    <cellStyle name="20% - Accent3 2 8 3" xfId="10812" xr:uid="{6EB2ED1E-1144-4515-993C-BC9A9F2C0C85}"/>
    <cellStyle name="20% - Accent3 2 9" xfId="4522" xr:uid="{00000000-0005-0000-0000-000091010000}"/>
    <cellStyle name="20% - Accent3 2 9 2" xfId="12964" xr:uid="{E71ADEB2-DA54-4792-BCD3-2D7A804C53D2}"/>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2 2 2" xfId="15528" xr:uid="{D6A94627-9C83-4576-B7FB-2866FA4BB53A}"/>
    <cellStyle name="20% - Accent3 3 2 2 2 3" xfId="11310" xr:uid="{A503C555-42B2-4A2B-A8D5-39E195EE2F8A}"/>
    <cellStyle name="20% - Accent3 3 2 2 3" xfId="4941" xr:uid="{00000000-0005-0000-0000-000097010000}"/>
    <cellStyle name="20% - Accent3 3 2 2 3 2" xfId="13383" xr:uid="{78B36C7B-1B41-4335-814C-BFE44B2C78E7}"/>
    <cellStyle name="20% - Accent3 3 2 2 4" xfId="9165" xr:uid="{9BD5EA44-FC17-4DB6-8FB7-EF2E16159278}"/>
    <cellStyle name="20% - Accent3 3 2 3" xfId="1045" xr:uid="{00000000-0005-0000-0000-000098010000}"/>
    <cellStyle name="20% - Accent3 3 2 3 2" xfId="3276" xr:uid="{00000000-0005-0000-0000-000099010000}"/>
    <cellStyle name="20% - Accent3 3 2 3 2 2" xfId="7499" xr:uid="{00000000-0005-0000-0000-00009A010000}"/>
    <cellStyle name="20% - Accent3 3 2 3 2 2 2" xfId="15941" xr:uid="{0AA37EED-4A71-45D0-8115-984BD4759594}"/>
    <cellStyle name="20% - Accent3 3 2 3 2 3" xfId="11723" xr:uid="{F74F4315-10DC-41D6-80B8-08D2B4C2F5E2}"/>
    <cellStyle name="20% - Accent3 3 2 3 3" xfId="5354" xr:uid="{00000000-0005-0000-0000-00009B010000}"/>
    <cellStyle name="20% - Accent3 3 2 3 3 2" xfId="13796" xr:uid="{3D2095F6-0132-4112-8596-E5277C1F6670}"/>
    <cellStyle name="20% - Accent3 3 2 3 4" xfId="9578" xr:uid="{57A03FDF-A40A-4734-A3E9-5DCE629A5CE6}"/>
    <cellStyle name="20% - Accent3 3 2 4" xfId="1459" xr:uid="{00000000-0005-0000-0000-00009C010000}"/>
    <cellStyle name="20% - Accent3 3 2 4 2" xfId="3689" xr:uid="{00000000-0005-0000-0000-00009D010000}"/>
    <cellStyle name="20% - Accent3 3 2 4 2 2" xfId="7912" xr:uid="{00000000-0005-0000-0000-00009E010000}"/>
    <cellStyle name="20% - Accent3 3 2 4 2 2 2" xfId="16354" xr:uid="{9C079202-4E93-4357-8E84-923C205BE3AA}"/>
    <cellStyle name="20% - Accent3 3 2 4 2 3" xfId="12136" xr:uid="{6D05132B-A1A3-431E-87DA-F428F285E5EF}"/>
    <cellStyle name="20% - Accent3 3 2 4 3" xfId="5767" xr:uid="{00000000-0005-0000-0000-00009F010000}"/>
    <cellStyle name="20% - Accent3 3 2 4 3 2" xfId="14209" xr:uid="{5196FA58-8472-4889-9640-46A61FA2FED2}"/>
    <cellStyle name="20% - Accent3 3 2 4 4" xfId="9991" xr:uid="{A3933925-D97B-4528-9178-ED91BB19CC82}"/>
    <cellStyle name="20% - Accent3 3 2 5" xfId="1873" xr:uid="{00000000-0005-0000-0000-0000A0010000}"/>
    <cellStyle name="20% - Accent3 3 2 5 2" xfId="4102" xr:uid="{00000000-0005-0000-0000-0000A1010000}"/>
    <cellStyle name="20% - Accent3 3 2 5 2 2" xfId="8325" xr:uid="{00000000-0005-0000-0000-0000A2010000}"/>
    <cellStyle name="20% - Accent3 3 2 5 2 2 2" xfId="16767" xr:uid="{86A1A69C-D4B9-4FD9-B38F-F77E8826B114}"/>
    <cellStyle name="20% - Accent3 3 2 5 2 3" xfId="12549" xr:uid="{5ABB446C-4EC3-4327-AC31-3C95981B9ADD}"/>
    <cellStyle name="20% - Accent3 3 2 5 3" xfId="6180" xr:uid="{00000000-0005-0000-0000-0000A3010000}"/>
    <cellStyle name="20% - Accent3 3 2 5 3 2" xfId="14622" xr:uid="{4379F012-D0FC-4BF5-B80F-DD3C3A020DF0}"/>
    <cellStyle name="20% - Accent3 3 2 5 4" xfId="10404" xr:uid="{1AB2B302-123E-4F0D-9F6F-7F386D858B9A}"/>
    <cellStyle name="20% - Accent3 3 2 6" xfId="2286" xr:uid="{00000000-0005-0000-0000-0000A4010000}"/>
    <cellStyle name="20% - Accent3 3 2 6 2" xfId="6593" xr:uid="{00000000-0005-0000-0000-0000A5010000}"/>
    <cellStyle name="20% - Accent3 3 2 6 2 2" xfId="15035" xr:uid="{90926615-746E-4F4B-840B-F115848F36DC}"/>
    <cellStyle name="20% - Accent3 3 2 6 3" xfId="10817" xr:uid="{32485ED5-19DD-4ADF-92FB-A6B548C649AB}"/>
    <cellStyle name="20% - Accent3 3 2 7" xfId="4527" xr:uid="{00000000-0005-0000-0000-0000A6010000}"/>
    <cellStyle name="20% - Accent3 3 2 7 2" xfId="12969" xr:uid="{26F5C6BE-BED3-4D02-BCD6-148A17221FB7}"/>
    <cellStyle name="20% - Accent3 3 2 8" xfId="8751" xr:uid="{E341C4FF-CD9E-4312-9805-99E11A016267}"/>
    <cellStyle name="20% - Accent3 3 3" xfId="591" xr:uid="{00000000-0005-0000-0000-0000A7010000}"/>
    <cellStyle name="20% - Accent3 3 3 2" xfId="2862" xr:uid="{00000000-0005-0000-0000-0000A8010000}"/>
    <cellStyle name="20% - Accent3 3 3 2 2" xfId="7085" xr:uid="{00000000-0005-0000-0000-0000A9010000}"/>
    <cellStyle name="20% - Accent3 3 3 2 2 2" xfId="15527" xr:uid="{657BC62B-D2FC-4DCB-9F29-0CDF034DCC71}"/>
    <cellStyle name="20% - Accent3 3 3 2 3" xfId="11309" xr:uid="{04E1468C-68BE-43AF-8541-8ABA1DE5F4A5}"/>
    <cellStyle name="20% - Accent3 3 3 3" xfId="4940" xr:uid="{00000000-0005-0000-0000-0000AA010000}"/>
    <cellStyle name="20% - Accent3 3 3 3 2" xfId="13382" xr:uid="{097409AC-E043-4AF6-9B0F-7F71998862DD}"/>
    <cellStyle name="20% - Accent3 3 3 4" xfId="9164" xr:uid="{A0B0C551-8A43-4502-8CCA-AFE72616ABC6}"/>
    <cellStyle name="20% - Accent3 3 4" xfId="1044" xr:uid="{00000000-0005-0000-0000-0000AB010000}"/>
    <cellStyle name="20% - Accent3 3 4 2" xfId="3275" xr:uid="{00000000-0005-0000-0000-0000AC010000}"/>
    <cellStyle name="20% - Accent3 3 4 2 2" xfId="7498" xr:uid="{00000000-0005-0000-0000-0000AD010000}"/>
    <cellStyle name="20% - Accent3 3 4 2 2 2" xfId="15940" xr:uid="{7A407C40-E535-461F-BBA4-F738B52351BA}"/>
    <cellStyle name="20% - Accent3 3 4 2 3" xfId="11722" xr:uid="{265730CD-A380-4889-8FC4-46DC7AE4AD81}"/>
    <cellStyle name="20% - Accent3 3 4 3" xfId="5353" xr:uid="{00000000-0005-0000-0000-0000AE010000}"/>
    <cellStyle name="20% - Accent3 3 4 3 2" xfId="13795" xr:uid="{609C08CF-2055-49B7-B42D-5F2AB511268D}"/>
    <cellStyle name="20% - Accent3 3 4 4" xfId="9577" xr:uid="{1C3B5940-CF4A-41D2-90BF-581E281C7EBD}"/>
    <cellStyle name="20% - Accent3 3 5" xfId="1458" xr:uid="{00000000-0005-0000-0000-0000AF010000}"/>
    <cellStyle name="20% - Accent3 3 5 2" xfId="3688" xr:uid="{00000000-0005-0000-0000-0000B0010000}"/>
    <cellStyle name="20% - Accent3 3 5 2 2" xfId="7911" xr:uid="{00000000-0005-0000-0000-0000B1010000}"/>
    <cellStyle name="20% - Accent3 3 5 2 2 2" xfId="16353" xr:uid="{994D5D97-32B8-440A-8095-9DC4E0776FBB}"/>
    <cellStyle name="20% - Accent3 3 5 2 3" xfId="12135" xr:uid="{50ADD77C-1F5C-47FA-AFC2-31D52611772E}"/>
    <cellStyle name="20% - Accent3 3 5 3" xfId="5766" xr:uid="{00000000-0005-0000-0000-0000B2010000}"/>
    <cellStyle name="20% - Accent3 3 5 3 2" xfId="14208" xr:uid="{188B05E1-2244-489F-A51A-2DCFB55C4F3F}"/>
    <cellStyle name="20% - Accent3 3 5 4" xfId="9990" xr:uid="{98CC9660-F8AF-4F72-8D2F-54524CEB6249}"/>
    <cellStyle name="20% - Accent3 3 6" xfId="1872" xr:uid="{00000000-0005-0000-0000-0000B3010000}"/>
    <cellStyle name="20% - Accent3 3 6 2" xfId="4101" xr:uid="{00000000-0005-0000-0000-0000B4010000}"/>
    <cellStyle name="20% - Accent3 3 6 2 2" xfId="8324" xr:uid="{00000000-0005-0000-0000-0000B5010000}"/>
    <cellStyle name="20% - Accent3 3 6 2 2 2" xfId="16766" xr:uid="{D9DC6E0F-B6EC-41AF-AFB0-45551B582AA6}"/>
    <cellStyle name="20% - Accent3 3 6 2 3" xfId="12548" xr:uid="{1E90B1D6-E6AA-46A5-A3C3-B02D75093EC6}"/>
    <cellStyle name="20% - Accent3 3 6 3" xfId="6179" xr:uid="{00000000-0005-0000-0000-0000B6010000}"/>
    <cellStyle name="20% - Accent3 3 6 3 2" xfId="14621" xr:uid="{0107B9A1-9C54-4EE5-92A7-C5556EF02AD2}"/>
    <cellStyle name="20% - Accent3 3 6 4" xfId="10403" xr:uid="{015EAC7B-058B-40D8-91B6-5FF98F3A31C2}"/>
    <cellStyle name="20% - Accent3 3 7" xfId="2285" xr:uid="{00000000-0005-0000-0000-0000B7010000}"/>
    <cellStyle name="20% - Accent3 3 7 2" xfId="6592" xr:uid="{00000000-0005-0000-0000-0000B8010000}"/>
    <cellStyle name="20% - Accent3 3 7 2 2" xfId="15034" xr:uid="{FA0AFC00-8F94-4708-9B08-ACADDF6BA71D}"/>
    <cellStyle name="20% - Accent3 3 7 3" xfId="10816" xr:uid="{FB1C5490-F879-47F7-8670-BF219419B888}"/>
    <cellStyle name="20% - Accent3 3 8" xfId="4526" xr:uid="{00000000-0005-0000-0000-0000B9010000}"/>
    <cellStyle name="20% - Accent3 3 8 2" xfId="12968" xr:uid="{1B18BA7D-E556-4342-B465-6ED7794F1F12}"/>
    <cellStyle name="20% - Accent3 3 9" xfId="8750" xr:uid="{891E8083-53B0-4DC6-BA71-C9922F3F29B6}"/>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2 2 2" xfId="15529" xr:uid="{292C3C69-42BE-4E3F-A3D9-6A02A1A5E924}"/>
    <cellStyle name="20% - Accent3 4 2 2 3" xfId="11311" xr:uid="{EE068218-D01D-4F48-A78A-BF98239F7511}"/>
    <cellStyle name="20% - Accent3 4 2 3" xfId="4942" xr:uid="{00000000-0005-0000-0000-0000BE010000}"/>
    <cellStyle name="20% - Accent3 4 2 3 2" xfId="13384" xr:uid="{92B9C954-6AE6-4633-803D-EA3E483DAB18}"/>
    <cellStyle name="20% - Accent3 4 2 4" xfId="9166" xr:uid="{4BF06990-1843-4D49-BEDB-1095E355D7FF}"/>
    <cellStyle name="20% - Accent3 4 3" xfId="1046" xr:uid="{00000000-0005-0000-0000-0000BF010000}"/>
    <cellStyle name="20% - Accent3 4 3 2" xfId="3277" xr:uid="{00000000-0005-0000-0000-0000C0010000}"/>
    <cellStyle name="20% - Accent3 4 3 2 2" xfId="7500" xr:uid="{00000000-0005-0000-0000-0000C1010000}"/>
    <cellStyle name="20% - Accent3 4 3 2 2 2" xfId="15942" xr:uid="{7D38E260-65A1-4446-A950-10287516F2C2}"/>
    <cellStyle name="20% - Accent3 4 3 2 3" xfId="11724" xr:uid="{4C0A4B3C-74BC-4607-BCCD-FE5C4028C8B2}"/>
    <cellStyle name="20% - Accent3 4 3 3" xfId="5355" xr:uid="{00000000-0005-0000-0000-0000C2010000}"/>
    <cellStyle name="20% - Accent3 4 3 3 2" xfId="13797" xr:uid="{2D472DF0-8B2C-441D-93AE-F5FD90F41B24}"/>
    <cellStyle name="20% - Accent3 4 3 4" xfId="9579" xr:uid="{0CACB241-4B67-487C-8445-495FA7BB4364}"/>
    <cellStyle name="20% - Accent3 4 4" xfId="1460" xr:uid="{00000000-0005-0000-0000-0000C3010000}"/>
    <cellStyle name="20% - Accent3 4 4 2" xfId="3690" xr:uid="{00000000-0005-0000-0000-0000C4010000}"/>
    <cellStyle name="20% - Accent3 4 4 2 2" xfId="7913" xr:uid="{00000000-0005-0000-0000-0000C5010000}"/>
    <cellStyle name="20% - Accent3 4 4 2 2 2" xfId="16355" xr:uid="{DE95CB4C-DDEC-4BD2-965A-99B8ACF492F9}"/>
    <cellStyle name="20% - Accent3 4 4 2 3" xfId="12137" xr:uid="{666F1284-19AB-4888-BDAA-BB188686A6D1}"/>
    <cellStyle name="20% - Accent3 4 4 3" xfId="5768" xr:uid="{00000000-0005-0000-0000-0000C6010000}"/>
    <cellStyle name="20% - Accent3 4 4 3 2" xfId="14210" xr:uid="{F2D3C116-BBC1-4C60-888A-8F7CC903F7A9}"/>
    <cellStyle name="20% - Accent3 4 4 4" xfId="9992" xr:uid="{EF9B8730-6DE1-4C93-8CF0-0C495AFE8991}"/>
    <cellStyle name="20% - Accent3 4 5" xfId="1874" xr:uid="{00000000-0005-0000-0000-0000C7010000}"/>
    <cellStyle name="20% - Accent3 4 5 2" xfId="4103" xr:uid="{00000000-0005-0000-0000-0000C8010000}"/>
    <cellStyle name="20% - Accent3 4 5 2 2" xfId="8326" xr:uid="{00000000-0005-0000-0000-0000C9010000}"/>
    <cellStyle name="20% - Accent3 4 5 2 2 2" xfId="16768" xr:uid="{22549716-1B5C-432B-B841-CB0564DBEB92}"/>
    <cellStyle name="20% - Accent3 4 5 2 3" xfId="12550" xr:uid="{FC439523-4E17-43E9-B173-EBA5DC755640}"/>
    <cellStyle name="20% - Accent3 4 5 3" xfId="6181" xr:uid="{00000000-0005-0000-0000-0000CA010000}"/>
    <cellStyle name="20% - Accent3 4 5 3 2" xfId="14623" xr:uid="{6DB42863-49DE-4E72-932F-41BCDA709E65}"/>
    <cellStyle name="20% - Accent3 4 5 4" xfId="10405" xr:uid="{6340E8BF-FA37-4F61-8827-0347A59A76AC}"/>
    <cellStyle name="20% - Accent3 4 6" xfId="2287" xr:uid="{00000000-0005-0000-0000-0000CB010000}"/>
    <cellStyle name="20% - Accent3 4 6 2" xfId="6594" xr:uid="{00000000-0005-0000-0000-0000CC010000}"/>
    <cellStyle name="20% - Accent3 4 6 2 2" xfId="15036" xr:uid="{4E7A8007-BC6A-4CBB-BED5-DC8EA1E4841F}"/>
    <cellStyle name="20% - Accent3 4 6 3" xfId="10818" xr:uid="{5FC95C73-3B43-4913-B324-CCC1E2C415CD}"/>
    <cellStyle name="20% - Accent3 4 7" xfId="4528" xr:uid="{00000000-0005-0000-0000-0000CD010000}"/>
    <cellStyle name="20% - Accent3 4 7 2" xfId="12970" xr:uid="{6760DA41-DB12-4E7E-92A8-47D891E38C0C}"/>
    <cellStyle name="20% - Accent3 4 8" xfId="8752" xr:uid="{06D8B15D-3495-4FB3-8D92-AEEBA80D9836}"/>
    <cellStyle name="20% - Accent3 5" xfId="586" xr:uid="{00000000-0005-0000-0000-0000CE010000}"/>
    <cellStyle name="20% - Accent3 5 2" xfId="2857" xr:uid="{00000000-0005-0000-0000-0000CF010000}"/>
    <cellStyle name="20% - Accent3 5 2 2" xfId="7080" xr:uid="{00000000-0005-0000-0000-0000D0010000}"/>
    <cellStyle name="20% - Accent3 5 2 2 2" xfId="15522" xr:uid="{86443F8B-200A-4E34-B0CA-3DA07D9BE8CA}"/>
    <cellStyle name="20% - Accent3 5 2 3" xfId="11304" xr:uid="{4CE13BD9-2D1A-4B48-B14E-3068E93F5584}"/>
    <cellStyle name="20% - Accent3 5 3" xfId="4935" xr:uid="{00000000-0005-0000-0000-0000D1010000}"/>
    <cellStyle name="20% - Accent3 5 3 2" xfId="13377" xr:uid="{228A6C38-DDB4-41E5-8251-F518F41C3D4C}"/>
    <cellStyle name="20% - Accent3 5 4" xfId="9159" xr:uid="{4A4DAC0A-FC3B-4EC8-A4C4-4D64323728B2}"/>
    <cellStyle name="20% - Accent3 6" xfId="1039" xr:uid="{00000000-0005-0000-0000-0000D2010000}"/>
    <cellStyle name="20% - Accent3 6 2" xfId="3270" xr:uid="{00000000-0005-0000-0000-0000D3010000}"/>
    <cellStyle name="20% - Accent3 6 2 2" xfId="7493" xr:uid="{00000000-0005-0000-0000-0000D4010000}"/>
    <cellStyle name="20% - Accent3 6 2 2 2" xfId="15935" xr:uid="{DC243522-3734-4AA2-AD11-0FE1B8007DC7}"/>
    <cellStyle name="20% - Accent3 6 2 3" xfId="11717" xr:uid="{0F1B86DA-FF5B-4159-9A38-D1B44616A42E}"/>
    <cellStyle name="20% - Accent3 6 3" xfId="5348" xr:uid="{00000000-0005-0000-0000-0000D5010000}"/>
    <cellStyle name="20% - Accent3 6 3 2" xfId="13790" xr:uid="{0349A496-7A09-4624-91D0-C1F147824A8E}"/>
    <cellStyle name="20% - Accent3 6 4" xfId="9572" xr:uid="{C4866831-2357-4718-AFDC-0A6652765814}"/>
    <cellStyle name="20% - Accent3 7" xfId="1453" xr:uid="{00000000-0005-0000-0000-0000D6010000}"/>
    <cellStyle name="20% - Accent3 7 2" xfId="3683" xr:uid="{00000000-0005-0000-0000-0000D7010000}"/>
    <cellStyle name="20% - Accent3 7 2 2" xfId="7906" xr:uid="{00000000-0005-0000-0000-0000D8010000}"/>
    <cellStyle name="20% - Accent3 7 2 2 2" xfId="16348" xr:uid="{A9AAB335-39D9-4069-AB48-B2AD3ADAAE3C}"/>
    <cellStyle name="20% - Accent3 7 2 3" xfId="12130" xr:uid="{F9C2077C-5210-447C-BE0C-BDBA53F8BDBD}"/>
    <cellStyle name="20% - Accent3 7 3" xfId="5761" xr:uid="{00000000-0005-0000-0000-0000D9010000}"/>
    <cellStyle name="20% - Accent3 7 3 2" xfId="14203" xr:uid="{0FFCC912-E087-4B01-9B09-1A3D28AB4EDC}"/>
    <cellStyle name="20% - Accent3 7 4" xfId="9985" xr:uid="{060EBD4F-3ACA-41E6-B067-E3E7F6844012}"/>
    <cellStyle name="20% - Accent3 8" xfId="1867" xr:uid="{00000000-0005-0000-0000-0000DA010000}"/>
    <cellStyle name="20% - Accent3 8 2" xfId="4096" xr:uid="{00000000-0005-0000-0000-0000DB010000}"/>
    <cellStyle name="20% - Accent3 8 2 2" xfId="8319" xr:uid="{00000000-0005-0000-0000-0000DC010000}"/>
    <cellStyle name="20% - Accent3 8 2 2 2" xfId="16761" xr:uid="{5FC8AB7A-35A5-4D22-96D5-6AFB7CDFF0F6}"/>
    <cellStyle name="20% - Accent3 8 2 3" xfId="12543" xr:uid="{5B233B0B-3868-4034-8FC1-F8BFE76E762A}"/>
    <cellStyle name="20% - Accent3 8 3" xfId="6174" xr:uid="{00000000-0005-0000-0000-0000DD010000}"/>
    <cellStyle name="20% - Accent3 8 3 2" xfId="14616" xr:uid="{1C59095D-572A-47E8-9026-9CE94E2C3788}"/>
    <cellStyle name="20% - Accent3 8 4" xfId="10398" xr:uid="{0D3C7CC4-178B-488D-88B2-47CC7A3C3AD7}"/>
    <cellStyle name="20% - Accent3 9" xfId="2280" xr:uid="{00000000-0005-0000-0000-0000DE010000}"/>
    <cellStyle name="20% - Accent3 9 2" xfId="6587" xr:uid="{00000000-0005-0000-0000-0000DF010000}"/>
    <cellStyle name="20% - Accent3 9 2 2" xfId="15029" xr:uid="{5387A022-54B9-4B19-9372-E27EC88F4C40}"/>
    <cellStyle name="20% - Accent3 9 3" xfId="10811" xr:uid="{837D3BBC-E87F-4173-BDBA-D81C3359CD14}"/>
    <cellStyle name="20% - Accent4" xfId="25" builtinId="42" customBuiltin="1"/>
    <cellStyle name="20% - Accent4 10" xfId="4529" xr:uid="{00000000-0005-0000-0000-0000E1010000}"/>
    <cellStyle name="20% - Accent4 10 2" xfId="12971" xr:uid="{CB59AD27-5924-43C3-A0FB-AFD1BE9CA1D4}"/>
    <cellStyle name="20% - Accent4 11" xfId="8753" xr:uid="{A09BB8ED-2640-478B-B2F1-B5420B3A2030}"/>
    <cellStyle name="20% - Accent4 2" xfId="26" xr:uid="{00000000-0005-0000-0000-0000E2010000}"/>
    <cellStyle name="20% - Accent4 2 10" xfId="8754" xr:uid="{5D61D7D1-E042-4B86-8491-EC3E9E5B3E4A}"/>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2 2 2" xfId="15533" xr:uid="{AF85E473-F65E-4578-99CA-37C25ED42DF4}"/>
    <cellStyle name="20% - Accent4 2 2 2 2 2 3" xfId="11315" xr:uid="{13BC7053-62F4-476E-9FF2-2BE919296F0F}"/>
    <cellStyle name="20% - Accent4 2 2 2 2 3" xfId="4946" xr:uid="{00000000-0005-0000-0000-0000E8010000}"/>
    <cellStyle name="20% - Accent4 2 2 2 2 3 2" xfId="13388" xr:uid="{F0E9E208-3950-4EAB-B372-7F7A3B2C0741}"/>
    <cellStyle name="20% - Accent4 2 2 2 2 4" xfId="9170" xr:uid="{C91C6851-91F4-43E4-A622-F4FEE8FDE596}"/>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2 2 2" xfId="15946" xr:uid="{20F6BA9E-9CD7-4E58-BB09-A28355A3B0F1}"/>
    <cellStyle name="20% - Accent4 2 2 2 3 2 3" xfId="11728" xr:uid="{3B02B0D8-0861-4537-9698-B3BBF43C6170}"/>
    <cellStyle name="20% - Accent4 2 2 2 3 3" xfId="5359" xr:uid="{00000000-0005-0000-0000-0000EC010000}"/>
    <cellStyle name="20% - Accent4 2 2 2 3 3 2" xfId="13801" xr:uid="{B1B2CD47-8E38-4D49-9B3A-7A08151D4C57}"/>
    <cellStyle name="20% - Accent4 2 2 2 3 4" xfId="9583" xr:uid="{7DAD5891-6C57-4F41-BF98-07AC814D0B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2 2 2" xfId="16359" xr:uid="{9C8FDB79-4848-47BA-9E6F-5BD792535A12}"/>
    <cellStyle name="20% - Accent4 2 2 2 4 2 3" xfId="12141" xr:uid="{7DAD0181-4540-46A1-A0FA-71A4A239C476}"/>
    <cellStyle name="20% - Accent4 2 2 2 4 3" xfId="5772" xr:uid="{00000000-0005-0000-0000-0000F0010000}"/>
    <cellStyle name="20% - Accent4 2 2 2 4 3 2" xfId="14214" xr:uid="{897D71B8-E40E-4290-BF0D-8A8614E36C15}"/>
    <cellStyle name="20% - Accent4 2 2 2 4 4" xfId="9996" xr:uid="{E4AFEFB8-3650-4128-A6D5-2FE7494E78CB}"/>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2 2 2" xfId="16772" xr:uid="{007130F0-3666-4F7C-BB8C-7B2A1EE278EA}"/>
    <cellStyle name="20% - Accent4 2 2 2 5 2 3" xfId="12554" xr:uid="{1084A19F-3B83-4410-9AB8-E1399B16724F}"/>
    <cellStyle name="20% - Accent4 2 2 2 5 3" xfId="6185" xr:uid="{00000000-0005-0000-0000-0000F4010000}"/>
    <cellStyle name="20% - Accent4 2 2 2 5 3 2" xfId="14627" xr:uid="{3CFE0E6B-D454-4B36-9769-3F9912224879}"/>
    <cellStyle name="20% - Accent4 2 2 2 5 4" xfId="10409" xr:uid="{FB4CB0C0-270C-4CE1-AA54-FA7FDC4E8D3E}"/>
    <cellStyle name="20% - Accent4 2 2 2 6" xfId="2291" xr:uid="{00000000-0005-0000-0000-0000F5010000}"/>
    <cellStyle name="20% - Accent4 2 2 2 6 2" xfId="6598" xr:uid="{00000000-0005-0000-0000-0000F6010000}"/>
    <cellStyle name="20% - Accent4 2 2 2 6 2 2" xfId="15040" xr:uid="{9751E6A2-0137-4F89-8199-76E364331045}"/>
    <cellStyle name="20% - Accent4 2 2 2 6 3" xfId="10822" xr:uid="{3AEC5999-DA38-45A2-824F-FB4184844A98}"/>
    <cellStyle name="20% - Accent4 2 2 2 7" xfId="4532" xr:uid="{00000000-0005-0000-0000-0000F7010000}"/>
    <cellStyle name="20% - Accent4 2 2 2 7 2" xfId="12974" xr:uid="{28C47284-DB96-48BB-92C1-D4B9933D9AF9}"/>
    <cellStyle name="20% - Accent4 2 2 2 8" xfId="8756" xr:uid="{066B531C-D9B5-44F8-A019-AF8DC6B080F4}"/>
    <cellStyle name="20% - Accent4 2 2 3" xfId="596" xr:uid="{00000000-0005-0000-0000-0000F8010000}"/>
    <cellStyle name="20% - Accent4 2 2 3 2" xfId="2867" xr:uid="{00000000-0005-0000-0000-0000F9010000}"/>
    <cellStyle name="20% - Accent4 2 2 3 2 2" xfId="7090" xr:uid="{00000000-0005-0000-0000-0000FA010000}"/>
    <cellStyle name="20% - Accent4 2 2 3 2 2 2" xfId="15532" xr:uid="{92BFF64C-CD16-43CC-BB4A-A9B5A3A8110D}"/>
    <cellStyle name="20% - Accent4 2 2 3 2 3" xfId="11314" xr:uid="{579A1214-DDE6-4F62-9295-FAFD67F0DDD2}"/>
    <cellStyle name="20% - Accent4 2 2 3 3" xfId="4945" xr:uid="{00000000-0005-0000-0000-0000FB010000}"/>
    <cellStyle name="20% - Accent4 2 2 3 3 2" xfId="13387" xr:uid="{34145DA9-71BF-4718-BF55-B41816248B82}"/>
    <cellStyle name="20% - Accent4 2 2 3 4" xfId="9169" xr:uid="{134E7086-F5C4-4425-9929-0A33ED50C52A}"/>
    <cellStyle name="20% - Accent4 2 2 4" xfId="1049" xr:uid="{00000000-0005-0000-0000-0000FC010000}"/>
    <cellStyle name="20% - Accent4 2 2 4 2" xfId="3280" xr:uid="{00000000-0005-0000-0000-0000FD010000}"/>
    <cellStyle name="20% - Accent4 2 2 4 2 2" xfId="7503" xr:uid="{00000000-0005-0000-0000-0000FE010000}"/>
    <cellStyle name="20% - Accent4 2 2 4 2 2 2" xfId="15945" xr:uid="{EA3FDC79-CCF8-429B-BB9C-A82207E5BADB}"/>
    <cellStyle name="20% - Accent4 2 2 4 2 3" xfId="11727" xr:uid="{5EF2D049-AC39-49D5-B4A0-AB88F363F480}"/>
    <cellStyle name="20% - Accent4 2 2 4 3" xfId="5358" xr:uid="{00000000-0005-0000-0000-0000FF010000}"/>
    <cellStyle name="20% - Accent4 2 2 4 3 2" xfId="13800" xr:uid="{07080B4B-82DF-4247-A48F-9C2421DD6498}"/>
    <cellStyle name="20% - Accent4 2 2 4 4" xfId="9582" xr:uid="{80A7C89F-642D-4AF1-A1EB-469AEBCB8855}"/>
    <cellStyle name="20% - Accent4 2 2 5" xfId="1463" xr:uid="{00000000-0005-0000-0000-000000020000}"/>
    <cellStyle name="20% - Accent4 2 2 5 2" xfId="3693" xr:uid="{00000000-0005-0000-0000-000001020000}"/>
    <cellStyle name="20% - Accent4 2 2 5 2 2" xfId="7916" xr:uid="{00000000-0005-0000-0000-000002020000}"/>
    <cellStyle name="20% - Accent4 2 2 5 2 2 2" xfId="16358" xr:uid="{D1E6BBBB-070C-4BB1-9E3E-D1A96A26B63C}"/>
    <cellStyle name="20% - Accent4 2 2 5 2 3" xfId="12140" xr:uid="{560BCA7F-5522-41A7-B552-BCE7A3784A5A}"/>
    <cellStyle name="20% - Accent4 2 2 5 3" xfId="5771" xr:uid="{00000000-0005-0000-0000-000003020000}"/>
    <cellStyle name="20% - Accent4 2 2 5 3 2" xfId="14213" xr:uid="{D3A44AED-5ECB-485C-89D1-242C9AA6EE65}"/>
    <cellStyle name="20% - Accent4 2 2 5 4" xfId="9995" xr:uid="{768BF186-2929-4F72-8B67-87042A18FC4D}"/>
    <cellStyle name="20% - Accent4 2 2 6" xfId="1877" xr:uid="{00000000-0005-0000-0000-000004020000}"/>
    <cellStyle name="20% - Accent4 2 2 6 2" xfId="4106" xr:uid="{00000000-0005-0000-0000-000005020000}"/>
    <cellStyle name="20% - Accent4 2 2 6 2 2" xfId="8329" xr:uid="{00000000-0005-0000-0000-000006020000}"/>
    <cellStyle name="20% - Accent4 2 2 6 2 2 2" xfId="16771" xr:uid="{7502918E-EC9B-43B6-B06D-D6A6360C1D84}"/>
    <cellStyle name="20% - Accent4 2 2 6 2 3" xfId="12553" xr:uid="{BAB77AF9-4EDA-4325-8B11-E44DB461777F}"/>
    <cellStyle name="20% - Accent4 2 2 6 3" xfId="6184" xr:uid="{00000000-0005-0000-0000-000007020000}"/>
    <cellStyle name="20% - Accent4 2 2 6 3 2" xfId="14626" xr:uid="{C7B684EF-90B0-4A1A-B5FE-AC4C9FAF81CF}"/>
    <cellStyle name="20% - Accent4 2 2 6 4" xfId="10408" xr:uid="{617AFBFA-9558-4094-84F5-50045E2F0B80}"/>
    <cellStyle name="20% - Accent4 2 2 7" xfId="2290" xr:uid="{00000000-0005-0000-0000-000008020000}"/>
    <cellStyle name="20% - Accent4 2 2 7 2" xfId="6597" xr:uid="{00000000-0005-0000-0000-000009020000}"/>
    <cellStyle name="20% - Accent4 2 2 7 2 2" xfId="15039" xr:uid="{B65B258E-DF12-4769-9DC3-E9DA8FBADF89}"/>
    <cellStyle name="20% - Accent4 2 2 7 3" xfId="10821" xr:uid="{FBA26B7A-7A98-4066-A784-4627CB2128FA}"/>
    <cellStyle name="20% - Accent4 2 2 8" xfId="4531" xr:uid="{00000000-0005-0000-0000-00000A020000}"/>
    <cellStyle name="20% - Accent4 2 2 8 2" xfId="12973" xr:uid="{13BE74BC-A29E-4197-BFFD-C5B48F826449}"/>
    <cellStyle name="20% - Accent4 2 2 9" xfId="8755" xr:uid="{1F42EBCC-7827-40B9-B3C7-B7D4D464DA5B}"/>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2 2 2" xfId="15534" xr:uid="{F826E3E3-7AA2-49FC-BF2E-CEB7B6E56EE3}"/>
    <cellStyle name="20% - Accent4 2 3 2 2 3" xfId="11316" xr:uid="{0317ABF8-9889-4FAA-A84E-4D8FC6FB559C}"/>
    <cellStyle name="20% - Accent4 2 3 2 3" xfId="4947" xr:uid="{00000000-0005-0000-0000-00000F020000}"/>
    <cellStyle name="20% - Accent4 2 3 2 3 2" xfId="13389" xr:uid="{677464EC-EF6A-41C1-8EA3-0BD1C477B752}"/>
    <cellStyle name="20% - Accent4 2 3 2 4" xfId="9171" xr:uid="{3F154DA9-74DC-4A3E-A78B-EF031A7C6FA8}"/>
    <cellStyle name="20% - Accent4 2 3 3" xfId="1051" xr:uid="{00000000-0005-0000-0000-000010020000}"/>
    <cellStyle name="20% - Accent4 2 3 3 2" xfId="3282" xr:uid="{00000000-0005-0000-0000-000011020000}"/>
    <cellStyle name="20% - Accent4 2 3 3 2 2" xfId="7505" xr:uid="{00000000-0005-0000-0000-000012020000}"/>
    <cellStyle name="20% - Accent4 2 3 3 2 2 2" xfId="15947" xr:uid="{9297DCB7-D887-424D-B28A-8B5485F5B0A1}"/>
    <cellStyle name="20% - Accent4 2 3 3 2 3" xfId="11729" xr:uid="{F903ED11-23BA-4ECE-B19B-D7F68155EA2D}"/>
    <cellStyle name="20% - Accent4 2 3 3 3" xfId="5360" xr:uid="{00000000-0005-0000-0000-000013020000}"/>
    <cellStyle name="20% - Accent4 2 3 3 3 2" xfId="13802" xr:uid="{611B26DB-AA94-4EEF-B6FD-42355E90AED7}"/>
    <cellStyle name="20% - Accent4 2 3 3 4" xfId="9584" xr:uid="{DC30A649-A476-49BB-962A-C601B1A10470}"/>
    <cellStyle name="20% - Accent4 2 3 4" xfId="1465" xr:uid="{00000000-0005-0000-0000-000014020000}"/>
    <cellStyle name="20% - Accent4 2 3 4 2" xfId="3695" xr:uid="{00000000-0005-0000-0000-000015020000}"/>
    <cellStyle name="20% - Accent4 2 3 4 2 2" xfId="7918" xr:uid="{00000000-0005-0000-0000-000016020000}"/>
    <cellStyle name="20% - Accent4 2 3 4 2 2 2" xfId="16360" xr:uid="{BBDEF106-B954-4925-B0DB-CB8442337C13}"/>
    <cellStyle name="20% - Accent4 2 3 4 2 3" xfId="12142" xr:uid="{65C43A03-1A80-4925-897A-1248203C8938}"/>
    <cellStyle name="20% - Accent4 2 3 4 3" xfId="5773" xr:uid="{00000000-0005-0000-0000-000017020000}"/>
    <cellStyle name="20% - Accent4 2 3 4 3 2" xfId="14215" xr:uid="{2E99A4DE-F838-4F1C-A53E-2F60E651459A}"/>
    <cellStyle name="20% - Accent4 2 3 4 4" xfId="9997" xr:uid="{2D0B378A-0953-4E27-9C24-0703B30D34CC}"/>
    <cellStyle name="20% - Accent4 2 3 5" xfId="1879" xr:uid="{00000000-0005-0000-0000-000018020000}"/>
    <cellStyle name="20% - Accent4 2 3 5 2" xfId="4108" xr:uid="{00000000-0005-0000-0000-000019020000}"/>
    <cellStyle name="20% - Accent4 2 3 5 2 2" xfId="8331" xr:uid="{00000000-0005-0000-0000-00001A020000}"/>
    <cellStyle name="20% - Accent4 2 3 5 2 2 2" xfId="16773" xr:uid="{D3730841-C645-4519-AD85-E2D59BC09CCB}"/>
    <cellStyle name="20% - Accent4 2 3 5 2 3" xfId="12555" xr:uid="{1D63DF84-AABF-499E-AFA1-25C3C15B2C4E}"/>
    <cellStyle name="20% - Accent4 2 3 5 3" xfId="6186" xr:uid="{00000000-0005-0000-0000-00001B020000}"/>
    <cellStyle name="20% - Accent4 2 3 5 3 2" xfId="14628" xr:uid="{23ABE513-C9E7-4560-B2CB-A463C56A0E6A}"/>
    <cellStyle name="20% - Accent4 2 3 5 4" xfId="10410" xr:uid="{59F6B175-92F8-48AA-86F6-DEF28C9ED651}"/>
    <cellStyle name="20% - Accent4 2 3 6" xfId="2292" xr:uid="{00000000-0005-0000-0000-00001C020000}"/>
    <cellStyle name="20% - Accent4 2 3 6 2" xfId="6599" xr:uid="{00000000-0005-0000-0000-00001D020000}"/>
    <cellStyle name="20% - Accent4 2 3 6 2 2" xfId="15041" xr:uid="{6ABE0D1C-4B70-4D78-B0F6-758148DB82F0}"/>
    <cellStyle name="20% - Accent4 2 3 6 3" xfId="10823" xr:uid="{65DC8F55-58E9-428D-A017-9A153B7B97D5}"/>
    <cellStyle name="20% - Accent4 2 3 7" xfId="4533" xr:uid="{00000000-0005-0000-0000-00001E020000}"/>
    <cellStyle name="20% - Accent4 2 3 7 2" xfId="12975" xr:uid="{73954FCC-DB28-430E-8613-D5D7529B2379}"/>
    <cellStyle name="20% - Accent4 2 3 8" xfId="8757" xr:uid="{492418BA-7562-448F-9879-48680FA5DCC3}"/>
    <cellStyle name="20% - Accent4 2 4" xfId="595" xr:uid="{00000000-0005-0000-0000-00001F020000}"/>
    <cellStyle name="20% - Accent4 2 4 2" xfId="2866" xr:uid="{00000000-0005-0000-0000-000020020000}"/>
    <cellStyle name="20% - Accent4 2 4 2 2" xfId="7089" xr:uid="{00000000-0005-0000-0000-000021020000}"/>
    <cellStyle name="20% - Accent4 2 4 2 2 2" xfId="15531" xr:uid="{FF519E07-F7F6-4232-8EE4-86A0F7657E47}"/>
    <cellStyle name="20% - Accent4 2 4 2 3" xfId="11313" xr:uid="{F4222C20-5977-4584-9844-7A23B62A1C4D}"/>
    <cellStyle name="20% - Accent4 2 4 3" xfId="4944" xr:uid="{00000000-0005-0000-0000-000022020000}"/>
    <cellStyle name="20% - Accent4 2 4 3 2" xfId="13386" xr:uid="{FB42461B-6255-47C4-ACEF-E953BC8AF564}"/>
    <cellStyle name="20% - Accent4 2 4 4" xfId="9168" xr:uid="{5AE25F01-4F5B-46EA-BAAC-890C433FC338}"/>
    <cellStyle name="20% - Accent4 2 5" xfId="1048" xr:uid="{00000000-0005-0000-0000-000023020000}"/>
    <cellStyle name="20% - Accent4 2 5 2" xfId="3279" xr:uid="{00000000-0005-0000-0000-000024020000}"/>
    <cellStyle name="20% - Accent4 2 5 2 2" xfId="7502" xr:uid="{00000000-0005-0000-0000-000025020000}"/>
    <cellStyle name="20% - Accent4 2 5 2 2 2" xfId="15944" xr:uid="{52A29EF8-AA11-4603-A6D1-F92462D39DCD}"/>
    <cellStyle name="20% - Accent4 2 5 2 3" xfId="11726" xr:uid="{0998F42B-CDF8-4DFB-A221-8E2FC4C4A0FA}"/>
    <cellStyle name="20% - Accent4 2 5 3" xfId="5357" xr:uid="{00000000-0005-0000-0000-000026020000}"/>
    <cellStyle name="20% - Accent4 2 5 3 2" xfId="13799" xr:uid="{B5E7FE6C-376F-4973-AD03-8822097BABA7}"/>
    <cellStyle name="20% - Accent4 2 5 4" xfId="9581" xr:uid="{29873AA6-25A8-440A-8ED4-EA1BC3493E79}"/>
    <cellStyle name="20% - Accent4 2 6" xfId="1462" xr:uid="{00000000-0005-0000-0000-000027020000}"/>
    <cellStyle name="20% - Accent4 2 6 2" xfId="3692" xr:uid="{00000000-0005-0000-0000-000028020000}"/>
    <cellStyle name="20% - Accent4 2 6 2 2" xfId="7915" xr:uid="{00000000-0005-0000-0000-000029020000}"/>
    <cellStyle name="20% - Accent4 2 6 2 2 2" xfId="16357" xr:uid="{8D8335CC-5A4C-40EF-A8DB-963BBB1E574F}"/>
    <cellStyle name="20% - Accent4 2 6 2 3" xfId="12139" xr:uid="{CA2F1582-932B-4472-8454-032054CF725C}"/>
    <cellStyle name="20% - Accent4 2 6 3" xfId="5770" xr:uid="{00000000-0005-0000-0000-00002A020000}"/>
    <cellStyle name="20% - Accent4 2 6 3 2" xfId="14212" xr:uid="{D5C6E379-B4B2-4CC6-935D-7FC3993F8757}"/>
    <cellStyle name="20% - Accent4 2 6 4" xfId="9994" xr:uid="{928F9AC2-657A-40E3-A928-FD63A3EEA7F9}"/>
    <cellStyle name="20% - Accent4 2 7" xfId="1876" xr:uid="{00000000-0005-0000-0000-00002B020000}"/>
    <cellStyle name="20% - Accent4 2 7 2" xfId="4105" xr:uid="{00000000-0005-0000-0000-00002C020000}"/>
    <cellStyle name="20% - Accent4 2 7 2 2" xfId="8328" xr:uid="{00000000-0005-0000-0000-00002D020000}"/>
    <cellStyle name="20% - Accent4 2 7 2 2 2" xfId="16770" xr:uid="{15EAA129-2BB2-4396-84C8-A3F850CF5175}"/>
    <cellStyle name="20% - Accent4 2 7 2 3" xfId="12552" xr:uid="{BBD7BC8A-024D-429B-BFB5-D1F324FCCA89}"/>
    <cellStyle name="20% - Accent4 2 7 3" xfId="6183" xr:uid="{00000000-0005-0000-0000-00002E020000}"/>
    <cellStyle name="20% - Accent4 2 7 3 2" xfId="14625" xr:uid="{D89204CC-68BD-4865-BEE2-88438728B1DE}"/>
    <cellStyle name="20% - Accent4 2 7 4" xfId="10407" xr:uid="{3F06A121-F97B-4F0A-B915-D421B0E30C01}"/>
    <cellStyle name="20% - Accent4 2 8" xfId="2289" xr:uid="{00000000-0005-0000-0000-00002F020000}"/>
    <cellStyle name="20% - Accent4 2 8 2" xfId="6596" xr:uid="{00000000-0005-0000-0000-000030020000}"/>
    <cellStyle name="20% - Accent4 2 8 2 2" xfId="15038" xr:uid="{040EC3C6-09B1-418F-9C74-37280869B0E1}"/>
    <cellStyle name="20% - Accent4 2 8 3" xfId="10820" xr:uid="{43895E23-0729-4303-915B-14362B87F827}"/>
    <cellStyle name="20% - Accent4 2 9" xfId="4530" xr:uid="{00000000-0005-0000-0000-000031020000}"/>
    <cellStyle name="20% - Accent4 2 9 2" xfId="12972" xr:uid="{5C851977-6DAC-453F-B3D7-5EE725A2D334}"/>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2 2 2" xfId="15536" xr:uid="{4F359DAC-3746-4B97-B039-7CF642D25EEE}"/>
    <cellStyle name="20% - Accent4 3 2 2 2 3" xfId="11318" xr:uid="{0D2A5127-45D6-491B-9907-FAC8FA0A06D6}"/>
    <cellStyle name="20% - Accent4 3 2 2 3" xfId="4949" xr:uid="{00000000-0005-0000-0000-000037020000}"/>
    <cellStyle name="20% - Accent4 3 2 2 3 2" xfId="13391" xr:uid="{DCB57636-155B-4240-88A1-7BB4E3311078}"/>
    <cellStyle name="20% - Accent4 3 2 2 4" xfId="9173" xr:uid="{470A51DA-4EF8-4464-BEC4-C3DFE57A5070}"/>
    <cellStyle name="20% - Accent4 3 2 3" xfId="1053" xr:uid="{00000000-0005-0000-0000-000038020000}"/>
    <cellStyle name="20% - Accent4 3 2 3 2" xfId="3284" xr:uid="{00000000-0005-0000-0000-000039020000}"/>
    <cellStyle name="20% - Accent4 3 2 3 2 2" xfId="7507" xr:uid="{00000000-0005-0000-0000-00003A020000}"/>
    <cellStyle name="20% - Accent4 3 2 3 2 2 2" xfId="15949" xr:uid="{4E22F0E6-DB0A-4B42-8C68-3EDB8A7DE313}"/>
    <cellStyle name="20% - Accent4 3 2 3 2 3" xfId="11731" xr:uid="{92D534DD-900C-4B74-BFC3-63031491354D}"/>
    <cellStyle name="20% - Accent4 3 2 3 3" xfId="5362" xr:uid="{00000000-0005-0000-0000-00003B020000}"/>
    <cellStyle name="20% - Accent4 3 2 3 3 2" xfId="13804" xr:uid="{9DD1E03A-9CF9-4586-9E57-D4B3CA5B66FE}"/>
    <cellStyle name="20% - Accent4 3 2 3 4" xfId="9586" xr:uid="{159ECB75-B8AC-49DC-8D47-1708A415A512}"/>
    <cellStyle name="20% - Accent4 3 2 4" xfId="1467" xr:uid="{00000000-0005-0000-0000-00003C020000}"/>
    <cellStyle name="20% - Accent4 3 2 4 2" xfId="3697" xr:uid="{00000000-0005-0000-0000-00003D020000}"/>
    <cellStyle name="20% - Accent4 3 2 4 2 2" xfId="7920" xr:uid="{00000000-0005-0000-0000-00003E020000}"/>
    <cellStyle name="20% - Accent4 3 2 4 2 2 2" xfId="16362" xr:uid="{444EECEA-2377-4681-879E-BC1DBE3556DB}"/>
    <cellStyle name="20% - Accent4 3 2 4 2 3" xfId="12144" xr:uid="{2A69186A-88AD-47C9-B386-C1658378AA0F}"/>
    <cellStyle name="20% - Accent4 3 2 4 3" xfId="5775" xr:uid="{00000000-0005-0000-0000-00003F020000}"/>
    <cellStyle name="20% - Accent4 3 2 4 3 2" xfId="14217" xr:uid="{B940FA19-8805-4DD5-B77F-74956A25B33E}"/>
    <cellStyle name="20% - Accent4 3 2 4 4" xfId="9999" xr:uid="{69E22F2A-F453-49A9-84C4-54D854BA0E44}"/>
    <cellStyle name="20% - Accent4 3 2 5" xfId="1881" xr:uid="{00000000-0005-0000-0000-000040020000}"/>
    <cellStyle name="20% - Accent4 3 2 5 2" xfId="4110" xr:uid="{00000000-0005-0000-0000-000041020000}"/>
    <cellStyle name="20% - Accent4 3 2 5 2 2" xfId="8333" xr:uid="{00000000-0005-0000-0000-000042020000}"/>
    <cellStyle name="20% - Accent4 3 2 5 2 2 2" xfId="16775" xr:uid="{23C10CB6-6C39-4CDA-8142-372BDAFB3148}"/>
    <cellStyle name="20% - Accent4 3 2 5 2 3" xfId="12557" xr:uid="{9DAC11B2-3EB1-4761-9930-CE10F9F428B0}"/>
    <cellStyle name="20% - Accent4 3 2 5 3" xfId="6188" xr:uid="{00000000-0005-0000-0000-000043020000}"/>
    <cellStyle name="20% - Accent4 3 2 5 3 2" xfId="14630" xr:uid="{3071D5A0-3744-4BA7-9157-438A529A4755}"/>
    <cellStyle name="20% - Accent4 3 2 5 4" xfId="10412" xr:uid="{D3ECFA55-A259-4E97-AC5F-34733E30BE00}"/>
    <cellStyle name="20% - Accent4 3 2 6" xfId="2294" xr:uid="{00000000-0005-0000-0000-000044020000}"/>
    <cellStyle name="20% - Accent4 3 2 6 2" xfId="6601" xr:uid="{00000000-0005-0000-0000-000045020000}"/>
    <cellStyle name="20% - Accent4 3 2 6 2 2" xfId="15043" xr:uid="{771DF35F-DEA4-473F-A1AD-40E7D4AD9F75}"/>
    <cellStyle name="20% - Accent4 3 2 6 3" xfId="10825" xr:uid="{03E35326-532C-42F4-9DF1-B9396D29874B}"/>
    <cellStyle name="20% - Accent4 3 2 7" xfId="4535" xr:uid="{00000000-0005-0000-0000-000046020000}"/>
    <cellStyle name="20% - Accent4 3 2 7 2" xfId="12977" xr:uid="{C1C7037A-A331-426B-BAD4-786AD8EFA2F0}"/>
    <cellStyle name="20% - Accent4 3 2 8" xfId="8759" xr:uid="{593C756D-1938-4C31-A36E-6C8ECB3DDD57}"/>
    <cellStyle name="20% - Accent4 3 3" xfId="599" xr:uid="{00000000-0005-0000-0000-000047020000}"/>
    <cellStyle name="20% - Accent4 3 3 2" xfId="2870" xr:uid="{00000000-0005-0000-0000-000048020000}"/>
    <cellStyle name="20% - Accent4 3 3 2 2" xfId="7093" xr:uid="{00000000-0005-0000-0000-000049020000}"/>
    <cellStyle name="20% - Accent4 3 3 2 2 2" xfId="15535" xr:uid="{2D69E32A-BC41-4FE1-A836-98F429F1E6AE}"/>
    <cellStyle name="20% - Accent4 3 3 2 3" xfId="11317" xr:uid="{8177DF7E-A500-4BAC-894A-4C2D45834834}"/>
    <cellStyle name="20% - Accent4 3 3 3" xfId="4948" xr:uid="{00000000-0005-0000-0000-00004A020000}"/>
    <cellStyle name="20% - Accent4 3 3 3 2" xfId="13390" xr:uid="{AE1FB034-65B7-4BA7-83B0-58BE101D33F6}"/>
    <cellStyle name="20% - Accent4 3 3 4" xfId="9172" xr:uid="{1CB7CF6C-2B20-4BF7-AFCF-54F9F547A022}"/>
    <cellStyle name="20% - Accent4 3 4" xfId="1052" xr:uid="{00000000-0005-0000-0000-00004B020000}"/>
    <cellStyle name="20% - Accent4 3 4 2" xfId="3283" xr:uid="{00000000-0005-0000-0000-00004C020000}"/>
    <cellStyle name="20% - Accent4 3 4 2 2" xfId="7506" xr:uid="{00000000-0005-0000-0000-00004D020000}"/>
    <cellStyle name="20% - Accent4 3 4 2 2 2" xfId="15948" xr:uid="{AE91B9F0-CBA8-4AD2-98F1-0868AAB2231A}"/>
    <cellStyle name="20% - Accent4 3 4 2 3" xfId="11730" xr:uid="{194E31C5-E150-497B-8596-7230B80688B6}"/>
    <cellStyle name="20% - Accent4 3 4 3" xfId="5361" xr:uid="{00000000-0005-0000-0000-00004E020000}"/>
    <cellStyle name="20% - Accent4 3 4 3 2" xfId="13803" xr:uid="{81501FE0-0482-4518-804E-1B882430D3A5}"/>
    <cellStyle name="20% - Accent4 3 4 4" xfId="9585" xr:uid="{7D4CA3DA-CFEB-48B6-80FA-9F569A6F7B15}"/>
    <cellStyle name="20% - Accent4 3 5" xfId="1466" xr:uid="{00000000-0005-0000-0000-00004F020000}"/>
    <cellStyle name="20% - Accent4 3 5 2" xfId="3696" xr:uid="{00000000-0005-0000-0000-000050020000}"/>
    <cellStyle name="20% - Accent4 3 5 2 2" xfId="7919" xr:uid="{00000000-0005-0000-0000-000051020000}"/>
    <cellStyle name="20% - Accent4 3 5 2 2 2" xfId="16361" xr:uid="{2B5C4FB3-AD97-4C80-A132-56683719B276}"/>
    <cellStyle name="20% - Accent4 3 5 2 3" xfId="12143" xr:uid="{8EC5CEA0-B702-4E2E-A568-D4177BA78EC2}"/>
    <cellStyle name="20% - Accent4 3 5 3" xfId="5774" xr:uid="{00000000-0005-0000-0000-000052020000}"/>
    <cellStyle name="20% - Accent4 3 5 3 2" xfId="14216" xr:uid="{C3D98053-3EB1-43ED-A7B2-5F14A41A69A2}"/>
    <cellStyle name="20% - Accent4 3 5 4" xfId="9998" xr:uid="{E8A2072A-D6D8-47D2-A9C8-5A1D78C3C57A}"/>
    <cellStyle name="20% - Accent4 3 6" xfId="1880" xr:uid="{00000000-0005-0000-0000-000053020000}"/>
    <cellStyle name="20% - Accent4 3 6 2" xfId="4109" xr:uid="{00000000-0005-0000-0000-000054020000}"/>
    <cellStyle name="20% - Accent4 3 6 2 2" xfId="8332" xr:uid="{00000000-0005-0000-0000-000055020000}"/>
    <cellStyle name="20% - Accent4 3 6 2 2 2" xfId="16774" xr:uid="{BCA84413-D356-4B97-9DF0-60845A3A2A70}"/>
    <cellStyle name="20% - Accent4 3 6 2 3" xfId="12556" xr:uid="{E381D727-2BE1-4EF7-BFA6-8CD2ED4059B2}"/>
    <cellStyle name="20% - Accent4 3 6 3" xfId="6187" xr:uid="{00000000-0005-0000-0000-000056020000}"/>
    <cellStyle name="20% - Accent4 3 6 3 2" xfId="14629" xr:uid="{20695603-A1F3-4EAD-94CF-0560C99548DE}"/>
    <cellStyle name="20% - Accent4 3 6 4" xfId="10411" xr:uid="{6F1C1508-ABCE-445C-A597-710928C663E6}"/>
    <cellStyle name="20% - Accent4 3 7" xfId="2293" xr:uid="{00000000-0005-0000-0000-000057020000}"/>
    <cellStyle name="20% - Accent4 3 7 2" xfId="6600" xr:uid="{00000000-0005-0000-0000-000058020000}"/>
    <cellStyle name="20% - Accent4 3 7 2 2" xfId="15042" xr:uid="{EBADCEB0-C6F1-4E45-A1FD-63CC6B786C71}"/>
    <cellStyle name="20% - Accent4 3 7 3" xfId="10824" xr:uid="{394F5787-57F8-4AF0-980A-6AE8AA2BD080}"/>
    <cellStyle name="20% - Accent4 3 8" xfId="4534" xr:uid="{00000000-0005-0000-0000-000059020000}"/>
    <cellStyle name="20% - Accent4 3 8 2" xfId="12976" xr:uid="{DF18A3DD-72F6-435A-8A08-13F59D9440D0}"/>
    <cellStyle name="20% - Accent4 3 9" xfId="8758" xr:uid="{230D9698-6401-4A9D-A307-68E37BF976DD}"/>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2 2 2" xfId="15537" xr:uid="{0EE91552-4AEF-4AC2-9237-5C97746F2493}"/>
    <cellStyle name="20% - Accent4 4 2 2 3" xfId="11319" xr:uid="{C64A4CF3-C5FC-45F5-A460-0E3DF383FE5D}"/>
    <cellStyle name="20% - Accent4 4 2 3" xfId="4950" xr:uid="{00000000-0005-0000-0000-00005E020000}"/>
    <cellStyle name="20% - Accent4 4 2 3 2" xfId="13392" xr:uid="{902D81BC-6493-4947-8FAB-EEC9C7409170}"/>
    <cellStyle name="20% - Accent4 4 2 4" xfId="9174" xr:uid="{D774B644-8B75-4473-A3B9-8F202955BC12}"/>
    <cellStyle name="20% - Accent4 4 3" xfId="1054" xr:uid="{00000000-0005-0000-0000-00005F020000}"/>
    <cellStyle name="20% - Accent4 4 3 2" xfId="3285" xr:uid="{00000000-0005-0000-0000-000060020000}"/>
    <cellStyle name="20% - Accent4 4 3 2 2" xfId="7508" xr:uid="{00000000-0005-0000-0000-000061020000}"/>
    <cellStyle name="20% - Accent4 4 3 2 2 2" xfId="15950" xr:uid="{A362063D-6417-4CA6-801C-1EC9B5243EBA}"/>
    <cellStyle name="20% - Accent4 4 3 2 3" xfId="11732" xr:uid="{BDE7AD25-F03C-4598-B2FB-4B4D5BCD6364}"/>
    <cellStyle name="20% - Accent4 4 3 3" xfId="5363" xr:uid="{00000000-0005-0000-0000-000062020000}"/>
    <cellStyle name="20% - Accent4 4 3 3 2" xfId="13805" xr:uid="{C480AA0A-F48E-475E-94E6-C52D427F2A66}"/>
    <cellStyle name="20% - Accent4 4 3 4" xfId="9587" xr:uid="{15B549E6-97B4-4342-A049-5598F82A371E}"/>
    <cellStyle name="20% - Accent4 4 4" xfId="1468" xr:uid="{00000000-0005-0000-0000-000063020000}"/>
    <cellStyle name="20% - Accent4 4 4 2" xfId="3698" xr:uid="{00000000-0005-0000-0000-000064020000}"/>
    <cellStyle name="20% - Accent4 4 4 2 2" xfId="7921" xr:uid="{00000000-0005-0000-0000-000065020000}"/>
    <cellStyle name="20% - Accent4 4 4 2 2 2" xfId="16363" xr:uid="{E685C259-44CB-47BB-B2C0-80A018210B33}"/>
    <cellStyle name="20% - Accent4 4 4 2 3" xfId="12145" xr:uid="{3CCD6464-0E86-4AD3-B60E-28CB83E39721}"/>
    <cellStyle name="20% - Accent4 4 4 3" xfId="5776" xr:uid="{00000000-0005-0000-0000-000066020000}"/>
    <cellStyle name="20% - Accent4 4 4 3 2" xfId="14218" xr:uid="{9C8EDFA8-7536-47C7-9869-929A7613454D}"/>
    <cellStyle name="20% - Accent4 4 4 4" xfId="10000" xr:uid="{C4204F26-D2BB-41F6-887F-4CF6AAB434F4}"/>
    <cellStyle name="20% - Accent4 4 5" xfId="1882" xr:uid="{00000000-0005-0000-0000-000067020000}"/>
    <cellStyle name="20% - Accent4 4 5 2" xfId="4111" xr:uid="{00000000-0005-0000-0000-000068020000}"/>
    <cellStyle name="20% - Accent4 4 5 2 2" xfId="8334" xr:uid="{00000000-0005-0000-0000-000069020000}"/>
    <cellStyle name="20% - Accent4 4 5 2 2 2" xfId="16776" xr:uid="{FD8B6649-39C5-4E81-BC0A-72CCB578A6B1}"/>
    <cellStyle name="20% - Accent4 4 5 2 3" xfId="12558" xr:uid="{86965615-22BF-42EC-8866-6F7B263D20BB}"/>
    <cellStyle name="20% - Accent4 4 5 3" xfId="6189" xr:uid="{00000000-0005-0000-0000-00006A020000}"/>
    <cellStyle name="20% - Accent4 4 5 3 2" xfId="14631" xr:uid="{AC33DF09-FA2F-4278-8A9F-C8C416864BE6}"/>
    <cellStyle name="20% - Accent4 4 5 4" xfId="10413" xr:uid="{A3715F20-119A-491F-9F85-51DB2E30CAEA}"/>
    <cellStyle name="20% - Accent4 4 6" xfId="2295" xr:uid="{00000000-0005-0000-0000-00006B020000}"/>
    <cellStyle name="20% - Accent4 4 6 2" xfId="6602" xr:uid="{00000000-0005-0000-0000-00006C020000}"/>
    <cellStyle name="20% - Accent4 4 6 2 2" xfId="15044" xr:uid="{57E3A3F1-57B8-4CAD-A1C0-6F3D566E021E}"/>
    <cellStyle name="20% - Accent4 4 6 3" xfId="10826" xr:uid="{02AA43FE-CC58-49FA-A271-48F848D70A1D}"/>
    <cellStyle name="20% - Accent4 4 7" xfId="4536" xr:uid="{00000000-0005-0000-0000-00006D020000}"/>
    <cellStyle name="20% - Accent4 4 7 2" xfId="12978" xr:uid="{FF810548-B5F9-497F-917C-E1AC48AEDC36}"/>
    <cellStyle name="20% - Accent4 4 8" xfId="8760" xr:uid="{AC3E41FC-FA43-407E-B81E-9AFBEE25B9C7}"/>
    <cellStyle name="20% - Accent4 5" xfId="594" xr:uid="{00000000-0005-0000-0000-00006E020000}"/>
    <cellStyle name="20% - Accent4 5 2" xfId="2865" xr:uid="{00000000-0005-0000-0000-00006F020000}"/>
    <cellStyle name="20% - Accent4 5 2 2" xfId="7088" xr:uid="{00000000-0005-0000-0000-000070020000}"/>
    <cellStyle name="20% - Accent4 5 2 2 2" xfId="15530" xr:uid="{8C7BEF6B-9C54-41CC-AFB7-AC7940FDF7E3}"/>
    <cellStyle name="20% - Accent4 5 2 3" xfId="11312" xr:uid="{59B61A4D-4D47-4F46-AFB3-71BE3B7945E4}"/>
    <cellStyle name="20% - Accent4 5 3" xfId="4943" xr:uid="{00000000-0005-0000-0000-000071020000}"/>
    <cellStyle name="20% - Accent4 5 3 2" xfId="13385" xr:uid="{08FE5EFB-3BEA-49AF-9975-8404F4C3AA38}"/>
    <cellStyle name="20% - Accent4 5 4" xfId="9167" xr:uid="{FDBE78AB-A22E-4848-BCE3-1CB2993CFA04}"/>
    <cellStyle name="20% - Accent4 6" xfId="1047" xr:uid="{00000000-0005-0000-0000-000072020000}"/>
    <cellStyle name="20% - Accent4 6 2" xfId="3278" xr:uid="{00000000-0005-0000-0000-000073020000}"/>
    <cellStyle name="20% - Accent4 6 2 2" xfId="7501" xr:uid="{00000000-0005-0000-0000-000074020000}"/>
    <cellStyle name="20% - Accent4 6 2 2 2" xfId="15943" xr:uid="{97D1534D-D1D0-4A69-A937-F7A959163F9A}"/>
    <cellStyle name="20% - Accent4 6 2 3" xfId="11725" xr:uid="{3E1C9B1E-35D9-49F1-A2DB-66847B3E5BDB}"/>
    <cellStyle name="20% - Accent4 6 3" xfId="5356" xr:uid="{00000000-0005-0000-0000-000075020000}"/>
    <cellStyle name="20% - Accent4 6 3 2" xfId="13798" xr:uid="{8BFEE68D-7F88-4E2A-89DF-4E72C67455E4}"/>
    <cellStyle name="20% - Accent4 6 4" xfId="9580" xr:uid="{BD1AD38C-B3E1-4883-ABD8-1B79A06EB9C7}"/>
    <cellStyle name="20% - Accent4 7" xfId="1461" xr:uid="{00000000-0005-0000-0000-000076020000}"/>
    <cellStyle name="20% - Accent4 7 2" xfId="3691" xr:uid="{00000000-0005-0000-0000-000077020000}"/>
    <cellStyle name="20% - Accent4 7 2 2" xfId="7914" xr:uid="{00000000-0005-0000-0000-000078020000}"/>
    <cellStyle name="20% - Accent4 7 2 2 2" xfId="16356" xr:uid="{0209BE30-939C-4692-B296-9DE5FF098CA3}"/>
    <cellStyle name="20% - Accent4 7 2 3" xfId="12138" xr:uid="{93FD0A53-7BC9-4B76-9A30-3D67848BEF63}"/>
    <cellStyle name="20% - Accent4 7 3" xfId="5769" xr:uid="{00000000-0005-0000-0000-000079020000}"/>
    <cellStyle name="20% - Accent4 7 3 2" xfId="14211" xr:uid="{4607A8C1-710D-4289-990A-1FB304AADF67}"/>
    <cellStyle name="20% - Accent4 7 4" xfId="9993" xr:uid="{865544D0-57CA-43E0-A7F2-5429507D7CA0}"/>
    <cellStyle name="20% - Accent4 8" xfId="1875" xr:uid="{00000000-0005-0000-0000-00007A020000}"/>
    <cellStyle name="20% - Accent4 8 2" xfId="4104" xr:uid="{00000000-0005-0000-0000-00007B020000}"/>
    <cellStyle name="20% - Accent4 8 2 2" xfId="8327" xr:uid="{00000000-0005-0000-0000-00007C020000}"/>
    <cellStyle name="20% - Accent4 8 2 2 2" xfId="16769" xr:uid="{F6D1E0DB-A4B6-4F4B-8212-784137EEC5F7}"/>
    <cellStyle name="20% - Accent4 8 2 3" xfId="12551" xr:uid="{1298D5E5-FDD0-4E99-A5FE-4A51BDC2AC01}"/>
    <cellStyle name="20% - Accent4 8 3" xfId="6182" xr:uid="{00000000-0005-0000-0000-00007D020000}"/>
    <cellStyle name="20% - Accent4 8 3 2" xfId="14624" xr:uid="{02F0BFCE-0CAA-47FD-A82F-D2DCF04ACED0}"/>
    <cellStyle name="20% - Accent4 8 4" xfId="10406" xr:uid="{BB0BEEDD-4F7E-447B-8BC2-035643D710C1}"/>
    <cellStyle name="20% - Accent4 9" xfId="2288" xr:uid="{00000000-0005-0000-0000-00007E020000}"/>
    <cellStyle name="20% - Accent4 9 2" xfId="6595" xr:uid="{00000000-0005-0000-0000-00007F020000}"/>
    <cellStyle name="20% - Accent4 9 2 2" xfId="15037" xr:uid="{83FD4F04-EDD3-421A-AA4D-7A9FA59DB86B}"/>
    <cellStyle name="20% - Accent4 9 3" xfId="10819" xr:uid="{16D1E94D-F9C5-4181-B2D2-1D7689EEC496}"/>
    <cellStyle name="20% - Accent5" xfId="33" builtinId="46" customBuiltin="1"/>
    <cellStyle name="20% - Accent5 10" xfId="4537" xr:uid="{00000000-0005-0000-0000-000081020000}"/>
    <cellStyle name="20% - Accent5 10 2" xfId="12979" xr:uid="{226DC2BB-8699-43EB-AF1A-838642AD26F4}"/>
    <cellStyle name="20% - Accent5 11" xfId="8761" xr:uid="{B81F7F0A-F989-4F5E-A432-D2B2B79D23E4}"/>
    <cellStyle name="20% - Accent5 2" xfId="34" xr:uid="{00000000-0005-0000-0000-000082020000}"/>
    <cellStyle name="20% - Accent5 2 10" xfId="8762" xr:uid="{A080FA9D-DA58-4752-A7D6-1D6FC0306C37}"/>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2 2 2" xfId="15541" xr:uid="{B77512FF-6181-4B1C-BF9E-88304EB594B6}"/>
    <cellStyle name="20% - Accent5 2 2 2 2 2 3" xfId="11323" xr:uid="{D3025A40-D040-451A-8927-C8FC25E6007E}"/>
    <cellStyle name="20% - Accent5 2 2 2 2 3" xfId="4954" xr:uid="{00000000-0005-0000-0000-000088020000}"/>
    <cellStyle name="20% - Accent5 2 2 2 2 3 2" xfId="13396" xr:uid="{0AB7313D-5A6C-413F-93BE-FCC1B21FDF6E}"/>
    <cellStyle name="20% - Accent5 2 2 2 2 4" xfId="9178" xr:uid="{214DFC22-E53E-4373-91FC-A56E0C68FC7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2 2 2" xfId="15954" xr:uid="{4CF0488E-8781-45FA-B987-B57FD9E72885}"/>
    <cellStyle name="20% - Accent5 2 2 2 3 2 3" xfId="11736" xr:uid="{92E124FC-91DA-400A-B49F-4594137BBD76}"/>
    <cellStyle name="20% - Accent5 2 2 2 3 3" xfId="5367" xr:uid="{00000000-0005-0000-0000-00008C020000}"/>
    <cellStyle name="20% - Accent5 2 2 2 3 3 2" xfId="13809" xr:uid="{A3A58275-1117-4D77-83FB-630D9C1ED4DB}"/>
    <cellStyle name="20% - Accent5 2 2 2 3 4" xfId="9591" xr:uid="{297CAA76-2D50-499A-A02A-1D70871CAA24}"/>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2 2 2" xfId="16367" xr:uid="{5863EEA5-BA25-412B-9895-950930CF4685}"/>
    <cellStyle name="20% - Accent5 2 2 2 4 2 3" xfId="12149" xr:uid="{2EEA3F4E-BFC6-4E31-88B0-A4D6F020B570}"/>
    <cellStyle name="20% - Accent5 2 2 2 4 3" xfId="5780" xr:uid="{00000000-0005-0000-0000-000090020000}"/>
    <cellStyle name="20% - Accent5 2 2 2 4 3 2" xfId="14222" xr:uid="{18C6C0B3-E68C-4133-8DE2-23CF4F0A9B38}"/>
    <cellStyle name="20% - Accent5 2 2 2 4 4" xfId="10004" xr:uid="{CBFC316A-6217-4629-8BC7-B928C23E26EF}"/>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2 2 2" xfId="16780" xr:uid="{882BAA9D-C684-4B33-8643-7FDB4DA62292}"/>
    <cellStyle name="20% - Accent5 2 2 2 5 2 3" xfId="12562" xr:uid="{4A2569FD-3577-4435-8355-DB851D8C5609}"/>
    <cellStyle name="20% - Accent5 2 2 2 5 3" xfId="6193" xr:uid="{00000000-0005-0000-0000-000094020000}"/>
    <cellStyle name="20% - Accent5 2 2 2 5 3 2" xfId="14635" xr:uid="{F3B9E644-BB18-48BD-81BF-F5A85F75F7B6}"/>
    <cellStyle name="20% - Accent5 2 2 2 5 4" xfId="10417" xr:uid="{CE7244C7-C0B9-4B21-A82D-A7C2A642676D}"/>
    <cellStyle name="20% - Accent5 2 2 2 6" xfId="2299" xr:uid="{00000000-0005-0000-0000-000095020000}"/>
    <cellStyle name="20% - Accent5 2 2 2 6 2" xfId="6606" xr:uid="{00000000-0005-0000-0000-000096020000}"/>
    <cellStyle name="20% - Accent5 2 2 2 6 2 2" xfId="15048" xr:uid="{A56DCA9D-E4AB-4258-9BA1-7BC53355E854}"/>
    <cellStyle name="20% - Accent5 2 2 2 6 3" xfId="10830" xr:uid="{F4F8D683-3B76-4952-A715-F8986978CBB3}"/>
    <cellStyle name="20% - Accent5 2 2 2 7" xfId="4540" xr:uid="{00000000-0005-0000-0000-000097020000}"/>
    <cellStyle name="20% - Accent5 2 2 2 7 2" xfId="12982" xr:uid="{E14E9216-71E5-42E6-B94F-ACBF7F54213F}"/>
    <cellStyle name="20% - Accent5 2 2 2 8" xfId="8764" xr:uid="{4A0E61D4-F29E-4CCD-BB7A-97E5249748F5}"/>
    <cellStyle name="20% - Accent5 2 2 3" xfId="604" xr:uid="{00000000-0005-0000-0000-000098020000}"/>
    <cellStyle name="20% - Accent5 2 2 3 2" xfId="2875" xr:uid="{00000000-0005-0000-0000-000099020000}"/>
    <cellStyle name="20% - Accent5 2 2 3 2 2" xfId="7098" xr:uid="{00000000-0005-0000-0000-00009A020000}"/>
    <cellStyle name="20% - Accent5 2 2 3 2 2 2" xfId="15540" xr:uid="{CEA65602-0184-447A-9CE0-6CA181244BA6}"/>
    <cellStyle name="20% - Accent5 2 2 3 2 3" xfId="11322" xr:uid="{3CC18861-46BB-4AFF-B87E-028032F3FE62}"/>
    <cellStyle name="20% - Accent5 2 2 3 3" xfId="4953" xr:uid="{00000000-0005-0000-0000-00009B020000}"/>
    <cellStyle name="20% - Accent5 2 2 3 3 2" xfId="13395" xr:uid="{B2545127-618B-49D3-A3DD-3579577A50E6}"/>
    <cellStyle name="20% - Accent5 2 2 3 4" xfId="9177" xr:uid="{347065F3-8270-4576-B892-118D36C8EA79}"/>
    <cellStyle name="20% - Accent5 2 2 4" xfId="1057" xr:uid="{00000000-0005-0000-0000-00009C020000}"/>
    <cellStyle name="20% - Accent5 2 2 4 2" xfId="3288" xr:uid="{00000000-0005-0000-0000-00009D020000}"/>
    <cellStyle name="20% - Accent5 2 2 4 2 2" xfId="7511" xr:uid="{00000000-0005-0000-0000-00009E020000}"/>
    <cellStyle name="20% - Accent5 2 2 4 2 2 2" xfId="15953" xr:uid="{281A9031-0FE6-44CD-AF58-C4A7EE35E61A}"/>
    <cellStyle name="20% - Accent5 2 2 4 2 3" xfId="11735" xr:uid="{8F26B689-D254-4C83-9357-1EE289D07BD4}"/>
    <cellStyle name="20% - Accent5 2 2 4 3" xfId="5366" xr:uid="{00000000-0005-0000-0000-00009F020000}"/>
    <cellStyle name="20% - Accent5 2 2 4 3 2" xfId="13808" xr:uid="{19779974-6228-4FBA-BF70-6EA84FBDE765}"/>
    <cellStyle name="20% - Accent5 2 2 4 4" xfId="9590" xr:uid="{D98253EA-7DBA-4D9B-97AF-D42D9517B4D8}"/>
    <cellStyle name="20% - Accent5 2 2 5" xfId="1471" xr:uid="{00000000-0005-0000-0000-0000A0020000}"/>
    <cellStyle name="20% - Accent5 2 2 5 2" xfId="3701" xr:uid="{00000000-0005-0000-0000-0000A1020000}"/>
    <cellStyle name="20% - Accent5 2 2 5 2 2" xfId="7924" xr:uid="{00000000-0005-0000-0000-0000A2020000}"/>
    <cellStyle name="20% - Accent5 2 2 5 2 2 2" xfId="16366" xr:uid="{453967BB-B7BF-40A3-8AAD-9C6E3DDBDCF9}"/>
    <cellStyle name="20% - Accent5 2 2 5 2 3" xfId="12148" xr:uid="{F7B7FA9A-E275-4329-9374-822F20915584}"/>
    <cellStyle name="20% - Accent5 2 2 5 3" xfId="5779" xr:uid="{00000000-0005-0000-0000-0000A3020000}"/>
    <cellStyle name="20% - Accent5 2 2 5 3 2" xfId="14221" xr:uid="{D8A357DC-0574-43CD-8992-E933F38E8134}"/>
    <cellStyle name="20% - Accent5 2 2 5 4" xfId="10003" xr:uid="{6112A6C5-1CE1-4C65-A271-A4BC0DAEB86C}"/>
    <cellStyle name="20% - Accent5 2 2 6" xfId="1885" xr:uid="{00000000-0005-0000-0000-0000A4020000}"/>
    <cellStyle name="20% - Accent5 2 2 6 2" xfId="4114" xr:uid="{00000000-0005-0000-0000-0000A5020000}"/>
    <cellStyle name="20% - Accent5 2 2 6 2 2" xfId="8337" xr:uid="{00000000-0005-0000-0000-0000A6020000}"/>
    <cellStyle name="20% - Accent5 2 2 6 2 2 2" xfId="16779" xr:uid="{04E5FCF0-EE08-468E-927B-D194AD1EC4D2}"/>
    <cellStyle name="20% - Accent5 2 2 6 2 3" xfId="12561" xr:uid="{3D8A3D4F-99B9-4F6A-9B8E-1EB36C3710CD}"/>
    <cellStyle name="20% - Accent5 2 2 6 3" xfId="6192" xr:uid="{00000000-0005-0000-0000-0000A7020000}"/>
    <cellStyle name="20% - Accent5 2 2 6 3 2" xfId="14634" xr:uid="{171E982C-B008-46A6-8A73-56F448966ED3}"/>
    <cellStyle name="20% - Accent5 2 2 6 4" xfId="10416" xr:uid="{153AD53A-4628-4228-9314-0CD973571113}"/>
    <cellStyle name="20% - Accent5 2 2 7" xfId="2298" xr:uid="{00000000-0005-0000-0000-0000A8020000}"/>
    <cellStyle name="20% - Accent5 2 2 7 2" xfId="6605" xr:uid="{00000000-0005-0000-0000-0000A9020000}"/>
    <cellStyle name="20% - Accent5 2 2 7 2 2" xfId="15047" xr:uid="{55A89EED-5FA5-42FE-A733-E2F0EAAC140B}"/>
    <cellStyle name="20% - Accent5 2 2 7 3" xfId="10829" xr:uid="{E753865A-99FE-4268-97E2-543CD169FD51}"/>
    <cellStyle name="20% - Accent5 2 2 8" xfId="4539" xr:uid="{00000000-0005-0000-0000-0000AA020000}"/>
    <cellStyle name="20% - Accent5 2 2 8 2" xfId="12981" xr:uid="{2D3E628D-7E53-4AA4-96AB-7CFC7604D3F5}"/>
    <cellStyle name="20% - Accent5 2 2 9" xfId="8763" xr:uid="{972D0A6C-4F51-46D9-98FE-6BD4DB097CDC}"/>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2 2 2" xfId="15542" xr:uid="{6CBB83D1-FBFB-4AF1-BFA6-2AE78B8351B5}"/>
    <cellStyle name="20% - Accent5 2 3 2 2 3" xfId="11324" xr:uid="{02B4303C-9179-4C35-86A4-18DFCB87E81F}"/>
    <cellStyle name="20% - Accent5 2 3 2 3" xfId="4955" xr:uid="{00000000-0005-0000-0000-0000AF020000}"/>
    <cellStyle name="20% - Accent5 2 3 2 3 2" xfId="13397" xr:uid="{6AFEED1B-B4A5-45D7-B854-F38298DA4C5D}"/>
    <cellStyle name="20% - Accent5 2 3 2 4" xfId="9179" xr:uid="{26295497-D004-4803-A226-055EC7240657}"/>
    <cellStyle name="20% - Accent5 2 3 3" xfId="1059" xr:uid="{00000000-0005-0000-0000-0000B0020000}"/>
    <cellStyle name="20% - Accent5 2 3 3 2" xfId="3290" xr:uid="{00000000-0005-0000-0000-0000B1020000}"/>
    <cellStyle name="20% - Accent5 2 3 3 2 2" xfId="7513" xr:uid="{00000000-0005-0000-0000-0000B2020000}"/>
    <cellStyle name="20% - Accent5 2 3 3 2 2 2" xfId="15955" xr:uid="{04D8E933-93B5-46FE-93C5-E4ABB55051A1}"/>
    <cellStyle name="20% - Accent5 2 3 3 2 3" xfId="11737" xr:uid="{69C8713F-8410-4180-BE7F-43500F926840}"/>
    <cellStyle name="20% - Accent5 2 3 3 3" xfId="5368" xr:uid="{00000000-0005-0000-0000-0000B3020000}"/>
    <cellStyle name="20% - Accent5 2 3 3 3 2" xfId="13810" xr:uid="{9C2F8243-7375-4777-AC78-5ED7390E899B}"/>
    <cellStyle name="20% - Accent5 2 3 3 4" xfId="9592" xr:uid="{755BC78A-8ADE-40DD-9C62-A5234DA626B8}"/>
    <cellStyle name="20% - Accent5 2 3 4" xfId="1473" xr:uid="{00000000-0005-0000-0000-0000B4020000}"/>
    <cellStyle name="20% - Accent5 2 3 4 2" xfId="3703" xr:uid="{00000000-0005-0000-0000-0000B5020000}"/>
    <cellStyle name="20% - Accent5 2 3 4 2 2" xfId="7926" xr:uid="{00000000-0005-0000-0000-0000B6020000}"/>
    <cellStyle name="20% - Accent5 2 3 4 2 2 2" xfId="16368" xr:uid="{EA1DBD40-38B8-40AA-B447-19B892750CCD}"/>
    <cellStyle name="20% - Accent5 2 3 4 2 3" xfId="12150" xr:uid="{8CAEBA4B-67D1-43C3-ABFA-2204D27E6A80}"/>
    <cellStyle name="20% - Accent5 2 3 4 3" xfId="5781" xr:uid="{00000000-0005-0000-0000-0000B7020000}"/>
    <cellStyle name="20% - Accent5 2 3 4 3 2" xfId="14223" xr:uid="{599E9C12-1264-41B2-AAAB-07EC56CE8ABD}"/>
    <cellStyle name="20% - Accent5 2 3 4 4" xfId="10005" xr:uid="{7B6CD036-BA38-401E-AD94-361A43764983}"/>
    <cellStyle name="20% - Accent5 2 3 5" xfId="1887" xr:uid="{00000000-0005-0000-0000-0000B8020000}"/>
    <cellStyle name="20% - Accent5 2 3 5 2" xfId="4116" xr:uid="{00000000-0005-0000-0000-0000B9020000}"/>
    <cellStyle name="20% - Accent5 2 3 5 2 2" xfId="8339" xr:uid="{00000000-0005-0000-0000-0000BA020000}"/>
    <cellStyle name="20% - Accent5 2 3 5 2 2 2" xfId="16781" xr:uid="{51040502-0655-456B-BE5B-24CBA3F212C7}"/>
    <cellStyle name="20% - Accent5 2 3 5 2 3" xfId="12563" xr:uid="{66A210C9-7F09-48EA-9972-80D68135A3ED}"/>
    <cellStyle name="20% - Accent5 2 3 5 3" xfId="6194" xr:uid="{00000000-0005-0000-0000-0000BB020000}"/>
    <cellStyle name="20% - Accent5 2 3 5 3 2" xfId="14636" xr:uid="{48FE23CB-AB1D-4FC1-B21C-F62215B785C0}"/>
    <cellStyle name="20% - Accent5 2 3 5 4" xfId="10418" xr:uid="{78AAA854-677B-4B34-BBA4-8A47C5362BC7}"/>
    <cellStyle name="20% - Accent5 2 3 6" xfId="2300" xr:uid="{00000000-0005-0000-0000-0000BC020000}"/>
    <cellStyle name="20% - Accent5 2 3 6 2" xfId="6607" xr:uid="{00000000-0005-0000-0000-0000BD020000}"/>
    <cellStyle name="20% - Accent5 2 3 6 2 2" xfId="15049" xr:uid="{E96AD482-E351-45B0-B997-C2F82CF8C30E}"/>
    <cellStyle name="20% - Accent5 2 3 6 3" xfId="10831" xr:uid="{F146D8CD-D978-4BFE-A3E6-45F254256BA7}"/>
    <cellStyle name="20% - Accent5 2 3 7" xfId="4541" xr:uid="{00000000-0005-0000-0000-0000BE020000}"/>
    <cellStyle name="20% - Accent5 2 3 7 2" xfId="12983" xr:uid="{6841D875-C685-4EF4-8F40-F0CADDF909D4}"/>
    <cellStyle name="20% - Accent5 2 3 8" xfId="8765" xr:uid="{D70324A0-312F-4111-A82E-AA07B20B01D2}"/>
    <cellStyle name="20% - Accent5 2 4" xfId="603" xr:uid="{00000000-0005-0000-0000-0000BF020000}"/>
    <cellStyle name="20% - Accent5 2 4 2" xfId="2874" xr:uid="{00000000-0005-0000-0000-0000C0020000}"/>
    <cellStyle name="20% - Accent5 2 4 2 2" xfId="7097" xr:uid="{00000000-0005-0000-0000-0000C1020000}"/>
    <cellStyle name="20% - Accent5 2 4 2 2 2" xfId="15539" xr:uid="{DAC548B0-89D6-46B7-84B0-50E0A41BBF88}"/>
    <cellStyle name="20% - Accent5 2 4 2 3" xfId="11321" xr:uid="{90E35B02-E029-4E45-B572-5311DE7056C8}"/>
    <cellStyle name="20% - Accent5 2 4 3" xfId="4952" xr:uid="{00000000-0005-0000-0000-0000C2020000}"/>
    <cellStyle name="20% - Accent5 2 4 3 2" xfId="13394" xr:uid="{52EA6764-41F5-4E52-9F94-66EA2689E54C}"/>
    <cellStyle name="20% - Accent5 2 4 4" xfId="9176" xr:uid="{5D496B88-6323-461C-BBBD-423499B13EF6}"/>
    <cellStyle name="20% - Accent5 2 5" xfId="1056" xr:uid="{00000000-0005-0000-0000-0000C3020000}"/>
    <cellStyle name="20% - Accent5 2 5 2" xfId="3287" xr:uid="{00000000-0005-0000-0000-0000C4020000}"/>
    <cellStyle name="20% - Accent5 2 5 2 2" xfId="7510" xr:uid="{00000000-0005-0000-0000-0000C5020000}"/>
    <cellStyle name="20% - Accent5 2 5 2 2 2" xfId="15952" xr:uid="{F465DB82-FACB-4033-871E-6BF1E78B85DB}"/>
    <cellStyle name="20% - Accent5 2 5 2 3" xfId="11734" xr:uid="{24555266-90CB-4D9C-9709-631FAB21DC8F}"/>
    <cellStyle name="20% - Accent5 2 5 3" xfId="5365" xr:uid="{00000000-0005-0000-0000-0000C6020000}"/>
    <cellStyle name="20% - Accent5 2 5 3 2" xfId="13807" xr:uid="{8C9A3893-EB88-47FB-8513-8FD22F1166F0}"/>
    <cellStyle name="20% - Accent5 2 5 4" xfId="9589" xr:uid="{EFC1A5F8-3204-4E08-8A74-91148B8CCADA}"/>
    <cellStyle name="20% - Accent5 2 6" xfId="1470" xr:uid="{00000000-0005-0000-0000-0000C7020000}"/>
    <cellStyle name="20% - Accent5 2 6 2" xfId="3700" xr:uid="{00000000-0005-0000-0000-0000C8020000}"/>
    <cellStyle name="20% - Accent5 2 6 2 2" xfId="7923" xr:uid="{00000000-0005-0000-0000-0000C9020000}"/>
    <cellStyle name="20% - Accent5 2 6 2 2 2" xfId="16365" xr:uid="{3B45C013-48EF-41AB-A979-D226DA220AF5}"/>
    <cellStyle name="20% - Accent5 2 6 2 3" xfId="12147" xr:uid="{D80FA1ED-6B5C-4BF3-89FA-DA6E95ED050B}"/>
    <cellStyle name="20% - Accent5 2 6 3" xfId="5778" xr:uid="{00000000-0005-0000-0000-0000CA020000}"/>
    <cellStyle name="20% - Accent5 2 6 3 2" xfId="14220" xr:uid="{B92568FC-99F9-4364-B438-35E41934916F}"/>
    <cellStyle name="20% - Accent5 2 6 4" xfId="10002" xr:uid="{7B117394-222A-443D-8124-00EA54DD43F2}"/>
    <cellStyle name="20% - Accent5 2 7" xfId="1884" xr:uid="{00000000-0005-0000-0000-0000CB020000}"/>
    <cellStyle name="20% - Accent5 2 7 2" xfId="4113" xr:uid="{00000000-0005-0000-0000-0000CC020000}"/>
    <cellStyle name="20% - Accent5 2 7 2 2" xfId="8336" xr:uid="{00000000-0005-0000-0000-0000CD020000}"/>
    <cellStyle name="20% - Accent5 2 7 2 2 2" xfId="16778" xr:uid="{32F08530-0061-4017-880E-53239E2537C2}"/>
    <cellStyle name="20% - Accent5 2 7 2 3" xfId="12560" xr:uid="{FBC0A73D-AD38-494F-A21F-1089A36E3E9A}"/>
    <cellStyle name="20% - Accent5 2 7 3" xfId="6191" xr:uid="{00000000-0005-0000-0000-0000CE020000}"/>
    <cellStyle name="20% - Accent5 2 7 3 2" xfId="14633" xr:uid="{02913567-D36E-4CB9-BD0C-AAF73E03AB32}"/>
    <cellStyle name="20% - Accent5 2 7 4" xfId="10415" xr:uid="{D1953A39-5B6C-4D0E-953C-E173BA814E41}"/>
    <cellStyle name="20% - Accent5 2 8" xfId="2297" xr:uid="{00000000-0005-0000-0000-0000CF020000}"/>
    <cellStyle name="20% - Accent5 2 8 2" xfId="6604" xr:uid="{00000000-0005-0000-0000-0000D0020000}"/>
    <cellStyle name="20% - Accent5 2 8 2 2" xfId="15046" xr:uid="{82D4B5A0-3DCF-4E33-9FB7-001F68D54C76}"/>
    <cellStyle name="20% - Accent5 2 8 3" xfId="10828" xr:uid="{75B0254D-17EC-47B7-BDA1-508D16D059C0}"/>
    <cellStyle name="20% - Accent5 2 9" xfId="4538" xr:uid="{00000000-0005-0000-0000-0000D1020000}"/>
    <cellStyle name="20% - Accent5 2 9 2" xfId="12980" xr:uid="{CCE37DA8-FF46-4593-AE91-DC187A5C13DA}"/>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2 2 2" xfId="15544" xr:uid="{8DA11280-72E6-49C0-952F-9E3AB5E93538}"/>
    <cellStyle name="20% - Accent5 3 2 2 2 3" xfId="11326" xr:uid="{B6966B7D-A2C7-4D25-A522-04492644AB6B}"/>
    <cellStyle name="20% - Accent5 3 2 2 3" xfId="4957" xr:uid="{00000000-0005-0000-0000-0000D7020000}"/>
    <cellStyle name="20% - Accent5 3 2 2 3 2" xfId="13399" xr:uid="{73FFCE46-7D33-4AE4-898B-1A03D2C7B0C3}"/>
    <cellStyle name="20% - Accent5 3 2 2 4" xfId="9181" xr:uid="{3847FE8E-6B22-4A1B-AC88-38A720B94465}"/>
    <cellStyle name="20% - Accent5 3 2 3" xfId="1061" xr:uid="{00000000-0005-0000-0000-0000D8020000}"/>
    <cellStyle name="20% - Accent5 3 2 3 2" xfId="3292" xr:uid="{00000000-0005-0000-0000-0000D9020000}"/>
    <cellStyle name="20% - Accent5 3 2 3 2 2" xfId="7515" xr:uid="{00000000-0005-0000-0000-0000DA020000}"/>
    <cellStyle name="20% - Accent5 3 2 3 2 2 2" xfId="15957" xr:uid="{4433C7A6-980C-4186-AF45-5F1240140ED7}"/>
    <cellStyle name="20% - Accent5 3 2 3 2 3" xfId="11739" xr:uid="{9E66570A-B948-4EC5-B014-BBEDD600C1F4}"/>
    <cellStyle name="20% - Accent5 3 2 3 3" xfId="5370" xr:uid="{00000000-0005-0000-0000-0000DB020000}"/>
    <cellStyle name="20% - Accent5 3 2 3 3 2" xfId="13812" xr:uid="{C61B81E8-A77E-470B-BF0B-29E8B214634B}"/>
    <cellStyle name="20% - Accent5 3 2 3 4" xfId="9594" xr:uid="{386F6110-D31F-41AA-B6F2-7C797AC63CC3}"/>
    <cellStyle name="20% - Accent5 3 2 4" xfId="1475" xr:uid="{00000000-0005-0000-0000-0000DC020000}"/>
    <cellStyle name="20% - Accent5 3 2 4 2" xfId="3705" xr:uid="{00000000-0005-0000-0000-0000DD020000}"/>
    <cellStyle name="20% - Accent5 3 2 4 2 2" xfId="7928" xr:uid="{00000000-0005-0000-0000-0000DE020000}"/>
    <cellStyle name="20% - Accent5 3 2 4 2 2 2" xfId="16370" xr:uid="{F53EC459-0718-48E6-9C24-477299E49E62}"/>
    <cellStyle name="20% - Accent5 3 2 4 2 3" xfId="12152" xr:uid="{0AACBEC0-D717-4BDE-9600-D52BD03D998C}"/>
    <cellStyle name="20% - Accent5 3 2 4 3" xfId="5783" xr:uid="{00000000-0005-0000-0000-0000DF020000}"/>
    <cellStyle name="20% - Accent5 3 2 4 3 2" xfId="14225" xr:uid="{F1B101BF-D957-4BC9-B09F-1A5AED64DD60}"/>
    <cellStyle name="20% - Accent5 3 2 4 4" xfId="10007" xr:uid="{A1C9FA36-054F-4BEF-AFF5-E125CEDF0B22}"/>
    <cellStyle name="20% - Accent5 3 2 5" xfId="1889" xr:uid="{00000000-0005-0000-0000-0000E0020000}"/>
    <cellStyle name="20% - Accent5 3 2 5 2" xfId="4118" xr:uid="{00000000-0005-0000-0000-0000E1020000}"/>
    <cellStyle name="20% - Accent5 3 2 5 2 2" xfId="8341" xr:uid="{00000000-0005-0000-0000-0000E2020000}"/>
    <cellStyle name="20% - Accent5 3 2 5 2 2 2" xfId="16783" xr:uid="{3E5A4D85-05E0-4304-AA08-3679E595EFF0}"/>
    <cellStyle name="20% - Accent5 3 2 5 2 3" xfId="12565" xr:uid="{FA7C5E62-0264-4014-BAC3-AF644C7F5456}"/>
    <cellStyle name="20% - Accent5 3 2 5 3" xfId="6196" xr:uid="{00000000-0005-0000-0000-0000E3020000}"/>
    <cellStyle name="20% - Accent5 3 2 5 3 2" xfId="14638" xr:uid="{4007684D-5B09-4C84-AC33-AC828D7C0596}"/>
    <cellStyle name="20% - Accent5 3 2 5 4" xfId="10420" xr:uid="{AF6FAE77-4F79-4E0B-8FAE-3EEAD5BA301B}"/>
    <cellStyle name="20% - Accent5 3 2 6" xfId="2302" xr:uid="{00000000-0005-0000-0000-0000E4020000}"/>
    <cellStyle name="20% - Accent5 3 2 6 2" xfId="6609" xr:uid="{00000000-0005-0000-0000-0000E5020000}"/>
    <cellStyle name="20% - Accent5 3 2 6 2 2" xfId="15051" xr:uid="{70FB7EFF-1EAC-46AC-BAFE-50DEDAE34A8F}"/>
    <cellStyle name="20% - Accent5 3 2 6 3" xfId="10833" xr:uid="{9298A9BB-D13E-48E6-9B06-DB4740EADD10}"/>
    <cellStyle name="20% - Accent5 3 2 7" xfId="4543" xr:uid="{00000000-0005-0000-0000-0000E6020000}"/>
    <cellStyle name="20% - Accent5 3 2 7 2" xfId="12985" xr:uid="{3FE2193B-D028-4275-AA02-90020228B8C9}"/>
    <cellStyle name="20% - Accent5 3 2 8" xfId="8767" xr:uid="{F0611344-CEF2-4E16-83CE-0FFB183ED93D}"/>
    <cellStyle name="20% - Accent5 3 3" xfId="607" xr:uid="{00000000-0005-0000-0000-0000E7020000}"/>
    <cellStyle name="20% - Accent5 3 3 2" xfId="2878" xr:uid="{00000000-0005-0000-0000-0000E8020000}"/>
    <cellStyle name="20% - Accent5 3 3 2 2" xfId="7101" xr:uid="{00000000-0005-0000-0000-0000E9020000}"/>
    <cellStyle name="20% - Accent5 3 3 2 2 2" xfId="15543" xr:uid="{81D6D38B-9E0D-4383-875F-EB0293DBAB31}"/>
    <cellStyle name="20% - Accent5 3 3 2 3" xfId="11325" xr:uid="{27A551FD-B7EB-444A-85C8-577E9A998CF0}"/>
    <cellStyle name="20% - Accent5 3 3 3" xfId="4956" xr:uid="{00000000-0005-0000-0000-0000EA020000}"/>
    <cellStyle name="20% - Accent5 3 3 3 2" xfId="13398" xr:uid="{736C613C-3F1C-45E8-84AB-7422F6F62C59}"/>
    <cellStyle name="20% - Accent5 3 3 4" xfId="9180" xr:uid="{7C14337E-7709-49F5-99D4-0C26CF0FF971}"/>
    <cellStyle name="20% - Accent5 3 4" xfId="1060" xr:uid="{00000000-0005-0000-0000-0000EB020000}"/>
    <cellStyle name="20% - Accent5 3 4 2" xfId="3291" xr:uid="{00000000-0005-0000-0000-0000EC020000}"/>
    <cellStyle name="20% - Accent5 3 4 2 2" xfId="7514" xr:uid="{00000000-0005-0000-0000-0000ED020000}"/>
    <cellStyle name="20% - Accent5 3 4 2 2 2" xfId="15956" xr:uid="{2C725164-350E-4CCB-86FB-12DC3556EC51}"/>
    <cellStyle name="20% - Accent5 3 4 2 3" xfId="11738" xr:uid="{E708638A-41A2-4530-A403-6C6FD21E0EAC}"/>
    <cellStyle name="20% - Accent5 3 4 3" xfId="5369" xr:uid="{00000000-0005-0000-0000-0000EE020000}"/>
    <cellStyle name="20% - Accent5 3 4 3 2" xfId="13811" xr:uid="{42CA7CEE-2CAA-4F75-A4DB-373507E5B28C}"/>
    <cellStyle name="20% - Accent5 3 4 4" xfId="9593" xr:uid="{1B49033D-688C-4B80-B7C8-AF227C1681CC}"/>
    <cellStyle name="20% - Accent5 3 5" xfId="1474" xr:uid="{00000000-0005-0000-0000-0000EF020000}"/>
    <cellStyle name="20% - Accent5 3 5 2" xfId="3704" xr:uid="{00000000-0005-0000-0000-0000F0020000}"/>
    <cellStyle name="20% - Accent5 3 5 2 2" xfId="7927" xr:uid="{00000000-0005-0000-0000-0000F1020000}"/>
    <cellStyle name="20% - Accent5 3 5 2 2 2" xfId="16369" xr:uid="{D73DE37E-27E2-4525-947D-74F9861A223A}"/>
    <cellStyle name="20% - Accent5 3 5 2 3" xfId="12151" xr:uid="{674DFA7F-262F-4CEB-848C-134B497E9580}"/>
    <cellStyle name="20% - Accent5 3 5 3" xfId="5782" xr:uid="{00000000-0005-0000-0000-0000F2020000}"/>
    <cellStyle name="20% - Accent5 3 5 3 2" xfId="14224" xr:uid="{B277DC6A-08C4-448A-9E88-67410910E726}"/>
    <cellStyle name="20% - Accent5 3 5 4" xfId="10006" xr:uid="{D6674077-94C8-4507-A90D-EC4A0D614ED7}"/>
    <cellStyle name="20% - Accent5 3 6" xfId="1888" xr:uid="{00000000-0005-0000-0000-0000F3020000}"/>
    <cellStyle name="20% - Accent5 3 6 2" xfId="4117" xr:uid="{00000000-0005-0000-0000-0000F4020000}"/>
    <cellStyle name="20% - Accent5 3 6 2 2" xfId="8340" xr:uid="{00000000-0005-0000-0000-0000F5020000}"/>
    <cellStyle name="20% - Accent5 3 6 2 2 2" xfId="16782" xr:uid="{8C46A93E-ECA5-47B8-9E15-AD3D2BB5A7A6}"/>
    <cellStyle name="20% - Accent5 3 6 2 3" xfId="12564" xr:uid="{44346701-4A39-4364-82AF-31277CFC73D2}"/>
    <cellStyle name="20% - Accent5 3 6 3" xfId="6195" xr:uid="{00000000-0005-0000-0000-0000F6020000}"/>
    <cellStyle name="20% - Accent5 3 6 3 2" xfId="14637" xr:uid="{82ACB838-48BB-45BF-BB0B-F212ED925282}"/>
    <cellStyle name="20% - Accent5 3 6 4" xfId="10419" xr:uid="{85A55C99-BB44-481F-B98F-2832AAA8DB66}"/>
    <cellStyle name="20% - Accent5 3 7" xfId="2301" xr:uid="{00000000-0005-0000-0000-0000F7020000}"/>
    <cellStyle name="20% - Accent5 3 7 2" xfId="6608" xr:uid="{00000000-0005-0000-0000-0000F8020000}"/>
    <cellStyle name="20% - Accent5 3 7 2 2" xfId="15050" xr:uid="{10322ADD-2EE9-419A-8A1E-BCEEC4355E4A}"/>
    <cellStyle name="20% - Accent5 3 7 3" xfId="10832" xr:uid="{6C532CE7-F8A0-4C9F-AFA6-3625E30B743D}"/>
    <cellStyle name="20% - Accent5 3 8" xfId="4542" xr:uid="{00000000-0005-0000-0000-0000F9020000}"/>
    <cellStyle name="20% - Accent5 3 8 2" xfId="12984" xr:uid="{43D53F10-C0A2-4B20-90F7-31C3C2454692}"/>
    <cellStyle name="20% - Accent5 3 9" xfId="8766" xr:uid="{2B82B78D-2E7D-4835-8017-9D78674255AF}"/>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2 2 2" xfId="15545" xr:uid="{EDC13D32-5E54-4EC4-8CCA-0F6DDEA146CF}"/>
    <cellStyle name="20% - Accent5 4 2 2 3" xfId="11327" xr:uid="{A361C473-266E-424E-8113-841A1AF058FE}"/>
    <cellStyle name="20% - Accent5 4 2 3" xfId="4958" xr:uid="{00000000-0005-0000-0000-0000FE020000}"/>
    <cellStyle name="20% - Accent5 4 2 3 2" xfId="13400" xr:uid="{6CDBDE4F-3B63-44AD-8911-906214BA55B7}"/>
    <cellStyle name="20% - Accent5 4 2 4" xfId="9182" xr:uid="{B015A32A-03A2-45BE-AA1B-B76925AE793B}"/>
    <cellStyle name="20% - Accent5 4 3" xfId="1062" xr:uid="{00000000-0005-0000-0000-0000FF020000}"/>
    <cellStyle name="20% - Accent5 4 3 2" xfId="3293" xr:uid="{00000000-0005-0000-0000-000000030000}"/>
    <cellStyle name="20% - Accent5 4 3 2 2" xfId="7516" xr:uid="{00000000-0005-0000-0000-000001030000}"/>
    <cellStyle name="20% - Accent5 4 3 2 2 2" xfId="15958" xr:uid="{D37EE4D4-3816-4AC0-A5D1-53038A198F93}"/>
    <cellStyle name="20% - Accent5 4 3 2 3" xfId="11740" xr:uid="{B862DF0B-AF80-45D3-9CB2-4212406E6A8D}"/>
    <cellStyle name="20% - Accent5 4 3 3" xfId="5371" xr:uid="{00000000-0005-0000-0000-000002030000}"/>
    <cellStyle name="20% - Accent5 4 3 3 2" xfId="13813" xr:uid="{EB71A75C-995C-44D3-B963-4A221FCD4E72}"/>
    <cellStyle name="20% - Accent5 4 3 4" xfId="9595" xr:uid="{51063CE9-6020-427E-8F98-00B0D6F91943}"/>
    <cellStyle name="20% - Accent5 4 4" xfId="1476" xr:uid="{00000000-0005-0000-0000-000003030000}"/>
    <cellStyle name="20% - Accent5 4 4 2" xfId="3706" xr:uid="{00000000-0005-0000-0000-000004030000}"/>
    <cellStyle name="20% - Accent5 4 4 2 2" xfId="7929" xr:uid="{00000000-0005-0000-0000-000005030000}"/>
    <cellStyle name="20% - Accent5 4 4 2 2 2" xfId="16371" xr:uid="{7540DC57-F5B4-442C-AEC7-9274183983E4}"/>
    <cellStyle name="20% - Accent5 4 4 2 3" xfId="12153" xr:uid="{B9058A89-1D2D-444B-8B43-5BF219EB8CCC}"/>
    <cellStyle name="20% - Accent5 4 4 3" xfId="5784" xr:uid="{00000000-0005-0000-0000-000006030000}"/>
    <cellStyle name="20% - Accent5 4 4 3 2" xfId="14226" xr:uid="{63CCBF61-CB79-46C7-8B56-E1AD23980069}"/>
    <cellStyle name="20% - Accent5 4 4 4" xfId="10008" xr:uid="{3E742136-B077-4FA5-B303-7DF2A8D17793}"/>
    <cellStyle name="20% - Accent5 4 5" xfId="1890" xr:uid="{00000000-0005-0000-0000-000007030000}"/>
    <cellStyle name="20% - Accent5 4 5 2" xfId="4119" xr:uid="{00000000-0005-0000-0000-000008030000}"/>
    <cellStyle name="20% - Accent5 4 5 2 2" xfId="8342" xr:uid="{00000000-0005-0000-0000-000009030000}"/>
    <cellStyle name="20% - Accent5 4 5 2 2 2" xfId="16784" xr:uid="{73DF3F81-425C-4E6C-817D-1364AA6075BE}"/>
    <cellStyle name="20% - Accent5 4 5 2 3" xfId="12566" xr:uid="{5B5CF87E-AEAF-4DD5-AEAD-D349A463A176}"/>
    <cellStyle name="20% - Accent5 4 5 3" xfId="6197" xr:uid="{00000000-0005-0000-0000-00000A030000}"/>
    <cellStyle name="20% - Accent5 4 5 3 2" xfId="14639" xr:uid="{E2A5994A-5268-449B-BBB3-8520638CD946}"/>
    <cellStyle name="20% - Accent5 4 5 4" xfId="10421" xr:uid="{DEE82834-5038-43E0-AC9C-DF7630EB3090}"/>
    <cellStyle name="20% - Accent5 4 6" xfId="2303" xr:uid="{00000000-0005-0000-0000-00000B030000}"/>
    <cellStyle name="20% - Accent5 4 6 2" xfId="6610" xr:uid="{00000000-0005-0000-0000-00000C030000}"/>
    <cellStyle name="20% - Accent5 4 6 2 2" xfId="15052" xr:uid="{3675E377-2281-412B-BE55-858124FC2357}"/>
    <cellStyle name="20% - Accent5 4 6 3" xfId="10834" xr:uid="{6F9B46BB-AF7F-4E99-80DA-C675E6C1DF8E}"/>
    <cellStyle name="20% - Accent5 4 7" xfId="4544" xr:uid="{00000000-0005-0000-0000-00000D030000}"/>
    <cellStyle name="20% - Accent5 4 7 2" xfId="12986" xr:uid="{F3DA539F-B046-4D1D-BE63-7861844D3F75}"/>
    <cellStyle name="20% - Accent5 4 8" xfId="8768" xr:uid="{8C9A88E9-5C39-4C1A-9159-A7907C1304A4}"/>
    <cellStyle name="20% - Accent5 5" xfId="602" xr:uid="{00000000-0005-0000-0000-00000E030000}"/>
    <cellStyle name="20% - Accent5 5 2" xfId="2873" xr:uid="{00000000-0005-0000-0000-00000F030000}"/>
    <cellStyle name="20% - Accent5 5 2 2" xfId="7096" xr:uid="{00000000-0005-0000-0000-000010030000}"/>
    <cellStyle name="20% - Accent5 5 2 2 2" xfId="15538" xr:uid="{C81651B1-D55C-425E-9FF1-F604B30A4A08}"/>
    <cellStyle name="20% - Accent5 5 2 3" xfId="11320" xr:uid="{84915BD1-AA46-454A-BFB7-2BED97BEF956}"/>
    <cellStyle name="20% - Accent5 5 3" xfId="4951" xr:uid="{00000000-0005-0000-0000-000011030000}"/>
    <cellStyle name="20% - Accent5 5 3 2" xfId="13393" xr:uid="{EEB7B095-87EA-4C3C-930D-66E2F3E99870}"/>
    <cellStyle name="20% - Accent5 5 4" xfId="9175" xr:uid="{F9805367-2391-4047-89A4-08A28788A1D3}"/>
    <cellStyle name="20% - Accent5 6" xfId="1055" xr:uid="{00000000-0005-0000-0000-000012030000}"/>
    <cellStyle name="20% - Accent5 6 2" xfId="3286" xr:uid="{00000000-0005-0000-0000-000013030000}"/>
    <cellStyle name="20% - Accent5 6 2 2" xfId="7509" xr:uid="{00000000-0005-0000-0000-000014030000}"/>
    <cellStyle name="20% - Accent5 6 2 2 2" xfId="15951" xr:uid="{8CBAFA84-8FC3-4CBA-AF13-BAABF7DD218A}"/>
    <cellStyle name="20% - Accent5 6 2 3" xfId="11733" xr:uid="{CF93D652-7CF4-4271-B08F-39382B0C7781}"/>
    <cellStyle name="20% - Accent5 6 3" xfId="5364" xr:uid="{00000000-0005-0000-0000-000015030000}"/>
    <cellStyle name="20% - Accent5 6 3 2" xfId="13806" xr:uid="{9D2F13D4-F3FE-4524-B5A2-94EF8D6B78E3}"/>
    <cellStyle name="20% - Accent5 6 4" xfId="9588" xr:uid="{A3CB9504-E58F-44D7-B8CE-642ABB6661C0}"/>
    <cellStyle name="20% - Accent5 7" xfId="1469" xr:uid="{00000000-0005-0000-0000-000016030000}"/>
    <cellStyle name="20% - Accent5 7 2" xfId="3699" xr:uid="{00000000-0005-0000-0000-000017030000}"/>
    <cellStyle name="20% - Accent5 7 2 2" xfId="7922" xr:uid="{00000000-0005-0000-0000-000018030000}"/>
    <cellStyle name="20% - Accent5 7 2 2 2" xfId="16364" xr:uid="{B5D6012B-1C4E-4901-A41D-4D528F8D4EE2}"/>
    <cellStyle name="20% - Accent5 7 2 3" xfId="12146" xr:uid="{1835FF9B-ED2C-445B-A641-9E22317C4707}"/>
    <cellStyle name="20% - Accent5 7 3" xfId="5777" xr:uid="{00000000-0005-0000-0000-000019030000}"/>
    <cellStyle name="20% - Accent5 7 3 2" xfId="14219" xr:uid="{4EB2BFCE-4A22-473E-A4E1-5FB33039FBBC}"/>
    <cellStyle name="20% - Accent5 7 4" xfId="10001" xr:uid="{29864B17-FD8A-4163-A8E4-3A8675BADD85}"/>
    <cellStyle name="20% - Accent5 8" xfId="1883" xr:uid="{00000000-0005-0000-0000-00001A030000}"/>
    <cellStyle name="20% - Accent5 8 2" xfId="4112" xr:uid="{00000000-0005-0000-0000-00001B030000}"/>
    <cellStyle name="20% - Accent5 8 2 2" xfId="8335" xr:uid="{00000000-0005-0000-0000-00001C030000}"/>
    <cellStyle name="20% - Accent5 8 2 2 2" xfId="16777" xr:uid="{1AF7B47B-E6F0-40B4-AF17-4AEDBF2208C6}"/>
    <cellStyle name="20% - Accent5 8 2 3" xfId="12559" xr:uid="{19697DE5-08C1-4E01-BFBE-E98077E508DC}"/>
    <cellStyle name="20% - Accent5 8 3" xfId="6190" xr:uid="{00000000-0005-0000-0000-00001D030000}"/>
    <cellStyle name="20% - Accent5 8 3 2" xfId="14632" xr:uid="{3FB99FDA-B1EA-468C-9634-80EFEB479639}"/>
    <cellStyle name="20% - Accent5 8 4" xfId="10414" xr:uid="{68402A05-801A-4B00-9A37-A8E5A099A651}"/>
    <cellStyle name="20% - Accent5 9" xfId="2296" xr:uid="{00000000-0005-0000-0000-00001E030000}"/>
    <cellStyle name="20% - Accent5 9 2" xfId="6603" xr:uid="{00000000-0005-0000-0000-00001F030000}"/>
    <cellStyle name="20% - Accent5 9 2 2" xfId="15045" xr:uid="{520B86F7-9CA4-4FC5-A983-030686D2AC31}"/>
    <cellStyle name="20% - Accent5 9 3" xfId="10827" xr:uid="{C50CA3FB-C011-4587-B813-D66CCEF7B234}"/>
    <cellStyle name="20% - Accent6" xfId="41" builtinId="50" customBuiltin="1"/>
    <cellStyle name="20% - Accent6 10" xfId="4545" xr:uid="{00000000-0005-0000-0000-000021030000}"/>
    <cellStyle name="20% - Accent6 10 2" xfId="12987" xr:uid="{6589B0F2-E4B8-4529-BA8B-824107793B55}"/>
    <cellStyle name="20% - Accent6 11" xfId="8769" xr:uid="{F4F2361C-2314-4813-8F1A-2F26665103AE}"/>
    <cellStyle name="20% - Accent6 2" xfId="42" xr:uid="{00000000-0005-0000-0000-000022030000}"/>
    <cellStyle name="20% - Accent6 2 10" xfId="8770" xr:uid="{FD6E7927-0F52-465D-BCB5-6B7E99EDC946}"/>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2 2 2" xfId="15549" xr:uid="{E9C55384-75B3-4F4D-9F87-912D435F4269}"/>
    <cellStyle name="20% - Accent6 2 2 2 2 2 3" xfId="11331" xr:uid="{DE87D580-2F5E-4D91-A3B0-423E91C55E86}"/>
    <cellStyle name="20% - Accent6 2 2 2 2 3" xfId="4962" xr:uid="{00000000-0005-0000-0000-000028030000}"/>
    <cellStyle name="20% - Accent6 2 2 2 2 3 2" xfId="13404" xr:uid="{0957F630-A53F-4F8D-AAF3-8BBD4813C1A8}"/>
    <cellStyle name="20% - Accent6 2 2 2 2 4" xfId="9186" xr:uid="{7F693072-2D9E-412C-8E8B-24A09721E5F4}"/>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2 2 2" xfId="15962" xr:uid="{D23B3BC4-6BA2-40A7-B661-860567FFE9BD}"/>
    <cellStyle name="20% - Accent6 2 2 2 3 2 3" xfId="11744" xr:uid="{A7C20380-CE06-46C9-806B-6DD37451320C}"/>
    <cellStyle name="20% - Accent6 2 2 2 3 3" xfId="5375" xr:uid="{00000000-0005-0000-0000-00002C030000}"/>
    <cellStyle name="20% - Accent6 2 2 2 3 3 2" xfId="13817" xr:uid="{D359DFC0-8F22-4982-82E2-6846B05658A9}"/>
    <cellStyle name="20% - Accent6 2 2 2 3 4" xfId="9599" xr:uid="{1C4EC7E9-7470-47D0-9594-8E4403840332}"/>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2 2 2" xfId="16375" xr:uid="{6672C2A0-263F-40F1-AA64-1D53EE1D6312}"/>
    <cellStyle name="20% - Accent6 2 2 2 4 2 3" xfId="12157" xr:uid="{9BD615EF-BD39-41BA-AA87-0B22CD8B5664}"/>
    <cellStyle name="20% - Accent6 2 2 2 4 3" xfId="5788" xr:uid="{00000000-0005-0000-0000-000030030000}"/>
    <cellStyle name="20% - Accent6 2 2 2 4 3 2" xfId="14230" xr:uid="{37DBC217-9603-4123-8D36-72181185FFD5}"/>
    <cellStyle name="20% - Accent6 2 2 2 4 4" xfId="10012" xr:uid="{449B0FD9-D65A-4487-B5DF-FC38D2D9625E}"/>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2 2 2" xfId="16788" xr:uid="{07CA313C-CCA5-486B-97D7-171E8C726582}"/>
    <cellStyle name="20% - Accent6 2 2 2 5 2 3" xfId="12570" xr:uid="{2E1AE32E-F708-47EE-AC76-BAE95A318FBA}"/>
    <cellStyle name="20% - Accent6 2 2 2 5 3" xfId="6201" xr:uid="{00000000-0005-0000-0000-000034030000}"/>
    <cellStyle name="20% - Accent6 2 2 2 5 3 2" xfId="14643" xr:uid="{3F90FFB2-2B27-42A8-8503-2DD948071DE0}"/>
    <cellStyle name="20% - Accent6 2 2 2 5 4" xfId="10425" xr:uid="{E2676C8C-017D-4C15-8566-CA7F3A557AB9}"/>
    <cellStyle name="20% - Accent6 2 2 2 6" xfId="2307" xr:uid="{00000000-0005-0000-0000-000035030000}"/>
    <cellStyle name="20% - Accent6 2 2 2 6 2" xfId="6614" xr:uid="{00000000-0005-0000-0000-000036030000}"/>
    <cellStyle name="20% - Accent6 2 2 2 6 2 2" xfId="15056" xr:uid="{2C3C241D-D8EA-4F05-A63B-C542452D1816}"/>
    <cellStyle name="20% - Accent6 2 2 2 6 3" xfId="10838" xr:uid="{88821DC2-C23C-4525-BB3E-FDCD8022072E}"/>
    <cellStyle name="20% - Accent6 2 2 2 7" xfId="4548" xr:uid="{00000000-0005-0000-0000-000037030000}"/>
    <cellStyle name="20% - Accent6 2 2 2 7 2" xfId="12990" xr:uid="{858437A9-1606-4737-B1D5-4FE8F1A3BB40}"/>
    <cellStyle name="20% - Accent6 2 2 2 8" xfId="8772" xr:uid="{69DF747D-4A24-4FAE-B411-4CF61CBBE0A4}"/>
    <cellStyle name="20% - Accent6 2 2 3" xfId="612" xr:uid="{00000000-0005-0000-0000-000038030000}"/>
    <cellStyle name="20% - Accent6 2 2 3 2" xfId="2883" xr:uid="{00000000-0005-0000-0000-000039030000}"/>
    <cellStyle name="20% - Accent6 2 2 3 2 2" xfId="7106" xr:uid="{00000000-0005-0000-0000-00003A030000}"/>
    <cellStyle name="20% - Accent6 2 2 3 2 2 2" xfId="15548" xr:uid="{3A790965-1CA8-4F28-A97A-1D00EA1DCDA1}"/>
    <cellStyle name="20% - Accent6 2 2 3 2 3" xfId="11330" xr:uid="{EEBF4A22-737C-40D2-BF70-EE2773A9DCD1}"/>
    <cellStyle name="20% - Accent6 2 2 3 3" xfId="4961" xr:uid="{00000000-0005-0000-0000-00003B030000}"/>
    <cellStyle name="20% - Accent6 2 2 3 3 2" xfId="13403" xr:uid="{4C2B0737-58F8-4708-8EC1-00385FFFBD43}"/>
    <cellStyle name="20% - Accent6 2 2 3 4" xfId="9185" xr:uid="{6946517B-A135-4575-B13C-F41BC2D6BF3E}"/>
    <cellStyle name="20% - Accent6 2 2 4" xfId="1065" xr:uid="{00000000-0005-0000-0000-00003C030000}"/>
    <cellStyle name="20% - Accent6 2 2 4 2" xfId="3296" xr:uid="{00000000-0005-0000-0000-00003D030000}"/>
    <cellStyle name="20% - Accent6 2 2 4 2 2" xfId="7519" xr:uid="{00000000-0005-0000-0000-00003E030000}"/>
    <cellStyle name="20% - Accent6 2 2 4 2 2 2" xfId="15961" xr:uid="{92C8F427-44F4-4B47-829C-BFDC162DCA07}"/>
    <cellStyle name="20% - Accent6 2 2 4 2 3" xfId="11743" xr:uid="{3E4ABD30-9540-455F-95CD-C04242399BE0}"/>
    <cellStyle name="20% - Accent6 2 2 4 3" xfId="5374" xr:uid="{00000000-0005-0000-0000-00003F030000}"/>
    <cellStyle name="20% - Accent6 2 2 4 3 2" xfId="13816" xr:uid="{8CE57D6C-C6DB-4F0B-A111-D5FB270D21D5}"/>
    <cellStyle name="20% - Accent6 2 2 4 4" xfId="9598" xr:uid="{39D3AD06-616E-4414-BC34-11CC28C908F8}"/>
    <cellStyle name="20% - Accent6 2 2 5" xfId="1479" xr:uid="{00000000-0005-0000-0000-000040030000}"/>
    <cellStyle name="20% - Accent6 2 2 5 2" xfId="3709" xr:uid="{00000000-0005-0000-0000-000041030000}"/>
    <cellStyle name="20% - Accent6 2 2 5 2 2" xfId="7932" xr:uid="{00000000-0005-0000-0000-000042030000}"/>
    <cellStyle name="20% - Accent6 2 2 5 2 2 2" xfId="16374" xr:uid="{B999B65B-A970-4DB7-BBAF-69B6CF03205D}"/>
    <cellStyle name="20% - Accent6 2 2 5 2 3" xfId="12156" xr:uid="{503F886A-9A9A-442E-AC1C-E95C4E5B342C}"/>
    <cellStyle name="20% - Accent6 2 2 5 3" xfId="5787" xr:uid="{00000000-0005-0000-0000-000043030000}"/>
    <cellStyle name="20% - Accent6 2 2 5 3 2" xfId="14229" xr:uid="{CBE33303-94AE-4702-9346-F3369D248F05}"/>
    <cellStyle name="20% - Accent6 2 2 5 4" xfId="10011" xr:uid="{11CF9607-645C-494E-94EE-837E839D3FEF}"/>
    <cellStyle name="20% - Accent6 2 2 6" xfId="1893" xr:uid="{00000000-0005-0000-0000-000044030000}"/>
    <cellStyle name="20% - Accent6 2 2 6 2" xfId="4122" xr:uid="{00000000-0005-0000-0000-000045030000}"/>
    <cellStyle name="20% - Accent6 2 2 6 2 2" xfId="8345" xr:uid="{00000000-0005-0000-0000-000046030000}"/>
    <cellStyle name="20% - Accent6 2 2 6 2 2 2" xfId="16787" xr:uid="{20E19792-EBEE-4D76-BA3D-B50F313F6915}"/>
    <cellStyle name="20% - Accent6 2 2 6 2 3" xfId="12569" xr:uid="{0450121F-D704-4EF1-9A93-28C5BEA81CF3}"/>
    <cellStyle name="20% - Accent6 2 2 6 3" xfId="6200" xr:uid="{00000000-0005-0000-0000-000047030000}"/>
    <cellStyle name="20% - Accent6 2 2 6 3 2" xfId="14642" xr:uid="{ADA509A6-28D9-4C64-9AB8-5D0C3746530B}"/>
    <cellStyle name="20% - Accent6 2 2 6 4" xfId="10424" xr:uid="{36F447FA-7971-4E96-92BB-36E8B7C704F9}"/>
    <cellStyle name="20% - Accent6 2 2 7" xfId="2306" xr:uid="{00000000-0005-0000-0000-000048030000}"/>
    <cellStyle name="20% - Accent6 2 2 7 2" xfId="6613" xr:uid="{00000000-0005-0000-0000-000049030000}"/>
    <cellStyle name="20% - Accent6 2 2 7 2 2" xfId="15055" xr:uid="{4EC0D58F-4F09-4CC5-9EBC-1B6C42913F30}"/>
    <cellStyle name="20% - Accent6 2 2 7 3" xfId="10837" xr:uid="{BE74A25B-9DBE-41A1-A8F6-E83D49701D0E}"/>
    <cellStyle name="20% - Accent6 2 2 8" xfId="4547" xr:uid="{00000000-0005-0000-0000-00004A030000}"/>
    <cellStyle name="20% - Accent6 2 2 8 2" xfId="12989" xr:uid="{89C255BB-23F5-464F-A6C0-F9E41D9C0538}"/>
    <cellStyle name="20% - Accent6 2 2 9" xfId="8771" xr:uid="{50A59D73-F9E0-4CD6-A500-03671AC159D9}"/>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2 2 2" xfId="15550" xr:uid="{ECDAF4CB-BE62-40B9-B41C-36600AC9DD4B}"/>
    <cellStyle name="20% - Accent6 2 3 2 2 3" xfId="11332" xr:uid="{3FB5E497-FF51-4436-A4D5-01ADAC9F57C3}"/>
    <cellStyle name="20% - Accent6 2 3 2 3" xfId="4963" xr:uid="{00000000-0005-0000-0000-00004F030000}"/>
    <cellStyle name="20% - Accent6 2 3 2 3 2" xfId="13405" xr:uid="{0E419E9A-C268-4C4A-99E3-4FB5D70A4CAC}"/>
    <cellStyle name="20% - Accent6 2 3 2 4" xfId="9187" xr:uid="{533324DE-5BE4-4D10-965A-19861124B17C}"/>
    <cellStyle name="20% - Accent6 2 3 3" xfId="1067" xr:uid="{00000000-0005-0000-0000-000050030000}"/>
    <cellStyle name="20% - Accent6 2 3 3 2" xfId="3298" xr:uid="{00000000-0005-0000-0000-000051030000}"/>
    <cellStyle name="20% - Accent6 2 3 3 2 2" xfId="7521" xr:uid="{00000000-0005-0000-0000-000052030000}"/>
    <cellStyle name="20% - Accent6 2 3 3 2 2 2" xfId="15963" xr:uid="{8C6A0ACF-5A69-413B-8FAC-F9993D33FCD3}"/>
    <cellStyle name="20% - Accent6 2 3 3 2 3" xfId="11745" xr:uid="{F8AF9AAE-802A-407B-A17E-52697A7CCCDA}"/>
    <cellStyle name="20% - Accent6 2 3 3 3" xfId="5376" xr:uid="{00000000-0005-0000-0000-000053030000}"/>
    <cellStyle name="20% - Accent6 2 3 3 3 2" xfId="13818" xr:uid="{65F34AA4-2C34-4602-9E14-5DC49B7809EE}"/>
    <cellStyle name="20% - Accent6 2 3 3 4" xfId="9600" xr:uid="{68F0E54B-8B59-432D-840C-77F0B40CBFEA}"/>
    <cellStyle name="20% - Accent6 2 3 4" xfId="1481" xr:uid="{00000000-0005-0000-0000-000054030000}"/>
    <cellStyle name="20% - Accent6 2 3 4 2" xfId="3711" xr:uid="{00000000-0005-0000-0000-000055030000}"/>
    <cellStyle name="20% - Accent6 2 3 4 2 2" xfId="7934" xr:uid="{00000000-0005-0000-0000-000056030000}"/>
    <cellStyle name="20% - Accent6 2 3 4 2 2 2" xfId="16376" xr:uid="{51F08505-6848-4F76-90BF-162C554AA11B}"/>
    <cellStyle name="20% - Accent6 2 3 4 2 3" xfId="12158" xr:uid="{259D1E48-0976-4C3B-93EE-9473C8C128E8}"/>
    <cellStyle name="20% - Accent6 2 3 4 3" xfId="5789" xr:uid="{00000000-0005-0000-0000-000057030000}"/>
    <cellStyle name="20% - Accent6 2 3 4 3 2" xfId="14231" xr:uid="{95B7259D-7855-43E9-BCAA-9C689B121C21}"/>
    <cellStyle name="20% - Accent6 2 3 4 4" xfId="10013" xr:uid="{C19FC692-EC8B-489F-8339-D504493A492A}"/>
    <cellStyle name="20% - Accent6 2 3 5" xfId="1895" xr:uid="{00000000-0005-0000-0000-000058030000}"/>
    <cellStyle name="20% - Accent6 2 3 5 2" xfId="4124" xr:uid="{00000000-0005-0000-0000-000059030000}"/>
    <cellStyle name="20% - Accent6 2 3 5 2 2" xfId="8347" xr:uid="{00000000-0005-0000-0000-00005A030000}"/>
    <cellStyle name="20% - Accent6 2 3 5 2 2 2" xfId="16789" xr:uid="{85CAD483-884F-464A-B587-AD00EA7F3E72}"/>
    <cellStyle name="20% - Accent6 2 3 5 2 3" xfId="12571" xr:uid="{07AFA030-FA42-4ADE-9F23-891D304D5B81}"/>
    <cellStyle name="20% - Accent6 2 3 5 3" xfId="6202" xr:uid="{00000000-0005-0000-0000-00005B030000}"/>
    <cellStyle name="20% - Accent6 2 3 5 3 2" xfId="14644" xr:uid="{D3C45AB9-54DF-4B1A-9D74-3BB62856C7BB}"/>
    <cellStyle name="20% - Accent6 2 3 5 4" xfId="10426" xr:uid="{24A26487-619F-481F-918D-CDADB3C782FD}"/>
    <cellStyle name="20% - Accent6 2 3 6" xfId="2308" xr:uid="{00000000-0005-0000-0000-00005C030000}"/>
    <cellStyle name="20% - Accent6 2 3 6 2" xfId="6615" xr:uid="{00000000-0005-0000-0000-00005D030000}"/>
    <cellStyle name="20% - Accent6 2 3 6 2 2" xfId="15057" xr:uid="{666B7681-025D-4AF9-B85D-81D49745620D}"/>
    <cellStyle name="20% - Accent6 2 3 6 3" xfId="10839" xr:uid="{30EDE85A-836F-47CF-B2B6-D6DE31A5047E}"/>
    <cellStyle name="20% - Accent6 2 3 7" xfId="4549" xr:uid="{00000000-0005-0000-0000-00005E030000}"/>
    <cellStyle name="20% - Accent6 2 3 7 2" xfId="12991" xr:uid="{D8AA3AAC-FBF3-4657-90A0-7FEB2895E8B1}"/>
    <cellStyle name="20% - Accent6 2 3 8" xfId="8773" xr:uid="{F2194246-2937-47A5-BF13-2E0282E135CC}"/>
    <cellStyle name="20% - Accent6 2 4" xfId="611" xr:uid="{00000000-0005-0000-0000-00005F030000}"/>
    <cellStyle name="20% - Accent6 2 4 2" xfId="2882" xr:uid="{00000000-0005-0000-0000-000060030000}"/>
    <cellStyle name="20% - Accent6 2 4 2 2" xfId="7105" xr:uid="{00000000-0005-0000-0000-000061030000}"/>
    <cellStyle name="20% - Accent6 2 4 2 2 2" xfId="15547" xr:uid="{96441A7A-C79D-4EE9-B77E-7F9C8426C16E}"/>
    <cellStyle name="20% - Accent6 2 4 2 3" xfId="11329" xr:uid="{914E5CB0-692C-4B2B-A576-11C8C0CD1F30}"/>
    <cellStyle name="20% - Accent6 2 4 3" xfId="4960" xr:uid="{00000000-0005-0000-0000-000062030000}"/>
    <cellStyle name="20% - Accent6 2 4 3 2" xfId="13402" xr:uid="{A5096991-98B1-4069-A500-C33EF37165DC}"/>
    <cellStyle name="20% - Accent6 2 4 4" xfId="9184" xr:uid="{311FB189-5267-45E5-A16D-56DEFC9FCB5E}"/>
    <cellStyle name="20% - Accent6 2 5" xfId="1064" xr:uid="{00000000-0005-0000-0000-000063030000}"/>
    <cellStyle name="20% - Accent6 2 5 2" xfId="3295" xr:uid="{00000000-0005-0000-0000-000064030000}"/>
    <cellStyle name="20% - Accent6 2 5 2 2" xfId="7518" xr:uid="{00000000-0005-0000-0000-000065030000}"/>
    <cellStyle name="20% - Accent6 2 5 2 2 2" xfId="15960" xr:uid="{D1939E80-472D-4C25-B9C1-E7EC5019B3E3}"/>
    <cellStyle name="20% - Accent6 2 5 2 3" xfId="11742" xr:uid="{01636A7B-12C4-4105-B51D-7A9FD8E82D29}"/>
    <cellStyle name="20% - Accent6 2 5 3" xfId="5373" xr:uid="{00000000-0005-0000-0000-000066030000}"/>
    <cellStyle name="20% - Accent6 2 5 3 2" xfId="13815" xr:uid="{B7A9832F-876F-48CC-8ED3-28C6E813713A}"/>
    <cellStyle name="20% - Accent6 2 5 4" xfId="9597" xr:uid="{AEB90306-92BE-4198-8AAF-B500A0295F19}"/>
    <cellStyle name="20% - Accent6 2 6" xfId="1478" xr:uid="{00000000-0005-0000-0000-000067030000}"/>
    <cellStyle name="20% - Accent6 2 6 2" xfId="3708" xr:uid="{00000000-0005-0000-0000-000068030000}"/>
    <cellStyle name="20% - Accent6 2 6 2 2" xfId="7931" xr:uid="{00000000-0005-0000-0000-000069030000}"/>
    <cellStyle name="20% - Accent6 2 6 2 2 2" xfId="16373" xr:uid="{1EE9FA58-F8E4-475A-B38F-FDA18AE935DE}"/>
    <cellStyle name="20% - Accent6 2 6 2 3" xfId="12155" xr:uid="{CE7E8D38-819B-42FB-8267-25986F8AEBC9}"/>
    <cellStyle name="20% - Accent6 2 6 3" xfId="5786" xr:uid="{00000000-0005-0000-0000-00006A030000}"/>
    <cellStyle name="20% - Accent6 2 6 3 2" xfId="14228" xr:uid="{2FCF213A-B9D5-4E3E-A919-136CC89E2BD8}"/>
    <cellStyle name="20% - Accent6 2 6 4" xfId="10010" xr:uid="{AA583D95-802A-441B-905B-35E4201F46AB}"/>
    <cellStyle name="20% - Accent6 2 7" xfId="1892" xr:uid="{00000000-0005-0000-0000-00006B030000}"/>
    <cellStyle name="20% - Accent6 2 7 2" xfId="4121" xr:uid="{00000000-0005-0000-0000-00006C030000}"/>
    <cellStyle name="20% - Accent6 2 7 2 2" xfId="8344" xr:uid="{00000000-0005-0000-0000-00006D030000}"/>
    <cellStyle name="20% - Accent6 2 7 2 2 2" xfId="16786" xr:uid="{6D9F6D35-169C-420C-BED9-6FD836BB0088}"/>
    <cellStyle name="20% - Accent6 2 7 2 3" xfId="12568" xr:uid="{0FCF4B48-B4BD-4E61-8C8F-2812253A6F29}"/>
    <cellStyle name="20% - Accent6 2 7 3" xfId="6199" xr:uid="{00000000-0005-0000-0000-00006E030000}"/>
    <cellStyle name="20% - Accent6 2 7 3 2" xfId="14641" xr:uid="{7597DEEB-13C4-4BFD-A354-6FD35519B2AC}"/>
    <cellStyle name="20% - Accent6 2 7 4" xfId="10423" xr:uid="{0DF0E6E5-B9E0-4A5A-A6EC-8F278433A1D0}"/>
    <cellStyle name="20% - Accent6 2 8" xfId="2305" xr:uid="{00000000-0005-0000-0000-00006F030000}"/>
    <cellStyle name="20% - Accent6 2 8 2" xfId="6612" xr:uid="{00000000-0005-0000-0000-000070030000}"/>
    <cellStyle name="20% - Accent6 2 8 2 2" xfId="15054" xr:uid="{AB7ECFA1-48CD-4768-A2D2-E63060B1D0ED}"/>
    <cellStyle name="20% - Accent6 2 8 3" xfId="10836" xr:uid="{C8188794-596B-4B8F-866C-F10100B98C46}"/>
    <cellStyle name="20% - Accent6 2 9" xfId="4546" xr:uid="{00000000-0005-0000-0000-000071030000}"/>
    <cellStyle name="20% - Accent6 2 9 2" xfId="12988" xr:uid="{F21E377E-BA87-4FA6-B151-BADFEE0AD097}"/>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2 2 2" xfId="15552" xr:uid="{E8282715-3188-47B8-A355-CF8588A77748}"/>
    <cellStyle name="20% - Accent6 3 2 2 2 3" xfId="11334" xr:uid="{152FBFDB-4722-427F-9CC4-81D29CB8A794}"/>
    <cellStyle name="20% - Accent6 3 2 2 3" xfId="4965" xr:uid="{00000000-0005-0000-0000-000077030000}"/>
    <cellStyle name="20% - Accent6 3 2 2 3 2" xfId="13407" xr:uid="{E235B639-E926-4A4B-AC34-9E0987A26088}"/>
    <cellStyle name="20% - Accent6 3 2 2 4" xfId="9189" xr:uid="{D88F7BB1-4FA0-4C01-AACF-8247047812DB}"/>
    <cellStyle name="20% - Accent6 3 2 3" xfId="1069" xr:uid="{00000000-0005-0000-0000-000078030000}"/>
    <cellStyle name="20% - Accent6 3 2 3 2" xfId="3300" xr:uid="{00000000-0005-0000-0000-000079030000}"/>
    <cellStyle name="20% - Accent6 3 2 3 2 2" xfId="7523" xr:uid="{00000000-0005-0000-0000-00007A030000}"/>
    <cellStyle name="20% - Accent6 3 2 3 2 2 2" xfId="15965" xr:uid="{CD87D6AB-F6B7-4854-B9C7-9B1EBB9F08C0}"/>
    <cellStyle name="20% - Accent6 3 2 3 2 3" xfId="11747" xr:uid="{FCF14492-9B10-4E8F-8E7D-4947AB8F16E2}"/>
    <cellStyle name="20% - Accent6 3 2 3 3" xfId="5378" xr:uid="{00000000-0005-0000-0000-00007B030000}"/>
    <cellStyle name="20% - Accent6 3 2 3 3 2" xfId="13820" xr:uid="{1AC3C027-95E6-4E20-98F1-BA6C80027F01}"/>
    <cellStyle name="20% - Accent6 3 2 3 4" xfId="9602" xr:uid="{51BB767D-C61D-4E63-B4F2-A247443F0DB1}"/>
    <cellStyle name="20% - Accent6 3 2 4" xfId="1483" xr:uid="{00000000-0005-0000-0000-00007C030000}"/>
    <cellStyle name="20% - Accent6 3 2 4 2" xfId="3713" xr:uid="{00000000-0005-0000-0000-00007D030000}"/>
    <cellStyle name="20% - Accent6 3 2 4 2 2" xfId="7936" xr:uid="{00000000-0005-0000-0000-00007E030000}"/>
    <cellStyle name="20% - Accent6 3 2 4 2 2 2" xfId="16378" xr:uid="{C7E4EB67-0EF8-487A-B294-12506776B616}"/>
    <cellStyle name="20% - Accent6 3 2 4 2 3" xfId="12160" xr:uid="{6F7FAED2-57B5-47C3-A800-E905BE6DB3F0}"/>
    <cellStyle name="20% - Accent6 3 2 4 3" xfId="5791" xr:uid="{00000000-0005-0000-0000-00007F030000}"/>
    <cellStyle name="20% - Accent6 3 2 4 3 2" xfId="14233" xr:uid="{0CE87DD0-D5DE-4F27-872D-F80EB750CF91}"/>
    <cellStyle name="20% - Accent6 3 2 4 4" xfId="10015" xr:uid="{8F202057-B19E-4427-94D4-61FFD549961F}"/>
    <cellStyle name="20% - Accent6 3 2 5" xfId="1897" xr:uid="{00000000-0005-0000-0000-000080030000}"/>
    <cellStyle name="20% - Accent6 3 2 5 2" xfId="4126" xr:uid="{00000000-0005-0000-0000-000081030000}"/>
    <cellStyle name="20% - Accent6 3 2 5 2 2" xfId="8349" xr:uid="{00000000-0005-0000-0000-000082030000}"/>
    <cellStyle name="20% - Accent6 3 2 5 2 2 2" xfId="16791" xr:uid="{0F8B1D11-2087-4EDC-A9F0-879571C05FB6}"/>
    <cellStyle name="20% - Accent6 3 2 5 2 3" xfId="12573" xr:uid="{48C3C639-3CCC-4431-B85E-0238B5F1EC12}"/>
    <cellStyle name="20% - Accent6 3 2 5 3" xfId="6204" xr:uid="{00000000-0005-0000-0000-000083030000}"/>
    <cellStyle name="20% - Accent6 3 2 5 3 2" xfId="14646" xr:uid="{6790B45A-B612-4575-8571-C952EEBE6F24}"/>
    <cellStyle name="20% - Accent6 3 2 5 4" xfId="10428" xr:uid="{F2D5E3AD-6D93-4E3D-B303-5E5FD0A88AF5}"/>
    <cellStyle name="20% - Accent6 3 2 6" xfId="2310" xr:uid="{00000000-0005-0000-0000-000084030000}"/>
    <cellStyle name="20% - Accent6 3 2 6 2" xfId="6617" xr:uid="{00000000-0005-0000-0000-000085030000}"/>
    <cellStyle name="20% - Accent6 3 2 6 2 2" xfId="15059" xr:uid="{A884337E-DB1C-41BD-839D-333F3BC61BE2}"/>
    <cellStyle name="20% - Accent6 3 2 6 3" xfId="10841" xr:uid="{06049412-2A05-4B6C-B334-9C9F1A723F56}"/>
    <cellStyle name="20% - Accent6 3 2 7" xfId="4551" xr:uid="{00000000-0005-0000-0000-000086030000}"/>
    <cellStyle name="20% - Accent6 3 2 7 2" xfId="12993" xr:uid="{5E0CE14F-5677-4873-AA9C-77801C42670F}"/>
    <cellStyle name="20% - Accent6 3 2 8" xfId="8775" xr:uid="{B406DB64-67D6-4915-B7B8-6C8CA977FFE0}"/>
    <cellStyle name="20% - Accent6 3 3" xfId="615" xr:uid="{00000000-0005-0000-0000-000087030000}"/>
    <cellStyle name="20% - Accent6 3 3 2" xfId="2886" xr:uid="{00000000-0005-0000-0000-000088030000}"/>
    <cellStyle name="20% - Accent6 3 3 2 2" xfId="7109" xr:uid="{00000000-0005-0000-0000-000089030000}"/>
    <cellStyle name="20% - Accent6 3 3 2 2 2" xfId="15551" xr:uid="{70B87708-AC7D-475B-B177-F7E14A4CB784}"/>
    <cellStyle name="20% - Accent6 3 3 2 3" xfId="11333" xr:uid="{1D07DE30-399B-4847-9F12-E4B321A3EDA0}"/>
    <cellStyle name="20% - Accent6 3 3 3" xfId="4964" xr:uid="{00000000-0005-0000-0000-00008A030000}"/>
    <cellStyle name="20% - Accent6 3 3 3 2" xfId="13406" xr:uid="{9365DC70-FFA1-49F2-8AA2-BDE4D1A6E3F9}"/>
    <cellStyle name="20% - Accent6 3 3 4" xfId="9188" xr:uid="{F94E2126-B2B5-42B6-AF29-52DCE7D192E0}"/>
    <cellStyle name="20% - Accent6 3 4" xfId="1068" xr:uid="{00000000-0005-0000-0000-00008B030000}"/>
    <cellStyle name="20% - Accent6 3 4 2" xfId="3299" xr:uid="{00000000-0005-0000-0000-00008C030000}"/>
    <cellStyle name="20% - Accent6 3 4 2 2" xfId="7522" xr:uid="{00000000-0005-0000-0000-00008D030000}"/>
    <cellStyle name="20% - Accent6 3 4 2 2 2" xfId="15964" xr:uid="{0272E585-48D5-4E84-B16F-D1746580DC76}"/>
    <cellStyle name="20% - Accent6 3 4 2 3" xfId="11746" xr:uid="{7DBEC968-5DE1-4D76-B9F0-DA40615E6BF7}"/>
    <cellStyle name="20% - Accent6 3 4 3" xfId="5377" xr:uid="{00000000-0005-0000-0000-00008E030000}"/>
    <cellStyle name="20% - Accent6 3 4 3 2" xfId="13819" xr:uid="{2CD43114-F816-4FAC-B10D-90EFA00870F0}"/>
    <cellStyle name="20% - Accent6 3 4 4" xfId="9601" xr:uid="{CC0F9444-F6F3-4120-B915-1E62F88080CC}"/>
    <cellStyle name="20% - Accent6 3 5" xfId="1482" xr:uid="{00000000-0005-0000-0000-00008F030000}"/>
    <cellStyle name="20% - Accent6 3 5 2" xfId="3712" xr:uid="{00000000-0005-0000-0000-000090030000}"/>
    <cellStyle name="20% - Accent6 3 5 2 2" xfId="7935" xr:uid="{00000000-0005-0000-0000-000091030000}"/>
    <cellStyle name="20% - Accent6 3 5 2 2 2" xfId="16377" xr:uid="{5434456B-5C87-4A5C-ABFA-D532BD4B6B78}"/>
    <cellStyle name="20% - Accent6 3 5 2 3" xfId="12159" xr:uid="{67CBFC45-55E8-42E4-AC61-32EB41BDBB30}"/>
    <cellStyle name="20% - Accent6 3 5 3" xfId="5790" xr:uid="{00000000-0005-0000-0000-000092030000}"/>
    <cellStyle name="20% - Accent6 3 5 3 2" xfId="14232" xr:uid="{0C8C57A9-0B78-489A-85E8-668322D34011}"/>
    <cellStyle name="20% - Accent6 3 5 4" xfId="10014" xr:uid="{3E0A9A05-C539-401D-8474-9CD972D61C5E}"/>
    <cellStyle name="20% - Accent6 3 6" xfId="1896" xr:uid="{00000000-0005-0000-0000-000093030000}"/>
    <cellStyle name="20% - Accent6 3 6 2" xfId="4125" xr:uid="{00000000-0005-0000-0000-000094030000}"/>
    <cellStyle name="20% - Accent6 3 6 2 2" xfId="8348" xr:uid="{00000000-0005-0000-0000-000095030000}"/>
    <cellStyle name="20% - Accent6 3 6 2 2 2" xfId="16790" xr:uid="{3726ABF7-EECB-471E-9E5A-D6F77AE55564}"/>
    <cellStyle name="20% - Accent6 3 6 2 3" xfId="12572" xr:uid="{E10FEA83-EF85-4F29-9CE6-A9FA68C65AE8}"/>
    <cellStyle name="20% - Accent6 3 6 3" xfId="6203" xr:uid="{00000000-0005-0000-0000-000096030000}"/>
    <cellStyle name="20% - Accent6 3 6 3 2" xfId="14645" xr:uid="{9A697AFE-B748-4054-B399-FF1CCC0A0A3A}"/>
    <cellStyle name="20% - Accent6 3 6 4" xfId="10427" xr:uid="{8E380A20-7ABC-4C9E-8FCF-8508F8F06871}"/>
    <cellStyle name="20% - Accent6 3 7" xfId="2309" xr:uid="{00000000-0005-0000-0000-000097030000}"/>
    <cellStyle name="20% - Accent6 3 7 2" xfId="6616" xr:uid="{00000000-0005-0000-0000-000098030000}"/>
    <cellStyle name="20% - Accent6 3 7 2 2" xfId="15058" xr:uid="{B83A7DC4-E4B0-4C36-BD18-42BF2C49AD0D}"/>
    <cellStyle name="20% - Accent6 3 7 3" xfId="10840" xr:uid="{42F6EB03-A812-43F3-B4B2-56CA9A0263E1}"/>
    <cellStyle name="20% - Accent6 3 8" xfId="4550" xr:uid="{00000000-0005-0000-0000-000099030000}"/>
    <cellStyle name="20% - Accent6 3 8 2" xfId="12992" xr:uid="{83C4DDFE-2658-4B26-A729-16EECF4AC4B0}"/>
    <cellStyle name="20% - Accent6 3 9" xfId="8774" xr:uid="{280C2FC3-9879-48F9-84F6-C981615A434C}"/>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2 2 2" xfId="15553" xr:uid="{5D9C5C0E-DB9E-4CC2-89B9-67AF7F143EB5}"/>
    <cellStyle name="20% - Accent6 4 2 2 3" xfId="11335" xr:uid="{3174580F-1341-4BE8-9935-0E9303790543}"/>
    <cellStyle name="20% - Accent6 4 2 3" xfId="4966" xr:uid="{00000000-0005-0000-0000-00009E030000}"/>
    <cellStyle name="20% - Accent6 4 2 3 2" xfId="13408" xr:uid="{763C831E-2224-46D3-A67E-6506CF67C1CB}"/>
    <cellStyle name="20% - Accent6 4 2 4" xfId="9190" xr:uid="{54914B52-471A-4EF3-BC41-1EE7F669ADBE}"/>
    <cellStyle name="20% - Accent6 4 3" xfId="1070" xr:uid="{00000000-0005-0000-0000-00009F030000}"/>
    <cellStyle name="20% - Accent6 4 3 2" xfId="3301" xr:uid="{00000000-0005-0000-0000-0000A0030000}"/>
    <cellStyle name="20% - Accent6 4 3 2 2" xfId="7524" xr:uid="{00000000-0005-0000-0000-0000A1030000}"/>
    <cellStyle name="20% - Accent6 4 3 2 2 2" xfId="15966" xr:uid="{0D6B53ED-FB33-4E1E-AAA9-30AAA326E5FC}"/>
    <cellStyle name="20% - Accent6 4 3 2 3" xfId="11748" xr:uid="{CC24479A-1F9D-47F8-8BE9-9872BE0ACA21}"/>
    <cellStyle name="20% - Accent6 4 3 3" xfId="5379" xr:uid="{00000000-0005-0000-0000-0000A2030000}"/>
    <cellStyle name="20% - Accent6 4 3 3 2" xfId="13821" xr:uid="{3DAF8691-E553-440A-83CA-FFA5174D97B5}"/>
    <cellStyle name="20% - Accent6 4 3 4" xfId="9603" xr:uid="{097907B4-61B2-4715-9777-D6291482BED5}"/>
    <cellStyle name="20% - Accent6 4 4" xfId="1484" xr:uid="{00000000-0005-0000-0000-0000A3030000}"/>
    <cellStyle name="20% - Accent6 4 4 2" xfId="3714" xr:uid="{00000000-0005-0000-0000-0000A4030000}"/>
    <cellStyle name="20% - Accent6 4 4 2 2" xfId="7937" xr:uid="{00000000-0005-0000-0000-0000A5030000}"/>
    <cellStyle name="20% - Accent6 4 4 2 2 2" xfId="16379" xr:uid="{9654E228-6AEF-49B3-8833-06FB6E1D7321}"/>
    <cellStyle name="20% - Accent6 4 4 2 3" xfId="12161" xr:uid="{1F43F825-073A-4DEB-BF3C-E6EFC28527EB}"/>
    <cellStyle name="20% - Accent6 4 4 3" xfId="5792" xr:uid="{00000000-0005-0000-0000-0000A6030000}"/>
    <cellStyle name="20% - Accent6 4 4 3 2" xfId="14234" xr:uid="{E8F9721E-91D8-4FA8-B463-EE71CAB0D531}"/>
    <cellStyle name="20% - Accent6 4 4 4" xfId="10016" xr:uid="{10A29CDA-85C2-4F34-A886-8E5B3EA400F2}"/>
    <cellStyle name="20% - Accent6 4 5" xfId="1898" xr:uid="{00000000-0005-0000-0000-0000A7030000}"/>
    <cellStyle name="20% - Accent6 4 5 2" xfId="4127" xr:uid="{00000000-0005-0000-0000-0000A8030000}"/>
    <cellStyle name="20% - Accent6 4 5 2 2" xfId="8350" xr:uid="{00000000-0005-0000-0000-0000A9030000}"/>
    <cellStyle name="20% - Accent6 4 5 2 2 2" xfId="16792" xr:uid="{AD3A2C0A-9AEA-4BAB-A830-EB2053C074C2}"/>
    <cellStyle name="20% - Accent6 4 5 2 3" xfId="12574" xr:uid="{35A28AD9-7866-42EA-A77C-9B7A2E25F03C}"/>
    <cellStyle name="20% - Accent6 4 5 3" xfId="6205" xr:uid="{00000000-0005-0000-0000-0000AA030000}"/>
    <cellStyle name="20% - Accent6 4 5 3 2" xfId="14647" xr:uid="{6AB1348A-187B-4DFF-A728-3C65A5795436}"/>
    <cellStyle name="20% - Accent6 4 5 4" xfId="10429" xr:uid="{E82B0F11-B575-4353-8600-E43A3B19EED1}"/>
    <cellStyle name="20% - Accent6 4 6" xfId="2311" xr:uid="{00000000-0005-0000-0000-0000AB030000}"/>
    <cellStyle name="20% - Accent6 4 6 2" xfId="6618" xr:uid="{00000000-0005-0000-0000-0000AC030000}"/>
    <cellStyle name="20% - Accent6 4 6 2 2" xfId="15060" xr:uid="{9808C60F-0796-4FC7-B361-171599D3652E}"/>
    <cellStyle name="20% - Accent6 4 6 3" xfId="10842" xr:uid="{5D84485E-B46C-4869-85B5-5BAE37CA7B0E}"/>
    <cellStyle name="20% - Accent6 4 7" xfId="4552" xr:uid="{00000000-0005-0000-0000-0000AD030000}"/>
    <cellStyle name="20% - Accent6 4 7 2" xfId="12994" xr:uid="{0F2EE6B7-2DB3-444F-BB42-93AC573F16D6}"/>
    <cellStyle name="20% - Accent6 4 8" xfId="8776" xr:uid="{CD9E9B1B-94C8-4922-9F98-8BC43D15CD1D}"/>
    <cellStyle name="20% - Accent6 5" xfId="610" xr:uid="{00000000-0005-0000-0000-0000AE030000}"/>
    <cellStyle name="20% - Accent6 5 2" xfId="2881" xr:uid="{00000000-0005-0000-0000-0000AF030000}"/>
    <cellStyle name="20% - Accent6 5 2 2" xfId="7104" xr:uid="{00000000-0005-0000-0000-0000B0030000}"/>
    <cellStyle name="20% - Accent6 5 2 2 2" xfId="15546" xr:uid="{BFE35F62-5CB7-4B2B-B048-29A096ECEBC0}"/>
    <cellStyle name="20% - Accent6 5 2 3" xfId="11328" xr:uid="{10798088-6C29-47E3-B796-8245B55FBAA2}"/>
    <cellStyle name="20% - Accent6 5 3" xfId="4959" xr:uid="{00000000-0005-0000-0000-0000B1030000}"/>
    <cellStyle name="20% - Accent6 5 3 2" xfId="13401" xr:uid="{20EB279C-D5FA-4EF0-91F8-DF3058E9DE97}"/>
    <cellStyle name="20% - Accent6 5 4" xfId="9183" xr:uid="{E3B07A94-915D-4D43-9094-1E23108C2028}"/>
    <cellStyle name="20% - Accent6 6" xfId="1063" xr:uid="{00000000-0005-0000-0000-0000B2030000}"/>
    <cellStyle name="20% - Accent6 6 2" xfId="3294" xr:uid="{00000000-0005-0000-0000-0000B3030000}"/>
    <cellStyle name="20% - Accent6 6 2 2" xfId="7517" xr:uid="{00000000-0005-0000-0000-0000B4030000}"/>
    <cellStyle name="20% - Accent6 6 2 2 2" xfId="15959" xr:uid="{8068D6F2-1E4F-4A1C-8A3A-04F054ABAC83}"/>
    <cellStyle name="20% - Accent6 6 2 3" xfId="11741" xr:uid="{79B70A59-8075-42AE-ABF4-B537BDD374E2}"/>
    <cellStyle name="20% - Accent6 6 3" xfId="5372" xr:uid="{00000000-0005-0000-0000-0000B5030000}"/>
    <cellStyle name="20% - Accent6 6 3 2" xfId="13814" xr:uid="{F00F5D6C-EEE3-4317-9798-8E6A7A5FC3D5}"/>
    <cellStyle name="20% - Accent6 6 4" xfId="9596" xr:uid="{11388642-13F7-4C2D-9352-72EF0210A709}"/>
    <cellStyle name="20% - Accent6 7" xfId="1477" xr:uid="{00000000-0005-0000-0000-0000B6030000}"/>
    <cellStyle name="20% - Accent6 7 2" xfId="3707" xr:uid="{00000000-0005-0000-0000-0000B7030000}"/>
    <cellStyle name="20% - Accent6 7 2 2" xfId="7930" xr:uid="{00000000-0005-0000-0000-0000B8030000}"/>
    <cellStyle name="20% - Accent6 7 2 2 2" xfId="16372" xr:uid="{F9A7A6E8-E7B5-45BA-AF58-62CDBAF8710B}"/>
    <cellStyle name="20% - Accent6 7 2 3" xfId="12154" xr:uid="{8E993791-C9A9-4F4E-8F6C-2C0890AAC3E3}"/>
    <cellStyle name="20% - Accent6 7 3" xfId="5785" xr:uid="{00000000-0005-0000-0000-0000B9030000}"/>
    <cellStyle name="20% - Accent6 7 3 2" xfId="14227" xr:uid="{2E279AB3-F46B-4516-A1AE-75261744A6B2}"/>
    <cellStyle name="20% - Accent6 7 4" xfId="10009" xr:uid="{443D638C-BD18-44B4-B0EE-D24DB24E419D}"/>
    <cellStyle name="20% - Accent6 8" xfId="1891" xr:uid="{00000000-0005-0000-0000-0000BA030000}"/>
    <cellStyle name="20% - Accent6 8 2" xfId="4120" xr:uid="{00000000-0005-0000-0000-0000BB030000}"/>
    <cellStyle name="20% - Accent6 8 2 2" xfId="8343" xr:uid="{00000000-0005-0000-0000-0000BC030000}"/>
    <cellStyle name="20% - Accent6 8 2 2 2" xfId="16785" xr:uid="{89BC0257-9BC0-4A75-ADCB-FC8192A4819B}"/>
    <cellStyle name="20% - Accent6 8 2 3" xfId="12567" xr:uid="{DC4ECAB7-3A46-4C99-A92B-E24CA0AF023F}"/>
    <cellStyle name="20% - Accent6 8 3" xfId="6198" xr:uid="{00000000-0005-0000-0000-0000BD030000}"/>
    <cellStyle name="20% - Accent6 8 3 2" xfId="14640" xr:uid="{18CA8FBE-9DEF-4532-926F-7731CFE03BEB}"/>
    <cellStyle name="20% - Accent6 8 4" xfId="10422" xr:uid="{B48B022B-128D-4B24-996C-53DE0F64BD95}"/>
    <cellStyle name="20% - Accent6 9" xfId="2304" xr:uid="{00000000-0005-0000-0000-0000BE030000}"/>
    <cellStyle name="20% - Accent6 9 2" xfId="6611" xr:uid="{00000000-0005-0000-0000-0000BF030000}"/>
    <cellStyle name="20% - Accent6 9 2 2" xfId="15053" xr:uid="{498808C2-6134-4681-8544-4631F44D0A98}"/>
    <cellStyle name="20% - Accent6 9 3" xfId="10835" xr:uid="{3431DFD8-9311-41CF-9E45-A479E5BC9791}"/>
    <cellStyle name="40% - Accent1" xfId="49" builtinId="31" customBuiltin="1"/>
    <cellStyle name="40% - Accent1 10" xfId="4553" xr:uid="{00000000-0005-0000-0000-0000C1030000}"/>
    <cellStyle name="40% - Accent1 10 2" xfId="12995" xr:uid="{84F88F13-9CD5-40FF-93EC-BABD20239F0C}"/>
    <cellStyle name="40% - Accent1 11" xfId="8777" xr:uid="{83AB0845-6571-4F43-A9B3-ABD44BA115E3}"/>
    <cellStyle name="40% - Accent1 2" xfId="50" xr:uid="{00000000-0005-0000-0000-0000C2030000}"/>
    <cellStyle name="40% - Accent1 2 10" xfId="8778" xr:uid="{935F7605-9D1E-4563-93F6-3B726A0C3D35}"/>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2 2 2" xfId="15557" xr:uid="{B55C42EC-C9E2-4969-B8DD-3CF78925C79A}"/>
    <cellStyle name="40% - Accent1 2 2 2 2 2 3" xfId="11339" xr:uid="{31638C98-88CA-4EFD-8855-A6E83F47F214}"/>
    <cellStyle name="40% - Accent1 2 2 2 2 3" xfId="4970" xr:uid="{00000000-0005-0000-0000-0000C8030000}"/>
    <cellStyle name="40% - Accent1 2 2 2 2 3 2" xfId="13412" xr:uid="{D5E32E64-AAEC-4578-82AF-0844A6B1E096}"/>
    <cellStyle name="40% - Accent1 2 2 2 2 4" xfId="9194" xr:uid="{FCC97A8E-7523-436C-8D3F-0B09872F5BE4}"/>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2 2 2" xfId="15970" xr:uid="{FB69062D-DB65-4C9D-8A5C-0ED3041C9DAC}"/>
    <cellStyle name="40% - Accent1 2 2 2 3 2 3" xfId="11752" xr:uid="{3E9CA9EE-C315-41BE-9FBC-A24DB4A2AF0B}"/>
    <cellStyle name="40% - Accent1 2 2 2 3 3" xfId="5383" xr:uid="{00000000-0005-0000-0000-0000CC030000}"/>
    <cellStyle name="40% - Accent1 2 2 2 3 3 2" xfId="13825" xr:uid="{F4403754-F2C4-4CFE-8061-C54BBED09D49}"/>
    <cellStyle name="40% - Accent1 2 2 2 3 4" xfId="9607" xr:uid="{23C651BC-F45F-444D-BF79-C21077F1A939}"/>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2 2 2" xfId="16383" xr:uid="{8F880A64-8B63-4842-AF40-772D5486A23F}"/>
    <cellStyle name="40% - Accent1 2 2 2 4 2 3" xfId="12165" xr:uid="{E672F207-F68C-467C-86A8-DA645FAB3C95}"/>
    <cellStyle name="40% - Accent1 2 2 2 4 3" xfId="5796" xr:uid="{00000000-0005-0000-0000-0000D0030000}"/>
    <cellStyle name="40% - Accent1 2 2 2 4 3 2" xfId="14238" xr:uid="{1B248AF9-4493-445D-AF9A-CCA6403ECCA3}"/>
    <cellStyle name="40% - Accent1 2 2 2 4 4" xfId="10020" xr:uid="{77FFED8D-E0E9-4BE8-A15D-C505F64864DE}"/>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2 2 2" xfId="16796" xr:uid="{6BF83F09-A344-460F-B285-8FD19154B225}"/>
    <cellStyle name="40% - Accent1 2 2 2 5 2 3" xfId="12578" xr:uid="{9610872C-C6AE-4734-A899-50D6654381AA}"/>
    <cellStyle name="40% - Accent1 2 2 2 5 3" xfId="6209" xr:uid="{00000000-0005-0000-0000-0000D4030000}"/>
    <cellStyle name="40% - Accent1 2 2 2 5 3 2" xfId="14651" xr:uid="{AD6CEBA2-7A72-4574-B238-6877B88438D9}"/>
    <cellStyle name="40% - Accent1 2 2 2 5 4" xfId="10433" xr:uid="{1A32728F-23BE-4CDD-8A70-33A1A716C74A}"/>
    <cellStyle name="40% - Accent1 2 2 2 6" xfId="2315" xr:uid="{00000000-0005-0000-0000-0000D5030000}"/>
    <cellStyle name="40% - Accent1 2 2 2 6 2" xfId="6622" xr:uid="{00000000-0005-0000-0000-0000D6030000}"/>
    <cellStyle name="40% - Accent1 2 2 2 6 2 2" xfId="15064" xr:uid="{89E78166-638F-421B-A4E3-CC5F29E84716}"/>
    <cellStyle name="40% - Accent1 2 2 2 6 3" xfId="10846" xr:uid="{31179D59-9FFB-460F-BAD2-6EE3FF1FB4A7}"/>
    <cellStyle name="40% - Accent1 2 2 2 7" xfId="4556" xr:uid="{00000000-0005-0000-0000-0000D7030000}"/>
    <cellStyle name="40% - Accent1 2 2 2 7 2" xfId="12998" xr:uid="{D9E3B1EF-9F72-4225-8532-4443AEAB33B2}"/>
    <cellStyle name="40% - Accent1 2 2 2 8" xfId="8780" xr:uid="{FEC6874D-37DD-4C35-9E64-3222C8176548}"/>
    <cellStyle name="40% - Accent1 2 2 3" xfId="620" xr:uid="{00000000-0005-0000-0000-0000D8030000}"/>
    <cellStyle name="40% - Accent1 2 2 3 2" xfId="2891" xr:uid="{00000000-0005-0000-0000-0000D9030000}"/>
    <cellStyle name="40% - Accent1 2 2 3 2 2" xfId="7114" xr:uid="{00000000-0005-0000-0000-0000DA030000}"/>
    <cellStyle name="40% - Accent1 2 2 3 2 2 2" xfId="15556" xr:uid="{BF8A828C-A2F6-424B-B238-4F6A36758888}"/>
    <cellStyle name="40% - Accent1 2 2 3 2 3" xfId="11338" xr:uid="{1730DAF7-C7D0-484D-9CFB-2430C8C4DC72}"/>
    <cellStyle name="40% - Accent1 2 2 3 3" xfId="4969" xr:uid="{00000000-0005-0000-0000-0000DB030000}"/>
    <cellStyle name="40% - Accent1 2 2 3 3 2" xfId="13411" xr:uid="{96C978E1-8DCA-4F04-9D66-5D84C8B9855C}"/>
    <cellStyle name="40% - Accent1 2 2 3 4" xfId="9193" xr:uid="{33CE108D-A694-4A0B-999F-5F427EECD67B}"/>
    <cellStyle name="40% - Accent1 2 2 4" xfId="1073" xr:uid="{00000000-0005-0000-0000-0000DC030000}"/>
    <cellStyle name="40% - Accent1 2 2 4 2" xfId="3304" xr:uid="{00000000-0005-0000-0000-0000DD030000}"/>
    <cellStyle name="40% - Accent1 2 2 4 2 2" xfId="7527" xr:uid="{00000000-0005-0000-0000-0000DE030000}"/>
    <cellStyle name="40% - Accent1 2 2 4 2 2 2" xfId="15969" xr:uid="{22D7A424-42AC-4C77-B12F-37780944BF78}"/>
    <cellStyle name="40% - Accent1 2 2 4 2 3" xfId="11751" xr:uid="{4A8B8251-C27D-42F0-930D-9A69A8B8E7B0}"/>
    <cellStyle name="40% - Accent1 2 2 4 3" xfId="5382" xr:uid="{00000000-0005-0000-0000-0000DF030000}"/>
    <cellStyle name="40% - Accent1 2 2 4 3 2" xfId="13824" xr:uid="{3CD2EE8E-D601-4C3C-81F6-4BFEDEB8DAF9}"/>
    <cellStyle name="40% - Accent1 2 2 4 4" xfId="9606" xr:uid="{60B4BEF2-94DD-4B90-B76B-DD6E4ADA5A1E}"/>
    <cellStyle name="40% - Accent1 2 2 5" xfId="1487" xr:uid="{00000000-0005-0000-0000-0000E0030000}"/>
    <cellStyle name="40% - Accent1 2 2 5 2" xfId="3717" xr:uid="{00000000-0005-0000-0000-0000E1030000}"/>
    <cellStyle name="40% - Accent1 2 2 5 2 2" xfId="7940" xr:uid="{00000000-0005-0000-0000-0000E2030000}"/>
    <cellStyle name="40% - Accent1 2 2 5 2 2 2" xfId="16382" xr:uid="{FA28E78D-5C0D-455E-A518-F6EF637BD732}"/>
    <cellStyle name="40% - Accent1 2 2 5 2 3" xfId="12164" xr:uid="{4B766505-BEA5-4908-BFE0-B50624B43D65}"/>
    <cellStyle name="40% - Accent1 2 2 5 3" xfId="5795" xr:uid="{00000000-0005-0000-0000-0000E3030000}"/>
    <cellStyle name="40% - Accent1 2 2 5 3 2" xfId="14237" xr:uid="{D075602E-5089-438F-93CB-5B5CB0E2019B}"/>
    <cellStyle name="40% - Accent1 2 2 5 4" xfId="10019" xr:uid="{FBB534D4-4B4B-4D5D-8224-AD6C702B4825}"/>
    <cellStyle name="40% - Accent1 2 2 6" xfId="1901" xr:uid="{00000000-0005-0000-0000-0000E4030000}"/>
    <cellStyle name="40% - Accent1 2 2 6 2" xfId="4130" xr:uid="{00000000-0005-0000-0000-0000E5030000}"/>
    <cellStyle name="40% - Accent1 2 2 6 2 2" xfId="8353" xr:uid="{00000000-0005-0000-0000-0000E6030000}"/>
    <cellStyle name="40% - Accent1 2 2 6 2 2 2" xfId="16795" xr:uid="{43F923B1-994B-4E3A-905C-91FA204F6900}"/>
    <cellStyle name="40% - Accent1 2 2 6 2 3" xfId="12577" xr:uid="{8004C28B-66C9-47F8-93E2-EF60C120EF4B}"/>
    <cellStyle name="40% - Accent1 2 2 6 3" xfId="6208" xr:uid="{00000000-0005-0000-0000-0000E7030000}"/>
    <cellStyle name="40% - Accent1 2 2 6 3 2" xfId="14650" xr:uid="{14292210-8F1E-4DDE-9BD1-952F5B8BDF6B}"/>
    <cellStyle name="40% - Accent1 2 2 6 4" xfId="10432" xr:uid="{94AE157D-A1CC-402F-8283-39ABCAD14A0A}"/>
    <cellStyle name="40% - Accent1 2 2 7" xfId="2314" xr:uid="{00000000-0005-0000-0000-0000E8030000}"/>
    <cellStyle name="40% - Accent1 2 2 7 2" xfId="6621" xr:uid="{00000000-0005-0000-0000-0000E9030000}"/>
    <cellStyle name="40% - Accent1 2 2 7 2 2" xfId="15063" xr:uid="{355DED1B-F2AC-41F7-8263-9E6350EB5381}"/>
    <cellStyle name="40% - Accent1 2 2 7 3" xfId="10845" xr:uid="{679EF8BF-6468-4D66-805E-14C0ECAE864C}"/>
    <cellStyle name="40% - Accent1 2 2 8" xfId="4555" xr:uid="{00000000-0005-0000-0000-0000EA030000}"/>
    <cellStyle name="40% - Accent1 2 2 8 2" xfId="12997" xr:uid="{4AAFFD25-7DF9-42C0-8E18-8CC166C1FE3C}"/>
    <cellStyle name="40% - Accent1 2 2 9" xfId="8779" xr:uid="{CF5EBFD5-D018-4526-B933-C24928AAE074}"/>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2 2 2" xfId="15558" xr:uid="{D6D65879-D878-4E86-B0AF-B62F55F8108C}"/>
    <cellStyle name="40% - Accent1 2 3 2 2 3" xfId="11340" xr:uid="{70B40A86-5120-4FB2-96BF-B839C84E2720}"/>
    <cellStyle name="40% - Accent1 2 3 2 3" xfId="4971" xr:uid="{00000000-0005-0000-0000-0000EF030000}"/>
    <cellStyle name="40% - Accent1 2 3 2 3 2" xfId="13413" xr:uid="{32A9A8E8-D693-4E99-AD1B-37AAEBF443E0}"/>
    <cellStyle name="40% - Accent1 2 3 2 4" xfId="9195" xr:uid="{5784487C-44A2-4A5F-9EAB-71AD65B190A9}"/>
    <cellStyle name="40% - Accent1 2 3 3" xfId="1075" xr:uid="{00000000-0005-0000-0000-0000F0030000}"/>
    <cellStyle name="40% - Accent1 2 3 3 2" xfId="3306" xr:uid="{00000000-0005-0000-0000-0000F1030000}"/>
    <cellStyle name="40% - Accent1 2 3 3 2 2" xfId="7529" xr:uid="{00000000-0005-0000-0000-0000F2030000}"/>
    <cellStyle name="40% - Accent1 2 3 3 2 2 2" xfId="15971" xr:uid="{CD7D713C-D4DD-467F-A50D-A7A1F4CF3865}"/>
    <cellStyle name="40% - Accent1 2 3 3 2 3" xfId="11753" xr:uid="{53DCD6BC-3243-45E2-9694-714542747008}"/>
    <cellStyle name="40% - Accent1 2 3 3 3" xfId="5384" xr:uid="{00000000-0005-0000-0000-0000F3030000}"/>
    <cellStyle name="40% - Accent1 2 3 3 3 2" xfId="13826" xr:uid="{97F57DC7-7007-4AFE-A6FE-8D2E01F09CC3}"/>
    <cellStyle name="40% - Accent1 2 3 3 4" xfId="9608" xr:uid="{A82C234D-8A4E-44C9-901B-DDB49144C5F7}"/>
    <cellStyle name="40% - Accent1 2 3 4" xfId="1489" xr:uid="{00000000-0005-0000-0000-0000F4030000}"/>
    <cellStyle name="40% - Accent1 2 3 4 2" xfId="3719" xr:uid="{00000000-0005-0000-0000-0000F5030000}"/>
    <cellStyle name="40% - Accent1 2 3 4 2 2" xfId="7942" xr:uid="{00000000-0005-0000-0000-0000F6030000}"/>
    <cellStyle name="40% - Accent1 2 3 4 2 2 2" xfId="16384" xr:uid="{A5DDFA9C-5243-4111-A5DE-F4F6E815913B}"/>
    <cellStyle name="40% - Accent1 2 3 4 2 3" xfId="12166" xr:uid="{DE2CCC2B-24E9-4A45-B2F3-912AF3070ABD}"/>
    <cellStyle name="40% - Accent1 2 3 4 3" xfId="5797" xr:uid="{00000000-0005-0000-0000-0000F7030000}"/>
    <cellStyle name="40% - Accent1 2 3 4 3 2" xfId="14239" xr:uid="{0397AE29-A28D-4C20-994F-4EEC2848666B}"/>
    <cellStyle name="40% - Accent1 2 3 4 4" xfId="10021" xr:uid="{FE5E75C1-F13C-495D-963A-7C4652645623}"/>
    <cellStyle name="40% - Accent1 2 3 5" xfId="1903" xr:uid="{00000000-0005-0000-0000-0000F8030000}"/>
    <cellStyle name="40% - Accent1 2 3 5 2" xfId="4132" xr:uid="{00000000-0005-0000-0000-0000F9030000}"/>
    <cellStyle name="40% - Accent1 2 3 5 2 2" xfId="8355" xr:uid="{00000000-0005-0000-0000-0000FA030000}"/>
    <cellStyle name="40% - Accent1 2 3 5 2 2 2" xfId="16797" xr:uid="{5FE68239-B5FC-4753-B9F7-F91146E1A788}"/>
    <cellStyle name="40% - Accent1 2 3 5 2 3" xfId="12579" xr:uid="{027B86A5-488E-48DA-8C73-1D378BA7F59A}"/>
    <cellStyle name="40% - Accent1 2 3 5 3" xfId="6210" xr:uid="{00000000-0005-0000-0000-0000FB030000}"/>
    <cellStyle name="40% - Accent1 2 3 5 3 2" xfId="14652" xr:uid="{D29A4242-18A7-48DA-B312-03DFF9C86B3D}"/>
    <cellStyle name="40% - Accent1 2 3 5 4" xfId="10434" xr:uid="{9D2430C9-D0A5-4BBD-BC8E-5D8176391D26}"/>
    <cellStyle name="40% - Accent1 2 3 6" xfId="2316" xr:uid="{00000000-0005-0000-0000-0000FC030000}"/>
    <cellStyle name="40% - Accent1 2 3 6 2" xfId="6623" xr:uid="{00000000-0005-0000-0000-0000FD030000}"/>
    <cellStyle name="40% - Accent1 2 3 6 2 2" xfId="15065" xr:uid="{E772A018-795B-4272-9031-9815ED399BA0}"/>
    <cellStyle name="40% - Accent1 2 3 6 3" xfId="10847" xr:uid="{1BE2CC61-8621-4975-860A-A735E6798279}"/>
    <cellStyle name="40% - Accent1 2 3 7" xfId="4557" xr:uid="{00000000-0005-0000-0000-0000FE030000}"/>
    <cellStyle name="40% - Accent1 2 3 7 2" xfId="12999" xr:uid="{8459D2D0-57C5-4E6A-B17E-7957FBAC0547}"/>
    <cellStyle name="40% - Accent1 2 3 8" xfId="8781" xr:uid="{6B8D0174-E679-41B7-AC54-E52296D42099}"/>
    <cellStyle name="40% - Accent1 2 4" xfId="619" xr:uid="{00000000-0005-0000-0000-0000FF030000}"/>
    <cellStyle name="40% - Accent1 2 4 2" xfId="2890" xr:uid="{00000000-0005-0000-0000-000000040000}"/>
    <cellStyle name="40% - Accent1 2 4 2 2" xfId="7113" xr:uid="{00000000-0005-0000-0000-000001040000}"/>
    <cellStyle name="40% - Accent1 2 4 2 2 2" xfId="15555" xr:uid="{50C76F39-5833-4864-9851-1ABD7145B9F6}"/>
    <cellStyle name="40% - Accent1 2 4 2 3" xfId="11337" xr:uid="{E32B1AA8-9312-40E9-A43D-1872B28FCA17}"/>
    <cellStyle name="40% - Accent1 2 4 3" xfId="4968" xr:uid="{00000000-0005-0000-0000-000002040000}"/>
    <cellStyle name="40% - Accent1 2 4 3 2" xfId="13410" xr:uid="{2D3311EB-9CB5-4C93-83BE-71BB1D487CDC}"/>
    <cellStyle name="40% - Accent1 2 4 4" xfId="9192" xr:uid="{BE7C36D3-2A8A-4839-8A9D-814872CB39BC}"/>
    <cellStyle name="40% - Accent1 2 5" xfId="1072" xr:uid="{00000000-0005-0000-0000-000003040000}"/>
    <cellStyle name="40% - Accent1 2 5 2" xfId="3303" xr:uid="{00000000-0005-0000-0000-000004040000}"/>
    <cellStyle name="40% - Accent1 2 5 2 2" xfId="7526" xr:uid="{00000000-0005-0000-0000-000005040000}"/>
    <cellStyle name="40% - Accent1 2 5 2 2 2" xfId="15968" xr:uid="{1FF6D76D-65E5-46CC-B5C1-410DA1401E7A}"/>
    <cellStyle name="40% - Accent1 2 5 2 3" xfId="11750" xr:uid="{21890BE0-1B1F-438D-818D-5C7BCA9856E0}"/>
    <cellStyle name="40% - Accent1 2 5 3" xfId="5381" xr:uid="{00000000-0005-0000-0000-000006040000}"/>
    <cellStyle name="40% - Accent1 2 5 3 2" xfId="13823" xr:uid="{00ADD525-3BDC-4A06-8874-090B8399F459}"/>
    <cellStyle name="40% - Accent1 2 5 4" xfId="9605" xr:uid="{63ADACFC-00F3-469D-BE57-A370D1E25EA4}"/>
    <cellStyle name="40% - Accent1 2 6" xfId="1486" xr:uid="{00000000-0005-0000-0000-000007040000}"/>
    <cellStyle name="40% - Accent1 2 6 2" xfId="3716" xr:uid="{00000000-0005-0000-0000-000008040000}"/>
    <cellStyle name="40% - Accent1 2 6 2 2" xfId="7939" xr:uid="{00000000-0005-0000-0000-000009040000}"/>
    <cellStyle name="40% - Accent1 2 6 2 2 2" xfId="16381" xr:uid="{0C13BD52-DFA5-4DC4-8EC3-25F17CF19D60}"/>
    <cellStyle name="40% - Accent1 2 6 2 3" xfId="12163" xr:uid="{5A5D5002-8D8D-4F63-A382-05AD388BBDF2}"/>
    <cellStyle name="40% - Accent1 2 6 3" xfId="5794" xr:uid="{00000000-0005-0000-0000-00000A040000}"/>
    <cellStyle name="40% - Accent1 2 6 3 2" xfId="14236" xr:uid="{9824FC06-80D6-44E2-843E-F9C5EE5F2A60}"/>
    <cellStyle name="40% - Accent1 2 6 4" xfId="10018" xr:uid="{B9C42CE7-5E88-47CB-97B0-1574123F4530}"/>
    <cellStyle name="40% - Accent1 2 7" xfId="1900" xr:uid="{00000000-0005-0000-0000-00000B040000}"/>
    <cellStyle name="40% - Accent1 2 7 2" xfId="4129" xr:uid="{00000000-0005-0000-0000-00000C040000}"/>
    <cellStyle name="40% - Accent1 2 7 2 2" xfId="8352" xr:uid="{00000000-0005-0000-0000-00000D040000}"/>
    <cellStyle name="40% - Accent1 2 7 2 2 2" xfId="16794" xr:uid="{1B039182-A937-43B6-9B0F-EB8B8E9EC5F6}"/>
    <cellStyle name="40% - Accent1 2 7 2 3" xfId="12576" xr:uid="{251C7BB5-8C5D-4336-BA77-C54E76CA9C14}"/>
    <cellStyle name="40% - Accent1 2 7 3" xfId="6207" xr:uid="{00000000-0005-0000-0000-00000E040000}"/>
    <cellStyle name="40% - Accent1 2 7 3 2" xfId="14649" xr:uid="{080833FB-DBBB-4070-A77A-16B31CB24A0A}"/>
    <cellStyle name="40% - Accent1 2 7 4" xfId="10431" xr:uid="{A5D82261-4423-4CEE-8D8D-29191E44A3E0}"/>
    <cellStyle name="40% - Accent1 2 8" xfId="2313" xr:uid="{00000000-0005-0000-0000-00000F040000}"/>
    <cellStyle name="40% - Accent1 2 8 2" xfId="6620" xr:uid="{00000000-0005-0000-0000-000010040000}"/>
    <cellStyle name="40% - Accent1 2 8 2 2" xfId="15062" xr:uid="{8D8D4A1F-676A-487F-A419-22544B6F3106}"/>
    <cellStyle name="40% - Accent1 2 8 3" xfId="10844" xr:uid="{4BD894D6-4C68-4C46-9747-CCCD9167C384}"/>
    <cellStyle name="40% - Accent1 2 9" xfId="4554" xr:uid="{00000000-0005-0000-0000-000011040000}"/>
    <cellStyle name="40% - Accent1 2 9 2" xfId="12996" xr:uid="{34B35089-0ADC-4173-BA2B-75E3A8D59D0E}"/>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2 2 2" xfId="15560" xr:uid="{FF6318CD-D8F6-49EC-A798-9FA3AD4F18C7}"/>
    <cellStyle name="40% - Accent1 3 2 2 2 3" xfId="11342" xr:uid="{9FD67D8E-C14F-4716-84E4-3290F17D6EE2}"/>
    <cellStyle name="40% - Accent1 3 2 2 3" xfId="4973" xr:uid="{00000000-0005-0000-0000-000017040000}"/>
    <cellStyle name="40% - Accent1 3 2 2 3 2" xfId="13415" xr:uid="{AF50652D-143F-4BDD-8E21-D4427F1105F1}"/>
    <cellStyle name="40% - Accent1 3 2 2 4" xfId="9197" xr:uid="{02FBD639-E0DE-46C1-A55A-B3B26FBABF64}"/>
    <cellStyle name="40% - Accent1 3 2 3" xfId="1077" xr:uid="{00000000-0005-0000-0000-000018040000}"/>
    <cellStyle name="40% - Accent1 3 2 3 2" xfId="3308" xr:uid="{00000000-0005-0000-0000-000019040000}"/>
    <cellStyle name="40% - Accent1 3 2 3 2 2" xfId="7531" xr:uid="{00000000-0005-0000-0000-00001A040000}"/>
    <cellStyle name="40% - Accent1 3 2 3 2 2 2" xfId="15973" xr:uid="{DBD0B4DE-D860-4CEA-A5F7-60B96E49B536}"/>
    <cellStyle name="40% - Accent1 3 2 3 2 3" xfId="11755" xr:uid="{94608CCE-1550-461C-A3BE-D148E80B4BDF}"/>
    <cellStyle name="40% - Accent1 3 2 3 3" xfId="5386" xr:uid="{00000000-0005-0000-0000-00001B040000}"/>
    <cellStyle name="40% - Accent1 3 2 3 3 2" xfId="13828" xr:uid="{5C99AE78-45ED-4AE8-9858-EB8E17FF8307}"/>
    <cellStyle name="40% - Accent1 3 2 3 4" xfId="9610" xr:uid="{9B1E194D-10A9-473B-A317-971CC2387394}"/>
    <cellStyle name="40% - Accent1 3 2 4" xfId="1491" xr:uid="{00000000-0005-0000-0000-00001C040000}"/>
    <cellStyle name="40% - Accent1 3 2 4 2" xfId="3721" xr:uid="{00000000-0005-0000-0000-00001D040000}"/>
    <cellStyle name="40% - Accent1 3 2 4 2 2" xfId="7944" xr:uid="{00000000-0005-0000-0000-00001E040000}"/>
    <cellStyle name="40% - Accent1 3 2 4 2 2 2" xfId="16386" xr:uid="{7C418A0A-5EDD-4253-9F88-42DF284DD1FC}"/>
    <cellStyle name="40% - Accent1 3 2 4 2 3" xfId="12168" xr:uid="{EE80E06F-EDA0-443F-BFB9-9A29964E62A1}"/>
    <cellStyle name="40% - Accent1 3 2 4 3" xfId="5799" xr:uid="{00000000-0005-0000-0000-00001F040000}"/>
    <cellStyle name="40% - Accent1 3 2 4 3 2" xfId="14241" xr:uid="{A22937D2-C79C-44D8-8FB2-625E4D46B37B}"/>
    <cellStyle name="40% - Accent1 3 2 4 4" xfId="10023" xr:uid="{98E60A11-023C-4629-9F7F-2865A69FB43C}"/>
    <cellStyle name="40% - Accent1 3 2 5" xfId="1905" xr:uid="{00000000-0005-0000-0000-000020040000}"/>
    <cellStyle name="40% - Accent1 3 2 5 2" xfId="4134" xr:uid="{00000000-0005-0000-0000-000021040000}"/>
    <cellStyle name="40% - Accent1 3 2 5 2 2" xfId="8357" xr:uid="{00000000-0005-0000-0000-000022040000}"/>
    <cellStyle name="40% - Accent1 3 2 5 2 2 2" xfId="16799" xr:uid="{DA9CD52D-34F6-4EC3-B435-626C8AA86C77}"/>
    <cellStyle name="40% - Accent1 3 2 5 2 3" xfId="12581" xr:uid="{DB9331AB-A75B-4F76-B640-017FD9898448}"/>
    <cellStyle name="40% - Accent1 3 2 5 3" xfId="6212" xr:uid="{00000000-0005-0000-0000-000023040000}"/>
    <cellStyle name="40% - Accent1 3 2 5 3 2" xfId="14654" xr:uid="{90F78FAB-C4D9-47C1-B3C3-88ABAAE99787}"/>
    <cellStyle name="40% - Accent1 3 2 5 4" xfId="10436" xr:uid="{8D3095BF-B017-4DD5-8465-C319A2740203}"/>
    <cellStyle name="40% - Accent1 3 2 6" xfId="2318" xr:uid="{00000000-0005-0000-0000-000024040000}"/>
    <cellStyle name="40% - Accent1 3 2 6 2" xfId="6625" xr:uid="{00000000-0005-0000-0000-000025040000}"/>
    <cellStyle name="40% - Accent1 3 2 6 2 2" xfId="15067" xr:uid="{229E9CB2-302B-4D3F-A0B7-AB13FE7F9E3C}"/>
    <cellStyle name="40% - Accent1 3 2 6 3" xfId="10849" xr:uid="{E53A9D53-93FA-4C4B-B0F4-7818BC54C0E9}"/>
    <cellStyle name="40% - Accent1 3 2 7" xfId="4559" xr:uid="{00000000-0005-0000-0000-000026040000}"/>
    <cellStyle name="40% - Accent1 3 2 7 2" xfId="13001" xr:uid="{16E86596-4BAF-4B16-8EDC-60E1758EA197}"/>
    <cellStyle name="40% - Accent1 3 2 8" xfId="8783" xr:uid="{69C5E0B5-EE2E-48B9-B2DB-61A959AB6219}"/>
    <cellStyle name="40% - Accent1 3 3" xfId="623" xr:uid="{00000000-0005-0000-0000-000027040000}"/>
    <cellStyle name="40% - Accent1 3 3 2" xfId="2894" xr:uid="{00000000-0005-0000-0000-000028040000}"/>
    <cellStyle name="40% - Accent1 3 3 2 2" xfId="7117" xr:uid="{00000000-0005-0000-0000-000029040000}"/>
    <cellStyle name="40% - Accent1 3 3 2 2 2" xfId="15559" xr:uid="{F03BFF67-AC97-4B74-A4ED-76D777E0FCBD}"/>
    <cellStyle name="40% - Accent1 3 3 2 3" xfId="11341" xr:uid="{A765D63F-C043-4748-B950-076AC7F14BF9}"/>
    <cellStyle name="40% - Accent1 3 3 3" xfId="4972" xr:uid="{00000000-0005-0000-0000-00002A040000}"/>
    <cellStyle name="40% - Accent1 3 3 3 2" xfId="13414" xr:uid="{9B61CCED-D0C4-4328-9B95-944200E5A92A}"/>
    <cellStyle name="40% - Accent1 3 3 4" xfId="9196" xr:uid="{0FE4183F-5181-440C-987C-30762AF9BD8E}"/>
    <cellStyle name="40% - Accent1 3 4" xfId="1076" xr:uid="{00000000-0005-0000-0000-00002B040000}"/>
    <cellStyle name="40% - Accent1 3 4 2" xfId="3307" xr:uid="{00000000-0005-0000-0000-00002C040000}"/>
    <cellStyle name="40% - Accent1 3 4 2 2" xfId="7530" xr:uid="{00000000-0005-0000-0000-00002D040000}"/>
    <cellStyle name="40% - Accent1 3 4 2 2 2" xfId="15972" xr:uid="{503C8950-E35A-4B3D-BD03-D5CFF7D79373}"/>
    <cellStyle name="40% - Accent1 3 4 2 3" xfId="11754" xr:uid="{701874F1-DC14-4E66-87E3-8FD2E519D0AD}"/>
    <cellStyle name="40% - Accent1 3 4 3" xfId="5385" xr:uid="{00000000-0005-0000-0000-00002E040000}"/>
    <cellStyle name="40% - Accent1 3 4 3 2" xfId="13827" xr:uid="{C6974623-DDAE-41F9-B5F5-863CA2DC9828}"/>
    <cellStyle name="40% - Accent1 3 4 4" xfId="9609" xr:uid="{82EF41C5-49A8-414F-A8CF-1EDB4F68A9F9}"/>
    <cellStyle name="40% - Accent1 3 5" xfId="1490" xr:uid="{00000000-0005-0000-0000-00002F040000}"/>
    <cellStyle name="40% - Accent1 3 5 2" xfId="3720" xr:uid="{00000000-0005-0000-0000-000030040000}"/>
    <cellStyle name="40% - Accent1 3 5 2 2" xfId="7943" xr:uid="{00000000-0005-0000-0000-000031040000}"/>
    <cellStyle name="40% - Accent1 3 5 2 2 2" xfId="16385" xr:uid="{24FD053B-DBBA-40CD-99AA-D2CB2CC95B15}"/>
    <cellStyle name="40% - Accent1 3 5 2 3" xfId="12167" xr:uid="{75C94E1F-8AAA-4204-921A-7B8E73C98CB1}"/>
    <cellStyle name="40% - Accent1 3 5 3" xfId="5798" xr:uid="{00000000-0005-0000-0000-000032040000}"/>
    <cellStyle name="40% - Accent1 3 5 3 2" xfId="14240" xr:uid="{BFA5A2AF-4C3A-4E27-9853-44DB63091613}"/>
    <cellStyle name="40% - Accent1 3 5 4" xfId="10022" xr:uid="{5C57CA40-164C-4F52-9E3B-1B7D064F3C1E}"/>
    <cellStyle name="40% - Accent1 3 6" xfId="1904" xr:uid="{00000000-0005-0000-0000-000033040000}"/>
    <cellStyle name="40% - Accent1 3 6 2" xfId="4133" xr:uid="{00000000-0005-0000-0000-000034040000}"/>
    <cellStyle name="40% - Accent1 3 6 2 2" xfId="8356" xr:uid="{00000000-0005-0000-0000-000035040000}"/>
    <cellStyle name="40% - Accent1 3 6 2 2 2" xfId="16798" xr:uid="{EE64ED80-A3EA-444B-9BCF-A4F3210947E5}"/>
    <cellStyle name="40% - Accent1 3 6 2 3" xfId="12580" xr:uid="{BFC71347-91E8-47C9-B620-F0FE3FD025CC}"/>
    <cellStyle name="40% - Accent1 3 6 3" xfId="6211" xr:uid="{00000000-0005-0000-0000-000036040000}"/>
    <cellStyle name="40% - Accent1 3 6 3 2" xfId="14653" xr:uid="{D847AB18-78EC-4097-AF03-FF77BAE4B30D}"/>
    <cellStyle name="40% - Accent1 3 6 4" xfId="10435" xr:uid="{C28B1D68-C3F3-4848-A150-716161956978}"/>
    <cellStyle name="40% - Accent1 3 7" xfId="2317" xr:uid="{00000000-0005-0000-0000-000037040000}"/>
    <cellStyle name="40% - Accent1 3 7 2" xfId="6624" xr:uid="{00000000-0005-0000-0000-000038040000}"/>
    <cellStyle name="40% - Accent1 3 7 2 2" xfId="15066" xr:uid="{7761531D-C717-4441-AE25-2F62A70A9857}"/>
    <cellStyle name="40% - Accent1 3 7 3" xfId="10848" xr:uid="{A75A1339-2E30-4E29-958C-D4320DF2515F}"/>
    <cellStyle name="40% - Accent1 3 8" xfId="4558" xr:uid="{00000000-0005-0000-0000-000039040000}"/>
    <cellStyle name="40% - Accent1 3 8 2" xfId="13000" xr:uid="{8B9C5244-E358-40AE-866C-CF5973B14BFC}"/>
    <cellStyle name="40% - Accent1 3 9" xfId="8782" xr:uid="{F3FCAA12-868E-4478-B6BD-5EBD15BF1703}"/>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2 2 2" xfId="15561" xr:uid="{4033114C-826F-4E34-9C92-E97993E78A12}"/>
    <cellStyle name="40% - Accent1 4 2 2 3" xfId="11343" xr:uid="{C9F36785-7BF2-44E3-85C3-1C658C2926E4}"/>
    <cellStyle name="40% - Accent1 4 2 3" xfId="4974" xr:uid="{00000000-0005-0000-0000-00003E040000}"/>
    <cellStyle name="40% - Accent1 4 2 3 2" xfId="13416" xr:uid="{0DA0E4D7-03AC-46E4-B538-2575DA885C42}"/>
    <cellStyle name="40% - Accent1 4 2 4" xfId="9198" xr:uid="{BD138430-3E4E-4FE2-B987-D45E04B6827E}"/>
    <cellStyle name="40% - Accent1 4 3" xfId="1078" xr:uid="{00000000-0005-0000-0000-00003F040000}"/>
    <cellStyle name="40% - Accent1 4 3 2" xfId="3309" xr:uid="{00000000-0005-0000-0000-000040040000}"/>
    <cellStyle name="40% - Accent1 4 3 2 2" xfId="7532" xr:uid="{00000000-0005-0000-0000-000041040000}"/>
    <cellStyle name="40% - Accent1 4 3 2 2 2" xfId="15974" xr:uid="{5EC5861A-8006-46F0-92BB-0C0C75196725}"/>
    <cellStyle name="40% - Accent1 4 3 2 3" xfId="11756" xr:uid="{AD93682A-22FA-4DBF-936B-4D88F3D9F9A4}"/>
    <cellStyle name="40% - Accent1 4 3 3" xfId="5387" xr:uid="{00000000-0005-0000-0000-000042040000}"/>
    <cellStyle name="40% - Accent1 4 3 3 2" xfId="13829" xr:uid="{70D18B05-3E34-4C53-9FB9-70DBD59CB1E2}"/>
    <cellStyle name="40% - Accent1 4 3 4" xfId="9611" xr:uid="{7CA10F87-5E35-4B55-9145-E4E86F5130A1}"/>
    <cellStyle name="40% - Accent1 4 4" xfId="1492" xr:uid="{00000000-0005-0000-0000-000043040000}"/>
    <cellStyle name="40% - Accent1 4 4 2" xfId="3722" xr:uid="{00000000-0005-0000-0000-000044040000}"/>
    <cellStyle name="40% - Accent1 4 4 2 2" xfId="7945" xr:uid="{00000000-0005-0000-0000-000045040000}"/>
    <cellStyle name="40% - Accent1 4 4 2 2 2" xfId="16387" xr:uid="{2DB6CE60-89B9-4000-8B47-BFD4283F0E94}"/>
    <cellStyle name="40% - Accent1 4 4 2 3" xfId="12169" xr:uid="{C090C587-AE98-4580-B8BE-14700FB27B8B}"/>
    <cellStyle name="40% - Accent1 4 4 3" xfId="5800" xr:uid="{00000000-0005-0000-0000-000046040000}"/>
    <cellStyle name="40% - Accent1 4 4 3 2" xfId="14242" xr:uid="{B260A286-4A26-49D9-B7FB-01C953B3C568}"/>
    <cellStyle name="40% - Accent1 4 4 4" xfId="10024" xr:uid="{210C09AF-16F5-4C35-A47E-F09F8A947E4C}"/>
    <cellStyle name="40% - Accent1 4 5" xfId="1906" xr:uid="{00000000-0005-0000-0000-000047040000}"/>
    <cellStyle name="40% - Accent1 4 5 2" xfId="4135" xr:uid="{00000000-0005-0000-0000-000048040000}"/>
    <cellStyle name="40% - Accent1 4 5 2 2" xfId="8358" xr:uid="{00000000-0005-0000-0000-000049040000}"/>
    <cellStyle name="40% - Accent1 4 5 2 2 2" xfId="16800" xr:uid="{30B195D8-7E35-4DF9-BA92-B26E0D1D4B32}"/>
    <cellStyle name="40% - Accent1 4 5 2 3" xfId="12582" xr:uid="{B4B87048-11A5-414A-BBC4-F45D52DA790A}"/>
    <cellStyle name="40% - Accent1 4 5 3" xfId="6213" xr:uid="{00000000-0005-0000-0000-00004A040000}"/>
    <cellStyle name="40% - Accent1 4 5 3 2" xfId="14655" xr:uid="{22EB1E0C-F760-4856-A8FE-3028563901F3}"/>
    <cellStyle name="40% - Accent1 4 5 4" xfId="10437" xr:uid="{74DB39A4-57C2-4F38-9198-C311F3B05EAE}"/>
    <cellStyle name="40% - Accent1 4 6" xfId="2319" xr:uid="{00000000-0005-0000-0000-00004B040000}"/>
    <cellStyle name="40% - Accent1 4 6 2" xfId="6626" xr:uid="{00000000-0005-0000-0000-00004C040000}"/>
    <cellStyle name="40% - Accent1 4 6 2 2" xfId="15068" xr:uid="{CF54DB4D-AA66-4A74-972D-B3B4DD810B42}"/>
    <cellStyle name="40% - Accent1 4 6 3" xfId="10850" xr:uid="{3FD7F981-00B4-410C-ACE3-6FD5C5E0A7B9}"/>
    <cellStyle name="40% - Accent1 4 7" xfId="4560" xr:uid="{00000000-0005-0000-0000-00004D040000}"/>
    <cellStyle name="40% - Accent1 4 7 2" xfId="13002" xr:uid="{3A695EF4-ED9E-4F53-81EB-4487E8BD7DD9}"/>
    <cellStyle name="40% - Accent1 4 8" xfId="8784" xr:uid="{2C4467AB-1EF9-4060-B3BA-2012E2B05D1C}"/>
    <cellStyle name="40% - Accent1 5" xfId="618" xr:uid="{00000000-0005-0000-0000-00004E040000}"/>
    <cellStyle name="40% - Accent1 5 2" xfId="2889" xr:uid="{00000000-0005-0000-0000-00004F040000}"/>
    <cellStyle name="40% - Accent1 5 2 2" xfId="7112" xr:uid="{00000000-0005-0000-0000-000050040000}"/>
    <cellStyle name="40% - Accent1 5 2 2 2" xfId="15554" xr:uid="{0129051B-B9FC-4ED0-ABEE-6EF465C88921}"/>
    <cellStyle name="40% - Accent1 5 2 3" xfId="11336" xr:uid="{EA4C81BF-9E6D-43A7-BEAA-125120D11EFE}"/>
    <cellStyle name="40% - Accent1 5 3" xfId="4967" xr:uid="{00000000-0005-0000-0000-000051040000}"/>
    <cellStyle name="40% - Accent1 5 3 2" xfId="13409" xr:uid="{3868E6C9-2810-4768-A0E3-9174DEF5F55C}"/>
    <cellStyle name="40% - Accent1 5 4" xfId="9191" xr:uid="{27FFE7DC-232D-4ED4-A464-3CF30E234E02}"/>
    <cellStyle name="40% - Accent1 6" xfId="1071" xr:uid="{00000000-0005-0000-0000-000052040000}"/>
    <cellStyle name="40% - Accent1 6 2" xfId="3302" xr:uid="{00000000-0005-0000-0000-000053040000}"/>
    <cellStyle name="40% - Accent1 6 2 2" xfId="7525" xr:uid="{00000000-0005-0000-0000-000054040000}"/>
    <cellStyle name="40% - Accent1 6 2 2 2" xfId="15967" xr:uid="{F1562292-4F56-4B04-8C16-D0B1F72D3ED1}"/>
    <cellStyle name="40% - Accent1 6 2 3" xfId="11749" xr:uid="{41085E86-CB81-4929-B385-679782A80DCA}"/>
    <cellStyle name="40% - Accent1 6 3" xfId="5380" xr:uid="{00000000-0005-0000-0000-000055040000}"/>
    <cellStyle name="40% - Accent1 6 3 2" xfId="13822" xr:uid="{EC733544-9624-41CC-A155-4DC957A5827F}"/>
    <cellStyle name="40% - Accent1 6 4" xfId="9604" xr:uid="{458A64F5-29F1-46E4-8FB8-673C0DFCF30E}"/>
    <cellStyle name="40% - Accent1 7" xfId="1485" xr:uid="{00000000-0005-0000-0000-000056040000}"/>
    <cellStyle name="40% - Accent1 7 2" xfId="3715" xr:uid="{00000000-0005-0000-0000-000057040000}"/>
    <cellStyle name="40% - Accent1 7 2 2" xfId="7938" xr:uid="{00000000-0005-0000-0000-000058040000}"/>
    <cellStyle name="40% - Accent1 7 2 2 2" xfId="16380" xr:uid="{B8D2CED7-3D75-4E3F-9E71-498C7B134A70}"/>
    <cellStyle name="40% - Accent1 7 2 3" xfId="12162" xr:uid="{805479F7-BC88-486E-9CD2-6D2EA3399DD0}"/>
    <cellStyle name="40% - Accent1 7 3" xfId="5793" xr:uid="{00000000-0005-0000-0000-000059040000}"/>
    <cellStyle name="40% - Accent1 7 3 2" xfId="14235" xr:uid="{46FF9CF5-E341-4124-88FD-FD68DDCC32BE}"/>
    <cellStyle name="40% - Accent1 7 4" xfId="10017" xr:uid="{A8F911BD-5F54-4979-B8A2-6188BD40F1DA}"/>
    <cellStyle name="40% - Accent1 8" xfId="1899" xr:uid="{00000000-0005-0000-0000-00005A040000}"/>
    <cellStyle name="40% - Accent1 8 2" xfId="4128" xr:uid="{00000000-0005-0000-0000-00005B040000}"/>
    <cellStyle name="40% - Accent1 8 2 2" xfId="8351" xr:uid="{00000000-0005-0000-0000-00005C040000}"/>
    <cellStyle name="40% - Accent1 8 2 2 2" xfId="16793" xr:uid="{358C572C-E546-4A90-9988-95C1295ABAEB}"/>
    <cellStyle name="40% - Accent1 8 2 3" xfId="12575" xr:uid="{20B46906-2F2B-4C4C-9BEB-08BDF78295A2}"/>
    <cellStyle name="40% - Accent1 8 3" xfId="6206" xr:uid="{00000000-0005-0000-0000-00005D040000}"/>
    <cellStyle name="40% - Accent1 8 3 2" xfId="14648" xr:uid="{8BD36574-9ED6-4DCA-A300-2BFC98E86DBF}"/>
    <cellStyle name="40% - Accent1 8 4" xfId="10430" xr:uid="{C61741B2-F7F6-4B31-8E9D-00B8D10A542F}"/>
    <cellStyle name="40% - Accent1 9" xfId="2312" xr:uid="{00000000-0005-0000-0000-00005E040000}"/>
    <cellStyle name="40% - Accent1 9 2" xfId="6619" xr:uid="{00000000-0005-0000-0000-00005F040000}"/>
    <cellStyle name="40% - Accent1 9 2 2" xfId="15061" xr:uid="{967C0DC3-5A93-47DF-8D05-8C2BD12505F4}"/>
    <cellStyle name="40% - Accent1 9 3" xfId="10843" xr:uid="{C41B4B5B-0025-4B1B-BC1E-7E9542CBBAFE}"/>
    <cellStyle name="40% - Accent2" xfId="57" builtinId="35" customBuiltin="1"/>
    <cellStyle name="40% - Accent2 10" xfId="4561" xr:uid="{00000000-0005-0000-0000-000061040000}"/>
    <cellStyle name="40% - Accent2 10 2" xfId="13003" xr:uid="{6FA6A702-F6CF-446E-8216-0F29FF8BB419}"/>
    <cellStyle name="40% - Accent2 11" xfId="8785" xr:uid="{F47EC1BF-0A8E-4FF5-9D7F-9F7CD46F7B88}"/>
    <cellStyle name="40% - Accent2 2" xfId="58" xr:uid="{00000000-0005-0000-0000-000062040000}"/>
    <cellStyle name="40% - Accent2 2 10" xfId="8786" xr:uid="{FBF3C738-0194-4FBA-9146-0122F4D3CE44}"/>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2 2 2" xfId="15565" xr:uid="{58EBFB83-A5CA-4E88-B56C-EEAFFFD0437E}"/>
    <cellStyle name="40% - Accent2 2 2 2 2 2 3" xfId="11347" xr:uid="{C22519EB-3EFC-410F-A00E-4CF6A55A706B}"/>
    <cellStyle name="40% - Accent2 2 2 2 2 3" xfId="4978" xr:uid="{00000000-0005-0000-0000-000068040000}"/>
    <cellStyle name="40% - Accent2 2 2 2 2 3 2" xfId="13420" xr:uid="{9698C95F-B61D-4909-AE40-3BB4F1531946}"/>
    <cellStyle name="40% - Accent2 2 2 2 2 4" xfId="9202" xr:uid="{4A2B7B91-89C1-4F0D-861A-E8C980C92A27}"/>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2 2 2" xfId="15978" xr:uid="{C2E1232B-A56A-46FD-8195-BFFB30D49B64}"/>
    <cellStyle name="40% - Accent2 2 2 2 3 2 3" xfId="11760" xr:uid="{9B1FD3DA-7311-48E0-BD7B-7236BBA3A6A5}"/>
    <cellStyle name="40% - Accent2 2 2 2 3 3" xfId="5391" xr:uid="{00000000-0005-0000-0000-00006C040000}"/>
    <cellStyle name="40% - Accent2 2 2 2 3 3 2" xfId="13833" xr:uid="{BEECEC4A-0CFA-4AEF-BDCA-92A1B68FFBBA}"/>
    <cellStyle name="40% - Accent2 2 2 2 3 4" xfId="9615" xr:uid="{21C24697-939A-4479-A623-809B6786818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2 2 2" xfId="16391" xr:uid="{93308934-3314-447A-8C54-A8038BC71E49}"/>
    <cellStyle name="40% - Accent2 2 2 2 4 2 3" xfId="12173" xr:uid="{29327901-DF73-443F-95FC-02E4411A3F31}"/>
    <cellStyle name="40% - Accent2 2 2 2 4 3" xfId="5804" xr:uid="{00000000-0005-0000-0000-000070040000}"/>
    <cellStyle name="40% - Accent2 2 2 2 4 3 2" xfId="14246" xr:uid="{E343B583-8145-4543-AC46-5F457C289C37}"/>
    <cellStyle name="40% - Accent2 2 2 2 4 4" xfId="10028" xr:uid="{A0BECBA9-D868-43DD-A401-ECFF1A09B568}"/>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2 2 2" xfId="16804" xr:uid="{A0CA16FB-978E-4880-8D82-C7EF9E72091F}"/>
    <cellStyle name="40% - Accent2 2 2 2 5 2 3" xfId="12586" xr:uid="{D1B5B90B-5C7D-474E-B1F4-AFE969CB5F35}"/>
    <cellStyle name="40% - Accent2 2 2 2 5 3" xfId="6217" xr:uid="{00000000-0005-0000-0000-000074040000}"/>
    <cellStyle name="40% - Accent2 2 2 2 5 3 2" xfId="14659" xr:uid="{FF715EED-2A46-4B61-99B5-8BC466D7FD17}"/>
    <cellStyle name="40% - Accent2 2 2 2 5 4" xfId="10441" xr:uid="{D62EA2F4-6DA3-497D-AFBE-D21EBC476E3A}"/>
    <cellStyle name="40% - Accent2 2 2 2 6" xfId="2323" xr:uid="{00000000-0005-0000-0000-000075040000}"/>
    <cellStyle name="40% - Accent2 2 2 2 6 2" xfId="6630" xr:uid="{00000000-0005-0000-0000-000076040000}"/>
    <cellStyle name="40% - Accent2 2 2 2 6 2 2" xfId="15072" xr:uid="{10753429-1467-4907-A4D4-0869D8A3DB02}"/>
    <cellStyle name="40% - Accent2 2 2 2 6 3" xfId="10854" xr:uid="{D96133FB-8026-42BD-B994-6BAB0863D79D}"/>
    <cellStyle name="40% - Accent2 2 2 2 7" xfId="4564" xr:uid="{00000000-0005-0000-0000-000077040000}"/>
    <cellStyle name="40% - Accent2 2 2 2 7 2" xfId="13006" xr:uid="{0365B4AE-BB20-43C0-879A-53C9F4106C62}"/>
    <cellStyle name="40% - Accent2 2 2 2 8" xfId="8788" xr:uid="{6135A23A-C118-4218-AEA5-26D509C4EB10}"/>
    <cellStyle name="40% - Accent2 2 2 3" xfId="628" xr:uid="{00000000-0005-0000-0000-000078040000}"/>
    <cellStyle name="40% - Accent2 2 2 3 2" xfId="2899" xr:uid="{00000000-0005-0000-0000-000079040000}"/>
    <cellStyle name="40% - Accent2 2 2 3 2 2" xfId="7122" xr:uid="{00000000-0005-0000-0000-00007A040000}"/>
    <cellStyle name="40% - Accent2 2 2 3 2 2 2" xfId="15564" xr:uid="{EDADF7DD-ABB2-454B-9B3C-AF502151D363}"/>
    <cellStyle name="40% - Accent2 2 2 3 2 3" xfId="11346" xr:uid="{92866BE6-DD8F-423D-A2AE-FF5ABCEE090D}"/>
    <cellStyle name="40% - Accent2 2 2 3 3" xfId="4977" xr:uid="{00000000-0005-0000-0000-00007B040000}"/>
    <cellStyle name="40% - Accent2 2 2 3 3 2" xfId="13419" xr:uid="{73923923-F3BD-47F4-A103-09D13221F509}"/>
    <cellStyle name="40% - Accent2 2 2 3 4" xfId="9201" xr:uid="{5465EF29-45B5-4242-A9B8-E9F5A7BCAEFA}"/>
    <cellStyle name="40% - Accent2 2 2 4" xfId="1081" xr:uid="{00000000-0005-0000-0000-00007C040000}"/>
    <cellStyle name="40% - Accent2 2 2 4 2" xfId="3312" xr:uid="{00000000-0005-0000-0000-00007D040000}"/>
    <cellStyle name="40% - Accent2 2 2 4 2 2" xfId="7535" xr:uid="{00000000-0005-0000-0000-00007E040000}"/>
    <cellStyle name="40% - Accent2 2 2 4 2 2 2" xfId="15977" xr:uid="{9FE137A9-4EA7-463E-8931-F1D1A80151FB}"/>
    <cellStyle name="40% - Accent2 2 2 4 2 3" xfId="11759" xr:uid="{0D0E9912-9F03-42EA-89ED-ADA971D320A0}"/>
    <cellStyle name="40% - Accent2 2 2 4 3" xfId="5390" xr:uid="{00000000-0005-0000-0000-00007F040000}"/>
    <cellStyle name="40% - Accent2 2 2 4 3 2" xfId="13832" xr:uid="{4D39ED9B-4221-420A-BBBC-FDA271FC57BF}"/>
    <cellStyle name="40% - Accent2 2 2 4 4" xfId="9614" xr:uid="{93373DCB-75B6-4D93-A763-C55996F105DF}"/>
    <cellStyle name="40% - Accent2 2 2 5" xfId="1495" xr:uid="{00000000-0005-0000-0000-000080040000}"/>
    <cellStyle name="40% - Accent2 2 2 5 2" xfId="3725" xr:uid="{00000000-0005-0000-0000-000081040000}"/>
    <cellStyle name="40% - Accent2 2 2 5 2 2" xfId="7948" xr:uid="{00000000-0005-0000-0000-000082040000}"/>
    <cellStyle name="40% - Accent2 2 2 5 2 2 2" xfId="16390" xr:uid="{20200E6C-129B-4A57-BB31-8642A8B22C06}"/>
    <cellStyle name="40% - Accent2 2 2 5 2 3" xfId="12172" xr:uid="{FF0C5BFA-809B-4C44-B74D-4C19923ED4E4}"/>
    <cellStyle name="40% - Accent2 2 2 5 3" xfId="5803" xr:uid="{00000000-0005-0000-0000-000083040000}"/>
    <cellStyle name="40% - Accent2 2 2 5 3 2" xfId="14245" xr:uid="{4F566F56-FDC0-4137-830B-745ABCE37D28}"/>
    <cellStyle name="40% - Accent2 2 2 5 4" xfId="10027" xr:uid="{8C71E346-9E99-49FA-ACC6-C24F34E4A546}"/>
    <cellStyle name="40% - Accent2 2 2 6" xfId="1909" xr:uid="{00000000-0005-0000-0000-000084040000}"/>
    <cellStyle name="40% - Accent2 2 2 6 2" xfId="4138" xr:uid="{00000000-0005-0000-0000-000085040000}"/>
    <cellStyle name="40% - Accent2 2 2 6 2 2" xfId="8361" xr:uid="{00000000-0005-0000-0000-000086040000}"/>
    <cellStyle name="40% - Accent2 2 2 6 2 2 2" xfId="16803" xr:uid="{E2FF0CDB-6D8F-4BA9-BEB2-5987C2AC3FAC}"/>
    <cellStyle name="40% - Accent2 2 2 6 2 3" xfId="12585" xr:uid="{1EED088E-98E1-4829-9CB5-96544E5EE539}"/>
    <cellStyle name="40% - Accent2 2 2 6 3" xfId="6216" xr:uid="{00000000-0005-0000-0000-000087040000}"/>
    <cellStyle name="40% - Accent2 2 2 6 3 2" xfId="14658" xr:uid="{736779F5-1EBC-4B0C-8C21-85BD80C6F05D}"/>
    <cellStyle name="40% - Accent2 2 2 6 4" xfId="10440" xr:uid="{86C640A5-5F84-4439-B1C6-AADF56842426}"/>
    <cellStyle name="40% - Accent2 2 2 7" xfId="2322" xr:uid="{00000000-0005-0000-0000-000088040000}"/>
    <cellStyle name="40% - Accent2 2 2 7 2" xfId="6629" xr:uid="{00000000-0005-0000-0000-000089040000}"/>
    <cellStyle name="40% - Accent2 2 2 7 2 2" xfId="15071" xr:uid="{F28F6762-C878-4445-948A-A55F77DAEA42}"/>
    <cellStyle name="40% - Accent2 2 2 7 3" xfId="10853" xr:uid="{632B704D-D8EB-44AD-ACD0-43E7AE5E08D0}"/>
    <cellStyle name="40% - Accent2 2 2 8" xfId="4563" xr:uid="{00000000-0005-0000-0000-00008A040000}"/>
    <cellStyle name="40% - Accent2 2 2 8 2" xfId="13005" xr:uid="{E3A28310-0B0C-4893-A2F7-8730AFC3A7C5}"/>
    <cellStyle name="40% - Accent2 2 2 9" xfId="8787" xr:uid="{2C6F0EFA-9D9D-4181-BF0B-D5BF1D4F03E8}"/>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2 2 2" xfId="15566" xr:uid="{41312263-23F4-4182-B17A-78A8D1DA07A4}"/>
    <cellStyle name="40% - Accent2 2 3 2 2 3" xfId="11348" xr:uid="{49A9F772-3F08-4159-B51F-97B15AF21C9F}"/>
    <cellStyle name="40% - Accent2 2 3 2 3" xfId="4979" xr:uid="{00000000-0005-0000-0000-00008F040000}"/>
    <cellStyle name="40% - Accent2 2 3 2 3 2" xfId="13421" xr:uid="{97DF9010-BDC4-4DBB-B835-D9535D635E36}"/>
    <cellStyle name="40% - Accent2 2 3 2 4" xfId="9203" xr:uid="{A0E6B016-10FB-4B71-81A1-E7B5DF8E4626}"/>
    <cellStyle name="40% - Accent2 2 3 3" xfId="1083" xr:uid="{00000000-0005-0000-0000-000090040000}"/>
    <cellStyle name="40% - Accent2 2 3 3 2" xfId="3314" xr:uid="{00000000-0005-0000-0000-000091040000}"/>
    <cellStyle name="40% - Accent2 2 3 3 2 2" xfId="7537" xr:uid="{00000000-0005-0000-0000-000092040000}"/>
    <cellStyle name="40% - Accent2 2 3 3 2 2 2" xfId="15979" xr:uid="{ADE0EA1A-5B30-448B-BAC3-14BA4A1495C1}"/>
    <cellStyle name="40% - Accent2 2 3 3 2 3" xfId="11761" xr:uid="{CC2D4E03-E80B-4A01-B684-444BF170E930}"/>
    <cellStyle name="40% - Accent2 2 3 3 3" xfId="5392" xr:uid="{00000000-0005-0000-0000-000093040000}"/>
    <cellStyle name="40% - Accent2 2 3 3 3 2" xfId="13834" xr:uid="{55E9BF8E-4B4A-4EE9-ADF9-96D0593BEEE1}"/>
    <cellStyle name="40% - Accent2 2 3 3 4" xfId="9616" xr:uid="{FA510550-97D0-48BC-93F8-63E1F4E92C00}"/>
    <cellStyle name="40% - Accent2 2 3 4" xfId="1497" xr:uid="{00000000-0005-0000-0000-000094040000}"/>
    <cellStyle name="40% - Accent2 2 3 4 2" xfId="3727" xr:uid="{00000000-0005-0000-0000-000095040000}"/>
    <cellStyle name="40% - Accent2 2 3 4 2 2" xfId="7950" xr:uid="{00000000-0005-0000-0000-000096040000}"/>
    <cellStyle name="40% - Accent2 2 3 4 2 2 2" xfId="16392" xr:uid="{74E58985-691D-4928-9C51-71D2CC092723}"/>
    <cellStyle name="40% - Accent2 2 3 4 2 3" xfId="12174" xr:uid="{68C6F7F4-16DA-4427-82CE-BD889E6E0330}"/>
    <cellStyle name="40% - Accent2 2 3 4 3" xfId="5805" xr:uid="{00000000-0005-0000-0000-000097040000}"/>
    <cellStyle name="40% - Accent2 2 3 4 3 2" xfId="14247" xr:uid="{8F41DE1E-7D0D-4F8B-87F8-1298953E0A6F}"/>
    <cellStyle name="40% - Accent2 2 3 4 4" xfId="10029" xr:uid="{93E45E76-15EE-4AB6-BF4B-1DB00F914B08}"/>
    <cellStyle name="40% - Accent2 2 3 5" xfId="1911" xr:uid="{00000000-0005-0000-0000-000098040000}"/>
    <cellStyle name="40% - Accent2 2 3 5 2" xfId="4140" xr:uid="{00000000-0005-0000-0000-000099040000}"/>
    <cellStyle name="40% - Accent2 2 3 5 2 2" xfId="8363" xr:uid="{00000000-0005-0000-0000-00009A040000}"/>
    <cellStyle name="40% - Accent2 2 3 5 2 2 2" xfId="16805" xr:uid="{3298CD00-43DE-409A-B0E4-71CCBB4E5545}"/>
    <cellStyle name="40% - Accent2 2 3 5 2 3" xfId="12587" xr:uid="{11B10018-CA91-467A-A9D5-EE2BC44CC72D}"/>
    <cellStyle name="40% - Accent2 2 3 5 3" xfId="6218" xr:uid="{00000000-0005-0000-0000-00009B040000}"/>
    <cellStyle name="40% - Accent2 2 3 5 3 2" xfId="14660" xr:uid="{3D720327-CBA1-4147-9F1B-BFB8B64D3529}"/>
    <cellStyle name="40% - Accent2 2 3 5 4" xfId="10442" xr:uid="{0B72633A-A704-4E06-ADEF-B982DA02F1B5}"/>
    <cellStyle name="40% - Accent2 2 3 6" xfId="2324" xr:uid="{00000000-0005-0000-0000-00009C040000}"/>
    <cellStyle name="40% - Accent2 2 3 6 2" xfId="6631" xr:uid="{00000000-0005-0000-0000-00009D040000}"/>
    <cellStyle name="40% - Accent2 2 3 6 2 2" xfId="15073" xr:uid="{534FEB05-9166-4DC1-A1C7-C09FA5A93951}"/>
    <cellStyle name="40% - Accent2 2 3 6 3" xfId="10855" xr:uid="{F87FFE14-538D-4028-B673-0CFC5D8480C4}"/>
    <cellStyle name="40% - Accent2 2 3 7" xfId="4565" xr:uid="{00000000-0005-0000-0000-00009E040000}"/>
    <cellStyle name="40% - Accent2 2 3 7 2" xfId="13007" xr:uid="{70513609-0149-4BB2-91CC-35EF18A64414}"/>
    <cellStyle name="40% - Accent2 2 3 8" xfId="8789" xr:uid="{A14257AE-7199-4D50-A4C1-BF2736E9799D}"/>
    <cellStyle name="40% - Accent2 2 4" xfId="627" xr:uid="{00000000-0005-0000-0000-00009F040000}"/>
    <cellStyle name="40% - Accent2 2 4 2" xfId="2898" xr:uid="{00000000-0005-0000-0000-0000A0040000}"/>
    <cellStyle name="40% - Accent2 2 4 2 2" xfId="7121" xr:uid="{00000000-0005-0000-0000-0000A1040000}"/>
    <cellStyle name="40% - Accent2 2 4 2 2 2" xfId="15563" xr:uid="{EE5F7946-2ECB-43DF-A193-58DDFACEC730}"/>
    <cellStyle name="40% - Accent2 2 4 2 3" xfId="11345" xr:uid="{BB5FEFDB-99BD-4482-8D69-7CAAE01ED693}"/>
    <cellStyle name="40% - Accent2 2 4 3" xfId="4976" xr:uid="{00000000-0005-0000-0000-0000A2040000}"/>
    <cellStyle name="40% - Accent2 2 4 3 2" xfId="13418" xr:uid="{5D649FB7-A200-4378-8301-CBA438175EAC}"/>
    <cellStyle name="40% - Accent2 2 4 4" xfId="9200" xr:uid="{ED5D6849-3E80-4CDE-8BDB-1B46D59E888A}"/>
    <cellStyle name="40% - Accent2 2 5" xfId="1080" xr:uid="{00000000-0005-0000-0000-0000A3040000}"/>
    <cellStyle name="40% - Accent2 2 5 2" xfId="3311" xr:uid="{00000000-0005-0000-0000-0000A4040000}"/>
    <cellStyle name="40% - Accent2 2 5 2 2" xfId="7534" xr:uid="{00000000-0005-0000-0000-0000A5040000}"/>
    <cellStyle name="40% - Accent2 2 5 2 2 2" xfId="15976" xr:uid="{53105984-F3F5-49DD-B7E9-60CDFA975E20}"/>
    <cellStyle name="40% - Accent2 2 5 2 3" xfId="11758" xr:uid="{F914DD8F-0D62-4E13-96BC-54624CC2D0FA}"/>
    <cellStyle name="40% - Accent2 2 5 3" xfId="5389" xr:uid="{00000000-0005-0000-0000-0000A6040000}"/>
    <cellStyle name="40% - Accent2 2 5 3 2" xfId="13831" xr:uid="{79E76F96-BD70-4E05-A9C8-98C70B291667}"/>
    <cellStyle name="40% - Accent2 2 5 4" xfId="9613" xr:uid="{80F021CE-B07F-44D0-8481-F99856521E0A}"/>
    <cellStyle name="40% - Accent2 2 6" xfId="1494" xr:uid="{00000000-0005-0000-0000-0000A7040000}"/>
    <cellStyle name="40% - Accent2 2 6 2" xfId="3724" xr:uid="{00000000-0005-0000-0000-0000A8040000}"/>
    <cellStyle name="40% - Accent2 2 6 2 2" xfId="7947" xr:uid="{00000000-0005-0000-0000-0000A9040000}"/>
    <cellStyle name="40% - Accent2 2 6 2 2 2" xfId="16389" xr:uid="{456347D0-F327-4ED9-B20B-30F6C3DAB162}"/>
    <cellStyle name="40% - Accent2 2 6 2 3" xfId="12171" xr:uid="{CF0F0564-DEF1-430D-9902-184E6EDF8E98}"/>
    <cellStyle name="40% - Accent2 2 6 3" xfId="5802" xr:uid="{00000000-0005-0000-0000-0000AA040000}"/>
    <cellStyle name="40% - Accent2 2 6 3 2" xfId="14244" xr:uid="{8F4E8D39-5151-411A-96A9-BF81B7C9DBCB}"/>
    <cellStyle name="40% - Accent2 2 6 4" xfId="10026" xr:uid="{6DECD8BC-E9F3-45D4-955B-3C78702DC35B}"/>
    <cellStyle name="40% - Accent2 2 7" xfId="1908" xr:uid="{00000000-0005-0000-0000-0000AB040000}"/>
    <cellStyle name="40% - Accent2 2 7 2" xfId="4137" xr:uid="{00000000-0005-0000-0000-0000AC040000}"/>
    <cellStyle name="40% - Accent2 2 7 2 2" xfId="8360" xr:uid="{00000000-0005-0000-0000-0000AD040000}"/>
    <cellStyle name="40% - Accent2 2 7 2 2 2" xfId="16802" xr:uid="{AC95218A-3FF3-4D35-9F5D-8C6D18DC5947}"/>
    <cellStyle name="40% - Accent2 2 7 2 3" xfId="12584" xr:uid="{869BDE96-E6D7-43D8-AE27-13978A162EE4}"/>
    <cellStyle name="40% - Accent2 2 7 3" xfId="6215" xr:uid="{00000000-0005-0000-0000-0000AE040000}"/>
    <cellStyle name="40% - Accent2 2 7 3 2" xfId="14657" xr:uid="{17221D83-B45D-4FE8-AC3B-ED796D77AB06}"/>
    <cellStyle name="40% - Accent2 2 7 4" xfId="10439" xr:uid="{2F3E628C-966C-48FD-A3CA-8B227496BE42}"/>
    <cellStyle name="40% - Accent2 2 8" xfId="2321" xr:uid="{00000000-0005-0000-0000-0000AF040000}"/>
    <cellStyle name="40% - Accent2 2 8 2" xfId="6628" xr:uid="{00000000-0005-0000-0000-0000B0040000}"/>
    <cellStyle name="40% - Accent2 2 8 2 2" xfId="15070" xr:uid="{FAB79367-894B-474C-83EA-7D3957C550D3}"/>
    <cellStyle name="40% - Accent2 2 8 3" xfId="10852" xr:uid="{8E156A9A-469C-40E8-9211-96C93BC9E4E2}"/>
    <cellStyle name="40% - Accent2 2 9" xfId="4562" xr:uid="{00000000-0005-0000-0000-0000B1040000}"/>
    <cellStyle name="40% - Accent2 2 9 2" xfId="13004" xr:uid="{76AC881B-BA38-4E39-9629-90168EE5066E}"/>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2 2 2" xfId="15568" xr:uid="{3EFCCA84-9605-4DFC-B37F-AFA0021401B3}"/>
    <cellStyle name="40% - Accent2 3 2 2 2 3" xfId="11350" xr:uid="{BA242FFF-E321-4DD2-8F9D-16B078DBE3FA}"/>
    <cellStyle name="40% - Accent2 3 2 2 3" xfId="4981" xr:uid="{00000000-0005-0000-0000-0000B7040000}"/>
    <cellStyle name="40% - Accent2 3 2 2 3 2" xfId="13423" xr:uid="{7766095A-A1CB-49FA-9E30-38D8A7EEB609}"/>
    <cellStyle name="40% - Accent2 3 2 2 4" xfId="9205" xr:uid="{93EC73B8-52EF-485E-A909-BCA03F195E3E}"/>
    <cellStyle name="40% - Accent2 3 2 3" xfId="1085" xr:uid="{00000000-0005-0000-0000-0000B8040000}"/>
    <cellStyle name="40% - Accent2 3 2 3 2" xfId="3316" xr:uid="{00000000-0005-0000-0000-0000B9040000}"/>
    <cellStyle name="40% - Accent2 3 2 3 2 2" xfId="7539" xr:uid="{00000000-0005-0000-0000-0000BA040000}"/>
    <cellStyle name="40% - Accent2 3 2 3 2 2 2" xfId="15981" xr:uid="{53CF62AF-9C51-41BD-8C81-309CFA2D1BA9}"/>
    <cellStyle name="40% - Accent2 3 2 3 2 3" xfId="11763" xr:uid="{A8996307-E7C6-4939-848E-E07BDF138584}"/>
    <cellStyle name="40% - Accent2 3 2 3 3" xfId="5394" xr:uid="{00000000-0005-0000-0000-0000BB040000}"/>
    <cellStyle name="40% - Accent2 3 2 3 3 2" xfId="13836" xr:uid="{47BA5C93-8B83-4609-BA58-4B1FFAB065C4}"/>
    <cellStyle name="40% - Accent2 3 2 3 4" xfId="9618" xr:uid="{CB68095C-19DB-457D-8FB0-938D97FCBF32}"/>
    <cellStyle name="40% - Accent2 3 2 4" xfId="1499" xr:uid="{00000000-0005-0000-0000-0000BC040000}"/>
    <cellStyle name="40% - Accent2 3 2 4 2" xfId="3729" xr:uid="{00000000-0005-0000-0000-0000BD040000}"/>
    <cellStyle name="40% - Accent2 3 2 4 2 2" xfId="7952" xr:uid="{00000000-0005-0000-0000-0000BE040000}"/>
    <cellStyle name="40% - Accent2 3 2 4 2 2 2" xfId="16394" xr:uid="{5917ECDA-4451-4FB1-B575-1E98E9220F5B}"/>
    <cellStyle name="40% - Accent2 3 2 4 2 3" xfId="12176" xr:uid="{BD387266-AE8D-466B-AE66-9F9B6B2F3A63}"/>
    <cellStyle name="40% - Accent2 3 2 4 3" xfId="5807" xr:uid="{00000000-0005-0000-0000-0000BF040000}"/>
    <cellStyle name="40% - Accent2 3 2 4 3 2" xfId="14249" xr:uid="{D6AE080E-6076-4A0C-B914-37E432547A20}"/>
    <cellStyle name="40% - Accent2 3 2 4 4" xfId="10031" xr:uid="{70F8D9F2-6DAC-4A41-969F-00A4C50A759E}"/>
    <cellStyle name="40% - Accent2 3 2 5" xfId="1913" xr:uid="{00000000-0005-0000-0000-0000C0040000}"/>
    <cellStyle name="40% - Accent2 3 2 5 2" xfId="4142" xr:uid="{00000000-0005-0000-0000-0000C1040000}"/>
    <cellStyle name="40% - Accent2 3 2 5 2 2" xfId="8365" xr:uid="{00000000-0005-0000-0000-0000C2040000}"/>
    <cellStyle name="40% - Accent2 3 2 5 2 2 2" xfId="16807" xr:uid="{AEDE3768-6226-4C43-921E-2E0D95A6E119}"/>
    <cellStyle name="40% - Accent2 3 2 5 2 3" xfId="12589" xr:uid="{9F3877CB-4AAA-4705-A79D-85417A2A1F44}"/>
    <cellStyle name="40% - Accent2 3 2 5 3" xfId="6220" xr:uid="{00000000-0005-0000-0000-0000C3040000}"/>
    <cellStyle name="40% - Accent2 3 2 5 3 2" xfId="14662" xr:uid="{3477AAA9-5C25-4495-9E6C-F2E6F8167110}"/>
    <cellStyle name="40% - Accent2 3 2 5 4" xfId="10444" xr:uid="{F3A1ECCB-5ED6-49CC-82D7-26CEEDF73006}"/>
    <cellStyle name="40% - Accent2 3 2 6" xfId="2326" xr:uid="{00000000-0005-0000-0000-0000C4040000}"/>
    <cellStyle name="40% - Accent2 3 2 6 2" xfId="6633" xr:uid="{00000000-0005-0000-0000-0000C5040000}"/>
    <cellStyle name="40% - Accent2 3 2 6 2 2" xfId="15075" xr:uid="{A93220D3-5C06-4C4E-8FF7-AA6AE1BF7244}"/>
    <cellStyle name="40% - Accent2 3 2 6 3" xfId="10857" xr:uid="{03E04638-6776-4D80-974C-E68C6432E4B2}"/>
    <cellStyle name="40% - Accent2 3 2 7" xfId="4567" xr:uid="{00000000-0005-0000-0000-0000C6040000}"/>
    <cellStyle name="40% - Accent2 3 2 7 2" xfId="13009" xr:uid="{E4DE1B6B-96DF-4485-B4CE-2C3E9973B468}"/>
    <cellStyle name="40% - Accent2 3 2 8" xfId="8791" xr:uid="{07C280D0-2A60-43FD-AD41-BDE17BF008E2}"/>
    <cellStyle name="40% - Accent2 3 3" xfId="631" xr:uid="{00000000-0005-0000-0000-0000C7040000}"/>
    <cellStyle name="40% - Accent2 3 3 2" xfId="2902" xr:uid="{00000000-0005-0000-0000-0000C8040000}"/>
    <cellStyle name="40% - Accent2 3 3 2 2" xfId="7125" xr:uid="{00000000-0005-0000-0000-0000C9040000}"/>
    <cellStyle name="40% - Accent2 3 3 2 2 2" xfId="15567" xr:uid="{98B79B3E-BF82-4D71-8AE4-01ACF4E2B3F6}"/>
    <cellStyle name="40% - Accent2 3 3 2 3" xfId="11349" xr:uid="{0B3A12D3-B6C9-4962-A463-EF58A54957FB}"/>
    <cellStyle name="40% - Accent2 3 3 3" xfId="4980" xr:uid="{00000000-0005-0000-0000-0000CA040000}"/>
    <cellStyle name="40% - Accent2 3 3 3 2" xfId="13422" xr:uid="{25E37DEC-BDD3-431F-A7B3-BEAD753C47B3}"/>
    <cellStyle name="40% - Accent2 3 3 4" xfId="9204" xr:uid="{34E2ECB4-C459-4050-BF4F-B7206D3D26A3}"/>
    <cellStyle name="40% - Accent2 3 4" xfId="1084" xr:uid="{00000000-0005-0000-0000-0000CB040000}"/>
    <cellStyle name="40% - Accent2 3 4 2" xfId="3315" xr:uid="{00000000-0005-0000-0000-0000CC040000}"/>
    <cellStyle name="40% - Accent2 3 4 2 2" xfId="7538" xr:uid="{00000000-0005-0000-0000-0000CD040000}"/>
    <cellStyle name="40% - Accent2 3 4 2 2 2" xfId="15980" xr:uid="{B1459DD1-460D-4BC2-AE08-6BA227190DB2}"/>
    <cellStyle name="40% - Accent2 3 4 2 3" xfId="11762" xr:uid="{0C1621BB-1569-4E79-9A1F-14013D8B77D2}"/>
    <cellStyle name="40% - Accent2 3 4 3" xfId="5393" xr:uid="{00000000-0005-0000-0000-0000CE040000}"/>
    <cellStyle name="40% - Accent2 3 4 3 2" xfId="13835" xr:uid="{C7677D8E-1C44-49FE-8482-11AAB44388CF}"/>
    <cellStyle name="40% - Accent2 3 4 4" xfId="9617" xr:uid="{1CB762AC-58DE-4746-A8E1-0722826050EF}"/>
    <cellStyle name="40% - Accent2 3 5" xfId="1498" xr:uid="{00000000-0005-0000-0000-0000CF040000}"/>
    <cellStyle name="40% - Accent2 3 5 2" xfId="3728" xr:uid="{00000000-0005-0000-0000-0000D0040000}"/>
    <cellStyle name="40% - Accent2 3 5 2 2" xfId="7951" xr:uid="{00000000-0005-0000-0000-0000D1040000}"/>
    <cellStyle name="40% - Accent2 3 5 2 2 2" xfId="16393" xr:uid="{D183CA29-DB60-401D-A59E-E99160F9B9DF}"/>
    <cellStyle name="40% - Accent2 3 5 2 3" xfId="12175" xr:uid="{691FD595-03B0-4DE8-BC35-C817C4DBA95A}"/>
    <cellStyle name="40% - Accent2 3 5 3" xfId="5806" xr:uid="{00000000-0005-0000-0000-0000D2040000}"/>
    <cellStyle name="40% - Accent2 3 5 3 2" xfId="14248" xr:uid="{1BD674DE-3F7E-4B8B-BD26-59FF8AA522AC}"/>
    <cellStyle name="40% - Accent2 3 5 4" xfId="10030" xr:uid="{140C59CC-E3E1-4A57-8EC2-D6DB2164BA14}"/>
    <cellStyle name="40% - Accent2 3 6" xfId="1912" xr:uid="{00000000-0005-0000-0000-0000D3040000}"/>
    <cellStyle name="40% - Accent2 3 6 2" xfId="4141" xr:uid="{00000000-0005-0000-0000-0000D4040000}"/>
    <cellStyle name="40% - Accent2 3 6 2 2" xfId="8364" xr:uid="{00000000-0005-0000-0000-0000D5040000}"/>
    <cellStyle name="40% - Accent2 3 6 2 2 2" xfId="16806" xr:uid="{A8D57194-E163-43D5-82AD-AD867BD07E96}"/>
    <cellStyle name="40% - Accent2 3 6 2 3" xfId="12588" xr:uid="{503767C1-2C51-4643-96A9-B5021AAD32DC}"/>
    <cellStyle name="40% - Accent2 3 6 3" xfId="6219" xr:uid="{00000000-0005-0000-0000-0000D6040000}"/>
    <cellStyle name="40% - Accent2 3 6 3 2" xfId="14661" xr:uid="{A472F2F0-C8E6-4DBF-81DC-588E3E88448E}"/>
    <cellStyle name="40% - Accent2 3 6 4" xfId="10443" xr:uid="{06C888C0-800B-4953-9A68-F9CDEC9F0343}"/>
    <cellStyle name="40% - Accent2 3 7" xfId="2325" xr:uid="{00000000-0005-0000-0000-0000D7040000}"/>
    <cellStyle name="40% - Accent2 3 7 2" xfId="6632" xr:uid="{00000000-0005-0000-0000-0000D8040000}"/>
    <cellStyle name="40% - Accent2 3 7 2 2" xfId="15074" xr:uid="{6C9C6B8F-4711-46CA-A351-86B8A09DA5AB}"/>
    <cellStyle name="40% - Accent2 3 7 3" xfId="10856" xr:uid="{A806E79A-2142-4B46-B002-44F901B3BC7D}"/>
    <cellStyle name="40% - Accent2 3 8" xfId="4566" xr:uid="{00000000-0005-0000-0000-0000D9040000}"/>
    <cellStyle name="40% - Accent2 3 8 2" xfId="13008" xr:uid="{30BD65CD-BC47-4716-B6AF-4B65A3AAD3C1}"/>
    <cellStyle name="40% - Accent2 3 9" xfId="8790" xr:uid="{D0FBE59E-B790-4713-87B0-B57E6ABA42A8}"/>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2 2 2" xfId="15569" xr:uid="{D070F5E0-4A43-4531-A98A-0012B23A60FE}"/>
    <cellStyle name="40% - Accent2 4 2 2 3" xfId="11351" xr:uid="{954472DF-33EF-4BB4-848B-79F9B9035DDB}"/>
    <cellStyle name="40% - Accent2 4 2 3" xfId="4982" xr:uid="{00000000-0005-0000-0000-0000DE040000}"/>
    <cellStyle name="40% - Accent2 4 2 3 2" xfId="13424" xr:uid="{3AC850F3-1AFF-452F-B5B4-CFB889EDC3A1}"/>
    <cellStyle name="40% - Accent2 4 2 4" xfId="9206" xr:uid="{92848BF9-EF5E-4E38-AFF6-156F75561AD7}"/>
    <cellStyle name="40% - Accent2 4 3" xfId="1086" xr:uid="{00000000-0005-0000-0000-0000DF040000}"/>
    <cellStyle name="40% - Accent2 4 3 2" xfId="3317" xr:uid="{00000000-0005-0000-0000-0000E0040000}"/>
    <cellStyle name="40% - Accent2 4 3 2 2" xfId="7540" xr:uid="{00000000-0005-0000-0000-0000E1040000}"/>
    <cellStyle name="40% - Accent2 4 3 2 2 2" xfId="15982" xr:uid="{613E9896-B1B4-4B5D-9283-EB56F7516437}"/>
    <cellStyle name="40% - Accent2 4 3 2 3" xfId="11764" xr:uid="{F9027B54-653D-40CB-9FCD-355CA48E7B16}"/>
    <cellStyle name="40% - Accent2 4 3 3" xfId="5395" xr:uid="{00000000-0005-0000-0000-0000E2040000}"/>
    <cellStyle name="40% - Accent2 4 3 3 2" xfId="13837" xr:uid="{DABF2616-40DF-4973-8EEE-3575E8506DC4}"/>
    <cellStyle name="40% - Accent2 4 3 4" xfId="9619" xr:uid="{00B7F7D0-0133-472C-B7CB-413412D2C6D5}"/>
    <cellStyle name="40% - Accent2 4 4" xfId="1500" xr:uid="{00000000-0005-0000-0000-0000E3040000}"/>
    <cellStyle name="40% - Accent2 4 4 2" xfId="3730" xr:uid="{00000000-0005-0000-0000-0000E4040000}"/>
    <cellStyle name="40% - Accent2 4 4 2 2" xfId="7953" xr:uid="{00000000-0005-0000-0000-0000E5040000}"/>
    <cellStyle name="40% - Accent2 4 4 2 2 2" xfId="16395" xr:uid="{E35F6F7D-30B3-44BD-B45D-94CA7E695F30}"/>
    <cellStyle name="40% - Accent2 4 4 2 3" xfId="12177" xr:uid="{B9E057F0-BB1C-4318-A4AB-F8A67A99D6EB}"/>
    <cellStyle name="40% - Accent2 4 4 3" xfId="5808" xr:uid="{00000000-0005-0000-0000-0000E6040000}"/>
    <cellStyle name="40% - Accent2 4 4 3 2" xfId="14250" xr:uid="{A3F949E8-E5A4-47DB-9458-0441E152A011}"/>
    <cellStyle name="40% - Accent2 4 4 4" xfId="10032" xr:uid="{391EB1E4-A4FF-4ED6-8CEC-5AC44C17F7B4}"/>
    <cellStyle name="40% - Accent2 4 5" xfId="1914" xr:uid="{00000000-0005-0000-0000-0000E7040000}"/>
    <cellStyle name="40% - Accent2 4 5 2" xfId="4143" xr:uid="{00000000-0005-0000-0000-0000E8040000}"/>
    <cellStyle name="40% - Accent2 4 5 2 2" xfId="8366" xr:uid="{00000000-0005-0000-0000-0000E9040000}"/>
    <cellStyle name="40% - Accent2 4 5 2 2 2" xfId="16808" xr:uid="{57CA3347-97C4-4B7C-A475-B4196E817747}"/>
    <cellStyle name="40% - Accent2 4 5 2 3" xfId="12590" xr:uid="{A1C763B2-8848-40CB-8137-3E5971EC0DA4}"/>
    <cellStyle name="40% - Accent2 4 5 3" xfId="6221" xr:uid="{00000000-0005-0000-0000-0000EA040000}"/>
    <cellStyle name="40% - Accent2 4 5 3 2" xfId="14663" xr:uid="{8E1CDFE8-E0FC-4762-99B1-39B5514111AF}"/>
    <cellStyle name="40% - Accent2 4 5 4" xfId="10445" xr:uid="{8497BF43-1281-4C78-870A-14F4ACD2EA27}"/>
    <cellStyle name="40% - Accent2 4 6" xfId="2327" xr:uid="{00000000-0005-0000-0000-0000EB040000}"/>
    <cellStyle name="40% - Accent2 4 6 2" xfId="6634" xr:uid="{00000000-0005-0000-0000-0000EC040000}"/>
    <cellStyle name="40% - Accent2 4 6 2 2" xfId="15076" xr:uid="{BCA3747E-056E-4013-A5B0-DA87498E5E2D}"/>
    <cellStyle name="40% - Accent2 4 6 3" xfId="10858" xr:uid="{B071E393-60E0-4E56-9EB7-AB45DEE66B7C}"/>
    <cellStyle name="40% - Accent2 4 7" xfId="4568" xr:uid="{00000000-0005-0000-0000-0000ED040000}"/>
    <cellStyle name="40% - Accent2 4 7 2" xfId="13010" xr:uid="{83FD0F79-6516-455F-A520-FA94C79123AB}"/>
    <cellStyle name="40% - Accent2 4 8" xfId="8792" xr:uid="{DAFF1A28-E80A-4923-A42B-85B5F2B0261E}"/>
    <cellStyle name="40% - Accent2 5" xfId="626" xr:uid="{00000000-0005-0000-0000-0000EE040000}"/>
    <cellStyle name="40% - Accent2 5 2" xfId="2897" xr:uid="{00000000-0005-0000-0000-0000EF040000}"/>
    <cellStyle name="40% - Accent2 5 2 2" xfId="7120" xr:uid="{00000000-0005-0000-0000-0000F0040000}"/>
    <cellStyle name="40% - Accent2 5 2 2 2" xfId="15562" xr:uid="{E8A44BFB-64E2-4B64-A436-5986E4D1C8C2}"/>
    <cellStyle name="40% - Accent2 5 2 3" xfId="11344" xr:uid="{2411D24A-AF7C-43BD-955A-A48F7F06C31E}"/>
    <cellStyle name="40% - Accent2 5 3" xfId="4975" xr:uid="{00000000-0005-0000-0000-0000F1040000}"/>
    <cellStyle name="40% - Accent2 5 3 2" xfId="13417" xr:uid="{0D1B2A73-2844-4E66-BAB9-912CFEF80B04}"/>
    <cellStyle name="40% - Accent2 5 4" xfId="9199" xr:uid="{A4E6A21F-D238-4920-B8D9-EB598806A0AE}"/>
    <cellStyle name="40% - Accent2 6" xfId="1079" xr:uid="{00000000-0005-0000-0000-0000F2040000}"/>
    <cellStyle name="40% - Accent2 6 2" xfId="3310" xr:uid="{00000000-0005-0000-0000-0000F3040000}"/>
    <cellStyle name="40% - Accent2 6 2 2" xfId="7533" xr:uid="{00000000-0005-0000-0000-0000F4040000}"/>
    <cellStyle name="40% - Accent2 6 2 2 2" xfId="15975" xr:uid="{5AF038CF-7BDB-4C1B-AF70-F47C2C6CF1A6}"/>
    <cellStyle name="40% - Accent2 6 2 3" xfId="11757" xr:uid="{EFD299EE-5DCC-4416-951F-983A1544B346}"/>
    <cellStyle name="40% - Accent2 6 3" xfId="5388" xr:uid="{00000000-0005-0000-0000-0000F5040000}"/>
    <cellStyle name="40% - Accent2 6 3 2" xfId="13830" xr:uid="{63E069EC-2038-43B3-9C5B-AF26F30975E1}"/>
    <cellStyle name="40% - Accent2 6 4" xfId="9612" xr:uid="{D1493ED3-660C-4091-89A0-44E455AE8B52}"/>
    <cellStyle name="40% - Accent2 7" xfId="1493" xr:uid="{00000000-0005-0000-0000-0000F6040000}"/>
    <cellStyle name="40% - Accent2 7 2" xfId="3723" xr:uid="{00000000-0005-0000-0000-0000F7040000}"/>
    <cellStyle name="40% - Accent2 7 2 2" xfId="7946" xr:uid="{00000000-0005-0000-0000-0000F8040000}"/>
    <cellStyle name="40% - Accent2 7 2 2 2" xfId="16388" xr:uid="{F353803E-2914-4D34-9C67-C1488F1D046E}"/>
    <cellStyle name="40% - Accent2 7 2 3" xfId="12170" xr:uid="{58A626B8-B80E-4C0A-A897-6D8A341BF9DD}"/>
    <cellStyle name="40% - Accent2 7 3" xfId="5801" xr:uid="{00000000-0005-0000-0000-0000F9040000}"/>
    <cellStyle name="40% - Accent2 7 3 2" xfId="14243" xr:uid="{1358B503-ACBB-4061-B52E-E741D5E8F21D}"/>
    <cellStyle name="40% - Accent2 7 4" xfId="10025" xr:uid="{5AE35E3C-12A6-4521-81C9-FB9519E29CD8}"/>
    <cellStyle name="40% - Accent2 8" xfId="1907" xr:uid="{00000000-0005-0000-0000-0000FA040000}"/>
    <cellStyle name="40% - Accent2 8 2" xfId="4136" xr:uid="{00000000-0005-0000-0000-0000FB040000}"/>
    <cellStyle name="40% - Accent2 8 2 2" xfId="8359" xr:uid="{00000000-0005-0000-0000-0000FC040000}"/>
    <cellStyle name="40% - Accent2 8 2 2 2" xfId="16801" xr:uid="{0D91260B-69F7-4B46-9E9E-E9FA2732A5B8}"/>
    <cellStyle name="40% - Accent2 8 2 3" xfId="12583" xr:uid="{A8C2FDEC-455D-49BB-99AD-2D958AC55CE9}"/>
    <cellStyle name="40% - Accent2 8 3" xfId="6214" xr:uid="{00000000-0005-0000-0000-0000FD040000}"/>
    <cellStyle name="40% - Accent2 8 3 2" xfId="14656" xr:uid="{26B767B9-B1AE-4C87-B091-542828871B6C}"/>
    <cellStyle name="40% - Accent2 8 4" xfId="10438" xr:uid="{3C9C7857-D4A0-405C-A8D8-CC96D8B316DF}"/>
    <cellStyle name="40% - Accent2 9" xfId="2320" xr:uid="{00000000-0005-0000-0000-0000FE040000}"/>
    <cellStyle name="40% - Accent2 9 2" xfId="6627" xr:uid="{00000000-0005-0000-0000-0000FF040000}"/>
    <cellStyle name="40% - Accent2 9 2 2" xfId="15069" xr:uid="{86BD0588-7509-4294-ACB0-323E28123B2C}"/>
    <cellStyle name="40% - Accent2 9 3" xfId="10851" xr:uid="{E40C47ED-364E-4941-90A8-68F92D9E5760}"/>
    <cellStyle name="40% - Accent3" xfId="65" builtinId="39" customBuiltin="1"/>
    <cellStyle name="40% - Accent3 10" xfId="4569" xr:uid="{00000000-0005-0000-0000-000001050000}"/>
    <cellStyle name="40% - Accent3 10 2" xfId="13011" xr:uid="{2DAFCAE3-3F59-4E14-9787-2B1E267A538B}"/>
    <cellStyle name="40% - Accent3 11" xfId="8793" xr:uid="{46D1640E-DC2C-4FB1-AE77-208EA398A067}"/>
    <cellStyle name="40% - Accent3 2" xfId="66" xr:uid="{00000000-0005-0000-0000-000002050000}"/>
    <cellStyle name="40% - Accent3 2 10" xfId="8794" xr:uid="{28DABD57-AAD2-4E63-A026-D12329190CDB}"/>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2 2 2" xfId="15573" xr:uid="{F3EFB2D0-5FF9-40B7-8F56-D6755A6E5AE4}"/>
    <cellStyle name="40% - Accent3 2 2 2 2 2 3" xfId="11355" xr:uid="{F8DABB76-CEA8-425C-B5EF-4B91D2280956}"/>
    <cellStyle name="40% - Accent3 2 2 2 2 3" xfId="4986" xr:uid="{00000000-0005-0000-0000-000008050000}"/>
    <cellStyle name="40% - Accent3 2 2 2 2 3 2" xfId="13428" xr:uid="{B31E6B6A-A64D-4469-AF59-A53AA81CF1CF}"/>
    <cellStyle name="40% - Accent3 2 2 2 2 4" xfId="9210" xr:uid="{13ECCD10-4562-4EF1-9585-17E20204B4B1}"/>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2 2 2" xfId="15986" xr:uid="{2A569248-AFB9-4812-AB98-9384107410F6}"/>
    <cellStyle name="40% - Accent3 2 2 2 3 2 3" xfId="11768" xr:uid="{607CBED8-C180-4157-AD5B-391DFC1E5FF0}"/>
    <cellStyle name="40% - Accent3 2 2 2 3 3" xfId="5399" xr:uid="{00000000-0005-0000-0000-00000C050000}"/>
    <cellStyle name="40% - Accent3 2 2 2 3 3 2" xfId="13841" xr:uid="{BE4878E6-678E-4171-9471-56CF196A220E}"/>
    <cellStyle name="40% - Accent3 2 2 2 3 4" xfId="9623" xr:uid="{0E93E70E-1B80-4CC9-A03D-F7298140D253}"/>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2 2 2" xfId="16399" xr:uid="{E508C228-FF1F-442A-A297-786BBFE8BB87}"/>
    <cellStyle name="40% - Accent3 2 2 2 4 2 3" xfId="12181" xr:uid="{C4747F5D-F538-4165-ADD0-07F33CFBC88F}"/>
    <cellStyle name="40% - Accent3 2 2 2 4 3" xfId="5812" xr:uid="{00000000-0005-0000-0000-000010050000}"/>
    <cellStyle name="40% - Accent3 2 2 2 4 3 2" xfId="14254" xr:uid="{55D979CF-2F56-495D-BCCC-421A7139FB8A}"/>
    <cellStyle name="40% - Accent3 2 2 2 4 4" xfId="10036" xr:uid="{01B62E44-DF50-493E-AB05-CA988FC4D7A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2 2 2" xfId="16812" xr:uid="{03632966-EEAC-49FC-97E6-E2344A883CC4}"/>
    <cellStyle name="40% - Accent3 2 2 2 5 2 3" xfId="12594" xr:uid="{0396506B-987C-4AB2-8D1C-6678493AF12F}"/>
    <cellStyle name="40% - Accent3 2 2 2 5 3" xfId="6225" xr:uid="{00000000-0005-0000-0000-000014050000}"/>
    <cellStyle name="40% - Accent3 2 2 2 5 3 2" xfId="14667" xr:uid="{450163D5-DCF2-4D1D-BC25-62CAD2421B57}"/>
    <cellStyle name="40% - Accent3 2 2 2 5 4" xfId="10449" xr:uid="{D16F2991-3D83-4208-873A-0062C9EB2FDE}"/>
    <cellStyle name="40% - Accent3 2 2 2 6" xfId="2331" xr:uid="{00000000-0005-0000-0000-000015050000}"/>
    <cellStyle name="40% - Accent3 2 2 2 6 2" xfId="6638" xr:uid="{00000000-0005-0000-0000-000016050000}"/>
    <cellStyle name="40% - Accent3 2 2 2 6 2 2" xfId="15080" xr:uid="{4DE5C854-C602-44E9-B136-9D48554C8E4E}"/>
    <cellStyle name="40% - Accent3 2 2 2 6 3" xfId="10862" xr:uid="{171EEEB8-BD3B-4186-AEB6-74343154A71E}"/>
    <cellStyle name="40% - Accent3 2 2 2 7" xfId="4572" xr:uid="{00000000-0005-0000-0000-000017050000}"/>
    <cellStyle name="40% - Accent3 2 2 2 7 2" xfId="13014" xr:uid="{FA5167B2-ED92-4FE7-B77C-1BCA1B20C232}"/>
    <cellStyle name="40% - Accent3 2 2 2 8" xfId="8796" xr:uid="{3BCF7957-301A-4752-ADF4-C7FB55FC7AFB}"/>
    <cellStyle name="40% - Accent3 2 2 3" xfId="636" xr:uid="{00000000-0005-0000-0000-000018050000}"/>
    <cellStyle name="40% - Accent3 2 2 3 2" xfId="2907" xr:uid="{00000000-0005-0000-0000-000019050000}"/>
    <cellStyle name="40% - Accent3 2 2 3 2 2" xfId="7130" xr:uid="{00000000-0005-0000-0000-00001A050000}"/>
    <cellStyle name="40% - Accent3 2 2 3 2 2 2" xfId="15572" xr:uid="{CC423EEF-97A4-4F7F-86F8-17D4549E6800}"/>
    <cellStyle name="40% - Accent3 2 2 3 2 3" xfId="11354" xr:uid="{89E1A9ED-236D-4D6C-AA05-FBF2E5771251}"/>
    <cellStyle name="40% - Accent3 2 2 3 3" xfId="4985" xr:uid="{00000000-0005-0000-0000-00001B050000}"/>
    <cellStyle name="40% - Accent3 2 2 3 3 2" xfId="13427" xr:uid="{27F9AB13-1C99-44D0-B60A-DA0AB7231F14}"/>
    <cellStyle name="40% - Accent3 2 2 3 4" xfId="9209" xr:uid="{745FF165-8556-43DC-AEB6-9AD83FAB5E70}"/>
    <cellStyle name="40% - Accent3 2 2 4" xfId="1089" xr:uid="{00000000-0005-0000-0000-00001C050000}"/>
    <cellStyle name="40% - Accent3 2 2 4 2" xfId="3320" xr:uid="{00000000-0005-0000-0000-00001D050000}"/>
    <cellStyle name="40% - Accent3 2 2 4 2 2" xfId="7543" xr:uid="{00000000-0005-0000-0000-00001E050000}"/>
    <cellStyle name="40% - Accent3 2 2 4 2 2 2" xfId="15985" xr:uid="{C9E105B4-4541-45D6-8A07-843EADE1F8CF}"/>
    <cellStyle name="40% - Accent3 2 2 4 2 3" xfId="11767" xr:uid="{F3E4D65C-FFF2-4840-BBD5-94E4C8E1249B}"/>
    <cellStyle name="40% - Accent3 2 2 4 3" xfId="5398" xr:uid="{00000000-0005-0000-0000-00001F050000}"/>
    <cellStyle name="40% - Accent3 2 2 4 3 2" xfId="13840" xr:uid="{596C89B2-4A51-4DB4-BA51-6E18D0FC63AB}"/>
    <cellStyle name="40% - Accent3 2 2 4 4" xfId="9622" xr:uid="{2CF7502C-BDC0-4215-BDE4-01DEEDDA261A}"/>
    <cellStyle name="40% - Accent3 2 2 5" xfId="1503" xr:uid="{00000000-0005-0000-0000-000020050000}"/>
    <cellStyle name="40% - Accent3 2 2 5 2" xfId="3733" xr:uid="{00000000-0005-0000-0000-000021050000}"/>
    <cellStyle name="40% - Accent3 2 2 5 2 2" xfId="7956" xr:uid="{00000000-0005-0000-0000-000022050000}"/>
    <cellStyle name="40% - Accent3 2 2 5 2 2 2" xfId="16398" xr:uid="{2B7770B2-E3A9-437E-826D-1641355FE414}"/>
    <cellStyle name="40% - Accent3 2 2 5 2 3" xfId="12180" xr:uid="{7B076849-1C87-4CCE-AE79-F136FB707060}"/>
    <cellStyle name="40% - Accent3 2 2 5 3" xfId="5811" xr:uid="{00000000-0005-0000-0000-000023050000}"/>
    <cellStyle name="40% - Accent3 2 2 5 3 2" xfId="14253" xr:uid="{1BB73B98-A963-4991-8F12-C074276E7EC2}"/>
    <cellStyle name="40% - Accent3 2 2 5 4" xfId="10035" xr:uid="{D935C974-AF35-45EC-8650-195E12FE59F8}"/>
    <cellStyle name="40% - Accent3 2 2 6" xfId="1917" xr:uid="{00000000-0005-0000-0000-000024050000}"/>
    <cellStyle name="40% - Accent3 2 2 6 2" xfId="4146" xr:uid="{00000000-0005-0000-0000-000025050000}"/>
    <cellStyle name="40% - Accent3 2 2 6 2 2" xfId="8369" xr:uid="{00000000-0005-0000-0000-000026050000}"/>
    <cellStyle name="40% - Accent3 2 2 6 2 2 2" xfId="16811" xr:uid="{0DF1FD54-EF6C-439A-A087-0E5965CCA2CB}"/>
    <cellStyle name="40% - Accent3 2 2 6 2 3" xfId="12593" xr:uid="{CAED174E-3211-4616-8EE1-7D3E90D90098}"/>
    <cellStyle name="40% - Accent3 2 2 6 3" xfId="6224" xr:uid="{00000000-0005-0000-0000-000027050000}"/>
    <cellStyle name="40% - Accent3 2 2 6 3 2" xfId="14666" xr:uid="{2B742D7B-CE16-40DE-BB85-B0FEDA567D76}"/>
    <cellStyle name="40% - Accent3 2 2 6 4" xfId="10448" xr:uid="{4E638473-15C4-45D7-BF92-9BB2AA449F3F}"/>
    <cellStyle name="40% - Accent3 2 2 7" xfId="2330" xr:uid="{00000000-0005-0000-0000-000028050000}"/>
    <cellStyle name="40% - Accent3 2 2 7 2" xfId="6637" xr:uid="{00000000-0005-0000-0000-000029050000}"/>
    <cellStyle name="40% - Accent3 2 2 7 2 2" xfId="15079" xr:uid="{B846F0B8-C787-4996-BAA3-BD356FF2AC77}"/>
    <cellStyle name="40% - Accent3 2 2 7 3" xfId="10861" xr:uid="{8A98A546-53A0-4391-8FC2-455FF302E36D}"/>
    <cellStyle name="40% - Accent3 2 2 8" xfId="4571" xr:uid="{00000000-0005-0000-0000-00002A050000}"/>
    <cellStyle name="40% - Accent3 2 2 8 2" xfId="13013" xr:uid="{CD74F7A9-15FD-482F-BD61-F9B2A76B4D5B}"/>
    <cellStyle name="40% - Accent3 2 2 9" xfId="8795" xr:uid="{0B747089-B554-43EB-92EF-B27602B81E5F}"/>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2 2 2" xfId="15574" xr:uid="{BC9228DD-8154-4362-AC1F-F7AF6D52BC9D}"/>
    <cellStyle name="40% - Accent3 2 3 2 2 3" xfId="11356" xr:uid="{538B1A74-B7CD-40D1-9035-B3278764C58A}"/>
    <cellStyle name="40% - Accent3 2 3 2 3" xfId="4987" xr:uid="{00000000-0005-0000-0000-00002F050000}"/>
    <cellStyle name="40% - Accent3 2 3 2 3 2" xfId="13429" xr:uid="{ADA5934B-6A9C-4B91-A33D-84911D38B1FC}"/>
    <cellStyle name="40% - Accent3 2 3 2 4" xfId="9211" xr:uid="{36EDABEE-BA10-4918-A0B1-53BBB95943D3}"/>
    <cellStyle name="40% - Accent3 2 3 3" xfId="1091" xr:uid="{00000000-0005-0000-0000-000030050000}"/>
    <cellStyle name="40% - Accent3 2 3 3 2" xfId="3322" xr:uid="{00000000-0005-0000-0000-000031050000}"/>
    <cellStyle name="40% - Accent3 2 3 3 2 2" xfId="7545" xr:uid="{00000000-0005-0000-0000-000032050000}"/>
    <cellStyle name="40% - Accent3 2 3 3 2 2 2" xfId="15987" xr:uid="{5C2DCAE2-8C62-471C-9072-D3FBF32D8A3B}"/>
    <cellStyle name="40% - Accent3 2 3 3 2 3" xfId="11769" xr:uid="{DC336302-E43B-4157-85F0-349AE76C0E44}"/>
    <cellStyle name="40% - Accent3 2 3 3 3" xfId="5400" xr:uid="{00000000-0005-0000-0000-000033050000}"/>
    <cellStyle name="40% - Accent3 2 3 3 3 2" xfId="13842" xr:uid="{24F9F7E2-8E42-41D6-9290-E0C316A2D791}"/>
    <cellStyle name="40% - Accent3 2 3 3 4" xfId="9624" xr:uid="{8FE0C34F-98D6-429A-AFEE-A6EC54C091B4}"/>
    <cellStyle name="40% - Accent3 2 3 4" xfId="1505" xr:uid="{00000000-0005-0000-0000-000034050000}"/>
    <cellStyle name="40% - Accent3 2 3 4 2" xfId="3735" xr:uid="{00000000-0005-0000-0000-000035050000}"/>
    <cellStyle name="40% - Accent3 2 3 4 2 2" xfId="7958" xr:uid="{00000000-0005-0000-0000-000036050000}"/>
    <cellStyle name="40% - Accent3 2 3 4 2 2 2" xfId="16400" xr:uid="{C073A94E-AD8C-461F-AC8C-2097B203DC0E}"/>
    <cellStyle name="40% - Accent3 2 3 4 2 3" xfId="12182" xr:uid="{816CA450-CB3F-4A48-8A45-37407DB53997}"/>
    <cellStyle name="40% - Accent3 2 3 4 3" xfId="5813" xr:uid="{00000000-0005-0000-0000-000037050000}"/>
    <cellStyle name="40% - Accent3 2 3 4 3 2" xfId="14255" xr:uid="{0CBEC847-0EA9-495F-BE78-3163D8EE821B}"/>
    <cellStyle name="40% - Accent3 2 3 4 4" xfId="10037" xr:uid="{EE6E0081-B8DA-4E2E-936B-9E8C9ACEC802}"/>
    <cellStyle name="40% - Accent3 2 3 5" xfId="1919" xr:uid="{00000000-0005-0000-0000-000038050000}"/>
    <cellStyle name="40% - Accent3 2 3 5 2" xfId="4148" xr:uid="{00000000-0005-0000-0000-000039050000}"/>
    <cellStyle name="40% - Accent3 2 3 5 2 2" xfId="8371" xr:uid="{00000000-0005-0000-0000-00003A050000}"/>
    <cellStyle name="40% - Accent3 2 3 5 2 2 2" xfId="16813" xr:uid="{1B33BD55-C7F5-44C3-9A37-C2902AE6975E}"/>
    <cellStyle name="40% - Accent3 2 3 5 2 3" xfId="12595" xr:uid="{83A5EBD5-EAE9-41E8-9752-395593339CED}"/>
    <cellStyle name="40% - Accent3 2 3 5 3" xfId="6226" xr:uid="{00000000-0005-0000-0000-00003B050000}"/>
    <cellStyle name="40% - Accent3 2 3 5 3 2" xfId="14668" xr:uid="{7ADF6D37-0148-4B42-99B8-FB5CD0D88A14}"/>
    <cellStyle name="40% - Accent3 2 3 5 4" xfId="10450" xr:uid="{93B427CC-2787-4D21-BC8E-616356C571A1}"/>
    <cellStyle name="40% - Accent3 2 3 6" xfId="2332" xr:uid="{00000000-0005-0000-0000-00003C050000}"/>
    <cellStyle name="40% - Accent3 2 3 6 2" xfId="6639" xr:uid="{00000000-0005-0000-0000-00003D050000}"/>
    <cellStyle name="40% - Accent3 2 3 6 2 2" xfId="15081" xr:uid="{908569DD-1F7E-4DF5-9311-F86E946568D1}"/>
    <cellStyle name="40% - Accent3 2 3 6 3" xfId="10863" xr:uid="{3FEFC5C8-9E2F-4E68-9108-C509E0857ABE}"/>
    <cellStyle name="40% - Accent3 2 3 7" xfId="4573" xr:uid="{00000000-0005-0000-0000-00003E050000}"/>
    <cellStyle name="40% - Accent3 2 3 7 2" xfId="13015" xr:uid="{5561F0D9-D132-4E09-8D51-10E10427907A}"/>
    <cellStyle name="40% - Accent3 2 3 8" xfId="8797" xr:uid="{13AEB3B2-6857-4CAD-857D-E248758D6ABA}"/>
    <cellStyle name="40% - Accent3 2 4" xfId="635" xr:uid="{00000000-0005-0000-0000-00003F050000}"/>
    <cellStyle name="40% - Accent3 2 4 2" xfId="2906" xr:uid="{00000000-0005-0000-0000-000040050000}"/>
    <cellStyle name="40% - Accent3 2 4 2 2" xfId="7129" xr:uid="{00000000-0005-0000-0000-000041050000}"/>
    <cellStyle name="40% - Accent3 2 4 2 2 2" xfId="15571" xr:uid="{44A69EE8-EEAC-45A1-8481-FE79971B9B70}"/>
    <cellStyle name="40% - Accent3 2 4 2 3" xfId="11353" xr:uid="{43FE9173-5F4C-4B57-8456-D90880F3E009}"/>
    <cellStyle name="40% - Accent3 2 4 3" xfId="4984" xr:uid="{00000000-0005-0000-0000-000042050000}"/>
    <cellStyle name="40% - Accent3 2 4 3 2" xfId="13426" xr:uid="{F408FB83-733F-4570-828D-B344C9708554}"/>
    <cellStyle name="40% - Accent3 2 4 4" xfId="9208" xr:uid="{72A66F1D-76E4-4FB6-B0B5-0B27D6C863A5}"/>
    <cellStyle name="40% - Accent3 2 5" xfId="1088" xr:uid="{00000000-0005-0000-0000-000043050000}"/>
    <cellStyle name="40% - Accent3 2 5 2" xfId="3319" xr:uid="{00000000-0005-0000-0000-000044050000}"/>
    <cellStyle name="40% - Accent3 2 5 2 2" xfId="7542" xr:uid="{00000000-0005-0000-0000-000045050000}"/>
    <cellStyle name="40% - Accent3 2 5 2 2 2" xfId="15984" xr:uid="{16067A66-D336-4176-AAC7-C4C9E94480F6}"/>
    <cellStyle name="40% - Accent3 2 5 2 3" xfId="11766" xr:uid="{3CB5D3A7-9BAC-4C78-9D36-662CBD3F948C}"/>
    <cellStyle name="40% - Accent3 2 5 3" xfId="5397" xr:uid="{00000000-0005-0000-0000-000046050000}"/>
    <cellStyle name="40% - Accent3 2 5 3 2" xfId="13839" xr:uid="{CE00E0A1-F161-4869-8D9A-D7244183CDFB}"/>
    <cellStyle name="40% - Accent3 2 5 4" xfId="9621" xr:uid="{A919103A-12AE-4086-A013-E6CB2D8AFEE0}"/>
    <cellStyle name="40% - Accent3 2 6" xfId="1502" xr:uid="{00000000-0005-0000-0000-000047050000}"/>
    <cellStyle name="40% - Accent3 2 6 2" xfId="3732" xr:uid="{00000000-0005-0000-0000-000048050000}"/>
    <cellStyle name="40% - Accent3 2 6 2 2" xfId="7955" xr:uid="{00000000-0005-0000-0000-000049050000}"/>
    <cellStyle name="40% - Accent3 2 6 2 2 2" xfId="16397" xr:uid="{3BB5CFF0-E39E-43FC-AAF7-0556809E4ECB}"/>
    <cellStyle name="40% - Accent3 2 6 2 3" xfId="12179" xr:uid="{C5A2B3FE-E0F6-48A0-B2D5-6B2BF308CE2B}"/>
    <cellStyle name="40% - Accent3 2 6 3" xfId="5810" xr:uid="{00000000-0005-0000-0000-00004A050000}"/>
    <cellStyle name="40% - Accent3 2 6 3 2" xfId="14252" xr:uid="{18FBA017-AD18-4AB1-BFE3-609828ABA11E}"/>
    <cellStyle name="40% - Accent3 2 6 4" xfId="10034" xr:uid="{4537B534-38EF-4268-89A8-1717AEF8A876}"/>
    <cellStyle name="40% - Accent3 2 7" xfId="1916" xr:uid="{00000000-0005-0000-0000-00004B050000}"/>
    <cellStyle name="40% - Accent3 2 7 2" xfId="4145" xr:uid="{00000000-0005-0000-0000-00004C050000}"/>
    <cellStyle name="40% - Accent3 2 7 2 2" xfId="8368" xr:uid="{00000000-0005-0000-0000-00004D050000}"/>
    <cellStyle name="40% - Accent3 2 7 2 2 2" xfId="16810" xr:uid="{F3E3887B-EAB9-4AE4-AFDE-864BD157B3DE}"/>
    <cellStyle name="40% - Accent3 2 7 2 3" xfId="12592" xr:uid="{6A07ACA9-B5FB-4105-A2BB-905CAD008E16}"/>
    <cellStyle name="40% - Accent3 2 7 3" xfId="6223" xr:uid="{00000000-0005-0000-0000-00004E050000}"/>
    <cellStyle name="40% - Accent3 2 7 3 2" xfId="14665" xr:uid="{D16CF1E8-5A9A-4800-8F62-A56944FCD14E}"/>
    <cellStyle name="40% - Accent3 2 7 4" xfId="10447" xr:uid="{F140F32D-7FAC-472D-888B-1662E3903DB2}"/>
    <cellStyle name="40% - Accent3 2 8" xfId="2329" xr:uid="{00000000-0005-0000-0000-00004F050000}"/>
    <cellStyle name="40% - Accent3 2 8 2" xfId="6636" xr:uid="{00000000-0005-0000-0000-000050050000}"/>
    <cellStyle name="40% - Accent3 2 8 2 2" xfId="15078" xr:uid="{E463F962-DBB4-440A-9DFD-DCCE361C8080}"/>
    <cellStyle name="40% - Accent3 2 8 3" xfId="10860" xr:uid="{7CC28672-533A-4436-95B5-4BC5EBAEB77C}"/>
    <cellStyle name="40% - Accent3 2 9" xfId="4570" xr:uid="{00000000-0005-0000-0000-000051050000}"/>
    <cellStyle name="40% - Accent3 2 9 2" xfId="13012" xr:uid="{03EC0301-9C4A-45A1-879D-E7F692D48D25}"/>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2 2 2" xfId="15576" xr:uid="{1579467F-CD3F-4D20-B340-1D85CBB6787C}"/>
    <cellStyle name="40% - Accent3 3 2 2 2 3" xfId="11358" xr:uid="{873D7681-3367-4533-9A08-8E555ABC9CEF}"/>
    <cellStyle name="40% - Accent3 3 2 2 3" xfId="4989" xr:uid="{00000000-0005-0000-0000-000057050000}"/>
    <cellStyle name="40% - Accent3 3 2 2 3 2" xfId="13431" xr:uid="{5A4257BA-4E61-4F89-8EDD-8416B86C439D}"/>
    <cellStyle name="40% - Accent3 3 2 2 4" xfId="9213" xr:uid="{618F234D-B350-41F7-8C76-C334F4C8B27B}"/>
    <cellStyle name="40% - Accent3 3 2 3" xfId="1093" xr:uid="{00000000-0005-0000-0000-000058050000}"/>
    <cellStyle name="40% - Accent3 3 2 3 2" xfId="3324" xr:uid="{00000000-0005-0000-0000-000059050000}"/>
    <cellStyle name="40% - Accent3 3 2 3 2 2" xfId="7547" xr:uid="{00000000-0005-0000-0000-00005A050000}"/>
    <cellStyle name="40% - Accent3 3 2 3 2 2 2" xfId="15989" xr:uid="{FB2444E0-CED7-4612-BAC2-14084E34A1E4}"/>
    <cellStyle name="40% - Accent3 3 2 3 2 3" xfId="11771" xr:uid="{E5917241-1C8A-4959-B1CB-7D3F39FD974D}"/>
    <cellStyle name="40% - Accent3 3 2 3 3" xfId="5402" xr:uid="{00000000-0005-0000-0000-00005B050000}"/>
    <cellStyle name="40% - Accent3 3 2 3 3 2" xfId="13844" xr:uid="{03674260-1A79-4483-B83D-D4BFC91397B6}"/>
    <cellStyle name="40% - Accent3 3 2 3 4" xfId="9626" xr:uid="{9EC8DC3E-06DD-42F4-8F7F-923D03E29425}"/>
    <cellStyle name="40% - Accent3 3 2 4" xfId="1507" xr:uid="{00000000-0005-0000-0000-00005C050000}"/>
    <cellStyle name="40% - Accent3 3 2 4 2" xfId="3737" xr:uid="{00000000-0005-0000-0000-00005D050000}"/>
    <cellStyle name="40% - Accent3 3 2 4 2 2" xfId="7960" xr:uid="{00000000-0005-0000-0000-00005E050000}"/>
    <cellStyle name="40% - Accent3 3 2 4 2 2 2" xfId="16402" xr:uid="{C095511E-6384-4BC0-BFD1-154317903F46}"/>
    <cellStyle name="40% - Accent3 3 2 4 2 3" xfId="12184" xr:uid="{C8E4F841-C7EC-40C1-8E98-6326CB9A5755}"/>
    <cellStyle name="40% - Accent3 3 2 4 3" xfId="5815" xr:uid="{00000000-0005-0000-0000-00005F050000}"/>
    <cellStyle name="40% - Accent3 3 2 4 3 2" xfId="14257" xr:uid="{34E407F4-041C-4D89-A561-A1C9A4385021}"/>
    <cellStyle name="40% - Accent3 3 2 4 4" xfId="10039" xr:uid="{8FC27875-411C-4662-973B-BE5784889E46}"/>
    <cellStyle name="40% - Accent3 3 2 5" xfId="1921" xr:uid="{00000000-0005-0000-0000-000060050000}"/>
    <cellStyle name="40% - Accent3 3 2 5 2" xfId="4150" xr:uid="{00000000-0005-0000-0000-000061050000}"/>
    <cellStyle name="40% - Accent3 3 2 5 2 2" xfId="8373" xr:uid="{00000000-0005-0000-0000-000062050000}"/>
    <cellStyle name="40% - Accent3 3 2 5 2 2 2" xfId="16815" xr:uid="{E68E4E9D-737D-448D-9D39-F08150412F2C}"/>
    <cellStyle name="40% - Accent3 3 2 5 2 3" xfId="12597" xr:uid="{30402E52-4D0C-4B36-BBC0-89264355ECE5}"/>
    <cellStyle name="40% - Accent3 3 2 5 3" xfId="6228" xr:uid="{00000000-0005-0000-0000-000063050000}"/>
    <cellStyle name="40% - Accent3 3 2 5 3 2" xfId="14670" xr:uid="{D2187595-C599-49BE-87D1-7CD3A7FD79BD}"/>
    <cellStyle name="40% - Accent3 3 2 5 4" xfId="10452" xr:uid="{ADDC6F9B-0C5C-4D2E-A7E7-C8A478ADDCFC}"/>
    <cellStyle name="40% - Accent3 3 2 6" xfId="2334" xr:uid="{00000000-0005-0000-0000-000064050000}"/>
    <cellStyle name="40% - Accent3 3 2 6 2" xfId="6641" xr:uid="{00000000-0005-0000-0000-000065050000}"/>
    <cellStyle name="40% - Accent3 3 2 6 2 2" xfId="15083" xr:uid="{E419D9CB-78E0-4579-8EB7-F32DF41787DB}"/>
    <cellStyle name="40% - Accent3 3 2 6 3" xfId="10865" xr:uid="{1E47E452-3949-4F64-8045-72056DCCC1EC}"/>
    <cellStyle name="40% - Accent3 3 2 7" xfId="4575" xr:uid="{00000000-0005-0000-0000-000066050000}"/>
    <cellStyle name="40% - Accent3 3 2 7 2" xfId="13017" xr:uid="{25512761-3BDF-4DC7-A23D-84C9B94B9D07}"/>
    <cellStyle name="40% - Accent3 3 2 8" xfId="8799" xr:uid="{CE28D405-8755-4A35-9E31-921923902059}"/>
    <cellStyle name="40% - Accent3 3 3" xfId="639" xr:uid="{00000000-0005-0000-0000-000067050000}"/>
    <cellStyle name="40% - Accent3 3 3 2" xfId="2910" xr:uid="{00000000-0005-0000-0000-000068050000}"/>
    <cellStyle name="40% - Accent3 3 3 2 2" xfId="7133" xr:uid="{00000000-0005-0000-0000-000069050000}"/>
    <cellStyle name="40% - Accent3 3 3 2 2 2" xfId="15575" xr:uid="{A59B5119-F53D-4624-AC1F-F9220DDBBAE7}"/>
    <cellStyle name="40% - Accent3 3 3 2 3" xfId="11357" xr:uid="{705E11A1-446D-4C67-9285-02EA05F633CA}"/>
    <cellStyle name="40% - Accent3 3 3 3" xfId="4988" xr:uid="{00000000-0005-0000-0000-00006A050000}"/>
    <cellStyle name="40% - Accent3 3 3 3 2" xfId="13430" xr:uid="{55F42153-1C9A-42FD-81E0-94403120F844}"/>
    <cellStyle name="40% - Accent3 3 3 4" xfId="9212" xr:uid="{2B75EE0C-F72E-4FFC-8E85-D72AEAD3323D}"/>
    <cellStyle name="40% - Accent3 3 4" xfId="1092" xr:uid="{00000000-0005-0000-0000-00006B050000}"/>
    <cellStyle name="40% - Accent3 3 4 2" xfId="3323" xr:uid="{00000000-0005-0000-0000-00006C050000}"/>
    <cellStyle name="40% - Accent3 3 4 2 2" xfId="7546" xr:uid="{00000000-0005-0000-0000-00006D050000}"/>
    <cellStyle name="40% - Accent3 3 4 2 2 2" xfId="15988" xr:uid="{22733323-3A9F-4408-BA91-90E6113ABC28}"/>
    <cellStyle name="40% - Accent3 3 4 2 3" xfId="11770" xr:uid="{7162DA25-7599-4C86-B4B7-589BC5EB000D}"/>
    <cellStyle name="40% - Accent3 3 4 3" xfId="5401" xr:uid="{00000000-0005-0000-0000-00006E050000}"/>
    <cellStyle name="40% - Accent3 3 4 3 2" xfId="13843" xr:uid="{A1BA1CE6-FA18-4708-BE07-051238654D55}"/>
    <cellStyle name="40% - Accent3 3 4 4" xfId="9625" xr:uid="{16F4DCB9-62BC-4100-B2F8-675F735093BE}"/>
    <cellStyle name="40% - Accent3 3 5" xfId="1506" xr:uid="{00000000-0005-0000-0000-00006F050000}"/>
    <cellStyle name="40% - Accent3 3 5 2" xfId="3736" xr:uid="{00000000-0005-0000-0000-000070050000}"/>
    <cellStyle name="40% - Accent3 3 5 2 2" xfId="7959" xr:uid="{00000000-0005-0000-0000-000071050000}"/>
    <cellStyle name="40% - Accent3 3 5 2 2 2" xfId="16401" xr:uid="{A73828BD-524F-47BE-935D-DE3566F26A3F}"/>
    <cellStyle name="40% - Accent3 3 5 2 3" xfId="12183" xr:uid="{45DAE45F-BD27-478A-B617-28756A97AB8C}"/>
    <cellStyle name="40% - Accent3 3 5 3" xfId="5814" xr:uid="{00000000-0005-0000-0000-000072050000}"/>
    <cellStyle name="40% - Accent3 3 5 3 2" xfId="14256" xr:uid="{270E2CC8-BC1D-4F18-BB38-3AF5F8244038}"/>
    <cellStyle name="40% - Accent3 3 5 4" xfId="10038" xr:uid="{915E0744-2EA8-46B7-8743-5FFD146AF009}"/>
    <cellStyle name="40% - Accent3 3 6" xfId="1920" xr:uid="{00000000-0005-0000-0000-000073050000}"/>
    <cellStyle name="40% - Accent3 3 6 2" xfId="4149" xr:uid="{00000000-0005-0000-0000-000074050000}"/>
    <cellStyle name="40% - Accent3 3 6 2 2" xfId="8372" xr:uid="{00000000-0005-0000-0000-000075050000}"/>
    <cellStyle name="40% - Accent3 3 6 2 2 2" xfId="16814" xr:uid="{E806EE45-2160-434D-9C50-49EF32B8AC5D}"/>
    <cellStyle name="40% - Accent3 3 6 2 3" xfId="12596" xr:uid="{593FDFC4-7E1D-4B1E-95B6-4B9D9F0A0FC6}"/>
    <cellStyle name="40% - Accent3 3 6 3" xfId="6227" xr:uid="{00000000-0005-0000-0000-000076050000}"/>
    <cellStyle name="40% - Accent3 3 6 3 2" xfId="14669" xr:uid="{700229EB-8B57-4BB4-91B6-9FEFF5E403BA}"/>
    <cellStyle name="40% - Accent3 3 6 4" xfId="10451" xr:uid="{84B5363F-3255-4C0D-8B1C-A2AB5119D1AB}"/>
    <cellStyle name="40% - Accent3 3 7" xfId="2333" xr:uid="{00000000-0005-0000-0000-000077050000}"/>
    <cellStyle name="40% - Accent3 3 7 2" xfId="6640" xr:uid="{00000000-0005-0000-0000-000078050000}"/>
    <cellStyle name="40% - Accent3 3 7 2 2" xfId="15082" xr:uid="{CE3E17ED-4FC0-4F7C-95A2-DED8C704E300}"/>
    <cellStyle name="40% - Accent3 3 7 3" xfId="10864" xr:uid="{565515D7-96A8-4B5E-A1D8-00DE12105DA6}"/>
    <cellStyle name="40% - Accent3 3 8" xfId="4574" xr:uid="{00000000-0005-0000-0000-000079050000}"/>
    <cellStyle name="40% - Accent3 3 8 2" xfId="13016" xr:uid="{E45F8237-74B2-4B8B-8802-69CD3F125C4E}"/>
    <cellStyle name="40% - Accent3 3 9" xfId="8798" xr:uid="{7C8179B1-0D56-4F27-BDEC-92F1CD41B2AE}"/>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2 2 2" xfId="15577" xr:uid="{6BC24083-BABA-4596-A906-73F41A3A2098}"/>
    <cellStyle name="40% - Accent3 4 2 2 3" xfId="11359" xr:uid="{4CA329D2-B8F0-4E9B-9D4E-11100D3201EA}"/>
    <cellStyle name="40% - Accent3 4 2 3" xfId="4990" xr:uid="{00000000-0005-0000-0000-00007E050000}"/>
    <cellStyle name="40% - Accent3 4 2 3 2" xfId="13432" xr:uid="{ABD840C9-FBBC-488B-9F47-7F0EF94CF653}"/>
    <cellStyle name="40% - Accent3 4 2 4" xfId="9214" xr:uid="{12509F31-D963-42FC-ADCF-0B127E5144F1}"/>
    <cellStyle name="40% - Accent3 4 3" xfId="1094" xr:uid="{00000000-0005-0000-0000-00007F050000}"/>
    <cellStyle name="40% - Accent3 4 3 2" xfId="3325" xr:uid="{00000000-0005-0000-0000-000080050000}"/>
    <cellStyle name="40% - Accent3 4 3 2 2" xfId="7548" xr:uid="{00000000-0005-0000-0000-000081050000}"/>
    <cellStyle name="40% - Accent3 4 3 2 2 2" xfId="15990" xr:uid="{9C1C3C15-F80F-40E0-92CC-5FD483C577E1}"/>
    <cellStyle name="40% - Accent3 4 3 2 3" xfId="11772" xr:uid="{3580FC23-9854-4DD5-A766-5EE0990A7E68}"/>
    <cellStyle name="40% - Accent3 4 3 3" xfId="5403" xr:uid="{00000000-0005-0000-0000-000082050000}"/>
    <cellStyle name="40% - Accent3 4 3 3 2" xfId="13845" xr:uid="{69718145-3A89-4712-83AD-AE3FC32D6FE2}"/>
    <cellStyle name="40% - Accent3 4 3 4" xfId="9627" xr:uid="{7D404ED0-0E5F-43CF-8108-4A2DAC498794}"/>
    <cellStyle name="40% - Accent3 4 4" xfId="1508" xr:uid="{00000000-0005-0000-0000-000083050000}"/>
    <cellStyle name="40% - Accent3 4 4 2" xfId="3738" xr:uid="{00000000-0005-0000-0000-000084050000}"/>
    <cellStyle name="40% - Accent3 4 4 2 2" xfId="7961" xr:uid="{00000000-0005-0000-0000-000085050000}"/>
    <cellStyle name="40% - Accent3 4 4 2 2 2" xfId="16403" xr:uid="{E4188BA3-2952-4943-944C-B12E3A4AB3DE}"/>
    <cellStyle name="40% - Accent3 4 4 2 3" xfId="12185" xr:uid="{BA67DC3D-E0A1-4D97-8212-60F40B957E66}"/>
    <cellStyle name="40% - Accent3 4 4 3" xfId="5816" xr:uid="{00000000-0005-0000-0000-000086050000}"/>
    <cellStyle name="40% - Accent3 4 4 3 2" xfId="14258" xr:uid="{DC7820EF-F32E-4B09-9FE3-2D8ACFE6EC8B}"/>
    <cellStyle name="40% - Accent3 4 4 4" xfId="10040" xr:uid="{D5681C80-1721-4B34-B14B-AFCE5629B3D2}"/>
    <cellStyle name="40% - Accent3 4 5" xfId="1922" xr:uid="{00000000-0005-0000-0000-000087050000}"/>
    <cellStyle name="40% - Accent3 4 5 2" xfId="4151" xr:uid="{00000000-0005-0000-0000-000088050000}"/>
    <cellStyle name="40% - Accent3 4 5 2 2" xfId="8374" xr:uid="{00000000-0005-0000-0000-000089050000}"/>
    <cellStyle name="40% - Accent3 4 5 2 2 2" xfId="16816" xr:uid="{A103AC2A-19BB-417F-A0C4-3EC3883C490C}"/>
    <cellStyle name="40% - Accent3 4 5 2 3" xfId="12598" xr:uid="{EA9A659C-2AE4-4362-8BFE-A1B3DB94EE4D}"/>
    <cellStyle name="40% - Accent3 4 5 3" xfId="6229" xr:uid="{00000000-0005-0000-0000-00008A050000}"/>
    <cellStyle name="40% - Accent3 4 5 3 2" xfId="14671" xr:uid="{1D38A036-52CA-49ED-A723-E5268D76E2BA}"/>
    <cellStyle name="40% - Accent3 4 5 4" xfId="10453" xr:uid="{04D893C0-21BA-43FE-A264-899233178FD4}"/>
    <cellStyle name="40% - Accent3 4 6" xfId="2335" xr:uid="{00000000-0005-0000-0000-00008B050000}"/>
    <cellStyle name="40% - Accent3 4 6 2" xfId="6642" xr:uid="{00000000-0005-0000-0000-00008C050000}"/>
    <cellStyle name="40% - Accent3 4 6 2 2" xfId="15084" xr:uid="{72B7DD34-A6F4-413F-B975-CB34274E1FC7}"/>
    <cellStyle name="40% - Accent3 4 6 3" xfId="10866" xr:uid="{12D9EBD9-BAB8-493A-99CF-160F377ECFD3}"/>
    <cellStyle name="40% - Accent3 4 7" xfId="4576" xr:uid="{00000000-0005-0000-0000-00008D050000}"/>
    <cellStyle name="40% - Accent3 4 7 2" xfId="13018" xr:uid="{1F69EA8C-0369-4201-8393-0C070BD4EACE}"/>
    <cellStyle name="40% - Accent3 4 8" xfId="8800" xr:uid="{0C7D779C-22C5-4E00-B12D-AB57AD1BF345}"/>
    <cellStyle name="40% - Accent3 5" xfId="634" xr:uid="{00000000-0005-0000-0000-00008E050000}"/>
    <cellStyle name="40% - Accent3 5 2" xfId="2905" xr:uid="{00000000-0005-0000-0000-00008F050000}"/>
    <cellStyle name="40% - Accent3 5 2 2" xfId="7128" xr:uid="{00000000-0005-0000-0000-000090050000}"/>
    <cellStyle name="40% - Accent3 5 2 2 2" xfId="15570" xr:uid="{CDA26A08-53B8-4558-AFF4-17C28DBAB3DE}"/>
    <cellStyle name="40% - Accent3 5 2 3" xfId="11352" xr:uid="{E5EEC12D-0D21-407F-B1C8-C8A99C172A46}"/>
    <cellStyle name="40% - Accent3 5 3" xfId="4983" xr:uid="{00000000-0005-0000-0000-000091050000}"/>
    <cellStyle name="40% - Accent3 5 3 2" xfId="13425" xr:uid="{2BBE83E8-5BBA-4C65-AB42-3C8AAE444AE8}"/>
    <cellStyle name="40% - Accent3 5 4" xfId="9207" xr:uid="{2491DBA7-172A-4883-A507-EB3E058EE544}"/>
    <cellStyle name="40% - Accent3 6" xfId="1087" xr:uid="{00000000-0005-0000-0000-000092050000}"/>
    <cellStyle name="40% - Accent3 6 2" xfId="3318" xr:uid="{00000000-0005-0000-0000-000093050000}"/>
    <cellStyle name="40% - Accent3 6 2 2" xfId="7541" xr:uid="{00000000-0005-0000-0000-000094050000}"/>
    <cellStyle name="40% - Accent3 6 2 2 2" xfId="15983" xr:uid="{795E6B2D-5640-4301-ADB3-5FB377727216}"/>
    <cellStyle name="40% - Accent3 6 2 3" xfId="11765" xr:uid="{1BA1C5F6-9B4A-45E0-88DB-01CCF1A6BCAA}"/>
    <cellStyle name="40% - Accent3 6 3" xfId="5396" xr:uid="{00000000-0005-0000-0000-000095050000}"/>
    <cellStyle name="40% - Accent3 6 3 2" xfId="13838" xr:uid="{74F5AF06-C062-45DF-A341-1479AD8EA0B0}"/>
    <cellStyle name="40% - Accent3 6 4" xfId="9620" xr:uid="{50CA84A4-9030-4000-BDFC-599AE394956A}"/>
    <cellStyle name="40% - Accent3 7" xfId="1501" xr:uid="{00000000-0005-0000-0000-000096050000}"/>
    <cellStyle name="40% - Accent3 7 2" xfId="3731" xr:uid="{00000000-0005-0000-0000-000097050000}"/>
    <cellStyle name="40% - Accent3 7 2 2" xfId="7954" xr:uid="{00000000-0005-0000-0000-000098050000}"/>
    <cellStyle name="40% - Accent3 7 2 2 2" xfId="16396" xr:uid="{5ECC71AE-6E9D-417E-9A83-E78820C9F9DA}"/>
    <cellStyle name="40% - Accent3 7 2 3" xfId="12178" xr:uid="{57D4EB7E-A25D-4466-8B30-E08ED733A391}"/>
    <cellStyle name="40% - Accent3 7 3" xfId="5809" xr:uid="{00000000-0005-0000-0000-000099050000}"/>
    <cellStyle name="40% - Accent3 7 3 2" xfId="14251" xr:uid="{FAB60610-E211-4B6C-94CF-F0885CD196E2}"/>
    <cellStyle name="40% - Accent3 7 4" xfId="10033" xr:uid="{4887625F-7395-46EC-8E78-FB16666E668C}"/>
    <cellStyle name="40% - Accent3 8" xfId="1915" xr:uid="{00000000-0005-0000-0000-00009A050000}"/>
    <cellStyle name="40% - Accent3 8 2" xfId="4144" xr:uid="{00000000-0005-0000-0000-00009B050000}"/>
    <cellStyle name="40% - Accent3 8 2 2" xfId="8367" xr:uid="{00000000-0005-0000-0000-00009C050000}"/>
    <cellStyle name="40% - Accent3 8 2 2 2" xfId="16809" xr:uid="{76D06A4F-DAB1-41AD-93F7-CD14B74E3213}"/>
    <cellStyle name="40% - Accent3 8 2 3" xfId="12591" xr:uid="{A4E57E25-6CC1-4C9F-8419-62F996056E42}"/>
    <cellStyle name="40% - Accent3 8 3" xfId="6222" xr:uid="{00000000-0005-0000-0000-00009D050000}"/>
    <cellStyle name="40% - Accent3 8 3 2" xfId="14664" xr:uid="{875E71A9-16E1-4EE9-8570-79566CA77A3F}"/>
    <cellStyle name="40% - Accent3 8 4" xfId="10446" xr:uid="{7583A375-211D-4562-ABDC-2727F3B10379}"/>
    <cellStyle name="40% - Accent3 9" xfId="2328" xr:uid="{00000000-0005-0000-0000-00009E050000}"/>
    <cellStyle name="40% - Accent3 9 2" xfId="6635" xr:uid="{00000000-0005-0000-0000-00009F050000}"/>
    <cellStyle name="40% - Accent3 9 2 2" xfId="15077" xr:uid="{37C55CA0-0C6A-471B-8A95-6DAE4FC79DCB}"/>
    <cellStyle name="40% - Accent3 9 3" xfId="10859" xr:uid="{13584965-5724-42FC-A4D3-1F7162A90E3D}"/>
    <cellStyle name="40% - Accent4" xfId="73" builtinId="43" customBuiltin="1"/>
    <cellStyle name="40% - Accent4 10" xfId="4577" xr:uid="{00000000-0005-0000-0000-0000A1050000}"/>
    <cellStyle name="40% - Accent4 10 2" xfId="13019" xr:uid="{F07F98B1-19C6-4F5E-B40A-EFE6112AE1DB}"/>
    <cellStyle name="40% - Accent4 11" xfId="8801" xr:uid="{697AB9A0-B6BF-46B6-8D16-B14ADF3DCABB}"/>
    <cellStyle name="40% - Accent4 2" xfId="74" xr:uid="{00000000-0005-0000-0000-0000A2050000}"/>
    <cellStyle name="40% - Accent4 2 10" xfId="8802" xr:uid="{297E48BC-1288-424B-9E85-F078E5C4DC55}"/>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2 2 2" xfId="15581" xr:uid="{BF5FFDAB-86F3-4894-92F9-49DB7EF2C182}"/>
    <cellStyle name="40% - Accent4 2 2 2 2 2 3" xfId="11363" xr:uid="{14B2E3B1-6AA3-4114-AE49-7FB28350DB94}"/>
    <cellStyle name="40% - Accent4 2 2 2 2 3" xfId="4994" xr:uid="{00000000-0005-0000-0000-0000A8050000}"/>
    <cellStyle name="40% - Accent4 2 2 2 2 3 2" xfId="13436" xr:uid="{9394DE16-AC90-4F65-837D-32923E9FDDFB}"/>
    <cellStyle name="40% - Accent4 2 2 2 2 4" xfId="9218" xr:uid="{001A4C44-2029-4D9F-953D-F469B32B7F61}"/>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2 2 2" xfId="15994" xr:uid="{35AD197C-905E-491B-BD6D-2A8591BE3D87}"/>
    <cellStyle name="40% - Accent4 2 2 2 3 2 3" xfId="11776" xr:uid="{DB281AF5-3396-4BD5-852A-827603A05A2B}"/>
    <cellStyle name="40% - Accent4 2 2 2 3 3" xfId="5407" xr:uid="{00000000-0005-0000-0000-0000AC050000}"/>
    <cellStyle name="40% - Accent4 2 2 2 3 3 2" xfId="13849" xr:uid="{985A223A-54EE-4180-AF1C-4828065CEA8B}"/>
    <cellStyle name="40% - Accent4 2 2 2 3 4" xfId="9631" xr:uid="{A7836C1D-D93E-481D-A893-FC12809B9A8A}"/>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2 2 2" xfId="16407" xr:uid="{34508178-0A17-44D8-BC4F-88F4FB203B68}"/>
    <cellStyle name="40% - Accent4 2 2 2 4 2 3" xfId="12189" xr:uid="{D51391B5-037A-4FA5-A659-BD883F1367F3}"/>
    <cellStyle name="40% - Accent4 2 2 2 4 3" xfId="5820" xr:uid="{00000000-0005-0000-0000-0000B0050000}"/>
    <cellStyle name="40% - Accent4 2 2 2 4 3 2" xfId="14262" xr:uid="{E61E6CBB-DDFD-4C25-AE08-1E714839037E}"/>
    <cellStyle name="40% - Accent4 2 2 2 4 4" xfId="10044" xr:uid="{E36BC85A-04B7-496F-8F5E-A1C51ACC56DB}"/>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2 2 2" xfId="16820" xr:uid="{4343D856-5348-4E90-A3CA-B3B3CA2C575E}"/>
    <cellStyle name="40% - Accent4 2 2 2 5 2 3" xfId="12602" xr:uid="{57F9F776-C3F1-46E4-932B-94C0C96EBAD9}"/>
    <cellStyle name="40% - Accent4 2 2 2 5 3" xfId="6233" xr:uid="{00000000-0005-0000-0000-0000B4050000}"/>
    <cellStyle name="40% - Accent4 2 2 2 5 3 2" xfId="14675" xr:uid="{157B372B-9224-4146-9C4A-41C5061F12C8}"/>
    <cellStyle name="40% - Accent4 2 2 2 5 4" xfId="10457" xr:uid="{8D10165E-3899-47F8-AF62-23732E89A4FA}"/>
    <cellStyle name="40% - Accent4 2 2 2 6" xfId="2339" xr:uid="{00000000-0005-0000-0000-0000B5050000}"/>
    <cellStyle name="40% - Accent4 2 2 2 6 2" xfId="6646" xr:uid="{00000000-0005-0000-0000-0000B6050000}"/>
    <cellStyle name="40% - Accent4 2 2 2 6 2 2" xfId="15088" xr:uid="{F518B5BA-44C7-49F8-8B25-B293809959D1}"/>
    <cellStyle name="40% - Accent4 2 2 2 6 3" xfId="10870" xr:uid="{466BFA7D-5EF0-4350-8C3D-4D00A44104CA}"/>
    <cellStyle name="40% - Accent4 2 2 2 7" xfId="4580" xr:uid="{00000000-0005-0000-0000-0000B7050000}"/>
    <cellStyle name="40% - Accent4 2 2 2 7 2" xfId="13022" xr:uid="{D5B17950-C073-4C92-A383-2F94F329214F}"/>
    <cellStyle name="40% - Accent4 2 2 2 8" xfId="8804" xr:uid="{0D57F8DE-BEAA-48D9-AAAA-2DCC38886887}"/>
    <cellStyle name="40% - Accent4 2 2 3" xfId="644" xr:uid="{00000000-0005-0000-0000-0000B8050000}"/>
    <cellStyle name="40% - Accent4 2 2 3 2" xfId="2915" xr:uid="{00000000-0005-0000-0000-0000B9050000}"/>
    <cellStyle name="40% - Accent4 2 2 3 2 2" xfId="7138" xr:uid="{00000000-0005-0000-0000-0000BA050000}"/>
    <cellStyle name="40% - Accent4 2 2 3 2 2 2" xfId="15580" xr:uid="{B8DA5E54-61CE-4C1E-BD24-FDF42AA67401}"/>
    <cellStyle name="40% - Accent4 2 2 3 2 3" xfId="11362" xr:uid="{1E471D83-E969-4BB4-B477-8361FCEA6CDF}"/>
    <cellStyle name="40% - Accent4 2 2 3 3" xfId="4993" xr:uid="{00000000-0005-0000-0000-0000BB050000}"/>
    <cellStyle name="40% - Accent4 2 2 3 3 2" xfId="13435" xr:uid="{D6EEC3D2-B5BD-4A92-8AFB-B590933292AF}"/>
    <cellStyle name="40% - Accent4 2 2 3 4" xfId="9217" xr:uid="{B62F386B-9C07-4861-8951-03D668FCF004}"/>
    <cellStyle name="40% - Accent4 2 2 4" xfId="1097" xr:uid="{00000000-0005-0000-0000-0000BC050000}"/>
    <cellStyle name="40% - Accent4 2 2 4 2" xfId="3328" xr:uid="{00000000-0005-0000-0000-0000BD050000}"/>
    <cellStyle name="40% - Accent4 2 2 4 2 2" xfId="7551" xr:uid="{00000000-0005-0000-0000-0000BE050000}"/>
    <cellStyle name="40% - Accent4 2 2 4 2 2 2" xfId="15993" xr:uid="{F288EADC-738D-4D14-9160-93151BD4ACF7}"/>
    <cellStyle name="40% - Accent4 2 2 4 2 3" xfId="11775" xr:uid="{BF5FCB20-7E15-45D6-BB76-44493B2B77C6}"/>
    <cellStyle name="40% - Accent4 2 2 4 3" xfId="5406" xr:uid="{00000000-0005-0000-0000-0000BF050000}"/>
    <cellStyle name="40% - Accent4 2 2 4 3 2" xfId="13848" xr:uid="{FDA3930A-73B1-46A9-8B8D-0CB817F083F0}"/>
    <cellStyle name="40% - Accent4 2 2 4 4" xfId="9630" xr:uid="{282074A1-3FCC-458A-8A6F-25053D764660}"/>
    <cellStyle name="40% - Accent4 2 2 5" xfId="1511" xr:uid="{00000000-0005-0000-0000-0000C0050000}"/>
    <cellStyle name="40% - Accent4 2 2 5 2" xfId="3741" xr:uid="{00000000-0005-0000-0000-0000C1050000}"/>
    <cellStyle name="40% - Accent4 2 2 5 2 2" xfId="7964" xr:uid="{00000000-0005-0000-0000-0000C2050000}"/>
    <cellStyle name="40% - Accent4 2 2 5 2 2 2" xfId="16406" xr:uid="{355634ED-75BB-4810-9ACE-D8F457579795}"/>
    <cellStyle name="40% - Accent4 2 2 5 2 3" xfId="12188" xr:uid="{E9832358-BAB6-434C-A505-90157E1A50A0}"/>
    <cellStyle name="40% - Accent4 2 2 5 3" xfId="5819" xr:uid="{00000000-0005-0000-0000-0000C3050000}"/>
    <cellStyle name="40% - Accent4 2 2 5 3 2" xfId="14261" xr:uid="{D5D79371-AAF3-464D-BDB5-91CBEFBCFA1C}"/>
    <cellStyle name="40% - Accent4 2 2 5 4" xfId="10043" xr:uid="{22F9560E-BEB3-4575-A4EE-9F87CC0E21C9}"/>
    <cellStyle name="40% - Accent4 2 2 6" xfId="1925" xr:uid="{00000000-0005-0000-0000-0000C4050000}"/>
    <cellStyle name="40% - Accent4 2 2 6 2" xfId="4154" xr:uid="{00000000-0005-0000-0000-0000C5050000}"/>
    <cellStyle name="40% - Accent4 2 2 6 2 2" xfId="8377" xr:uid="{00000000-0005-0000-0000-0000C6050000}"/>
    <cellStyle name="40% - Accent4 2 2 6 2 2 2" xfId="16819" xr:uid="{264973E2-D10D-428D-887E-AD16B3E200A5}"/>
    <cellStyle name="40% - Accent4 2 2 6 2 3" xfId="12601" xr:uid="{D36DA1F4-0F94-469E-B010-446EC657A0F1}"/>
    <cellStyle name="40% - Accent4 2 2 6 3" xfId="6232" xr:uid="{00000000-0005-0000-0000-0000C7050000}"/>
    <cellStyle name="40% - Accent4 2 2 6 3 2" xfId="14674" xr:uid="{9EDBB47A-2417-44D4-9E81-5332E5D1817D}"/>
    <cellStyle name="40% - Accent4 2 2 6 4" xfId="10456" xr:uid="{F396CECF-908E-4D8C-8913-1AA5E7785580}"/>
    <cellStyle name="40% - Accent4 2 2 7" xfId="2338" xr:uid="{00000000-0005-0000-0000-0000C8050000}"/>
    <cellStyle name="40% - Accent4 2 2 7 2" xfId="6645" xr:uid="{00000000-0005-0000-0000-0000C9050000}"/>
    <cellStyle name="40% - Accent4 2 2 7 2 2" xfId="15087" xr:uid="{6AAA1663-920F-49CA-B45D-095542E46491}"/>
    <cellStyle name="40% - Accent4 2 2 7 3" xfId="10869" xr:uid="{6B2A53EB-79EF-4112-A19F-5C771424880C}"/>
    <cellStyle name="40% - Accent4 2 2 8" xfId="4579" xr:uid="{00000000-0005-0000-0000-0000CA050000}"/>
    <cellStyle name="40% - Accent4 2 2 8 2" xfId="13021" xr:uid="{8C5A7A4C-65AF-4F8A-8F99-1B13FA0CD0B7}"/>
    <cellStyle name="40% - Accent4 2 2 9" xfId="8803" xr:uid="{5714A303-F305-4CA7-9ABC-53814808E30B}"/>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2 2 2" xfId="15582" xr:uid="{9CA2D5D7-4FF8-4300-9139-85B8B2E9B37A}"/>
    <cellStyle name="40% - Accent4 2 3 2 2 3" xfId="11364" xr:uid="{36DAC457-5E12-4B23-AD4E-899A895480F0}"/>
    <cellStyle name="40% - Accent4 2 3 2 3" xfId="4995" xr:uid="{00000000-0005-0000-0000-0000CF050000}"/>
    <cellStyle name="40% - Accent4 2 3 2 3 2" xfId="13437" xr:uid="{C8848BE3-0869-489F-9200-EFAD96D45DC6}"/>
    <cellStyle name="40% - Accent4 2 3 2 4" xfId="9219" xr:uid="{9D903B31-1C41-4656-8AAD-22663D3B29DA}"/>
    <cellStyle name="40% - Accent4 2 3 3" xfId="1099" xr:uid="{00000000-0005-0000-0000-0000D0050000}"/>
    <cellStyle name="40% - Accent4 2 3 3 2" xfId="3330" xr:uid="{00000000-0005-0000-0000-0000D1050000}"/>
    <cellStyle name="40% - Accent4 2 3 3 2 2" xfId="7553" xr:uid="{00000000-0005-0000-0000-0000D2050000}"/>
    <cellStyle name="40% - Accent4 2 3 3 2 2 2" xfId="15995" xr:uid="{7340DFB8-A814-45EF-B638-EF7BCE6536A5}"/>
    <cellStyle name="40% - Accent4 2 3 3 2 3" xfId="11777" xr:uid="{C22059AD-897F-4A08-AF88-02ABBED3F953}"/>
    <cellStyle name="40% - Accent4 2 3 3 3" xfId="5408" xr:uid="{00000000-0005-0000-0000-0000D3050000}"/>
    <cellStyle name="40% - Accent4 2 3 3 3 2" xfId="13850" xr:uid="{CFC45314-A7FC-40C5-86CA-B7F8CC475F77}"/>
    <cellStyle name="40% - Accent4 2 3 3 4" xfId="9632" xr:uid="{7FA86872-F441-463A-AC8A-8AD7C1EE1A57}"/>
    <cellStyle name="40% - Accent4 2 3 4" xfId="1513" xr:uid="{00000000-0005-0000-0000-0000D4050000}"/>
    <cellStyle name="40% - Accent4 2 3 4 2" xfId="3743" xr:uid="{00000000-0005-0000-0000-0000D5050000}"/>
    <cellStyle name="40% - Accent4 2 3 4 2 2" xfId="7966" xr:uid="{00000000-0005-0000-0000-0000D6050000}"/>
    <cellStyle name="40% - Accent4 2 3 4 2 2 2" xfId="16408" xr:uid="{DC04FE9B-2A77-461C-BC3E-05D5D46A1ABE}"/>
    <cellStyle name="40% - Accent4 2 3 4 2 3" xfId="12190" xr:uid="{72FC0D00-8053-481C-96E1-AD97D454EFF5}"/>
    <cellStyle name="40% - Accent4 2 3 4 3" xfId="5821" xr:uid="{00000000-0005-0000-0000-0000D7050000}"/>
    <cellStyle name="40% - Accent4 2 3 4 3 2" xfId="14263" xr:uid="{2E263F04-D8EC-4959-88DD-2C3217FD5504}"/>
    <cellStyle name="40% - Accent4 2 3 4 4" xfId="10045" xr:uid="{C2B94E4E-1E10-4F62-BE81-CE5D82783EA8}"/>
    <cellStyle name="40% - Accent4 2 3 5" xfId="1927" xr:uid="{00000000-0005-0000-0000-0000D8050000}"/>
    <cellStyle name="40% - Accent4 2 3 5 2" xfId="4156" xr:uid="{00000000-0005-0000-0000-0000D9050000}"/>
    <cellStyle name="40% - Accent4 2 3 5 2 2" xfId="8379" xr:uid="{00000000-0005-0000-0000-0000DA050000}"/>
    <cellStyle name="40% - Accent4 2 3 5 2 2 2" xfId="16821" xr:uid="{4B8F79C1-A78C-41B9-A947-938B8DF86864}"/>
    <cellStyle name="40% - Accent4 2 3 5 2 3" xfId="12603" xr:uid="{20471F1E-FB65-455F-9801-E3C5D59ECBD2}"/>
    <cellStyle name="40% - Accent4 2 3 5 3" xfId="6234" xr:uid="{00000000-0005-0000-0000-0000DB050000}"/>
    <cellStyle name="40% - Accent4 2 3 5 3 2" xfId="14676" xr:uid="{BAEF42CF-F112-4EA9-9CB8-29D872B128C7}"/>
    <cellStyle name="40% - Accent4 2 3 5 4" xfId="10458" xr:uid="{429230BA-A9D0-411F-AC6F-51DCAD9A3BB7}"/>
    <cellStyle name="40% - Accent4 2 3 6" xfId="2340" xr:uid="{00000000-0005-0000-0000-0000DC050000}"/>
    <cellStyle name="40% - Accent4 2 3 6 2" xfId="6647" xr:uid="{00000000-0005-0000-0000-0000DD050000}"/>
    <cellStyle name="40% - Accent4 2 3 6 2 2" xfId="15089" xr:uid="{BCCC9F09-154C-4D6E-B121-A16E3D5F59D5}"/>
    <cellStyle name="40% - Accent4 2 3 6 3" xfId="10871" xr:uid="{E808EAEF-ECFC-46A6-A866-661B24A53896}"/>
    <cellStyle name="40% - Accent4 2 3 7" xfId="4581" xr:uid="{00000000-0005-0000-0000-0000DE050000}"/>
    <cellStyle name="40% - Accent4 2 3 7 2" xfId="13023" xr:uid="{8CA915EF-4585-46C9-90F4-03138EDCEA6B}"/>
    <cellStyle name="40% - Accent4 2 3 8" xfId="8805" xr:uid="{D3F9592C-3094-485E-8F19-31EE18A4A9F6}"/>
    <cellStyle name="40% - Accent4 2 4" xfId="643" xr:uid="{00000000-0005-0000-0000-0000DF050000}"/>
    <cellStyle name="40% - Accent4 2 4 2" xfId="2914" xr:uid="{00000000-0005-0000-0000-0000E0050000}"/>
    <cellStyle name="40% - Accent4 2 4 2 2" xfId="7137" xr:uid="{00000000-0005-0000-0000-0000E1050000}"/>
    <cellStyle name="40% - Accent4 2 4 2 2 2" xfId="15579" xr:uid="{78B4B942-1396-4FC5-B566-38CEAB92FA09}"/>
    <cellStyle name="40% - Accent4 2 4 2 3" xfId="11361" xr:uid="{677756F9-DD91-4CA0-BA6D-DDE8D749065B}"/>
    <cellStyle name="40% - Accent4 2 4 3" xfId="4992" xr:uid="{00000000-0005-0000-0000-0000E2050000}"/>
    <cellStyle name="40% - Accent4 2 4 3 2" xfId="13434" xr:uid="{AFFAFC79-F941-4062-98FE-C4DB3F672A9E}"/>
    <cellStyle name="40% - Accent4 2 4 4" xfId="9216" xr:uid="{022FEDE9-1106-4EBF-8A31-346FB0259647}"/>
    <cellStyle name="40% - Accent4 2 5" xfId="1096" xr:uid="{00000000-0005-0000-0000-0000E3050000}"/>
    <cellStyle name="40% - Accent4 2 5 2" xfId="3327" xr:uid="{00000000-0005-0000-0000-0000E4050000}"/>
    <cellStyle name="40% - Accent4 2 5 2 2" xfId="7550" xr:uid="{00000000-0005-0000-0000-0000E5050000}"/>
    <cellStyle name="40% - Accent4 2 5 2 2 2" xfId="15992" xr:uid="{68086CE0-E108-4E4A-89B7-500CF5A33DF2}"/>
    <cellStyle name="40% - Accent4 2 5 2 3" xfId="11774" xr:uid="{020E1EDE-F9EE-4FC5-A866-CBFF4D23C48A}"/>
    <cellStyle name="40% - Accent4 2 5 3" xfId="5405" xr:uid="{00000000-0005-0000-0000-0000E6050000}"/>
    <cellStyle name="40% - Accent4 2 5 3 2" xfId="13847" xr:uid="{87D970DD-8ED0-4834-8153-01AFD2982C15}"/>
    <cellStyle name="40% - Accent4 2 5 4" xfId="9629" xr:uid="{BC79D3FB-B5C6-4F44-ACE2-3885771C72F1}"/>
    <cellStyle name="40% - Accent4 2 6" xfId="1510" xr:uid="{00000000-0005-0000-0000-0000E7050000}"/>
    <cellStyle name="40% - Accent4 2 6 2" xfId="3740" xr:uid="{00000000-0005-0000-0000-0000E8050000}"/>
    <cellStyle name="40% - Accent4 2 6 2 2" xfId="7963" xr:uid="{00000000-0005-0000-0000-0000E9050000}"/>
    <cellStyle name="40% - Accent4 2 6 2 2 2" xfId="16405" xr:uid="{28BF9D7C-3FC8-4209-A62B-27D6E6408F1E}"/>
    <cellStyle name="40% - Accent4 2 6 2 3" xfId="12187" xr:uid="{819333F1-B688-4DFB-AD75-FC008A782812}"/>
    <cellStyle name="40% - Accent4 2 6 3" xfId="5818" xr:uid="{00000000-0005-0000-0000-0000EA050000}"/>
    <cellStyle name="40% - Accent4 2 6 3 2" xfId="14260" xr:uid="{3353D2AC-FDBC-47B3-B41B-82DC5CFA8666}"/>
    <cellStyle name="40% - Accent4 2 6 4" xfId="10042" xr:uid="{74A3FDAF-060C-4621-A832-E45A803DD704}"/>
    <cellStyle name="40% - Accent4 2 7" xfId="1924" xr:uid="{00000000-0005-0000-0000-0000EB050000}"/>
    <cellStyle name="40% - Accent4 2 7 2" xfId="4153" xr:uid="{00000000-0005-0000-0000-0000EC050000}"/>
    <cellStyle name="40% - Accent4 2 7 2 2" xfId="8376" xr:uid="{00000000-0005-0000-0000-0000ED050000}"/>
    <cellStyle name="40% - Accent4 2 7 2 2 2" xfId="16818" xr:uid="{9C1ACC40-18F6-4C12-AB98-939FE9845859}"/>
    <cellStyle name="40% - Accent4 2 7 2 3" xfId="12600" xr:uid="{BE4E5ED3-274F-4023-9D0A-55EDC9EB7226}"/>
    <cellStyle name="40% - Accent4 2 7 3" xfId="6231" xr:uid="{00000000-0005-0000-0000-0000EE050000}"/>
    <cellStyle name="40% - Accent4 2 7 3 2" xfId="14673" xr:uid="{6878EAA4-04AC-4F81-AB60-48396AA1E28E}"/>
    <cellStyle name="40% - Accent4 2 7 4" xfId="10455" xr:uid="{4BB53657-2940-4AF5-B2B1-4A8D638EA6D5}"/>
    <cellStyle name="40% - Accent4 2 8" xfId="2337" xr:uid="{00000000-0005-0000-0000-0000EF050000}"/>
    <cellStyle name="40% - Accent4 2 8 2" xfId="6644" xr:uid="{00000000-0005-0000-0000-0000F0050000}"/>
    <cellStyle name="40% - Accent4 2 8 2 2" xfId="15086" xr:uid="{9036D353-1C08-4EB9-8C51-BB13C6BAFF61}"/>
    <cellStyle name="40% - Accent4 2 8 3" xfId="10868" xr:uid="{A39A43DD-65C1-41C4-AFB5-E26BDD091251}"/>
    <cellStyle name="40% - Accent4 2 9" xfId="4578" xr:uid="{00000000-0005-0000-0000-0000F1050000}"/>
    <cellStyle name="40% - Accent4 2 9 2" xfId="13020" xr:uid="{9CC9F189-25D8-4A2B-953B-B195DC25F23E}"/>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2 2 2" xfId="15584" xr:uid="{3D811081-E57D-43CD-B6E4-0F94167A1A5E}"/>
    <cellStyle name="40% - Accent4 3 2 2 2 3" xfId="11366" xr:uid="{F0FBF713-364A-4165-B7A8-879EA9F21C89}"/>
    <cellStyle name="40% - Accent4 3 2 2 3" xfId="4997" xr:uid="{00000000-0005-0000-0000-0000F7050000}"/>
    <cellStyle name="40% - Accent4 3 2 2 3 2" xfId="13439" xr:uid="{690AB0B0-CB58-4C87-94BF-9A183FAAB1A4}"/>
    <cellStyle name="40% - Accent4 3 2 2 4" xfId="9221" xr:uid="{8DF81136-06F4-4520-9481-4C0F915E36EC}"/>
    <cellStyle name="40% - Accent4 3 2 3" xfId="1101" xr:uid="{00000000-0005-0000-0000-0000F8050000}"/>
    <cellStyle name="40% - Accent4 3 2 3 2" xfId="3332" xr:uid="{00000000-0005-0000-0000-0000F9050000}"/>
    <cellStyle name="40% - Accent4 3 2 3 2 2" xfId="7555" xr:uid="{00000000-0005-0000-0000-0000FA050000}"/>
    <cellStyle name="40% - Accent4 3 2 3 2 2 2" xfId="15997" xr:uid="{8F02B7D1-7042-4D2C-A280-B377FEE36BB1}"/>
    <cellStyle name="40% - Accent4 3 2 3 2 3" xfId="11779" xr:uid="{B7DA9771-A9E0-4C03-B7CF-70BCA901F74A}"/>
    <cellStyle name="40% - Accent4 3 2 3 3" xfId="5410" xr:uid="{00000000-0005-0000-0000-0000FB050000}"/>
    <cellStyle name="40% - Accent4 3 2 3 3 2" xfId="13852" xr:uid="{CE7DDB29-355D-4AA8-AF7F-433F08FD48CF}"/>
    <cellStyle name="40% - Accent4 3 2 3 4" xfId="9634" xr:uid="{EDE356B4-ABBC-4D2F-9E06-977132C83F1F}"/>
    <cellStyle name="40% - Accent4 3 2 4" xfId="1515" xr:uid="{00000000-0005-0000-0000-0000FC050000}"/>
    <cellStyle name="40% - Accent4 3 2 4 2" xfId="3745" xr:uid="{00000000-0005-0000-0000-0000FD050000}"/>
    <cellStyle name="40% - Accent4 3 2 4 2 2" xfId="7968" xr:uid="{00000000-0005-0000-0000-0000FE050000}"/>
    <cellStyle name="40% - Accent4 3 2 4 2 2 2" xfId="16410" xr:uid="{A910B478-2789-45D2-8165-7E88B8547213}"/>
    <cellStyle name="40% - Accent4 3 2 4 2 3" xfId="12192" xr:uid="{B7A599D7-A3C1-4FAE-B4D5-8339F24D2AE7}"/>
    <cellStyle name="40% - Accent4 3 2 4 3" xfId="5823" xr:uid="{00000000-0005-0000-0000-0000FF050000}"/>
    <cellStyle name="40% - Accent4 3 2 4 3 2" xfId="14265" xr:uid="{A7D0CBED-15C0-491D-B967-D3776ECE43A7}"/>
    <cellStyle name="40% - Accent4 3 2 4 4" xfId="10047" xr:uid="{B164B5E4-0915-44B5-8BE2-1810D7E5C94C}"/>
    <cellStyle name="40% - Accent4 3 2 5" xfId="1929" xr:uid="{00000000-0005-0000-0000-000000060000}"/>
    <cellStyle name="40% - Accent4 3 2 5 2" xfId="4158" xr:uid="{00000000-0005-0000-0000-000001060000}"/>
    <cellStyle name="40% - Accent4 3 2 5 2 2" xfId="8381" xr:uid="{00000000-0005-0000-0000-000002060000}"/>
    <cellStyle name="40% - Accent4 3 2 5 2 2 2" xfId="16823" xr:uid="{2B48B7DC-94AC-4328-8A4A-D8DA7E381224}"/>
    <cellStyle name="40% - Accent4 3 2 5 2 3" xfId="12605" xr:uid="{AB7C311D-625A-4206-ABF6-CCE88C44B6AD}"/>
    <cellStyle name="40% - Accent4 3 2 5 3" xfId="6236" xr:uid="{00000000-0005-0000-0000-000003060000}"/>
    <cellStyle name="40% - Accent4 3 2 5 3 2" xfId="14678" xr:uid="{03FDA109-617F-4462-A59C-4F7CD406FEA7}"/>
    <cellStyle name="40% - Accent4 3 2 5 4" xfId="10460" xr:uid="{548F8AB2-13E3-40B1-8C6A-5D0D305E421A}"/>
    <cellStyle name="40% - Accent4 3 2 6" xfId="2342" xr:uid="{00000000-0005-0000-0000-000004060000}"/>
    <cellStyle name="40% - Accent4 3 2 6 2" xfId="6649" xr:uid="{00000000-0005-0000-0000-000005060000}"/>
    <cellStyle name="40% - Accent4 3 2 6 2 2" xfId="15091" xr:uid="{D7804F83-F4C2-4363-AFCF-CB7691D45CB2}"/>
    <cellStyle name="40% - Accent4 3 2 6 3" xfId="10873" xr:uid="{D410AE38-6E9B-4FCE-9678-06A7AA8A5D67}"/>
    <cellStyle name="40% - Accent4 3 2 7" xfId="4583" xr:uid="{00000000-0005-0000-0000-000006060000}"/>
    <cellStyle name="40% - Accent4 3 2 7 2" xfId="13025" xr:uid="{42F87898-9712-48B7-86B8-1C97D8AD4126}"/>
    <cellStyle name="40% - Accent4 3 2 8" xfId="8807" xr:uid="{6B37B08D-3BC9-4A0D-8EA5-094745E32AEE}"/>
    <cellStyle name="40% - Accent4 3 3" xfId="647" xr:uid="{00000000-0005-0000-0000-000007060000}"/>
    <cellStyle name="40% - Accent4 3 3 2" xfId="2918" xr:uid="{00000000-0005-0000-0000-000008060000}"/>
    <cellStyle name="40% - Accent4 3 3 2 2" xfId="7141" xr:uid="{00000000-0005-0000-0000-000009060000}"/>
    <cellStyle name="40% - Accent4 3 3 2 2 2" xfId="15583" xr:uid="{5900734E-1311-4B22-B7FF-B6A3D883532E}"/>
    <cellStyle name="40% - Accent4 3 3 2 3" xfId="11365" xr:uid="{252CD211-03CE-4C4D-8746-546C2FE18E18}"/>
    <cellStyle name="40% - Accent4 3 3 3" xfId="4996" xr:uid="{00000000-0005-0000-0000-00000A060000}"/>
    <cellStyle name="40% - Accent4 3 3 3 2" xfId="13438" xr:uid="{32BC8307-6670-4513-9614-0EF26D80A3FE}"/>
    <cellStyle name="40% - Accent4 3 3 4" xfId="9220" xr:uid="{1223F3AC-0635-4A66-A92E-B832C688D6CC}"/>
    <cellStyle name="40% - Accent4 3 4" xfId="1100" xr:uid="{00000000-0005-0000-0000-00000B060000}"/>
    <cellStyle name="40% - Accent4 3 4 2" xfId="3331" xr:uid="{00000000-0005-0000-0000-00000C060000}"/>
    <cellStyle name="40% - Accent4 3 4 2 2" xfId="7554" xr:uid="{00000000-0005-0000-0000-00000D060000}"/>
    <cellStyle name="40% - Accent4 3 4 2 2 2" xfId="15996" xr:uid="{EC1EF270-F9CF-4EAF-B3B0-B3763BE72992}"/>
    <cellStyle name="40% - Accent4 3 4 2 3" xfId="11778" xr:uid="{BDE5A3DD-4E03-45DE-93CF-FEEECACA38AE}"/>
    <cellStyle name="40% - Accent4 3 4 3" xfId="5409" xr:uid="{00000000-0005-0000-0000-00000E060000}"/>
    <cellStyle name="40% - Accent4 3 4 3 2" xfId="13851" xr:uid="{097B4D2A-5BC7-404A-AE77-F602E72A2187}"/>
    <cellStyle name="40% - Accent4 3 4 4" xfId="9633" xr:uid="{B309F5E4-1F35-4D61-98D4-39FF2F6C7486}"/>
    <cellStyle name="40% - Accent4 3 5" xfId="1514" xr:uid="{00000000-0005-0000-0000-00000F060000}"/>
    <cellStyle name="40% - Accent4 3 5 2" xfId="3744" xr:uid="{00000000-0005-0000-0000-000010060000}"/>
    <cellStyle name="40% - Accent4 3 5 2 2" xfId="7967" xr:uid="{00000000-0005-0000-0000-000011060000}"/>
    <cellStyle name="40% - Accent4 3 5 2 2 2" xfId="16409" xr:uid="{06481C18-6648-46EB-BC3A-F1E0AC4BD222}"/>
    <cellStyle name="40% - Accent4 3 5 2 3" xfId="12191" xr:uid="{46665B79-56D9-44D0-A763-6E721AFE0BF4}"/>
    <cellStyle name="40% - Accent4 3 5 3" xfId="5822" xr:uid="{00000000-0005-0000-0000-000012060000}"/>
    <cellStyle name="40% - Accent4 3 5 3 2" xfId="14264" xr:uid="{B77CD8E1-8F3D-4068-BACD-AD667B4EBF30}"/>
    <cellStyle name="40% - Accent4 3 5 4" xfId="10046" xr:uid="{DFDF4387-5831-4452-8DFB-EE3348483D05}"/>
    <cellStyle name="40% - Accent4 3 6" xfId="1928" xr:uid="{00000000-0005-0000-0000-000013060000}"/>
    <cellStyle name="40% - Accent4 3 6 2" xfId="4157" xr:uid="{00000000-0005-0000-0000-000014060000}"/>
    <cellStyle name="40% - Accent4 3 6 2 2" xfId="8380" xr:uid="{00000000-0005-0000-0000-000015060000}"/>
    <cellStyle name="40% - Accent4 3 6 2 2 2" xfId="16822" xr:uid="{70C88A42-157C-4CEB-ABE5-9CA0A327C3CA}"/>
    <cellStyle name="40% - Accent4 3 6 2 3" xfId="12604" xr:uid="{BFAD5CC9-E7D8-4C20-964F-B5CFF8EDBD83}"/>
    <cellStyle name="40% - Accent4 3 6 3" xfId="6235" xr:uid="{00000000-0005-0000-0000-000016060000}"/>
    <cellStyle name="40% - Accent4 3 6 3 2" xfId="14677" xr:uid="{84E52364-58E4-439F-B18F-7E434F2BB532}"/>
    <cellStyle name="40% - Accent4 3 6 4" xfId="10459" xr:uid="{D5DD6CD7-F31F-4759-B835-770A6CA93DE9}"/>
    <cellStyle name="40% - Accent4 3 7" xfId="2341" xr:uid="{00000000-0005-0000-0000-000017060000}"/>
    <cellStyle name="40% - Accent4 3 7 2" xfId="6648" xr:uid="{00000000-0005-0000-0000-000018060000}"/>
    <cellStyle name="40% - Accent4 3 7 2 2" xfId="15090" xr:uid="{D2ADA6C5-0158-421E-9562-FFF0A1275B5B}"/>
    <cellStyle name="40% - Accent4 3 7 3" xfId="10872" xr:uid="{02581E8E-F6D5-4A50-BE48-263FC525D0C3}"/>
    <cellStyle name="40% - Accent4 3 8" xfId="4582" xr:uid="{00000000-0005-0000-0000-000019060000}"/>
    <cellStyle name="40% - Accent4 3 8 2" xfId="13024" xr:uid="{7418356B-B788-4AF3-BA81-4366A16B01A4}"/>
    <cellStyle name="40% - Accent4 3 9" xfId="8806" xr:uid="{B2746685-7D34-4515-A833-CDFF5262D4B2}"/>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2 2 2" xfId="15585" xr:uid="{8E1B4ED8-4BDA-4467-A8E9-FC1DBDF9EBA3}"/>
    <cellStyle name="40% - Accent4 4 2 2 3" xfId="11367" xr:uid="{196496BF-6FCA-48CD-BC3B-73FC0B577DCB}"/>
    <cellStyle name="40% - Accent4 4 2 3" xfId="4998" xr:uid="{00000000-0005-0000-0000-00001E060000}"/>
    <cellStyle name="40% - Accent4 4 2 3 2" xfId="13440" xr:uid="{95BEE297-46F9-4BFB-B019-ABA0AA20B983}"/>
    <cellStyle name="40% - Accent4 4 2 4" xfId="9222" xr:uid="{09D4A497-9997-47C7-9411-081652B7A5CA}"/>
    <cellStyle name="40% - Accent4 4 3" xfId="1102" xr:uid="{00000000-0005-0000-0000-00001F060000}"/>
    <cellStyle name="40% - Accent4 4 3 2" xfId="3333" xr:uid="{00000000-0005-0000-0000-000020060000}"/>
    <cellStyle name="40% - Accent4 4 3 2 2" xfId="7556" xr:uid="{00000000-0005-0000-0000-000021060000}"/>
    <cellStyle name="40% - Accent4 4 3 2 2 2" xfId="15998" xr:uid="{D4F71149-BF98-46B3-8F0B-CBE1B77DEC55}"/>
    <cellStyle name="40% - Accent4 4 3 2 3" xfId="11780" xr:uid="{35143C22-5E56-4439-BDBE-C39FE26C606D}"/>
    <cellStyle name="40% - Accent4 4 3 3" xfId="5411" xr:uid="{00000000-0005-0000-0000-000022060000}"/>
    <cellStyle name="40% - Accent4 4 3 3 2" xfId="13853" xr:uid="{C549B43D-930E-4834-8B1C-11D68CE4B92C}"/>
    <cellStyle name="40% - Accent4 4 3 4" xfId="9635" xr:uid="{AEE3E831-C628-47C7-9168-CDBDCEFE4E69}"/>
    <cellStyle name="40% - Accent4 4 4" xfId="1516" xr:uid="{00000000-0005-0000-0000-000023060000}"/>
    <cellStyle name="40% - Accent4 4 4 2" xfId="3746" xr:uid="{00000000-0005-0000-0000-000024060000}"/>
    <cellStyle name="40% - Accent4 4 4 2 2" xfId="7969" xr:uid="{00000000-0005-0000-0000-000025060000}"/>
    <cellStyle name="40% - Accent4 4 4 2 2 2" xfId="16411" xr:uid="{13D9E4D7-D9C2-400C-8673-3745841E2AE1}"/>
    <cellStyle name="40% - Accent4 4 4 2 3" xfId="12193" xr:uid="{01E81406-0BE4-4FAE-9640-8DB4BC167185}"/>
    <cellStyle name="40% - Accent4 4 4 3" xfId="5824" xr:uid="{00000000-0005-0000-0000-000026060000}"/>
    <cellStyle name="40% - Accent4 4 4 3 2" xfId="14266" xr:uid="{44080C79-437F-4C7F-9EFE-983EA6AACAC5}"/>
    <cellStyle name="40% - Accent4 4 4 4" xfId="10048" xr:uid="{A27A5AD8-CF76-43E1-AD4F-F0B206AF254D}"/>
    <cellStyle name="40% - Accent4 4 5" xfId="1930" xr:uid="{00000000-0005-0000-0000-000027060000}"/>
    <cellStyle name="40% - Accent4 4 5 2" xfId="4159" xr:uid="{00000000-0005-0000-0000-000028060000}"/>
    <cellStyle name="40% - Accent4 4 5 2 2" xfId="8382" xr:uid="{00000000-0005-0000-0000-000029060000}"/>
    <cellStyle name="40% - Accent4 4 5 2 2 2" xfId="16824" xr:uid="{ED72FA03-BFE1-4D09-A8C6-33713ECF5E40}"/>
    <cellStyle name="40% - Accent4 4 5 2 3" xfId="12606" xr:uid="{C1E91A50-FB69-4070-83FF-D6A7216AF948}"/>
    <cellStyle name="40% - Accent4 4 5 3" xfId="6237" xr:uid="{00000000-0005-0000-0000-00002A060000}"/>
    <cellStyle name="40% - Accent4 4 5 3 2" xfId="14679" xr:uid="{30FB968D-118A-4BBE-9B0B-15AB691B4DA4}"/>
    <cellStyle name="40% - Accent4 4 5 4" xfId="10461" xr:uid="{CFD43FF2-9CCB-4D24-9910-4965C6A0A6DA}"/>
    <cellStyle name="40% - Accent4 4 6" xfId="2343" xr:uid="{00000000-0005-0000-0000-00002B060000}"/>
    <cellStyle name="40% - Accent4 4 6 2" xfId="6650" xr:uid="{00000000-0005-0000-0000-00002C060000}"/>
    <cellStyle name="40% - Accent4 4 6 2 2" xfId="15092" xr:uid="{EE2E3D12-DC01-4F77-BB3B-D1D171EFA154}"/>
    <cellStyle name="40% - Accent4 4 6 3" xfId="10874" xr:uid="{527C1FA8-623A-4A4F-BBED-86DEEF095133}"/>
    <cellStyle name="40% - Accent4 4 7" xfId="4584" xr:uid="{00000000-0005-0000-0000-00002D060000}"/>
    <cellStyle name="40% - Accent4 4 7 2" xfId="13026" xr:uid="{F8794EC0-57B6-444B-B37C-37A0B2746065}"/>
    <cellStyle name="40% - Accent4 4 8" xfId="8808" xr:uid="{22BF806C-13B6-48AB-81A8-90874E52DF04}"/>
    <cellStyle name="40% - Accent4 5" xfId="642" xr:uid="{00000000-0005-0000-0000-00002E060000}"/>
    <cellStyle name="40% - Accent4 5 2" xfId="2913" xr:uid="{00000000-0005-0000-0000-00002F060000}"/>
    <cellStyle name="40% - Accent4 5 2 2" xfId="7136" xr:uid="{00000000-0005-0000-0000-000030060000}"/>
    <cellStyle name="40% - Accent4 5 2 2 2" xfId="15578" xr:uid="{F44B0007-37C3-444C-A3D9-EAD6352C51C5}"/>
    <cellStyle name="40% - Accent4 5 2 3" xfId="11360" xr:uid="{9FA6DDF6-9140-47BF-BE69-6BC6E8ABF2F4}"/>
    <cellStyle name="40% - Accent4 5 3" xfId="4991" xr:uid="{00000000-0005-0000-0000-000031060000}"/>
    <cellStyle name="40% - Accent4 5 3 2" xfId="13433" xr:uid="{662739FE-8E3B-4461-81ED-C17D18958D92}"/>
    <cellStyle name="40% - Accent4 5 4" xfId="9215" xr:uid="{BD6AC5E6-DD4A-4D46-8839-D06047E7CF97}"/>
    <cellStyle name="40% - Accent4 6" xfId="1095" xr:uid="{00000000-0005-0000-0000-000032060000}"/>
    <cellStyle name="40% - Accent4 6 2" xfId="3326" xr:uid="{00000000-0005-0000-0000-000033060000}"/>
    <cellStyle name="40% - Accent4 6 2 2" xfId="7549" xr:uid="{00000000-0005-0000-0000-000034060000}"/>
    <cellStyle name="40% - Accent4 6 2 2 2" xfId="15991" xr:uid="{634865C4-4B92-4447-A5CF-7C5ACC0A5E1A}"/>
    <cellStyle name="40% - Accent4 6 2 3" xfId="11773" xr:uid="{3BF2966B-159B-4CBA-BABE-3112251F8C69}"/>
    <cellStyle name="40% - Accent4 6 3" xfId="5404" xr:uid="{00000000-0005-0000-0000-000035060000}"/>
    <cellStyle name="40% - Accent4 6 3 2" xfId="13846" xr:uid="{10E9B28A-BAC2-44CB-9163-EC2FBFC5E3E9}"/>
    <cellStyle name="40% - Accent4 6 4" xfId="9628" xr:uid="{2A65D19B-9CDD-463D-A724-86546000BF13}"/>
    <cellStyle name="40% - Accent4 7" xfId="1509" xr:uid="{00000000-0005-0000-0000-000036060000}"/>
    <cellStyle name="40% - Accent4 7 2" xfId="3739" xr:uid="{00000000-0005-0000-0000-000037060000}"/>
    <cellStyle name="40% - Accent4 7 2 2" xfId="7962" xr:uid="{00000000-0005-0000-0000-000038060000}"/>
    <cellStyle name="40% - Accent4 7 2 2 2" xfId="16404" xr:uid="{317871A9-483D-468E-9002-DA2494B227DC}"/>
    <cellStyle name="40% - Accent4 7 2 3" xfId="12186" xr:uid="{1150D006-5B0B-4490-B04D-60426AD88025}"/>
    <cellStyle name="40% - Accent4 7 3" xfId="5817" xr:uid="{00000000-0005-0000-0000-000039060000}"/>
    <cellStyle name="40% - Accent4 7 3 2" xfId="14259" xr:uid="{F78C26C5-F3C3-4592-BE59-300654078959}"/>
    <cellStyle name="40% - Accent4 7 4" xfId="10041" xr:uid="{DAD2A137-8DD9-4164-89D5-2BB65F09BE21}"/>
    <cellStyle name="40% - Accent4 8" xfId="1923" xr:uid="{00000000-0005-0000-0000-00003A060000}"/>
    <cellStyle name="40% - Accent4 8 2" xfId="4152" xr:uid="{00000000-0005-0000-0000-00003B060000}"/>
    <cellStyle name="40% - Accent4 8 2 2" xfId="8375" xr:uid="{00000000-0005-0000-0000-00003C060000}"/>
    <cellStyle name="40% - Accent4 8 2 2 2" xfId="16817" xr:uid="{4A6C17E0-59BD-4CC9-9125-4AFE67EAB572}"/>
    <cellStyle name="40% - Accent4 8 2 3" xfId="12599" xr:uid="{5340C714-0112-472C-AC15-8FB1B54CD8B9}"/>
    <cellStyle name="40% - Accent4 8 3" xfId="6230" xr:uid="{00000000-0005-0000-0000-00003D060000}"/>
    <cellStyle name="40% - Accent4 8 3 2" xfId="14672" xr:uid="{1034AFFD-B9CE-40AC-800B-5CF428248615}"/>
    <cellStyle name="40% - Accent4 8 4" xfId="10454" xr:uid="{01DDB4BF-9352-4987-AACB-36C78EEE877E}"/>
    <cellStyle name="40% - Accent4 9" xfId="2336" xr:uid="{00000000-0005-0000-0000-00003E060000}"/>
    <cellStyle name="40% - Accent4 9 2" xfId="6643" xr:uid="{00000000-0005-0000-0000-00003F060000}"/>
    <cellStyle name="40% - Accent4 9 2 2" xfId="15085" xr:uid="{7D638E9D-92D0-4046-9468-0C8438285FDE}"/>
    <cellStyle name="40% - Accent4 9 3" xfId="10867" xr:uid="{B3533453-3104-4327-B451-E78AE254C14B}"/>
    <cellStyle name="40% - Accent5" xfId="81" builtinId="47" customBuiltin="1"/>
    <cellStyle name="40% - Accent5 10" xfId="4585" xr:uid="{00000000-0005-0000-0000-000041060000}"/>
    <cellStyle name="40% - Accent5 10 2" xfId="13027" xr:uid="{014840E8-59B8-4B84-9909-B56C9733C90D}"/>
    <cellStyle name="40% - Accent5 11" xfId="8809" xr:uid="{FD7E0275-BC3F-4185-94CE-C4F0B0FAD682}"/>
    <cellStyle name="40% - Accent5 2" xfId="82" xr:uid="{00000000-0005-0000-0000-000042060000}"/>
    <cellStyle name="40% - Accent5 2 10" xfId="8810" xr:uid="{2EE700B6-2453-4EFF-8074-86556D336C1A}"/>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2 2 2" xfId="15589" xr:uid="{4B99E572-F7E1-4CF7-83FE-B6C52A30FD01}"/>
    <cellStyle name="40% - Accent5 2 2 2 2 2 3" xfId="11371" xr:uid="{E18720E7-20CC-4EC1-9564-956BCF63D252}"/>
    <cellStyle name="40% - Accent5 2 2 2 2 3" xfId="5002" xr:uid="{00000000-0005-0000-0000-000048060000}"/>
    <cellStyle name="40% - Accent5 2 2 2 2 3 2" xfId="13444" xr:uid="{409BAE2E-FE11-49A1-A223-5833066B5406}"/>
    <cellStyle name="40% - Accent5 2 2 2 2 4" xfId="9226" xr:uid="{26DA1F2C-97EF-4939-B209-6A5504FB3C0C}"/>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2 2 2" xfId="16002" xr:uid="{C6B86376-48D8-48FC-B07F-D30BC3D2B7B3}"/>
    <cellStyle name="40% - Accent5 2 2 2 3 2 3" xfId="11784" xr:uid="{2CE55DB7-797F-4B59-BB8D-EFC08019DF8D}"/>
    <cellStyle name="40% - Accent5 2 2 2 3 3" xfId="5415" xr:uid="{00000000-0005-0000-0000-00004C060000}"/>
    <cellStyle name="40% - Accent5 2 2 2 3 3 2" xfId="13857" xr:uid="{C100AAB1-2706-4BED-AD66-6CDE582A3314}"/>
    <cellStyle name="40% - Accent5 2 2 2 3 4" xfId="9639" xr:uid="{B254A9DE-80F6-4E58-8B3C-8E603D8ABC6C}"/>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2 2 2" xfId="16415" xr:uid="{FBAFC54D-321F-4B3E-B0E8-170925777042}"/>
    <cellStyle name="40% - Accent5 2 2 2 4 2 3" xfId="12197" xr:uid="{D95F89A7-04C0-4491-B989-38268FA92EBF}"/>
    <cellStyle name="40% - Accent5 2 2 2 4 3" xfId="5828" xr:uid="{00000000-0005-0000-0000-000050060000}"/>
    <cellStyle name="40% - Accent5 2 2 2 4 3 2" xfId="14270" xr:uid="{6E0E282A-88A9-4334-A12B-22BD6EDDC001}"/>
    <cellStyle name="40% - Accent5 2 2 2 4 4" xfId="10052" xr:uid="{662A84CC-6313-442A-A3DF-BB3B12AFAF03}"/>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2 2 2" xfId="16828" xr:uid="{1552ECBD-722A-4BD9-9DBE-C6430318DC78}"/>
    <cellStyle name="40% - Accent5 2 2 2 5 2 3" xfId="12610" xr:uid="{352D8539-6D20-4BDE-AA84-15A3E34C74BF}"/>
    <cellStyle name="40% - Accent5 2 2 2 5 3" xfId="6241" xr:uid="{00000000-0005-0000-0000-000054060000}"/>
    <cellStyle name="40% - Accent5 2 2 2 5 3 2" xfId="14683" xr:uid="{EEE2AAF8-7765-48D8-81CA-7873B0C35BEE}"/>
    <cellStyle name="40% - Accent5 2 2 2 5 4" xfId="10465" xr:uid="{D5550FFD-C079-4FF9-ABF7-C8FE2ABBB2F0}"/>
    <cellStyle name="40% - Accent5 2 2 2 6" xfId="2347" xr:uid="{00000000-0005-0000-0000-000055060000}"/>
    <cellStyle name="40% - Accent5 2 2 2 6 2" xfId="6654" xr:uid="{00000000-0005-0000-0000-000056060000}"/>
    <cellStyle name="40% - Accent5 2 2 2 6 2 2" xfId="15096" xr:uid="{C02A7D25-3707-4238-83C5-B5E8DEBC9E67}"/>
    <cellStyle name="40% - Accent5 2 2 2 6 3" xfId="10878" xr:uid="{B9A71EEA-B294-40CF-BEF1-541A20318A26}"/>
    <cellStyle name="40% - Accent5 2 2 2 7" xfId="4588" xr:uid="{00000000-0005-0000-0000-000057060000}"/>
    <cellStyle name="40% - Accent5 2 2 2 7 2" xfId="13030" xr:uid="{D107148B-A754-4E9A-89E4-162EE9DA7C0F}"/>
    <cellStyle name="40% - Accent5 2 2 2 8" xfId="8812" xr:uid="{4F81C95D-3594-4BE0-868C-F59BE726F113}"/>
    <cellStyle name="40% - Accent5 2 2 3" xfId="652" xr:uid="{00000000-0005-0000-0000-000058060000}"/>
    <cellStyle name="40% - Accent5 2 2 3 2" xfId="2923" xr:uid="{00000000-0005-0000-0000-000059060000}"/>
    <cellStyle name="40% - Accent5 2 2 3 2 2" xfId="7146" xr:uid="{00000000-0005-0000-0000-00005A060000}"/>
    <cellStyle name="40% - Accent5 2 2 3 2 2 2" xfId="15588" xr:uid="{337F9FBA-27C3-4B69-8CB7-B5EA424F3F73}"/>
    <cellStyle name="40% - Accent5 2 2 3 2 3" xfId="11370" xr:uid="{ED034F46-C424-435C-ADA7-FC4E5F97DCCF}"/>
    <cellStyle name="40% - Accent5 2 2 3 3" xfId="5001" xr:uid="{00000000-0005-0000-0000-00005B060000}"/>
    <cellStyle name="40% - Accent5 2 2 3 3 2" xfId="13443" xr:uid="{ED64156C-AAB3-465F-993D-78FD9B07CB1E}"/>
    <cellStyle name="40% - Accent5 2 2 3 4" xfId="9225" xr:uid="{278AD854-0200-4591-8F12-4C9E361A3213}"/>
    <cellStyle name="40% - Accent5 2 2 4" xfId="1105" xr:uid="{00000000-0005-0000-0000-00005C060000}"/>
    <cellStyle name="40% - Accent5 2 2 4 2" xfId="3336" xr:uid="{00000000-0005-0000-0000-00005D060000}"/>
    <cellStyle name="40% - Accent5 2 2 4 2 2" xfId="7559" xr:uid="{00000000-0005-0000-0000-00005E060000}"/>
    <cellStyle name="40% - Accent5 2 2 4 2 2 2" xfId="16001" xr:uid="{3B58A9B9-CD5F-40EA-ACC8-3524679BACEC}"/>
    <cellStyle name="40% - Accent5 2 2 4 2 3" xfId="11783" xr:uid="{6A9EFFAB-9603-4BBC-8E9F-EE6F95315828}"/>
    <cellStyle name="40% - Accent5 2 2 4 3" xfId="5414" xr:uid="{00000000-0005-0000-0000-00005F060000}"/>
    <cellStyle name="40% - Accent5 2 2 4 3 2" xfId="13856" xr:uid="{B4CE850C-5812-43A2-B9B7-EEDCB6E04B30}"/>
    <cellStyle name="40% - Accent5 2 2 4 4" xfId="9638" xr:uid="{151C2A42-2DB3-4DD7-9F0C-3548D403F9F3}"/>
    <cellStyle name="40% - Accent5 2 2 5" xfId="1519" xr:uid="{00000000-0005-0000-0000-000060060000}"/>
    <cellStyle name="40% - Accent5 2 2 5 2" xfId="3749" xr:uid="{00000000-0005-0000-0000-000061060000}"/>
    <cellStyle name="40% - Accent5 2 2 5 2 2" xfId="7972" xr:uid="{00000000-0005-0000-0000-000062060000}"/>
    <cellStyle name="40% - Accent5 2 2 5 2 2 2" xfId="16414" xr:uid="{BA808B47-EF6B-4E88-9EF1-2077D51F061A}"/>
    <cellStyle name="40% - Accent5 2 2 5 2 3" xfId="12196" xr:uid="{E263A4F6-BB96-430E-B1A1-ED496EFCB3EF}"/>
    <cellStyle name="40% - Accent5 2 2 5 3" xfId="5827" xr:uid="{00000000-0005-0000-0000-000063060000}"/>
    <cellStyle name="40% - Accent5 2 2 5 3 2" xfId="14269" xr:uid="{4B90EBE7-56B0-42DA-8435-AB5C50263A14}"/>
    <cellStyle name="40% - Accent5 2 2 5 4" xfId="10051" xr:uid="{C99B7431-3BF9-474D-A287-A6DEC300D0F8}"/>
    <cellStyle name="40% - Accent5 2 2 6" xfId="1933" xr:uid="{00000000-0005-0000-0000-000064060000}"/>
    <cellStyle name="40% - Accent5 2 2 6 2" xfId="4162" xr:uid="{00000000-0005-0000-0000-000065060000}"/>
    <cellStyle name="40% - Accent5 2 2 6 2 2" xfId="8385" xr:uid="{00000000-0005-0000-0000-000066060000}"/>
    <cellStyle name="40% - Accent5 2 2 6 2 2 2" xfId="16827" xr:uid="{D16AE1CE-BF2A-4D67-930D-077E0A028F2A}"/>
    <cellStyle name="40% - Accent5 2 2 6 2 3" xfId="12609" xr:uid="{262977A8-F9B4-4984-A06D-180353D058B0}"/>
    <cellStyle name="40% - Accent5 2 2 6 3" xfId="6240" xr:uid="{00000000-0005-0000-0000-000067060000}"/>
    <cellStyle name="40% - Accent5 2 2 6 3 2" xfId="14682" xr:uid="{57D13186-BC71-48DC-BE81-FD9AEF1AD611}"/>
    <cellStyle name="40% - Accent5 2 2 6 4" xfId="10464" xr:uid="{AB70E6F2-BD25-4878-BAFA-414220136882}"/>
    <cellStyle name="40% - Accent5 2 2 7" xfId="2346" xr:uid="{00000000-0005-0000-0000-000068060000}"/>
    <cellStyle name="40% - Accent5 2 2 7 2" xfId="6653" xr:uid="{00000000-0005-0000-0000-000069060000}"/>
    <cellStyle name="40% - Accent5 2 2 7 2 2" xfId="15095" xr:uid="{4588862B-F7D1-4244-8D8C-79B5CC6E9089}"/>
    <cellStyle name="40% - Accent5 2 2 7 3" xfId="10877" xr:uid="{37B56D49-EB98-4BDD-B297-CC23F53A13A3}"/>
    <cellStyle name="40% - Accent5 2 2 8" xfId="4587" xr:uid="{00000000-0005-0000-0000-00006A060000}"/>
    <cellStyle name="40% - Accent5 2 2 8 2" xfId="13029" xr:uid="{864A2088-BC8E-4C4A-9862-63F9DB187601}"/>
    <cellStyle name="40% - Accent5 2 2 9" xfId="8811" xr:uid="{FF120515-9A06-4963-8FAA-0DDC5C707949}"/>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2 2 2" xfId="15590" xr:uid="{36CDA39D-399F-4DE6-9248-FB6ADAA4F757}"/>
    <cellStyle name="40% - Accent5 2 3 2 2 3" xfId="11372" xr:uid="{E49AFD6D-B1C7-41D4-A9AE-FBC29CCF9555}"/>
    <cellStyle name="40% - Accent5 2 3 2 3" xfId="5003" xr:uid="{00000000-0005-0000-0000-00006F060000}"/>
    <cellStyle name="40% - Accent5 2 3 2 3 2" xfId="13445" xr:uid="{3BFA1F72-F172-4A48-9BEB-7D78CDAE67DA}"/>
    <cellStyle name="40% - Accent5 2 3 2 4" xfId="9227" xr:uid="{19D2A620-40F0-4BC6-9567-942B2F4C0742}"/>
    <cellStyle name="40% - Accent5 2 3 3" xfId="1107" xr:uid="{00000000-0005-0000-0000-000070060000}"/>
    <cellStyle name="40% - Accent5 2 3 3 2" xfId="3338" xr:uid="{00000000-0005-0000-0000-000071060000}"/>
    <cellStyle name="40% - Accent5 2 3 3 2 2" xfId="7561" xr:uid="{00000000-0005-0000-0000-000072060000}"/>
    <cellStyle name="40% - Accent5 2 3 3 2 2 2" xfId="16003" xr:uid="{68F67F18-0708-4B0A-BEE5-C4798D3F5D42}"/>
    <cellStyle name="40% - Accent5 2 3 3 2 3" xfId="11785" xr:uid="{B0A3EAF5-4EF5-4CC6-95A7-832FD8A95BC6}"/>
    <cellStyle name="40% - Accent5 2 3 3 3" xfId="5416" xr:uid="{00000000-0005-0000-0000-000073060000}"/>
    <cellStyle name="40% - Accent5 2 3 3 3 2" xfId="13858" xr:uid="{6FB9CB88-E77F-40C3-AAFB-210A1BC1E692}"/>
    <cellStyle name="40% - Accent5 2 3 3 4" xfId="9640" xr:uid="{13C3FA64-8B68-484E-A936-DD8E2E029FE1}"/>
    <cellStyle name="40% - Accent5 2 3 4" xfId="1521" xr:uid="{00000000-0005-0000-0000-000074060000}"/>
    <cellStyle name="40% - Accent5 2 3 4 2" xfId="3751" xr:uid="{00000000-0005-0000-0000-000075060000}"/>
    <cellStyle name="40% - Accent5 2 3 4 2 2" xfId="7974" xr:uid="{00000000-0005-0000-0000-000076060000}"/>
    <cellStyle name="40% - Accent5 2 3 4 2 2 2" xfId="16416" xr:uid="{EDDB6C27-58F4-492F-8263-5A40BCA88BE3}"/>
    <cellStyle name="40% - Accent5 2 3 4 2 3" xfId="12198" xr:uid="{6965522A-51BD-46BE-A2A8-A6A9ACDF6FC7}"/>
    <cellStyle name="40% - Accent5 2 3 4 3" xfId="5829" xr:uid="{00000000-0005-0000-0000-000077060000}"/>
    <cellStyle name="40% - Accent5 2 3 4 3 2" xfId="14271" xr:uid="{02A8A34A-F3A8-4C1C-A95C-C511155D1C1F}"/>
    <cellStyle name="40% - Accent5 2 3 4 4" xfId="10053" xr:uid="{1B41B269-F2FA-4173-98FF-6F8E3ACD8F73}"/>
    <cellStyle name="40% - Accent5 2 3 5" xfId="1935" xr:uid="{00000000-0005-0000-0000-000078060000}"/>
    <cellStyle name="40% - Accent5 2 3 5 2" xfId="4164" xr:uid="{00000000-0005-0000-0000-000079060000}"/>
    <cellStyle name="40% - Accent5 2 3 5 2 2" xfId="8387" xr:uid="{00000000-0005-0000-0000-00007A060000}"/>
    <cellStyle name="40% - Accent5 2 3 5 2 2 2" xfId="16829" xr:uid="{5137AD59-F78C-4FED-819E-3525AC6BCD92}"/>
    <cellStyle name="40% - Accent5 2 3 5 2 3" xfId="12611" xr:uid="{8C246C2C-A002-4841-B4FF-178478B2F0C9}"/>
    <cellStyle name="40% - Accent5 2 3 5 3" xfId="6242" xr:uid="{00000000-0005-0000-0000-00007B060000}"/>
    <cellStyle name="40% - Accent5 2 3 5 3 2" xfId="14684" xr:uid="{6B5F6418-3450-43E4-8D67-DD3D7B3678C7}"/>
    <cellStyle name="40% - Accent5 2 3 5 4" xfId="10466" xr:uid="{7CB496D5-CD53-4C62-BBC5-8B353E2FBBAE}"/>
    <cellStyle name="40% - Accent5 2 3 6" xfId="2348" xr:uid="{00000000-0005-0000-0000-00007C060000}"/>
    <cellStyle name="40% - Accent5 2 3 6 2" xfId="6655" xr:uid="{00000000-0005-0000-0000-00007D060000}"/>
    <cellStyle name="40% - Accent5 2 3 6 2 2" xfId="15097" xr:uid="{DA88DBD3-6223-475B-81A9-D7DB2F7CB0AC}"/>
    <cellStyle name="40% - Accent5 2 3 6 3" xfId="10879" xr:uid="{AB14F043-2C18-4624-B0ED-E40675A6979B}"/>
    <cellStyle name="40% - Accent5 2 3 7" xfId="4589" xr:uid="{00000000-0005-0000-0000-00007E060000}"/>
    <cellStyle name="40% - Accent5 2 3 7 2" xfId="13031" xr:uid="{617C9A0D-3297-417C-AA9D-CA2A2A9D7857}"/>
    <cellStyle name="40% - Accent5 2 3 8" xfId="8813" xr:uid="{9167DF21-135C-4966-8477-754CF1605F19}"/>
    <cellStyle name="40% - Accent5 2 4" xfId="651" xr:uid="{00000000-0005-0000-0000-00007F060000}"/>
    <cellStyle name="40% - Accent5 2 4 2" xfId="2922" xr:uid="{00000000-0005-0000-0000-000080060000}"/>
    <cellStyle name="40% - Accent5 2 4 2 2" xfId="7145" xr:uid="{00000000-0005-0000-0000-000081060000}"/>
    <cellStyle name="40% - Accent5 2 4 2 2 2" xfId="15587" xr:uid="{50D6CA7B-CEDE-4CB9-A1B7-EFDBDAA9EB59}"/>
    <cellStyle name="40% - Accent5 2 4 2 3" xfId="11369" xr:uid="{F6A9C2B2-8E99-48F4-8E04-9F4F12D29C9F}"/>
    <cellStyle name="40% - Accent5 2 4 3" xfId="5000" xr:uid="{00000000-0005-0000-0000-000082060000}"/>
    <cellStyle name="40% - Accent5 2 4 3 2" xfId="13442" xr:uid="{C0E99804-C51C-4124-A98E-D6609683570E}"/>
    <cellStyle name="40% - Accent5 2 4 4" xfId="9224" xr:uid="{A7966556-F88A-4B6B-BA7C-A6512BB16DAB}"/>
    <cellStyle name="40% - Accent5 2 5" xfId="1104" xr:uid="{00000000-0005-0000-0000-000083060000}"/>
    <cellStyle name="40% - Accent5 2 5 2" xfId="3335" xr:uid="{00000000-0005-0000-0000-000084060000}"/>
    <cellStyle name="40% - Accent5 2 5 2 2" xfId="7558" xr:uid="{00000000-0005-0000-0000-000085060000}"/>
    <cellStyle name="40% - Accent5 2 5 2 2 2" xfId="16000" xr:uid="{0F85322C-FC50-4FA5-985A-8240F0B2279C}"/>
    <cellStyle name="40% - Accent5 2 5 2 3" xfId="11782" xr:uid="{55199E31-F7A0-459A-8394-7F1C167CAF23}"/>
    <cellStyle name="40% - Accent5 2 5 3" xfId="5413" xr:uid="{00000000-0005-0000-0000-000086060000}"/>
    <cellStyle name="40% - Accent5 2 5 3 2" xfId="13855" xr:uid="{BBA67013-ECE9-4AE7-98C1-BEEA44379E9C}"/>
    <cellStyle name="40% - Accent5 2 5 4" xfId="9637" xr:uid="{E5779850-D1F6-4A51-B96B-194E9665F837}"/>
    <cellStyle name="40% - Accent5 2 6" xfId="1518" xr:uid="{00000000-0005-0000-0000-000087060000}"/>
    <cellStyle name="40% - Accent5 2 6 2" xfId="3748" xr:uid="{00000000-0005-0000-0000-000088060000}"/>
    <cellStyle name="40% - Accent5 2 6 2 2" xfId="7971" xr:uid="{00000000-0005-0000-0000-000089060000}"/>
    <cellStyle name="40% - Accent5 2 6 2 2 2" xfId="16413" xr:uid="{4C69BB1B-9C6E-42A6-8F76-E119C3E8C8C3}"/>
    <cellStyle name="40% - Accent5 2 6 2 3" xfId="12195" xr:uid="{6724C47D-4341-47EE-8245-677E5DD0B0EC}"/>
    <cellStyle name="40% - Accent5 2 6 3" xfId="5826" xr:uid="{00000000-0005-0000-0000-00008A060000}"/>
    <cellStyle name="40% - Accent5 2 6 3 2" xfId="14268" xr:uid="{7C886A9F-11AC-41DF-928D-BB22DB91F200}"/>
    <cellStyle name="40% - Accent5 2 6 4" xfId="10050" xr:uid="{1B7C3A4A-119C-491F-ADCC-640FDC448F49}"/>
    <cellStyle name="40% - Accent5 2 7" xfId="1932" xr:uid="{00000000-0005-0000-0000-00008B060000}"/>
    <cellStyle name="40% - Accent5 2 7 2" xfId="4161" xr:uid="{00000000-0005-0000-0000-00008C060000}"/>
    <cellStyle name="40% - Accent5 2 7 2 2" xfId="8384" xr:uid="{00000000-0005-0000-0000-00008D060000}"/>
    <cellStyle name="40% - Accent5 2 7 2 2 2" xfId="16826" xr:uid="{0DF4364F-3C3F-450B-8E63-A1848CA0DC0C}"/>
    <cellStyle name="40% - Accent5 2 7 2 3" xfId="12608" xr:uid="{01087E1C-3709-4712-B9CC-D90F913775C6}"/>
    <cellStyle name="40% - Accent5 2 7 3" xfId="6239" xr:uid="{00000000-0005-0000-0000-00008E060000}"/>
    <cellStyle name="40% - Accent5 2 7 3 2" xfId="14681" xr:uid="{E9CECA19-295E-439C-BDF9-D4934FAE5FA2}"/>
    <cellStyle name="40% - Accent5 2 7 4" xfId="10463" xr:uid="{45981223-B184-4F53-9919-1C86E943B139}"/>
    <cellStyle name="40% - Accent5 2 8" xfId="2345" xr:uid="{00000000-0005-0000-0000-00008F060000}"/>
    <cellStyle name="40% - Accent5 2 8 2" xfId="6652" xr:uid="{00000000-0005-0000-0000-000090060000}"/>
    <cellStyle name="40% - Accent5 2 8 2 2" xfId="15094" xr:uid="{823AD25C-1E50-4CB6-957E-A4BEEA8656E4}"/>
    <cellStyle name="40% - Accent5 2 8 3" xfId="10876" xr:uid="{B792C865-F90B-4382-BA14-A40EEFBA6FC0}"/>
    <cellStyle name="40% - Accent5 2 9" xfId="4586" xr:uid="{00000000-0005-0000-0000-000091060000}"/>
    <cellStyle name="40% - Accent5 2 9 2" xfId="13028" xr:uid="{22FA444F-FA07-4F24-A768-E617847E5457}"/>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2 2 2" xfId="15592" xr:uid="{990D9BE6-6A19-4D41-A149-4FDDF1A47090}"/>
    <cellStyle name="40% - Accent5 3 2 2 2 3" xfId="11374" xr:uid="{764A2E1F-1199-4FDD-8AEC-75D8E0D51E80}"/>
    <cellStyle name="40% - Accent5 3 2 2 3" xfId="5005" xr:uid="{00000000-0005-0000-0000-000097060000}"/>
    <cellStyle name="40% - Accent5 3 2 2 3 2" xfId="13447" xr:uid="{CEF9C350-5A1F-4712-8C71-9D89171574DD}"/>
    <cellStyle name="40% - Accent5 3 2 2 4" xfId="9229" xr:uid="{4D0AC4D8-F87A-48B2-873E-E6941B5ED988}"/>
    <cellStyle name="40% - Accent5 3 2 3" xfId="1109" xr:uid="{00000000-0005-0000-0000-000098060000}"/>
    <cellStyle name="40% - Accent5 3 2 3 2" xfId="3340" xr:uid="{00000000-0005-0000-0000-000099060000}"/>
    <cellStyle name="40% - Accent5 3 2 3 2 2" xfId="7563" xr:uid="{00000000-0005-0000-0000-00009A060000}"/>
    <cellStyle name="40% - Accent5 3 2 3 2 2 2" xfId="16005" xr:uid="{44265963-5176-4A4D-A8F1-4EB42E25E9C6}"/>
    <cellStyle name="40% - Accent5 3 2 3 2 3" xfId="11787" xr:uid="{97E37129-368B-4557-87F4-1BF2F8FA3131}"/>
    <cellStyle name="40% - Accent5 3 2 3 3" xfId="5418" xr:uid="{00000000-0005-0000-0000-00009B060000}"/>
    <cellStyle name="40% - Accent5 3 2 3 3 2" xfId="13860" xr:uid="{C8B0E5A3-60D1-486D-830A-A45B5885BA20}"/>
    <cellStyle name="40% - Accent5 3 2 3 4" xfId="9642" xr:uid="{CBED092A-314A-41F1-8330-90EE38F5D7C7}"/>
    <cellStyle name="40% - Accent5 3 2 4" xfId="1523" xr:uid="{00000000-0005-0000-0000-00009C060000}"/>
    <cellStyle name="40% - Accent5 3 2 4 2" xfId="3753" xr:uid="{00000000-0005-0000-0000-00009D060000}"/>
    <cellStyle name="40% - Accent5 3 2 4 2 2" xfId="7976" xr:uid="{00000000-0005-0000-0000-00009E060000}"/>
    <cellStyle name="40% - Accent5 3 2 4 2 2 2" xfId="16418" xr:uid="{2A5D0D91-2A6E-467F-B273-3BC51118F900}"/>
    <cellStyle name="40% - Accent5 3 2 4 2 3" xfId="12200" xr:uid="{B2E999E6-2333-493B-9EDA-1A53E00B0873}"/>
    <cellStyle name="40% - Accent5 3 2 4 3" xfId="5831" xr:uid="{00000000-0005-0000-0000-00009F060000}"/>
    <cellStyle name="40% - Accent5 3 2 4 3 2" xfId="14273" xr:uid="{80EDA307-ADCB-4A87-B0BA-7BD6948CD3B4}"/>
    <cellStyle name="40% - Accent5 3 2 4 4" xfId="10055" xr:uid="{5C656476-7140-442B-AFFC-3BE280E37C82}"/>
    <cellStyle name="40% - Accent5 3 2 5" xfId="1937" xr:uid="{00000000-0005-0000-0000-0000A0060000}"/>
    <cellStyle name="40% - Accent5 3 2 5 2" xfId="4166" xr:uid="{00000000-0005-0000-0000-0000A1060000}"/>
    <cellStyle name="40% - Accent5 3 2 5 2 2" xfId="8389" xr:uid="{00000000-0005-0000-0000-0000A2060000}"/>
    <cellStyle name="40% - Accent5 3 2 5 2 2 2" xfId="16831" xr:uid="{582BFB40-B62D-459D-8424-1B94409172F1}"/>
    <cellStyle name="40% - Accent5 3 2 5 2 3" xfId="12613" xr:uid="{B88E3CD9-64C6-4663-90BC-B86A3FD99489}"/>
    <cellStyle name="40% - Accent5 3 2 5 3" xfId="6244" xr:uid="{00000000-0005-0000-0000-0000A3060000}"/>
    <cellStyle name="40% - Accent5 3 2 5 3 2" xfId="14686" xr:uid="{B18E6B7D-A309-49B7-8FBA-F3C1CB09ADA2}"/>
    <cellStyle name="40% - Accent5 3 2 5 4" xfId="10468" xr:uid="{C8AA2A1B-B96F-413C-8636-5AFD53CDEDC9}"/>
    <cellStyle name="40% - Accent5 3 2 6" xfId="2350" xr:uid="{00000000-0005-0000-0000-0000A4060000}"/>
    <cellStyle name="40% - Accent5 3 2 6 2" xfId="6657" xr:uid="{00000000-0005-0000-0000-0000A5060000}"/>
    <cellStyle name="40% - Accent5 3 2 6 2 2" xfId="15099" xr:uid="{CE3C20A8-C742-4CCC-89D0-98775017B83D}"/>
    <cellStyle name="40% - Accent5 3 2 6 3" xfId="10881" xr:uid="{D94B25B4-767E-4B2D-83CF-83C396931F05}"/>
    <cellStyle name="40% - Accent5 3 2 7" xfId="4591" xr:uid="{00000000-0005-0000-0000-0000A6060000}"/>
    <cellStyle name="40% - Accent5 3 2 7 2" xfId="13033" xr:uid="{70ED1355-F7C2-46B5-9387-6DD216596D6B}"/>
    <cellStyle name="40% - Accent5 3 2 8" xfId="8815" xr:uid="{B4264D53-EE36-4CC4-A7FF-02B4CEE8A288}"/>
    <cellStyle name="40% - Accent5 3 3" xfId="655" xr:uid="{00000000-0005-0000-0000-0000A7060000}"/>
    <cellStyle name="40% - Accent5 3 3 2" xfId="2926" xr:uid="{00000000-0005-0000-0000-0000A8060000}"/>
    <cellStyle name="40% - Accent5 3 3 2 2" xfId="7149" xr:uid="{00000000-0005-0000-0000-0000A9060000}"/>
    <cellStyle name="40% - Accent5 3 3 2 2 2" xfId="15591" xr:uid="{38E7C86A-AA1E-4C76-BF06-5D10B29BAF2F}"/>
    <cellStyle name="40% - Accent5 3 3 2 3" xfId="11373" xr:uid="{E576EED7-93BF-438C-9954-D84E22BEE007}"/>
    <cellStyle name="40% - Accent5 3 3 3" xfId="5004" xr:uid="{00000000-0005-0000-0000-0000AA060000}"/>
    <cellStyle name="40% - Accent5 3 3 3 2" xfId="13446" xr:uid="{9753D2F1-E545-474D-8948-49E0C19DC64F}"/>
    <cellStyle name="40% - Accent5 3 3 4" xfId="9228" xr:uid="{9608F824-1CF9-4382-A08C-ABFB77ACF0B2}"/>
    <cellStyle name="40% - Accent5 3 4" xfId="1108" xr:uid="{00000000-0005-0000-0000-0000AB060000}"/>
    <cellStyle name="40% - Accent5 3 4 2" xfId="3339" xr:uid="{00000000-0005-0000-0000-0000AC060000}"/>
    <cellStyle name="40% - Accent5 3 4 2 2" xfId="7562" xr:uid="{00000000-0005-0000-0000-0000AD060000}"/>
    <cellStyle name="40% - Accent5 3 4 2 2 2" xfId="16004" xr:uid="{037515E8-1A09-4A7A-B098-8D5F77960FC3}"/>
    <cellStyle name="40% - Accent5 3 4 2 3" xfId="11786" xr:uid="{8DDF1090-FDDF-40C8-A0C0-132523807A49}"/>
    <cellStyle name="40% - Accent5 3 4 3" xfId="5417" xr:uid="{00000000-0005-0000-0000-0000AE060000}"/>
    <cellStyle name="40% - Accent5 3 4 3 2" xfId="13859" xr:uid="{AA018714-35B9-4808-9196-A60A2B5BF151}"/>
    <cellStyle name="40% - Accent5 3 4 4" xfId="9641" xr:uid="{F125CCC9-33B0-42DD-A593-BAA29C320A63}"/>
    <cellStyle name="40% - Accent5 3 5" xfId="1522" xr:uid="{00000000-0005-0000-0000-0000AF060000}"/>
    <cellStyle name="40% - Accent5 3 5 2" xfId="3752" xr:uid="{00000000-0005-0000-0000-0000B0060000}"/>
    <cellStyle name="40% - Accent5 3 5 2 2" xfId="7975" xr:uid="{00000000-0005-0000-0000-0000B1060000}"/>
    <cellStyle name="40% - Accent5 3 5 2 2 2" xfId="16417" xr:uid="{436BAD5B-A3B6-40C8-87E8-9C45AD9B19D0}"/>
    <cellStyle name="40% - Accent5 3 5 2 3" xfId="12199" xr:uid="{12B747CA-708B-4025-85C5-FD2587F1CE97}"/>
    <cellStyle name="40% - Accent5 3 5 3" xfId="5830" xr:uid="{00000000-0005-0000-0000-0000B2060000}"/>
    <cellStyle name="40% - Accent5 3 5 3 2" xfId="14272" xr:uid="{4E5A6146-895D-4964-8341-182E1341BFCC}"/>
    <cellStyle name="40% - Accent5 3 5 4" xfId="10054" xr:uid="{F397678B-F249-40D2-8C36-C2403B6C2D0E}"/>
    <cellStyle name="40% - Accent5 3 6" xfId="1936" xr:uid="{00000000-0005-0000-0000-0000B3060000}"/>
    <cellStyle name="40% - Accent5 3 6 2" xfId="4165" xr:uid="{00000000-0005-0000-0000-0000B4060000}"/>
    <cellStyle name="40% - Accent5 3 6 2 2" xfId="8388" xr:uid="{00000000-0005-0000-0000-0000B5060000}"/>
    <cellStyle name="40% - Accent5 3 6 2 2 2" xfId="16830" xr:uid="{78F95C04-3007-4A88-86FC-C8CA5495888B}"/>
    <cellStyle name="40% - Accent5 3 6 2 3" xfId="12612" xr:uid="{AF85BD5E-57DB-4059-B3AB-4350B8DDEC7A}"/>
    <cellStyle name="40% - Accent5 3 6 3" xfId="6243" xr:uid="{00000000-0005-0000-0000-0000B6060000}"/>
    <cellStyle name="40% - Accent5 3 6 3 2" xfId="14685" xr:uid="{55C7653E-B747-4D3D-B77E-9F37C6E1599C}"/>
    <cellStyle name="40% - Accent5 3 6 4" xfId="10467" xr:uid="{5271785C-A7D8-47BD-AFF8-64EFEA4E63FB}"/>
    <cellStyle name="40% - Accent5 3 7" xfId="2349" xr:uid="{00000000-0005-0000-0000-0000B7060000}"/>
    <cellStyle name="40% - Accent5 3 7 2" xfId="6656" xr:uid="{00000000-0005-0000-0000-0000B8060000}"/>
    <cellStyle name="40% - Accent5 3 7 2 2" xfId="15098" xr:uid="{6E8C3740-A99B-4B9D-8A24-2B99AE19E87D}"/>
    <cellStyle name="40% - Accent5 3 7 3" xfId="10880" xr:uid="{71A5B4E3-8132-497D-B954-1BCECF5B2E4F}"/>
    <cellStyle name="40% - Accent5 3 8" xfId="4590" xr:uid="{00000000-0005-0000-0000-0000B9060000}"/>
    <cellStyle name="40% - Accent5 3 8 2" xfId="13032" xr:uid="{8AE77F88-47D9-4E7B-91EF-0189AB581C43}"/>
    <cellStyle name="40% - Accent5 3 9" xfId="8814" xr:uid="{D49FEFF0-B723-4FDA-891D-01B24325F894}"/>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2 2 2" xfId="15593" xr:uid="{6BBD9DE9-6A2B-4880-82BC-F3AA57A2AE7E}"/>
    <cellStyle name="40% - Accent5 4 2 2 3" xfId="11375" xr:uid="{EFC558C8-7BCC-4609-8E67-D0DA9D1D42CC}"/>
    <cellStyle name="40% - Accent5 4 2 3" xfId="5006" xr:uid="{00000000-0005-0000-0000-0000BE060000}"/>
    <cellStyle name="40% - Accent5 4 2 3 2" xfId="13448" xr:uid="{963CCD30-1750-412A-AA4F-36E3D8A8FE43}"/>
    <cellStyle name="40% - Accent5 4 2 4" xfId="9230" xr:uid="{907FDE3E-4D88-4AA5-A69F-5A576F39D99D}"/>
    <cellStyle name="40% - Accent5 4 3" xfId="1110" xr:uid="{00000000-0005-0000-0000-0000BF060000}"/>
    <cellStyle name="40% - Accent5 4 3 2" xfId="3341" xr:uid="{00000000-0005-0000-0000-0000C0060000}"/>
    <cellStyle name="40% - Accent5 4 3 2 2" xfId="7564" xr:uid="{00000000-0005-0000-0000-0000C1060000}"/>
    <cellStyle name="40% - Accent5 4 3 2 2 2" xfId="16006" xr:uid="{BADA53C3-42A0-42B5-8D38-BC05D526913B}"/>
    <cellStyle name="40% - Accent5 4 3 2 3" xfId="11788" xr:uid="{3FE50D44-92B8-4FE2-BC5A-4C9A17B11D59}"/>
    <cellStyle name="40% - Accent5 4 3 3" xfId="5419" xr:uid="{00000000-0005-0000-0000-0000C2060000}"/>
    <cellStyle name="40% - Accent5 4 3 3 2" xfId="13861" xr:uid="{748951F9-9F89-4A52-90C8-64CEEE9F546A}"/>
    <cellStyle name="40% - Accent5 4 3 4" xfId="9643" xr:uid="{9F53187A-4117-4CC7-A822-1A202169D35A}"/>
    <cellStyle name="40% - Accent5 4 4" xfId="1524" xr:uid="{00000000-0005-0000-0000-0000C3060000}"/>
    <cellStyle name="40% - Accent5 4 4 2" xfId="3754" xr:uid="{00000000-0005-0000-0000-0000C4060000}"/>
    <cellStyle name="40% - Accent5 4 4 2 2" xfId="7977" xr:uid="{00000000-0005-0000-0000-0000C5060000}"/>
    <cellStyle name="40% - Accent5 4 4 2 2 2" xfId="16419" xr:uid="{F1461890-A68A-4C9E-86A5-E2F17AEAC0A1}"/>
    <cellStyle name="40% - Accent5 4 4 2 3" xfId="12201" xr:uid="{65D1C412-2B97-45EE-9DF7-501184FBB1F9}"/>
    <cellStyle name="40% - Accent5 4 4 3" xfId="5832" xr:uid="{00000000-0005-0000-0000-0000C6060000}"/>
    <cellStyle name="40% - Accent5 4 4 3 2" xfId="14274" xr:uid="{7C852953-2091-4710-A371-213C5C297DD4}"/>
    <cellStyle name="40% - Accent5 4 4 4" xfId="10056" xr:uid="{45E045F5-0B26-4102-998F-81E1C0108B7F}"/>
    <cellStyle name="40% - Accent5 4 5" xfId="1938" xr:uid="{00000000-0005-0000-0000-0000C7060000}"/>
    <cellStyle name="40% - Accent5 4 5 2" xfId="4167" xr:uid="{00000000-0005-0000-0000-0000C8060000}"/>
    <cellStyle name="40% - Accent5 4 5 2 2" xfId="8390" xr:uid="{00000000-0005-0000-0000-0000C9060000}"/>
    <cellStyle name="40% - Accent5 4 5 2 2 2" xfId="16832" xr:uid="{63AC6286-3B72-4656-BA86-3834D5CCD917}"/>
    <cellStyle name="40% - Accent5 4 5 2 3" xfId="12614" xr:uid="{B3AA76E1-32DD-4105-80C2-CBEB7A6E0CE8}"/>
    <cellStyle name="40% - Accent5 4 5 3" xfId="6245" xr:uid="{00000000-0005-0000-0000-0000CA060000}"/>
    <cellStyle name="40% - Accent5 4 5 3 2" xfId="14687" xr:uid="{40D5FBB5-2A4C-45DF-B18C-35B42281F47F}"/>
    <cellStyle name="40% - Accent5 4 5 4" xfId="10469" xr:uid="{B5C6B21B-6D34-403D-9A79-E3A108C350E4}"/>
    <cellStyle name="40% - Accent5 4 6" xfId="2351" xr:uid="{00000000-0005-0000-0000-0000CB060000}"/>
    <cellStyle name="40% - Accent5 4 6 2" xfId="6658" xr:uid="{00000000-0005-0000-0000-0000CC060000}"/>
    <cellStyle name="40% - Accent5 4 6 2 2" xfId="15100" xr:uid="{B23E11AD-8319-43CE-A220-A81D613ED10F}"/>
    <cellStyle name="40% - Accent5 4 6 3" xfId="10882" xr:uid="{A437FD64-D92B-424F-BE88-9FA9519A68C9}"/>
    <cellStyle name="40% - Accent5 4 7" xfId="4592" xr:uid="{00000000-0005-0000-0000-0000CD060000}"/>
    <cellStyle name="40% - Accent5 4 7 2" xfId="13034" xr:uid="{5875F74D-56A6-42B0-9B40-1C222C8E2920}"/>
    <cellStyle name="40% - Accent5 4 8" xfId="8816" xr:uid="{BFB6C4EB-D549-4D26-AFD3-62277F8249DA}"/>
    <cellStyle name="40% - Accent5 5" xfId="650" xr:uid="{00000000-0005-0000-0000-0000CE060000}"/>
    <cellStyle name="40% - Accent5 5 2" xfId="2921" xr:uid="{00000000-0005-0000-0000-0000CF060000}"/>
    <cellStyle name="40% - Accent5 5 2 2" xfId="7144" xr:uid="{00000000-0005-0000-0000-0000D0060000}"/>
    <cellStyle name="40% - Accent5 5 2 2 2" xfId="15586" xr:uid="{57EC1629-71BD-41DC-B811-5BB466F639C7}"/>
    <cellStyle name="40% - Accent5 5 2 3" xfId="11368" xr:uid="{CC57521B-C45D-403D-A095-3108484DF00B}"/>
    <cellStyle name="40% - Accent5 5 3" xfId="4999" xr:uid="{00000000-0005-0000-0000-0000D1060000}"/>
    <cellStyle name="40% - Accent5 5 3 2" xfId="13441" xr:uid="{8589067B-AEFB-4DCB-B729-57D03DD7D866}"/>
    <cellStyle name="40% - Accent5 5 4" xfId="9223" xr:uid="{CC2FA8E6-2C45-4849-99B9-AD364E9B3394}"/>
    <cellStyle name="40% - Accent5 6" xfId="1103" xr:uid="{00000000-0005-0000-0000-0000D2060000}"/>
    <cellStyle name="40% - Accent5 6 2" xfId="3334" xr:uid="{00000000-0005-0000-0000-0000D3060000}"/>
    <cellStyle name="40% - Accent5 6 2 2" xfId="7557" xr:uid="{00000000-0005-0000-0000-0000D4060000}"/>
    <cellStyle name="40% - Accent5 6 2 2 2" xfId="15999" xr:uid="{CFC6DE96-4A63-4356-B754-C1F3259AEAB5}"/>
    <cellStyle name="40% - Accent5 6 2 3" xfId="11781" xr:uid="{3EE0629B-7693-48A5-A6E6-03312BB247EE}"/>
    <cellStyle name="40% - Accent5 6 3" xfId="5412" xr:uid="{00000000-0005-0000-0000-0000D5060000}"/>
    <cellStyle name="40% - Accent5 6 3 2" xfId="13854" xr:uid="{84224929-7016-414B-9AD3-BE4D541BAEEB}"/>
    <cellStyle name="40% - Accent5 6 4" xfId="9636" xr:uid="{2D1E7A71-2032-49F6-A914-154770F8940D}"/>
    <cellStyle name="40% - Accent5 7" xfId="1517" xr:uid="{00000000-0005-0000-0000-0000D6060000}"/>
    <cellStyle name="40% - Accent5 7 2" xfId="3747" xr:uid="{00000000-0005-0000-0000-0000D7060000}"/>
    <cellStyle name="40% - Accent5 7 2 2" xfId="7970" xr:uid="{00000000-0005-0000-0000-0000D8060000}"/>
    <cellStyle name="40% - Accent5 7 2 2 2" xfId="16412" xr:uid="{49A8A2AB-81F5-4865-94F8-1CEE0BEA6F41}"/>
    <cellStyle name="40% - Accent5 7 2 3" xfId="12194" xr:uid="{976D9E22-84B9-4F8B-9DBF-4B887C262983}"/>
    <cellStyle name="40% - Accent5 7 3" xfId="5825" xr:uid="{00000000-0005-0000-0000-0000D9060000}"/>
    <cellStyle name="40% - Accent5 7 3 2" xfId="14267" xr:uid="{6D3D74D7-F5C2-4C9E-9146-72AB249C17CE}"/>
    <cellStyle name="40% - Accent5 7 4" xfId="10049" xr:uid="{94E3C971-5F64-4649-ABD7-6CA8CE62F11B}"/>
    <cellStyle name="40% - Accent5 8" xfId="1931" xr:uid="{00000000-0005-0000-0000-0000DA060000}"/>
    <cellStyle name="40% - Accent5 8 2" xfId="4160" xr:uid="{00000000-0005-0000-0000-0000DB060000}"/>
    <cellStyle name="40% - Accent5 8 2 2" xfId="8383" xr:uid="{00000000-0005-0000-0000-0000DC060000}"/>
    <cellStyle name="40% - Accent5 8 2 2 2" xfId="16825" xr:uid="{F58B7E5D-D406-46AD-BCDA-B5999508DAB9}"/>
    <cellStyle name="40% - Accent5 8 2 3" xfId="12607" xr:uid="{CE60F6F7-328E-4E10-8C49-D67583C366C1}"/>
    <cellStyle name="40% - Accent5 8 3" xfId="6238" xr:uid="{00000000-0005-0000-0000-0000DD060000}"/>
    <cellStyle name="40% - Accent5 8 3 2" xfId="14680" xr:uid="{5FC82B54-A9E3-4184-86E9-75664E599CCD}"/>
    <cellStyle name="40% - Accent5 8 4" xfId="10462" xr:uid="{EFD8AD3B-5C1C-4121-BA2B-C2311ADE8621}"/>
    <cellStyle name="40% - Accent5 9" xfId="2344" xr:uid="{00000000-0005-0000-0000-0000DE060000}"/>
    <cellStyle name="40% - Accent5 9 2" xfId="6651" xr:uid="{00000000-0005-0000-0000-0000DF060000}"/>
    <cellStyle name="40% - Accent5 9 2 2" xfId="15093" xr:uid="{7BCBAFF4-5413-42FA-A595-2E86F089AE74}"/>
    <cellStyle name="40% - Accent5 9 3" xfId="10875" xr:uid="{D2181C56-29B8-429E-920C-0A3BFDB1841C}"/>
    <cellStyle name="40% - Accent6" xfId="89" builtinId="51" customBuiltin="1"/>
    <cellStyle name="40% - Accent6 10" xfId="4593" xr:uid="{00000000-0005-0000-0000-0000E1060000}"/>
    <cellStyle name="40% - Accent6 10 2" xfId="13035" xr:uid="{42D1FDBB-30BB-4448-BAD3-B17CF729ECFE}"/>
    <cellStyle name="40% - Accent6 11" xfId="8817" xr:uid="{21856D27-5197-432E-A3A7-A39934D09423}"/>
    <cellStyle name="40% - Accent6 2" xfId="90" xr:uid="{00000000-0005-0000-0000-0000E2060000}"/>
    <cellStyle name="40% - Accent6 2 10" xfId="8818" xr:uid="{C01CBF2D-A3AE-4C19-BA19-4A9E6D35E94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2 2 2" xfId="15597" xr:uid="{6D7FCBC2-6597-4DF7-93DC-9E1D3C5D018B}"/>
    <cellStyle name="40% - Accent6 2 2 2 2 2 3" xfId="11379" xr:uid="{0AA68A5B-5090-4C7D-B311-0E42DF887617}"/>
    <cellStyle name="40% - Accent6 2 2 2 2 3" xfId="5010" xr:uid="{00000000-0005-0000-0000-0000E8060000}"/>
    <cellStyle name="40% - Accent6 2 2 2 2 3 2" xfId="13452" xr:uid="{2985892A-D5CE-47E0-B3CF-30AD79D8770E}"/>
    <cellStyle name="40% - Accent6 2 2 2 2 4" xfId="9234" xr:uid="{DF0178BA-4E3D-4521-8A4C-A9C78F00E4EF}"/>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2 2 2" xfId="16010" xr:uid="{AAC334D0-7DAD-44BC-BB30-15863C35E552}"/>
    <cellStyle name="40% - Accent6 2 2 2 3 2 3" xfId="11792" xr:uid="{7DEC2F13-6537-4F77-884E-0FBEDC906C47}"/>
    <cellStyle name="40% - Accent6 2 2 2 3 3" xfId="5423" xr:uid="{00000000-0005-0000-0000-0000EC060000}"/>
    <cellStyle name="40% - Accent6 2 2 2 3 3 2" xfId="13865" xr:uid="{68A974C1-5252-4B43-A428-5D7DA8B4874C}"/>
    <cellStyle name="40% - Accent6 2 2 2 3 4" xfId="9647" xr:uid="{AF8DA7C3-2EF7-4410-B6D1-96145810A316}"/>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2 2 2" xfId="16423" xr:uid="{326131A5-F012-4185-AA37-FE223278A1DD}"/>
    <cellStyle name="40% - Accent6 2 2 2 4 2 3" xfId="12205" xr:uid="{95D33A59-FF5E-44EB-AA60-1BB57CDD4F1E}"/>
    <cellStyle name="40% - Accent6 2 2 2 4 3" xfId="5836" xr:uid="{00000000-0005-0000-0000-0000F0060000}"/>
    <cellStyle name="40% - Accent6 2 2 2 4 3 2" xfId="14278" xr:uid="{87FEFAC8-E13A-43CE-803E-606C8542C0BC}"/>
    <cellStyle name="40% - Accent6 2 2 2 4 4" xfId="10060" xr:uid="{65F1AE7D-FA71-4E6F-940A-C975DD926C5C}"/>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2 2 2" xfId="16836" xr:uid="{6D39064E-A5F4-4D79-8E62-5F78EEC94B8C}"/>
    <cellStyle name="40% - Accent6 2 2 2 5 2 3" xfId="12618" xr:uid="{59E687AE-9D06-4734-B8A6-46BF1A1BC870}"/>
    <cellStyle name="40% - Accent6 2 2 2 5 3" xfId="6249" xr:uid="{00000000-0005-0000-0000-0000F4060000}"/>
    <cellStyle name="40% - Accent6 2 2 2 5 3 2" xfId="14691" xr:uid="{0E7C394E-3D58-4E6E-95CB-8701980CA7A0}"/>
    <cellStyle name="40% - Accent6 2 2 2 5 4" xfId="10473" xr:uid="{F6151635-F421-4390-A8D0-ADFE307E3271}"/>
    <cellStyle name="40% - Accent6 2 2 2 6" xfId="2355" xr:uid="{00000000-0005-0000-0000-0000F5060000}"/>
    <cellStyle name="40% - Accent6 2 2 2 6 2" xfId="6662" xr:uid="{00000000-0005-0000-0000-0000F6060000}"/>
    <cellStyle name="40% - Accent6 2 2 2 6 2 2" xfId="15104" xr:uid="{DC481F93-DF21-4615-B199-75D5CDF39634}"/>
    <cellStyle name="40% - Accent6 2 2 2 6 3" xfId="10886" xr:uid="{6451A860-4F9E-420B-9C01-0BB9A51FF02D}"/>
    <cellStyle name="40% - Accent6 2 2 2 7" xfId="4596" xr:uid="{00000000-0005-0000-0000-0000F7060000}"/>
    <cellStyle name="40% - Accent6 2 2 2 7 2" xfId="13038" xr:uid="{6EA08C97-4073-4DE4-8430-E4066E6F54C3}"/>
    <cellStyle name="40% - Accent6 2 2 2 8" xfId="8820" xr:uid="{8805E1AF-FCFD-4390-8761-94373791BF0F}"/>
    <cellStyle name="40% - Accent6 2 2 3" xfId="660" xr:uid="{00000000-0005-0000-0000-0000F8060000}"/>
    <cellStyle name="40% - Accent6 2 2 3 2" xfId="2931" xr:uid="{00000000-0005-0000-0000-0000F9060000}"/>
    <cellStyle name="40% - Accent6 2 2 3 2 2" xfId="7154" xr:uid="{00000000-0005-0000-0000-0000FA060000}"/>
    <cellStyle name="40% - Accent6 2 2 3 2 2 2" xfId="15596" xr:uid="{D18E8D37-F7AD-40E2-8363-11853B15D225}"/>
    <cellStyle name="40% - Accent6 2 2 3 2 3" xfId="11378" xr:uid="{8BC106A9-8DE5-46AE-B213-EBC74B75FF59}"/>
    <cellStyle name="40% - Accent6 2 2 3 3" xfId="5009" xr:uid="{00000000-0005-0000-0000-0000FB060000}"/>
    <cellStyle name="40% - Accent6 2 2 3 3 2" xfId="13451" xr:uid="{8DA4774B-DC47-4DBC-9CDA-7C279C9D1464}"/>
    <cellStyle name="40% - Accent6 2 2 3 4" xfId="9233" xr:uid="{B8787B3E-5DF5-4FC3-A21E-F77DAAB835A1}"/>
    <cellStyle name="40% - Accent6 2 2 4" xfId="1113" xr:uid="{00000000-0005-0000-0000-0000FC060000}"/>
    <cellStyle name="40% - Accent6 2 2 4 2" xfId="3344" xr:uid="{00000000-0005-0000-0000-0000FD060000}"/>
    <cellStyle name="40% - Accent6 2 2 4 2 2" xfId="7567" xr:uid="{00000000-0005-0000-0000-0000FE060000}"/>
    <cellStyle name="40% - Accent6 2 2 4 2 2 2" xfId="16009" xr:uid="{3AE77261-F3CA-4C98-868C-AB58365262E9}"/>
    <cellStyle name="40% - Accent6 2 2 4 2 3" xfId="11791" xr:uid="{A0E6F86E-402A-45E1-AFE8-C9A7425DE16F}"/>
    <cellStyle name="40% - Accent6 2 2 4 3" xfId="5422" xr:uid="{00000000-0005-0000-0000-0000FF060000}"/>
    <cellStyle name="40% - Accent6 2 2 4 3 2" xfId="13864" xr:uid="{683A2F94-78C9-4936-89F9-1AB4B021C7C5}"/>
    <cellStyle name="40% - Accent6 2 2 4 4" xfId="9646" xr:uid="{A6E0BD85-DE68-4F15-9826-F98ADB5DA07F}"/>
    <cellStyle name="40% - Accent6 2 2 5" xfId="1527" xr:uid="{00000000-0005-0000-0000-000000070000}"/>
    <cellStyle name="40% - Accent6 2 2 5 2" xfId="3757" xr:uid="{00000000-0005-0000-0000-000001070000}"/>
    <cellStyle name="40% - Accent6 2 2 5 2 2" xfId="7980" xr:uid="{00000000-0005-0000-0000-000002070000}"/>
    <cellStyle name="40% - Accent6 2 2 5 2 2 2" xfId="16422" xr:uid="{46B10238-C1D4-47D4-907A-34DAF2BEB725}"/>
    <cellStyle name="40% - Accent6 2 2 5 2 3" xfId="12204" xr:uid="{B6854DB1-0948-4F5D-9459-7BFEE2F7546A}"/>
    <cellStyle name="40% - Accent6 2 2 5 3" xfId="5835" xr:uid="{00000000-0005-0000-0000-000003070000}"/>
    <cellStyle name="40% - Accent6 2 2 5 3 2" xfId="14277" xr:uid="{B76EE915-58EC-4FAA-BB5B-0A88D7C46BD7}"/>
    <cellStyle name="40% - Accent6 2 2 5 4" xfId="10059" xr:uid="{249A2E8C-26E2-4424-ACD5-D631555B8393}"/>
    <cellStyle name="40% - Accent6 2 2 6" xfId="1941" xr:uid="{00000000-0005-0000-0000-000004070000}"/>
    <cellStyle name="40% - Accent6 2 2 6 2" xfId="4170" xr:uid="{00000000-0005-0000-0000-000005070000}"/>
    <cellStyle name="40% - Accent6 2 2 6 2 2" xfId="8393" xr:uid="{00000000-0005-0000-0000-000006070000}"/>
    <cellStyle name="40% - Accent6 2 2 6 2 2 2" xfId="16835" xr:uid="{2E01C687-A1BB-407A-8A08-BEBC5379656E}"/>
    <cellStyle name="40% - Accent6 2 2 6 2 3" xfId="12617" xr:uid="{A7FB798B-9735-49C7-9397-E5775A8EEEF2}"/>
    <cellStyle name="40% - Accent6 2 2 6 3" xfId="6248" xr:uid="{00000000-0005-0000-0000-000007070000}"/>
    <cellStyle name="40% - Accent6 2 2 6 3 2" xfId="14690" xr:uid="{1B277B5B-658A-42B9-B662-65657A9D28FD}"/>
    <cellStyle name="40% - Accent6 2 2 6 4" xfId="10472" xr:uid="{042CFD40-D10C-4BE9-BC59-A2F40B126C1A}"/>
    <cellStyle name="40% - Accent6 2 2 7" xfId="2354" xr:uid="{00000000-0005-0000-0000-000008070000}"/>
    <cellStyle name="40% - Accent6 2 2 7 2" xfId="6661" xr:uid="{00000000-0005-0000-0000-000009070000}"/>
    <cellStyle name="40% - Accent6 2 2 7 2 2" xfId="15103" xr:uid="{65C7E3E1-9F35-4FCB-8081-4E302307C489}"/>
    <cellStyle name="40% - Accent6 2 2 7 3" xfId="10885" xr:uid="{A8471DA0-8DBB-4C97-8712-43F39810E824}"/>
    <cellStyle name="40% - Accent6 2 2 8" xfId="4595" xr:uid="{00000000-0005-0000-0000-00000A070000}"/>
    <cellStyle name="40% - Accent6 2 2 8 2" xfId="13037" xr:uid="{8A366167-B730-43D8-A4E5-4E36FC3A4171}"/>
    <cellStyle name="40% - Accent6 2 2 9" xfId="8819" xr:uid="{FD8FA4D9-03BD-4439-962D-D3C6019A0BFF}"/>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2 2 2" xfId="15598" xr:uid="{07664626-95CC-40F6-BAED-89DE49E5BB48}"/>
    <cellStyle name="40% - Accent6 2 3 2 2 3" xfId="11380" xr:uid="{5C44409C-6333-4016-8105-499D9308109C}"/>
    <cellStyle name="40% - Accent6 2 3 2 3" xfId="5011" xr:uid="{00000000-0005-0000-0000-00000F070000}"/>
    <cellStyle name="40% - Accent6 2 3 2 3 2" xfId="13453" xr:uid="{6DC09F65-94AE-41EF-A6D5-664FB7B392D8}"/>
    <cellStyle name="40% - Accent6 2 3 2 4" xfId="9235" xr:uid="{C8B0B4CE-45C3-4FBF-85CF-56FD23987A9A}"/>
    <cellStyle name="40% - Accent6 2 3 3" xfId="1115" xr:uid="{00000000-0005-0000-0000-000010070000}"/>
    <cellStyle name="40% - Accent6 2 3 3 2" xfId="3346" xr:uid="{00000000-0005-0000-0000-000011070000}"/>
    <cellStyle name="40% - Accent6 2 3 3 2 2" xfId="7569" xr:uid="{00000000-0005-0000-0000-000012070000}"/>
    <cellStyle name="40% - Accent6 2 3 3 2 2 2" xfId="16011" xr:uid="{70AECBD8-3354-41BE-8883-1DA2EDEFF2E2}"/>
    <cellStyle name="40% - Accent6 2 3 3 2 3" xfId="11793" xr:uid="{C73A46EC-0C5B-45C7-A5A5-E9E820AB6B84}"/>
    <cellStyle name="40% - Accent6 2 3 3 3" xfId="5424" xr:uid="{00000000-0005-0000-0000-000013070000}"/>
    <cellStyle name="40% - Accent6 2 3 3 3 2" xfId="13866" xr:uid="{C6D5521E-4DAC-4992-852A-1F4FDD1FF04B}"/>
    <cellStyle name="40% - Accent6 2 3 3 4" xfId="9648" xr:uid="{43B8912B-B73F-41D2-A0A5-B34D7CA8811D}"/>
    <cellStyle name="40% - Accent6 2 3 4" xfId="1529" xr:uid="{00000000-0005-0000-0000-000014070000}"/>
    <cellStyle name="40% - Accent6 2 3 4 2" xfId="3759" xr:uid="{00000000-0005-0000-0000-000015070000}"/>
    <cellStyle name="40% - Accent6 2 3 4 2 2" xfId="7982" xr:uid="{00000000-0005-0000-0000-000016070000}"/>
    <cellStyle name="40% - Accent6 2 3 4 2 2 2" xfId="16424" xr:uid="{253B5541-D1B1-4AB4-9B63-8F7DBE62EA67}"/>
    <cellStyle name="40% - Accent6 2 3 4 2 3" xfId="12206" xr:uid="{696EECA2-C87C-424F-8292-A7CD1D6E2483}"/>
    <cellStyle name="40% - Accent6 2 3 4 3" xfId="5837" xr:uid="{00000000-0005-0000-0000-000017070000}"/>
    <cellStyle name="40% - Accent6 2 3 4 3 2" xfId="14279" xr:uid="{88E029A2-25A6-424F-B0D6-ABDEB08821D1}"/>
    <cellStyle name="40% - Accent6 2 3 4 4" xfId="10061" xr:uid="{80491FAB-5EEA-44A6-913D-18F326BE8254}"/>
    <cellStyle name="40% - Accent6 2 3 5" xfId="1943" xr:uid="{00000000-0005-0000-0000-000018070000}"/>
    <cellStyle name="40% - Accent6 2 3 5 2" xfId="4172" xr:uid="{00000000-0005-0000-0000-000019070000}"/>
    <cellStyle name="40% - Accent6 2 3 5 2 2" xfId="8395" xr:uid="{00000000-0005-0000-0000-00001A070000}"/>
    <cellStyle name="40% - Accent6 2 3 5 2 2 2" xfId="16837" xr:uid="{AD811F79-C22F-4F65-88E5-6573EA4EEB85}"/>
    <cellStyle name="40% - Accent6 2 3 5 2 3" xfId="12619" xr:uid="{E842A749-D870-4EE0-8EDE-52040CFD7F87}"/>
    <cellStyle name="40% - Accent6 2 3 5 3" xfId="6250" xr:uid="{00000000-0005-0000-0000-00001B070000}"/>
    <cellStyle name="40% - Accent6 2 3 5 3 2" xfId="14692" xr:uid="{3D0DE602-E974-4AC9-A572-BC0F61C4926D}"/>
    <cellStyle name="40% - Accent6 2 3 5 4" xfId="10474" xr:uid="{A85A4C64-30D6-462D-8E8E-F3EA611ABA47}"/>
    <cellStyle name="40% - Accent6 2 3 6" xfId="2356" xr:uid="{00000000-0005-0000-0000-00001C070000}"/>
    <cellStyle name="40% - Accent6 2 3 6 2" xfId="6663" xr:uid="{00000000-0005-0000-0000-00001D070000}"/>
    <cellStyle name="40% - Accent6 2 3 6 2 2" xfId="15105" xr:uid="{83ADD741-6CA1-4515-885C-CCD9603B9DA3}"/>
    <cellStyle name="40% - Accent6 2 3 6 3" xfId="10887" xr:uid="{D40BDD2B-7B9A-4526-BC8D-B665AA688BD0}"/>
    <cellStyle name="40% - Accent6 2 3 7" xfId="4597" xr:uid="{00000000-0005-0000-0000-00001E070000}"/>
    <cellStyle name="40% - Accent6 2 3 7 2" xfId="13039" xr:uid="{807F5401-44EF-476E-9DBA-AFF7AFD88701}"/>
    <cellStyle name="40% - Accent6 2 3 8" xfId="8821" xr:uid="{C1FC8126-EF7C-4290-B06C-B5D8BA98EDC6}"/>
    <cellStyle name="40% - Accent6 2 4" xfId="659" xr:uid="{00000000-0005-0000-0000-00001F070000}"/>
    <cellStyle name="40% - Accent6 2 4 2" xfId="2930" xr:uid="{00000000-0005-0000-0000-000020070000}"/>
    <cellStyle name="40% - Accent6 2 4 2 2" xfId="7153" xr:uid="{00000000-0005-0000-0000-000021070000}"/>
    <cellStyle name="40% - Accent6 2 4 2 2 2" xfId="15595" xr:uid="{FF164595-B6A8-49AF-8C96-51A3568BB135}"/>
    <cellStyle name="40% - Accent6 2 4 2 3" xfId="11377" xr:uid="{02E7D874-658A-460E-853C-F0B1C946861D}"/>
    <cellStyle name="40% - Accent6 2 4 3" xfId="5008" xr:uid="{00000000-0005-0000-0000-000022070000}"/>
    <cellStyle name="40% - Accent6 2 4 3 2" xfId="13450" xr:uid="{B478326E-5CE5-41A9-92B8-ABA616004CDD}"/>
    <cellStyle name="40% - Accent6 2 4 4" xfId="9232" xr:uid="{D6785639-1D23-4339-8E05-1F2783B9FF71}"/>
    <cellStyle name="40% - Accent6 2 5" xfId="1112" xr:uid="{00000000-0005-0000-0000-000023070000}"/>
    <cellStyle name="40% - Accent6 2 5 2" xfId="3343" xr:uid="{00000000-0005-0000-0000-000024070000}"/>
    <cellStyle name="40% - Accent6 2 5 2 2" xfId="7566" xr:uid="{00000000-0005-0000-0000-000025070000}"/>
    <cellStyle name="40% - Accent6 2 5 2 2 2" xfId="16008" xr:uid="{86D608D9-00F8-4108-82F2-F6BDF0AA6166}"/>
    <cellStyle name="40% - Accent6 2 5 2 3" xfId="11790" xr:uid="{7A7839AA-6365-42C6-9F51-EC5BCD03CD4E}"/>
    <cellStyle name="40% - Accent6 2 5 3" xfId="5421" xr:uid="{00000000-0005-0000-0000-000026070000}"/>
    <cellStyle name="40% - Accent6 2 5 3 2" xfId="13863" xr:uid="{07EF55F0-23F0-4F41-8C87-D3DC79AA72B5}"/>
    <cellStyle name="40% - Accent6 2 5 4" xfId="9645" xr:uid="{980D1F01-38D6-4EB0-B187-0C7814468BE9}"/>
    <cellStyle name="40% - Accent6 2 6" xfId="1526" xr:uid="{00000000-0005-0000-0000-000027070000}"/>
    <cellStyle name="40% - Accent6 2 6 2" xfId="3756" xr:uid="{00000000-0005-0000-0000-000028070000}"/>
    <cellStyle name="40% - Accent6 2 6 2 2" xfId="7979" xr:uid="{00000000-0005-0000-0000-000029070000}"/>
    <cellStyle name="40% - Accent6 2 6 2 2 2" xfId="16421" xr:uid="{10572FA3-D7F2-49A1-A784-03955BAD4DA3}"/>
    <cellStyle name="40% - Accent6 2 6 2 3" xfId="12203" xr:uid="{93DE35DC-CFF0-4058-BB96-5A5ED39F2C61}"/>
    <cellStyle name="40% - Accent6 2 6 3" xfId="5834" xr:uid="{00000000-0005-0000-0000-00002A070000}"/>
    <cellStyle name="40% - Accent6 2 6 3 2" xfId="14276" xr:uid="{74A22827-D85E-4448-8009-7631C1DCAFF9}"/>
    <cellStyle name="40% - Accent6 2 6 4" xfId="10058" xr:uid="{0A2445A9-E028-4779-8640-07AC520B0F1F}"/>
    <cellStyle name="40% - Accent6 2 7" xfId="1940" xr:uid="{00000000-0005-0000-0000-00002B070000}"/>
    <cellStyle name="40% - Accent6 2 7 2" xfId="4169" xr:uid="{00000000-0005-0000-0000-00002C070000}"/>
    <cellStyle name="40% - Accent6 2 7 2 2" xfId="8392" xr:uid="{00000000-0005-0000-0000-00002D070000}"/>
    <cellStyle name="40% - Accent6 2 7 2 2 2" xfId="16834" xr:uid="{D67383C2-7016-4696-95EA-D9EE57756360}"/>
    <cellStyle name="40% - Accent6 2 7 2 3" xfId="12616" xr:uid="{50B714CD-BE5B-47E8-B73A-E08673CE004F}"/>
    <cellStyle name="40% - Accent6 2 7 3" xfId="6247" xr:uid="{00000000-0005-0000-0000-00002E070000}"/>
    <cellStyle name="40% - Accent6 2 7 3 2" xfId="14689" xr:uid="{A908206D-792F-4644-9319-0A9AE557D072}"/>
    <cellStyle name="40% - Accent6 2 7 4" xfId="10471" xr:uid="{DC2EDF84-CBA1-47C0-BF2A-516A19369902}"/>
    <cellStyle name="40% - Accent6 2 8" xfId="2353" xr:uid="{00000000-0005-0000-0000-00002F070000}"/>
    <cellStyle name="40% - Accent6 2 8 2" xfId="6660" xr:uid="{00000000-0005-0000-0000-000030070000}"/>
    <cellStyle name="40% - Accent6 2 8 2 2" xfId="15102" xr:uid="{E66FD46F-6F42-401A-ABF5-25203A4F28E7}"/>
    <cellStyle name="40% - Accent6 2 8 3" xfId="10884" xr:uid="{A2F6BDE5-B004-420A-8735-5D6438B7402F}"/>
    <cellStyle name="40% - Accent6 2 9" xfId="4594" xr:uid="{00000000-0005-0000-0000-000031070000}"/>
    <cellStyle name="40% - Accent6 2 9 2" xfId="13036" xr:uid="{5F63A617-CBE4-4138-8B46-8743D6B4F503}"/>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2 2 2" xfId="15600" xr:uid="{C1E5813B-12F6-4A6B-A27F-BB9B5C5EA982}"/>
    <cellStyle name="40% - Accent6 3 2 2 2 3" xfId="11382" xr:uid="{013DEAC1-1CB0-48AB-A6F5-24ABEB2A39BC}"/>
    <cellStyle name="40% - Accent6 3 2 2 3" xfId="5013" xr:uid="{00000000-0005-0000-0000-000037070000}"/>
    <cellStyle name="40% - Accent6 3 2 2 3 2" xfId="13455" xr:uid="{08E2E2DE-E5F8-432F-9AAE-8E96B5E7C452}"/>
    <cellStyle name="40% - Accent6 3 2 2 4" xfId="9237" xr:uid="{3C254304-E9E8-4F6D-BE6A-7A3BCAA0A08E}"/>
    <cellStyle name="40% - Accent6 3 2 3" xfId="1117" xr:uid="{00000000-0005-0000-0000-000038070000}"/>
    <cellStyle name="40% - Accent6 3 2 3 2" xfId="3348" xr:uid="{00000000-0005-0000-0000-000039070000}"/>
    <cellStyle name="40% - Accent6 3 2 3 2 2" xfId="7571" xr:uid="{00000000-0005-0000-0000-00003A070000}"/>
    <cellStyle name="40% - Accent6 3 2 3 2 2 2" xfId="16013" xr:uid="{0D967887-4EB4-47A3-9265-633D255324AC}"/>
    <cellStyle name="40% - Accent6 3 2 3 2 3" xfId="11795" xr:uid="{E3A18BF5-3866-4E50-B963-D038F4681238}"/>
    <cellStyle name="40% - Accent6 3 2 3 3" xfId="5426" xr:uid="{00000000-0005-0000-0000-00003B070000}"/>
    <cellStyle name="40% - Accent6 3 2 3 3 2" xfId="13868" xr:uid="{9D907DAF-AEFA-4095-851A-52E161A74D6B}"/>
    <cellStyle name="40% - Accent6 3 2 3 4" xfId="9650" xr:uid="{B1436E41-D089-478D-90C8-33EA6375BA1B}"/>
    <cellStyle name="40% - Accent6 3 2 4" xfId="1531" xr:uid="{00000000-0005-0000-0000-00003C070000}"/>
    <cellStyle name="40% - Accent6 3 2 4 2" xfId="3761" xr:uid="{00000000-0005-0000-0000-00003D070000}"/>
    <cellStyle name="40% - Accent6 3 2 4 2 2" xfId="7984" xr:uid="{00000000-0005-0000-0000-00003E070000}"/>
    <cellStyle name="40% - Accent6 3 2 4 2 2 2" xfId="16426" xr:uid="{5D5676CD-4126-4E67-9341-FF13156BAEF8}"/>
    <cellStyle name="40% - Accent6 3 2 4 2 3" xfId="12208" xr:uid="{9A739445-6972-4D89-8BE2-FB23B0114AC7}"/>
    <cellStyle name="40% - Accent6 3 2 4 3" xfId="5839" xr:uid="{00000000-0005-0000-0000-00003F070000}"/>
    <cellStyle name="40% - Accent6 3 2 4 3 2" xfId="14281" xr:uid="{AD9AC677-CDF5-49C2-8223-29D318978D26}"/>
    <cellStyle name="40% - Accent6 3 2 4 4" xfId="10063" xr:uid="{8B0AE4B4-F0E1-4F29-AF72-FA99F18D3629}"/>
    <cellStyle name="40% - Accent6 3 2 5" xfId="1945" xr:uid="{00000000-0005-0000-0000-000040070000}"/>
    <cellStyle name="40% - Accent6 3 2 5 2" xfId="4174" xr:uid="{00000000-0005-0000-0000-000041070000}"/>
    <cellStyle name="40% - Accent6 3 2 5 2 2" xfId="8397" xr:uid="{00000000-0005-0000-0000-000042070000}"/>
    <cellStyle name="40% - Accent6 3 2 5 2 2 2" xfId="16839" xr:uid="{BDD91F03-FE9E-4FC9-BBFB-19F3279C8878}"/>
    <cellStyle name="40% - Accent6 3 2 5 2 3" xfId="12621" xr:uid="{D9AA2F25-4CE7-43A9-832D-007003E862C4}"/>
    <cellStyle name="40% - Accent6 3 2 5 3" xfId="6252" xr:uid="{00000000-0005-0000-0000-000043070000}"/>
    <cellStyle name="40% - Accent6 3 2 5 3 2" xfId="14694" xr:uid="{795DD676-3D55-47D1-8375-4BED7BA5C0E9}"/>
    <cellStyle name="40% - Accent6 3 2 5 4" xfId="10476" xr:uid="{B0287E2A-95BE-44F4-8766-E77DDB8F4F28}"/>
    <cellStyle name="40% - Accent6 3 2 6" xfId="2358" xr:uid="{00000000-0005-0000-0000-000044070000}"/>
    <cellStyle name="40% - Accent6 3 2 6 2" xfId="6665" xr:uid="{00000000-0005-0000-0000-000045070000}"/>
    <cellStyle name="40% - Accent6 3 2 6 2 2" xfId="15107" xr:uid="{62418136-056E-425C-B754-CCAFF2E9A72E}"/>
    <cellStyle name="40% - Accent6 3 2 6 3" xfId="10889" xr:uid="{1BCEAE4A-FC74-4F97-8FDD-2304F5A40C83}"/>
    <cellStyle name="40% - Accent6 3 2 7" xfId="4599" xr:uid="{00000000-0005-0000-0000-000046070000}"/>
    <cellStyle name="40% - Accent6 3 2 7 2" xfId="13041" xr:uid="{9D2366F8-34B3-4929-9F7D-243A1043D891}"/>
    <cellStyle name="40% - Accent6 3 2 8" xfId="8823" xr:uid="{8497866C-64D1-43B1-888C-341E2A52815C}"/>
    <cellStyle name="40% - Accent6 3 3" xfId="663" xr:uid="{00000000-0005-0000-0000-000047070000}"/>
    <cellStyle name="40% - Accent6 3 3 2" xfId="2934" xr:uid="{00000000-0005-0000-0000-000048070000}"/>
    <cellStyle name="40% - Accent6 3 3 2 2" xfId="7157" xr:uid="{00000000-0005-0000-0000-000049070000}"/>
    <cellStyle name="40% - Accent6 3 3 2 2 2" xfId="15599" xr:uid="{F06663BB-9DD8-43C5-9932-19B76EDBFCE6}"/>
    <cellStyle name="40% - Accent6 3 3 2 3" xfId="11381" xr:uid="{FF0EBC91-0C36-41FE-8F12-5488AE871AB5}"/>
    <cellStyle name="40% - Accent6 3 3 3" xfId="5012" xr:uid="{00000000-0005-0000-0000-00004A070000}"/>
    <cellStyle name="40% - Accent6 3 3 3 2" xfId="13454" xr:uid="{4337337F-7F59-47CE-90F1-A0FDFCB02AD8}"/>
    <cellStyle name="40% - Accent6 3 3 4" xfId="9236" xr:uid="{E6B11B7C-5C53-4FEF-88D9-C0294029F5AE}"/>
    <cellStyle name="40% - Accent6 3 4" xfId="1116" xr:uid="{00000000-0005-0000-0000-00004B070000}"/>
    <cellStyle name="40% - Accent6 3 4 2" xfId="3347" xr:uid="{00000000-0005-0000-0000-00004C070000}"/>
    <cellStyle name="40% - Accent6 3 4 2 2" xfId="7570" xr:uid="{00000000-0005-0000-0000-00004D070000}"/>
    <cellStyle name="40% - Accent6 3 4 2 2 2" xfId="16012" xr:uid="{76423B43-6352-467F-814E-1094862409AD}"/>
    <cellStyle name="40% - Accent6 3 4 2 3" xfId="11794" xr:uid="{1F46C57A-7C6E-4D1F-8F11-C8EAEB0AE8EB}"/>
    <cellStyle name="40% - Accent6 3 4 3" xfId="5425" xr:uid="{00000000-0005-0000-0000-00004E070000}"/>
    <cellStyle name="40% - Accent6 3 4 3 2" xfId="13867" xr:uid="{B9576AB2-729F-44D3-A2B6-8600E2E1EDD7}"/>
    <cellStyle name="40% - Accent6 3 4 4" xfId="9649" xr:uid="{092A61EB-42C1-4C37-B245-CDB3D692A2EB}"/>
    <cellStyle name="40% - Accent6 3 5" xfId="1530" xr:uid="{00000000-0005-0000-0000-00004F070000}"/>
    <cellStyle name="40% - Accent6 3 5 2" xfId="3760" xr:uid="{00000000-0005-0000-0000-000050070000}"/>
    <cellStyle name="40% - Accent6 3 5 2 2" xfId="7983" xr:uid="{00000000-0005-0000-0000-000051070000}"/>
    <cellStyle name="40% - Accent6 3 5 2 2 2" xfId="16425" xr:uid="{CC3FE18F-E6E7-4A98-9C17-FDED635B722D}"/>
    <cellStyle name="40% - Accent6 3 5 2 3" xfId="12207" xr:uid="{64B44E23-A1C5-463A-A2A6-1976C4A7D31C}"/>
    <cellStyle name="40% - Accent6 3 5 3" xfId="5838" xr:uid="{00000000-0005-0000-0000-000052070000}"/>
    <cellStyle name="40% - Accent6 3 5 3 2" xfId="14280" xr:uid="{50D8A317-72F7-419F-95DB-2A32E24C8B8A}"/>
    <cellStyle name="40% - Accent6 3 5 4" xfId="10062" xr:uid="{255E37D8-64A2-44E3-827C-C905646A608B}"/>
    <cellStyle name="40% - Accent6 3 6" xfId="1944" xr:uid="{00000000-0005-0000-0000-000053070000}"/>
    <cellStyle name="40% - Accent6 3 6 2" xfId="4173" xr:uid="{00000000-0005-0000-0000-000054070000}"/>
    <cellStyle name="40% - Accent6 3 6 2 2" xfId="8396" xr:uid="{00000000-0005-0000-0000-000055070000}"/>
    <cellStyle name="40% - Accent6 3 6 2 2 2" xfId="16838" xr:uid="{7D05CE2E-4320-47E3-A97C-AED847364820}"/>
    <cellStyle name="40% - Accent6 3 6 2 3" xfId="12620" xr:uid="{43FFFFF3-4855-4FC8-A58E-879939A02E88}"/>
    <cellStyle name="40% - Accent6 3 6 3" xfId="6251" xr:uid="{00000000-0005-0000-0000-000056070000}"/>
    <cellStyle name="40% - Accent6 3 6 3 2" xfId="14693" xr:uid="{3B78F38E-FA5B-48D7-85AD-D13A3BD4F29F}"/>
    <cellStyle name="40% - Accent6 3 6 4" xfId="10475" xr:uid="{9BB9304D-74C3-4846-A1DA-D92310FA2223}"/>
    <cellStyle name="40% - Accent6 3 7" xfId="2357" xr:uid="{00000000-0005-0000-0000-000057070000}"/>
    <cellStyle name="40% - Accent6 3 7 2" xfId="6664" xr:uid="{00000000-0005-0000-0000-000058070000}"/>
    <cellStyle name="40% - Accent6 3 7 2 2" xfId="15106" xr:uid="{5C5AA274-728E-489A-8461-6A53CFA4010A}"/>
    <cellStyle name="40% - Accent6 3 7 3" xfId="10888" xr:uid="{04DE40D2-6EAA-497A-9F67-843A2E83CFEA}"/>
    <cellStyle name="40% - Accent6 3 8" xfId="4598" xr:uid="{00000000-0005-0000-0000-000059070000}"/>
    <cellStyle name="40% - Accent6 3 8 2" xfId="13040" xr:uid="{38CCD0EC-5E6C-477B-9AEA-DB7A80EEAB39}"/>
    <cellStyle name="40% - Accent6 3 9" xfId="8822" xr:uid="{F5D7694D-2922-4394-8A2A-3FE85AE59538}"/>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2 2 2" xfId="15601" xr:uid="{0BEEAA8F-388A-45CD-B4E6-5899291E53D1}"/>
    <cellStyle name="40% - Accent6 4 2 2 3" xfId="11383" xr:uid="{01E89A72-52C6-43D3-92BB-578D3370359C}"/>
    <cellStyle name="40% - Accent6 4 2 3" xfId="5014" xr:uid="{00000000-0005-0000-0000-00005E070000}"/>
    <cellStyle name="40% - Accent6 4 2 3 2" xfId="13456" xr:uid="{4907732A-667E-40E0-907F-51CAD94B1404}"/>
    <cellStyle name="40% - Accent6 4 2 4" xfId="9238" xr:uid="{9E04F14C-13A1-41B3-9179-A4BA4AFFD30C}"/>
    <cellStyle name="40% - Accent6 4 3" xfId="1118" xr:uid="{00000000-0005-0000-0000-00005F070000}"/>
    <cellStyle name="40% - Accent6 4 3 2" xfId="3349" xr:uid="{00000000-0005-0000-0000-000060070000}"/>
    <cellStyle name="40% - Accent6 4 3 2 2" xfId="7572" xr:uid="{00000000-0005-0000-0000-000061070000}"/>
    <cellStyle name="40% - Accent6 4 3 2 2 2" xfId="16014" xr:uid="{A5930337-7182-4318-BFFD-B2234E1607AE}"/>
    <cellStyle name="40% - Accent6 4 3 2 3" xfId="11796" xr:uid="{782A9A7B-6AE3-40DE-8A82-2E4A11121902}"/>
    <cellStyle name="40% - Accent6 4 3 3" xfId="5427" xr:uid="{00000000-0005-0000-0000-000062070000}"/>
    <cellStyle name="40% - Accent6 4 3 3 2" xfId="13869" xr:uid="{DF56456E-4A5C-4D0F-9D92-490E90CE43F9}"/>
    <cellStyle name="40% - Accent6 4 3 4" xfId="9651" xr:uid="{91878297-9ED1-49B8-89B5-4ADFD76528A9}"/>
    <cellStyle name="40% - Accent6 4 4" xfId="1532" xr:uid="{00000000-0005-0000-0000-000063070000}"/>
    <cellStyle name="40% - Accent6 4 4 2" xfId="3762" xr:uid="{00000000-0005-0000-0000-000064070000}"/>
    <cellStyle name="40% - Accent6 4 4 2 2" xfId="7985" xr:uid="{00000000-0005-0000-0000-000065070000}"/>
    <cellStyle name="40% - Accent6 4 4 2 2 2" xfId="16427" xr:uid="{44CD27B0-3FF7-4E64-A46C-8EA24B29949C}"/>
    <cellStyle name="40% - Accent6 4 4 2 3" xfId="12209" xr:uid="{1A09E38E-9F5B-42DD-B2A8-7150DCB9CCA7}"/>
    <cellStyle name="40% - Accent6 4 4 3" xfId="5840" xr:uid="{00000000-0005-0000-0000-000066070000}"/>
    <cellStyle name="40% - Accent6 4 4 3 2" xfId="14282" xr:uid="{306868AD-8B06-4825-B96A-9852414D3423}"/>
    <cellStyle name="40% - Accent6 4 4 4" xfId="10064" xr:uid="{E8D25DF8-0344-4A10-9C99-F79190CE3E40}"/>
    <cellStyle name="40% - Accent6 4 5" xfId="1946" xr:uid="{00000000-0005-0000-0000-000067070000}"/>
    <cellStyle name="40% - Accent6 4 5 2" xfId="4175" xr:uid="{00000000-0005-0000-0000-000068070000}"/>
    <cellStyle name="40% - Accent6 4 5 2 2" xfId="8398" xr:uid="{00000000-0005-0000-0000-000069070000}"/>
    <cellStyle name="40% - Accent6 4 5 2 2 2" xfId="16840" xr:uid="{5A7064CC-3936-46DF-B958-3E45D447E2C4}"/>
    <cellStyle name="40% - Accent6 4 5 2 3" xfId="12622" xr:uid="{7BF4C034-C9F6-454D-A481-A6EAC91579A7}"/>
    <cellStyle name="40% - Accent6 4 5 3" xfId="6253" xr:uid="{00000000-0005-0000-0000-00006A070000}"/>
    <cellStyle name="40% - Accent6 4 5 3 2" xfId="14695" xr:uid="{FDE4A39A-5258-4509-8A86-07B032451DF3}"/>
    <cellStyle name="40% - Accent6 4 5 4" xfId="10477" xr:uid="{6C575219-892E-4DBC-A13E-F21D86B70950}"/>
    <cellStyle name="40% - Accent6 4 6" xfId="2359" xr:uid="{00000000-0005-0000-0000-00006B070000}"/>
    <cellStyle name="40% - Accent6 4 6 2" xfId="6666" xr:uid="{00000000-0005-0000-0000-00006C070000}"/>
    <cellStyle name="40% - Accent6 4 6 2 2" xfId="15108" xr:uid="{A6C3AF81-FC85-45B3-ADC2-AB69AB44D1EB}"/>
    <cellStyle name="40% - Accent6 4 6 3" xfId="10890" xr:uid="{79ED46F0-8836-49BF-8F7D-88CF1663F54D}"/>
    <cellStyle name="40% - Accent6 4 7" xfId="4600" xr:uid="{00000000-0005-0000-0000-00006D070000}"/>
    <cellStyle name="40% - Accent6 4 7 2" xfId="13042" xr:uid="{ED83AC51-F522-40F7-BDF4-4799A2F22D22}"/>
    <cellStyle name="40% - Accent6 4 8" xfId="8824" xr:uid="{6D698A50-845D-4D67-9747-48E176C253A2}"/>
    <cellStyle name="40% - Accent6 5" xfId="658" xr:uid="{00000000-0005-0000-0000-00006E070000}"/>
    <cellStyle name="40% - Accent6 5 2" xfId="2929" xr:uid="{00000000-0005-0000-0000-00006F070000}"/>
    <cellStyle name="40% - Accent6 5 2 2" xfId="7152" xr:uid="{00000000-0005-0000-0000-000070070000}"/>
    <cellStyle name="40% - Accent6 5 2 2 2" xfId="15594" xr:uid="{9699B08A-F638-48F9-A05D-31584DE62AE4}"/>
    <cellStyle name="40% - Accent6 5 2 3" xfId="11376" xr:uid="{514D5FF6-373F-4F29-BACF-335324595CEB}"/>
    <cellStyle name="40% - Accent6 5 3" xfId="5007" xr:uid="{00000000-0005-0000-0000-000071070000}"/>
    <cellStyle name="40% - Accent6 5 3 2" xfId="13449" xr:uid="{0B6827C7-4379-4349-A418-D00352C16086}"/>
    <cellStyle name="40% - Accent6 5 4" xfId="9231" xr:uid="{45D50F50-AAF1-4CCF-8747-2C38EAB1FFBA}"/>
    <cellStyle name="40% - Accent6 6" xfId="1111" xr:uid="{00000000-0005-0000-0000-000072070000}"/>
    <cellStyle name="40% - Accent6 6 2" xfId="3342" xr:uid="{00000000-0005-0000-0000-000073070000}"/>
    <cellStyle name="40% - Accent6 6 2 2" xfId="7565" xr:uid="{00000000-0005-0000-0000-000074070000}"/>
    <cellStyle name="40% - Accent6 6 2 2 2" xfId="16007" xr:uid="{86CA19E0-6836-4389-8CEF-53888519E6F7}"/>
    <cellStyle name="40% - Accent6 6 2 3" xfId="11789" xr:uid="{57C59A75-41AE-4422-A9CB-C37D385E5244}"/>
    <cellStyle name="40% - Accent6 6 3" xfId="5420" xr:uid="{00000000-0005-0000-0000-000075070000}"/>
    <cellStyle name="40% - Accent6 6 3 2" xfId="13862" xr:uid="{8D467747-A425-4D35-8088-CDECD448C2FF}"/>
    <cellStyle name="40% - Accent6 6 4" xfId="9644" xr:uid="{BCC74392-6D46-423D-9ED0-7BB100BB79D6}"/>
    <cellStyle name="40% - Accent6 7" xfId="1525" xr:uid="{00000000-0005-0000-0000-000076070000}"/>
    <cellStyle name="40% - Accent6 7 2" xfId="3755" xr:uid="{00000000-0005-0000-0000-000077070000}"/>
    <cellStyle name="40% - Accent6 7 2 2" xfId="7978" xr:uid="{00000000-0005-0000-0000-000078070000}"/>
    <cellStyle name="40% - Accent6 7 2 2 2" xfId="16420" xr:uid="{0BC9E3D9-8466-4A32-A569-BB2015D44D86}"/>
    <cellStyle name="40% - Accent6 7 2 3" xfId="12202" xr:uid="{3E4A0214-AB9F-4E09-9C10-AFD24B855A59}"/>
    <cellStyle name="40% - Accent6 7 3" xfId="5833" xr:uid="{00000000-0005-0000-0000-000079070000}"/>
    <cellStyle name="40% - Accent6 7 3 2" xfId="14275" xr:uid="{F6011276-D25D-413A-9792-7E8C5568949D}"/>
    <cellStyle name="40% - Accent6 7 4" xfId="10057" xr:uid="{78958BAF-C9B4-4AFC-8F0E-157D8065B74A}"/>
    <cellStyle name="40% - Accent6 8" xfId="1939" xr:uid="{00000000-0005-0000-0000-00007A070000}"/>
    <cellStyle name="40% - Accent6 8 2" xfId="4168" xr:uid="{00000000-0005-0000-0000-00007B070000}"/>
    <cellStyle name="40% - Accent6 8 2 2" xfId="8391" xr:uid="{00000000-0005-0000-0000-00007C070000}"/>
    <cellStyle name="40% - Accent6 8 2 2 2" xfId="16833" xr:uid="{B22B480C-EFAC-429E-9533-AD569F902AEC}"/>
    <cellStyle name="40% - Accent6 8 2 3" xfId="12615" xr:uid="{2E5F9B4C-555E-49C5-8B95-CF4F06918405}"/>
    <cellStyle name="40% - Accent6 8 3" xfId="6246" xr:uid="{00000000-0005-0000-0000-00007D070000}"/>
    <cellStyle name="40% - Accent6 8 3 2" xfId="14688" xr:uid="{4F9754FC-4B4D-40FF-A1CA-4ACB06E982B6}"/>
    <cellStyle name="40% - Accent6 8 4" xfId="10470" xr:uid="{BB9630DB-559E-4E12-85AC-A5E0166A34B2}"/>
    <cellStyle name="40% - Accent6 9" xfId="2352" xr:uid="{00000000-0005-0000-0000-00007E070000}"/>
    <cellStyle name="40% - Accent6 9 2" xfId="6659" xr:uid="{00000000-0005-0000-0000-00007F070000}"/>
    <cellStyle name="40% - Accent6 9 2 2" xfId="15101" xr:uid="{78C11513-0CFF-4E1F-9DA1-648391A00C11}"/>
    <cellStyle name="40% - Accent6 9 3" xfId="10883" xr:uid="{32632FD2-1E80-4F55-AC3C-D92514CB0085}"/>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0 2 2" xfId="15426" xr:uid="{3B3AB837-E3B9-428B-9D46-B4B8EC9ED779}"/>
    <cellStyle name="Comma 4 2 2 2 10 3" xfId="11208" xr:uid="{3DF5934F-3D53-4DBB-886E-8ED7C72A9253}"/>
    <cellStyle name="Comma 4 2 2 2 11" xfId="4601" xr:uid="{00000000-0005-0000-0000-0000A3070000}"/>
    <cellStyle name="Comma 4 2 2 2 11 2" xfId="13043" xr:uid="{F2D9C1ED-4186-40E0-ACD7-A81548EC4D15}"/>
    <cellStyle name="Comma 4 2 2 2 12" xfId="8825" xr:uid="{E01D7E62-34A7-4784-8709-9629988B81F9}"/>
    <cellStyle name="Comma 4 2 2 2 2" xfId="129" xr:uid="{00000000-0005-0000-0000-0000A4070000}"/>
    <cellStyle name="Comma 4 2 2 2 2 10" xfId="4602" xr:uid="{00000000-0005-0000-0000-0000A5070000}"/>
    <cellStyle name="Comma 4 2 2 2 2 10 2" xfId="13044" xr:uid="{78DB5B25-4141-4364-8596-D57C2626102F}"/>
    <cellStyle name="Comma 4 2 2 2 2 11" xfId="8826" xr:uid="{E2D4283B-6B6D-4EE8-B61A-3C41BB51B7C1}"/>
    <cellStyle name="Comma 4 2 2 2 2 2" xfId="130" xr:uid="{00000000-0005-0000-0000-0000A6070000}"/>
    <cellStyle name="Comma 4 2 2 2 2 2 10" xfId="8827" xr:uid="{5C938AA9-F880-4DC3-A400-923CE2967BE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2 2 2" xfId="15604" xr:uid="{745BCCE3-CEB5-49A2-8D86-C76D9A649036}"/>
    <cellStyle name="Comma 4 2 2 2 2 2 2 2 3" xfId="11386" xr:uid="{AC4255A7-AD3E-4BE3-9372-9A0201A14CCD}"/>
    <cellStyle name="Comma 4 2 2 2 2 2 2 3" xfId="5017" xr:uid="{00000000-0005-0000-0000-0000AA070000}"/>
    <cellStyle name="Comma 4 2 2 2 2 2 2 3 2" xfId="13459" xr:uid="{6BE23EF5-53E4-4372-9F6E-8BCA35D17988}"/>
    <cellStyle name="Comma 4 2 2 2 2 2 2 4" xfId="9241" xr:uid="{EFB5DF62-714F-4C20-9C06-4BB984F8FDB2}"/>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2 2 2" xfId="16017" xr:uid="{60D46DD6-365A-4A43-B503-8C15B4FDC3E3}"/>
    <cellStyle name="Comma 4 2 2 2 2 2 3 2 3" xfId="11799" xr:uid="{94D2728A-E981-4924-A859-74C01B8DF4AF}"/>
    <cellStyle name="Comma 4 2 2 2 2 2 3 3" xfId="5430" xr:uid="{00000000-0005-0000-0000-0000AE070000}"/>
    <cellStyle name="Comma 4 2 2 2 2 2 3 3 2" xfId="13872" xr:uid="{A555AF11-71D1-49E1-8108-819DF86089E3}"/>
    <cellStyle name="Comma 4 2 2 2 2 2 3 4" xfId="9654" xr:uid="{4A09DA2A-D02C-4EBE-887D-CE2150ADDE27}"/>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2 2 2" xfId="16430" xr:uid="{4AD239A1-D4B8-499A-BEF4-B24B34EEC80E}"/>
    <cellStyle name="Comma 4 2 2 2 2 2 4 2 3" xfId="12212" xr:uid="{C688E725-824E-49D6-8533-8BD20E0A172B}"/>
    <cellStyle name="Comma 4 2 2 2 2 2 4 3" xfId="5843" xr:uid="{00000000-0005-0000-0000-0000B2070000}"/>
    <cellStyle name="Comma 4 2 2 2 2 2 4 3 2" xfId="14285" xr:uid="{E6FAD535-B7F8-4097-ADB7-A9A1E0A42F76}"/>
    <cellStyle name="Comma 4 2 2 2 2 2 4 4" xfId="10067" xr:uid="{358BEEF6-44EE-4E2A-900F-BBD871321B92}"/>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2 2 2" xfId="16843" xr:uid="{0FED00CA-6E59-41AD-AEA8-A7F66AA34D4D}"/>
    <cellStyle name="Comma 4 2 2 2 2 2 5 2 3" xfId="12625" xr:uid="{805B4EF1-F7B6-405B-ABE6-FA00CD15C74D}"/>
    <cellStyle name="Comma 4 2 2 2 2 2 5 3" xfId="6256" xr:uid="{00000000-0005-0000-0000-0000B6070000}"/>
    <cellStyle name="Comma 4 2 2 2 2 2 5 3 2" xfId="14698" xr:uid="{2BF67A8F-601C-46CE-970B-3555906DCFF2}"/>
    <cellStyle name="Comma 4 2 2 2 2 2 5 4" xfId="10480" xr:uid="{D8507A49-C435-4AA2-9B09-AE4BBA767444}"/>
    <cellStyle name="Comma 4 2 2 2 2 2 6" xfId="2384" xr:uid="{00000000-0005-0000-0000-0000B7070000}"/>
    <cellStyle name="Comma 4 2 2 2 2 2 6 2" xfId="6669" xr:uid="{00000000-0005-0000-0000-0000B8070000}"/>
    <cellStyle name="Comma 4 2 2 2 2 2 6 2 2" xfId="15111" xr:uid="{9AB135F2-78C7-4D14-8943-E6F8038D2096}"/>
    <cellStyle name="Comma 4 2 2 2 2 2 6 3" xfId="10893" xr:uid="{AA58EA2A-30A2-4AAB-B1F0-2B6571C5A954}"/>
    <cellStyle name="Comma 4 2 2 2 2 2 7" xfId="2379" xr:uid="{00000000-0005-0000-0000-0000B9070000}"/>
    <cellStyle name="Comma 4 2 2 2 2 2 8" xfId="2762" xr:uid="{00000000-0005-0000-0000-0000BA070000}"/>
    <cellStyle name="Comma 4 2 2 2 2 2 8 2" xfId="6986" xr:uid="{00000000-0005-0000-0000-0000BB070000}"/>
    <cellStyle name="Comma 4 2 2 2 2 2 8 2 2" xfId="15428" xr:uid="{C713ABA8-5A9B-4086-87C1-5B4D6D0FB931}"/>
    <cellStyle name="Comma 4 2 2 2 2 2 8 3" xfId="11210" xr:uid="{86D4707D-662D-4DB9-996D-DA8695CEF859}"/>
    <cellStyle name="Comma 4 2 2 2 2 2 9" xfId="4603" xr:uid="{00000000-0005-0000-0000-0000BC070000}"/>
    <cellStyle name="Comma 4 2 2 2 2 2 9 2" xfId="13045" xr:uid="{1096D770-9E6B-4B5C-9650-562FCA4DB566}"/>
    <cellStyle name="Comma 4 2 2 2 2 3" xfId="667" xr:uid="{00000000-0005-0000-0000-0000BD070000}"/>
    <cellStyle name="Comma 4 2 2 2 2 3 2" xfId="2938" xr:uid="{00000000-0005-0000-0000-0000BE070000}"/>
    <cellStyle name="Comma 4 2 2 2 2 3 2 2" xfId="7161" xr:uid="{00000000-0005-0000-0000-0000BF070000}"/>
    <cellStyle name="Comma 4 2 2 2 2 3 2 2 2" xfId="15603" xr:uid="{D42997B2-56AD-4B6A-AE40-B0691607FEE8}"/>
    <cellStyle name="Comma 4 2 2 2 2 3 2 3" xfId="11385" xr:uid="{300263BD-A6A8-49F7-8A8D-7EFFA5620965}"/>
    <cellStyle name="Comma 4 2 2 2 2 3 3" xfId="5016" xr:uid="{00000000-0005-0000-0000-0000C0070000}"/>
    <cellStyle name="Comma 4 2 2 2 2 3 3 2" xfId="13458" xr:uid="{FF66FF96-06C0-46E3-BAE3-20996A7F62AC}"/>
    <cellStyle name="Comma 4 2 2 2 2 3 4" xfId="9240" xr:uid="{291945B6-7D68-4754-A7E3-C2C138AD22C2}"/>
    <cellStyle name="Comma 4 2 2 2 2 4" xfId="1120" xr:uid="{00000000-0005-0000-0000-0000C1070000}"/>
    <cellStyle name="Comma 4 2 2 2 2 4 2" xfId="3351" xr:uid="{00000000-0005-0000-0000-0000C2070000}"/>
    <cellStyle name="Comma 4 2 2 2 2 4 2 2" xfId="7574" xr:uid="{00000000-0005-0000-0000-0000C3070000}"/>
    <cellStyle name="Comma 4 2 2 2 2 4 2 2 2" xfId="16016" xr:uid="{2449AA57-BAB0-4BA7-88BC-8682B5F28B7E}"/>
    <cellStyle name="Comma 4 2 2 2 2 4 2 3" xfId="11798" xr:uid="{AA73058F-9E92-48E4-B720-42B1BD3D25AA}"/>
    <cellStyle name="Comma 4 2 2 2 2 4 3" xfId="5429" xr:uid="{00000000-0005-0000-0000-0000C4070000}"/>
    <cellStyle name="Comma 4 2 2 2 2 4 3 2" xfId="13871" xr:uid="{C0C8AF32-FB6A-4227-9924-2A1D87037719}"/>
    <cellStyle name="Comma 4 2 2 2 2 4 4" xfId="9653" xr:uid="{D02D5F85-503C-4974-AA7A-787960A7A71E}"/>
    <cellStyle name="Comma 4 2 2 2 2 5" xfId="1534" xr:uid="{00000000-0005-0000-0000-0000C5070000}"/>
    <cellStyle name="Comma 4 2 2 2 2 5 2" xfId="3764" xr:uid="{00000000-0005-0000-0000-0000C6070000}"/>
    <cellStyle name="Comma 4 2 2 2 2 5 2 2" xfId="7987" xr:uid="{00000000-0005-0000-0000-0000C7070000}"/>
    <cellStyle name="Comma 4 2 2 2 2 5 2 2 2" xfId="16429" xr:uid="{5299A19A-76A8-4908-B514-BC5017E0196D}"/>
    <cellStyle name="Comma 4 2 2 2 2 5 2 3" xfId="12211" xr:uid="{93EFC1BC-E231-4144-9DDB-DCD4886B2CA0}"/>
    <cellStyle name="Comma 4 2 2 2 2 5 3" xfId="5842" xr:uid="{00000000-0005-0000-0000-0000C8070000}"/>
    <cellStyle name="Comma 4 2 2 2 2 5 3 2" xfId="14284" xr:uid="{1E7AD55C-80BE-4ED6-AAAD-30E7CC6C163A}"/>
    <cellStyle name="Comma 4 2 2 2 2 5 4" xfId="10066" xr:uid="{68B82606-E2C5-409B-B3F2-D66BD188A98E}"/>
    <cellStyle name="Comma 4 2 2 2 2 6" xfId="1948" xr:uid="{00000000-0005-0000-0000-0000C9070000}"/>
    <cellStyle name="Comma 4 2 2 2 2 6 2" xfId="4177" xr:uid="{00000000-0005-0000-0000-0000CA070000}"/>
    <cellStyle name="Comma 4 2 2 2 2 6 2 2" xfId="8400" xr:uid="{00000000-0005-0000-0000-0000CB070000}"/>
    <cellStyle name="Comma 4 2 2 2 2 6 2 2 2" xfId="16842" xr:uid="{5318BD95-41F4-4CB0-800D-528F6AAF4DD3}"/>
    <cellStyle name="Comma 4 2 2 2 2 6 2 3" xfId="12624" xr:uid="{1B436BB2-C576-4C81-B3A0-C33B9E096FDC}"/>
    <cellStyle name="Comma 4 2 2 2 2 6 3" xfId="6255" xr:uid="{00000000-0005-0000-0000-0000CC070000}"/>
    <cellStyle name="Comma 4 2 2 2 2 6 3 2" xfId="14697" xr:uid="{FE1B12E2-6560-4671-BF30-D632E7231B85}"/>
    <cellStyle name="Comma 4 2 2 2 2 6 4" xfId="10479" xr:uid="{45A915F1-1672-43E6-B831-2CBF3C2F38AE}"/>
    <cellStyle name="Comma 4 2 2 2 2 7" xfId="2383" xr:uid="{00000000-0005-0000-0000-0000CD070000}"/>
    <cellStyle name="Comma 4 2 2 2 2 7 2" xfId="6668" xr:uid="{00000000-0005-0000-0000-0000CE070000}"/>
    <cellStyle name="Comma 4 2 2 2 2 7 2 2" xfId="15110" xr:uid="{AC83BB5F-A7AC-48DA-A8A1-D8EE33E1FEC1}"/>
    <cellStyle name="Comma 4 2 2 2 2 7 3" xfId="10892" xr:uid="{02AB6750-FF03-4BF3-BEA9-F599C0CBF0DF}"/>
    <cellStyle name="Comma 4 2 2 2 2 8" xfId="2380" xr:uid="{00000000-0005-0000-0000-0000CF070000}"/>
    <cellStyle name="Comma 4 2 2 2 2 9" xfId="2761" xr:uid="{00000000-0005-0000-0000-0000D0070000}"/>
    <cellStyle name="Comma 4 2 2 2 2 9 2" xfId="6985" xr:uid="{00000000-0005-0000-0000-0000D1070000}"/>
    <cellStyle name="Comma 4 2 2 2 2 9 2 2" xfId="15427" xr:uid="{F295625C-B770-4C42-A119-A66B42D88B68}"/>
    <cellStyle name="Comma 4 2 2 2 2 9 3" xfId="11209" xr:uid="{4664B44F-D3DA-4F6A-8724-687D07326079}"/>
    <cellStyle name="Comma 4 2 2 2 3" xfId="131" xr:uid="{00000000-0005-0000-0000-0000D2070000}"/>
    <cellStyle name="Comma 4 2 2 2 3 10" xfId="8828" xr:uid="{A10F2E3D-8E3B-4CED-B082-696A82D9DD96}"/>
    <cellStyle name="Comma 4 2 2 2 3 2" xfId="669" xr:uid="{00000000-0005-0000-0000-0000D3070000}"/>
    <cellStyle name="Comma 4 2 2 2 3 2 2" xfId="2940" xr:uid="{00000000-0005-0000-0000-0000D4070000}"/>
    <cellStyle name="Comma 4 2 2 2 3 2 2 2" xfId="7163" xr:uid="{00000000-0005-0000-0000-0000D5070000}"/>
    <cellStyle name="Comma 4 2 2 2 3 2 2 2 2" xfId="15605" xr:uid="{7414181A-A9B4-49F9-85DB-C2A55B396219}"/>
    <cellStyle name="Comma 4 2 2 2 3 2 2 3" xfId="11387" xr:uid="{BBD9F77D-1DAB-4C41-B86A-682941F15F01}"/>
    <cellStyle name="Comma 4 2 2 2 3 2 3" xfId="5018" xr:uid="{00000000-0005-0000-0000-0000D6070000}"/>
    <cellStyle name="Comma 4 2 2 2 3 2 3 2" xfId="13460" xr:uid="{B3E53F44-10C3-4164-AE7E-70C405AE1E8F}"/>
    <cellStyle name="Comma 4 2 2 2 3 2 4" xfId="9242" xr:uid="{A5A70982-D343-4484-BFD4-7852EE0EC223}"/>
    <cellStyle name="Comma 4 2 2 2 3 3" xfId="1122" xr:uid="{00000000-0005-0000-0000-0000D7070000}"/>
    <cellStyle name="Comma 4 2 2 2 3 3 2" xfId="3353" xr:uid="{00000000-0005-0000-0000-0000D8070000}"/>
    <cellStyle name="Comma 4 2 2 2 3 3 2 2" xfId="7576" xr:uid="{00000000-0005-0000-0000-0000D9070000}"/>
    <cellStyle name="Comma 4 2 2 2 3 3 2 2 2" xfId="16018" xr:uid="{49BEE4F4-732B-432F-9219-74206F368350}"/>
    <cellStyle name="Comma 4 2 2 2 3 3 2 3" xfId="11800" xr:uid="{53673FE4-A404-4DF5-A00C-2A8C411D9C95}"/>
    <cellStyle name="Comma 4 2 2 2 3 3 3" xfId="5431" xr:uid="{00000000-0005-0000-0000-0000DA070000}"/>
    <cellStyle name="Comma 4 2 2 2 3 3 3 2" xfId="13873" xr:uid="{92BFFAAE-387E-46F6-A7B6-9EB0309DEBEA}"/>
    <cellStyle name="Comma 4 2 2 2 3 3 4" xfId="9655" xr:uid="{946EE048-8EB4-4594-8B34-A6E5D26C9EA3}"/>
    <cellStyle name="Comma 4 2 2 2 3 4" xfId="1536" xr:uid="{00000000-0005-0000-0000-0000DB070000}"/>
    <cellStyle name="Comma 4 2 2 2 3 4 2" xfId="3766" xr:uid="{00000000-0005-0000-0000-0000DC070000}"/>
    <cellStyle name="Comma 4 2 2 2 3 4 2 2" xfId="7989" xr:uid="{00000000-0005-0000-0000-0000DD070000}"/>
    <cellStyle name="Comma 4 2 2 2 3 4 2 2 2" xfId="16431" xr:uid="{8C11DB19-06CD-489B-B2D5-EA7B941DFADB}"/>
    <cellStyle name="Comma 4 2 2 2 3 4 2 3" xfId="12213" xr:uid="{8FCDC082-DC82-48F0-A7D5-669862E44929}"/>
    <cellStyle name="Comma 4 2 2 2 3 4 3" xfId="5844" xr:uid="{00000000-0005-0000-0000-0000DE070000}"/>
    <cellStyle name="Comma 4 2 2 2 3 4 3 2" xfId="14286" xr:uid="{3E3003E0-F690-4A21-AEDB-746497B53B40}"/>
    <cellStyle name="Comma 4 2 2 2 3 4 4" xfId="10068" xr:uid="{254DE8E4-A8E1-4052-B25F-B8A9BDC23524}"/>
    <cellStyle name="Comma 4 2 2 2 3 5" xfId="1950" xr:uid="{00000000-0005-0000-0000-0000DF070000}"/>
    <cellStyle name="Comma 4 2 2 2 3 5 2" xfId="4179" xr:uid="{00000000-0005-0000-0000-0000E0070000}"/>
    <cellStyle name="Comma 4 2 2 2 3 5 2 2" xfId="8402" xr:uid="{00000000-0005-0000-0000-0000E1070000}"/>
    <cellStyle name="Comma 4 2 2 2 3 5 2 2 2" xfId="16844" xr:uid="{3E1A4BD4-5FCA-4CD4-B022-1D42E2291795}"/>
    <cellStyle name="Comma 4 2 2 2 3 5 2 3" xfId="12626" xr:uid="{24035496-B5BD-4C1B-B55C-D500BF492F3A}"/>
    <cellStyle name="Comma 4 2 2 2 3 5 3" xfId="6257" xr:uid="{00000000-0005-0000-0000-0000E2070000}"/>
    <cellStyle name="Comma 4 2 2 2 3 5 3 2" xfId="14699" xr:uid="{25D217DB-0F82-4B64-B001-FA69FDAC3DA7}"/>
    <cellStyle name="Comma 4 2 2 2 3 5 4" xfId="10481" xr:uid="{4FB1614C-DB5A-4551-827B-0ECB0C0E720F}"/>
    <cellStyle name="Comma 4 2 2 2 3 6" xfId="2385" xr:uid="{00000000-0005-0000-0000-0000E3070000}"/>
    <cellStyle name="Comma 4 2 2 2 3 6 2" xfId="6670" xr:uid="{00000000-0005-0000-0000-0000E4070000}"/>
    <cellStyle name="Comma 4 2 2 2 3 6 2 2" xfId="15112" xr:uid="{1A04DB0B-0A59-4515-BD0E-9C7CA46067E6}"/>
    <cellStyle name="Comma 4 2 2 2 3 6 3" xfId="10894" xr:uid="{D4153833-EE8E-4CF1-9D11-70171580E314}"/>
    <cellStyle name="Comma 4 2 2 2 3 7" xfId="2378" xr:uid="{00000000-0005-0000-0000-0000E5070000}"/>
    <cellStyle name="Comma 4 2 2 2 3 8" xfId="2763" xr:uid="{00000000-0005-0000-0000-0000E6070000}"/>
    <cellStyle name="Comma 4 2 2 2 3 8 2" xfId="6987" xr:uid="{00000000-0005-0000-0000-0000E7070000}"/>
    <cellStyle name="Comma 4 2 2 2 3 8 2 2" xfId="15429" xr:uid="{041C5322-714F-4452-B248-751952F5C058}"/>
    <cellStyle name="Comma 4 2 2 2 3 8 3" xfId="11211" xr:uid="{9102E5AC-4F8F-4ADE-A5F2-244FC81C643A}"/>
    <cellStyle name="Comma 4 2 2 2 3 9" xfId="4604" xr:uid="{00000000-0005-0000-0000-0000E8070000}"/>
    <cellStyle name="Comma 4 2 2 2 3 9 2" xfId="13046" xr:uid="{FB25B27A-CE3C-4C9D-AAA5-3FAF701D1BCD}"/>
    <cellStyle name="Comma 4 2 2 2 4" xfId="666" xr:uid="{00000000-0005-0000-0000-0000E9070000}"/>
    <cellStyle name="Comma 4 2 2 2 4 2" xfId="2937" xr:uid="{00000000-0005-0000-0000-0000EA070000}"/>
    <cellStyle name="Comma 4 2 2 2 4 2 2" xfId="7160" xr:uid="{00000000-0005-0000-0000-0000EB070000}"/>
    <cellStyle name="Comma 4 2 2 2 4 2 2 2" xfId="15602" xr:uid="{A985E9F0-C829-4009-A1E3-7FE7E31FBD4D}"/>
    <cellStyle name="Comma 4 2 2 2 4 2 3" xfId="11384" xr:uid="{712AD220-0C10-4CE5-8011-845C1B3CE449}"/>
    <cellStyle name="Comma 4 2 2 2 4 3" xfId="5015" xr:uid="{00000000-0005-0000-0000-0000EC070000}"/>
    <cellStyle name="Comma 4 2 2 2 4 3 2" xfId="13457" xr:uid="{DCC39668-6227-4DF3-910A-51E630CFEDCB}"/>
    <cellStyle name="Comma 4 2 2 2 4 4" xfId="9239" xr:uid="{C08EC140-849D-4201-AD1A-F2C4AD71321C}"/>
    <cellStyle name="Comma 4 2 2 2 5" xfId="1119" xr:uid="{00000000-0005-0000-0000-0000ED070000}"/>
    <cellStyle name="Comma 4 2 2 2 5 2" xfId="3350" xr:uid="{00000000-0005-0000-0000-0000EE070000}"/>
    <cellStyle name="Comma 4 2 2 2 5 2 2" xfId="7573" xr:uid="{00000000-0005-0000-0000-0000EF070000}"/>
    <cellStyle name="Comma 4 2 2 2 5 2 2 2" xfId="16015" xr:uid="{B9F43317-00BE-40DE-8DEE-FA70249E922B}"/>
    <cellStyle name="Comma 4 2 2 2 5 2 3" xfId="11797" xr:uid="{8D8B15F7-426A-4F08-9A71-63050C8ED75D}"/>
    <cellStyle name="Comma 4 2 2 2 5 3" xfId="5428" xr:uid="{00000000-0005-0000-0000-0000F0070000}"/>
    <cellStyle name="Comma 4 2 2 2 5 3 2" xfId="13870" xr:uid="{7AEFDBA3-0B5E-4AC0-84CA-252A77615586}"/>
    <cellStyle name="Comma 4 2 2 2 5 4" xfId="9652" xr:uid="{4B5DF839-0610-482A-9FA5-1A230B019A54}"/>
    <cellStyle name="Comma 4 2 2 2 6" xfId="1533" xr:uid="{00000000-0005-0000-0000-0000F1070000}"/>
    <cellStyle name="Comma 4 2 2 2 6 2" xfId="3763" xr:uid="{00000000-0005-0000-0000-0000F2070000}"/>
    <cellStyle name="Comma 4 2 2 2 6 2 2" xfId="7986" xr:uid="{00000000-0005-0000-0000-0000F3070000}"/>
    <cellStyle name="Comma 4 2 2 2 6 2 2 2" xfId="16428" xr:uid="{D9BB9005-014B-431C-801E-7ECCF0D8E37A}"/>
    <cellStyle name="Comma 4 2 2 2 6 2 3" xfId="12210" xr:uid="{3CF3BD82-C493-484F-815E-26BD62E684CC}"/>
    <cellStyle name="Comma 4 2 2 2 6 3" xfId="5841" xr:uid="{00000000-0005-0000-0000-0000F4070000}"/>
    <cellStyle name="Comma 4 2 2 2 6 3 2" xfId="14283" xr:uid="{ED71DF54-8565-43ED-8F6D-6A7372A9C24A}"/>
    <cellStyle name="Comma 4 2 2 2 6 4" xfId="10065" xr:uid="{CBE56095-E073-4300-B7B9-201C9E9940B8}"/>
    <cellStyle name="Comma 4 2 2 2 7" xfId="1947" xr:uid="{00000000-0005-0000-0000-0000F5070000}"/>
    <cellStyle name="Comma 4 2 2 2 7 2" xfId="4176" xr:uid="{00000000-0005-0000-0000-0000F6070000}"/>
    <cellStyle name="Comma 4 2 2 2 7 2 2" xfId="8399" xr:uid="{00000000-0005-0000-0000-0000F7070000}"/>
    <cellStyle name="Comma 4 2 2 2 7 2 2 2" xfId="16841" xr:uid="{969C41C3-C6E3-45C0-9908-28BFC0E173CD}"/>
    <cellStyle name="Comma 4 2 2 2 7 2 3" xfId="12623" xr:uid="{9F58575D-0743-40C5-ABEE-9E752690A22D}"/>
    <cellStyle name="Comma 4 2 2 2 7 3" xfId="6254" xr:uid="{00000000-0005-0000-0000-0000F8070000}"/>
    <cellStyle name="Comma 4 2 2 2 7 3 2" xfId="14696" xr:uid="{7287735E-B2E0-4498-AABE-4734514610BE}"/>
    <cellStyle name="Comma 4 2 2 2 7 4" xfId="10478" xr:uid="{6946D840-9050-494B-BE31-7379AEB3CB41}"/>
    <cellStyle name="Comma 4 2 2 2 8" xfId="2382" xr:uid="{00000000-0005-0000-0000-0000F9070000}"/>
    <cellStyle name="Comma 4 2 2 2 8 2" xfId="6667" xr:uid="{00000000-0005-0000-0000-0000FA070000}"/>
    <cellStyle name="Comma 4 2 2 2 8 2 2" xfId="15109" xr:uid="{B599256B-6B0E-4D7D-BB23-7D67C03061D7}"/>
    <cellStyle name="Comma 4 2 2 2 8 3" xfId="10891" xr:uid="{7DC57B67-644D-441E-A172-BA7B8AD48F1E}"/>
    <cellStyle name="Comma 4 2 2 2 9" xfId="2381" xr:uid="{00000000-0005-0000-0000-0000FB070000}"/>
    <cellStyle name="Comma 4 2 2 3" xfId="132" xr:uid="{00000000-0005-0000-0000-0000FC070000}"/>
    <cellStyle name="Comma 4 2 2 3 10" xfId="4605" xr:uid="{00000000-0005-0000-0000-0000FD070000}"/>
    <cellStyle name="Comma 4 2 2 3 10 2" xfId="13047" xr:uid="{0C057AC9-1D95-4DA8-BCB7-A2AB34D1DB4C}"/>
    <cellStyle name="Comma 4 2 2 3 11" xfId="8829" xr:uid="{25F826B1-C13E-4F59-BA32-87FA36587445}"/>
    <cellStyle name="Comma 4 2 2 3 2" xfId="133" xr:uid="{00000000-0005-0000-0000-0000FE070000}"/>
    <cellStyle name="Comma 4 2 2 3 2 10" xfId="8830" xr:uid="{9A154BAA-246A-4C15-A156-3BF812E200F5}"/>
    <cellStyle name="Comma 4 2 2 3 2 2" xfId="671" xr:uid="{00000000-0005-0000-0000-0000FF070000}"/>
    <cellStyle name="Comma 4 2 2 3 2 2 2" xfId="2942" xr:uid="{00000000-0005-0000-0000-000000080000}"/>
    <cellStyle name="Comma 4 2 2 3 2 2 2 2" xfId="7165" xr:uid="{00000000-0005-0000-0000-000001080000}"/>
    <cellStyle name="Comma 4 2 2 3 2 2 2 2 2" xfId="15607" xr:uid="{D9D85036-B9EA-429B-8434-BD69B236635E}"/>
    <cellStyle name="Comma 4 2 2 3 2 2 2 3" xfId="11389" xr:uid="{1D62544E-06A1-429F-9B56-DA44EFBB8C6E}"/>
    <cellStyle name="Comma 4 2 2 3 2 2 3" xfId="5020" xr:uid="{00000000-0005-0000-0000-000002080000}"/>
    <cellStyle name="Comma 4 2 2 3 2 2 3 2" xfId="13462" xr:uid="{DEF8CD6A-A1F8-4592-9FB7-C59CD043A724}"/>
    <cellStyle name="Comma 4 2 2 3 2 2 4" xfId="9244" xr:uid="{AAA16377-5532-4E59-8E74-E8F4AE241FB9}"/>
    <cellStyle name="Comma 4 2 2 3 2 3" xfId="1124" xr:uid="{00000000-0005-0000-0000-000003080000}"/>
    <cellStyle name="Comma 4 2 2 3 2 3 2" xfId="3355" xr:uid="{00000000-0005-0000-0000-000004080000}"/>
    <cellStyle name="Comma 4 2 2 3 2 3 2 2" xfId="7578" xr:uid="{00000000-0005-0000-0000-000005080000}"/>
    <cellStyle name="Comma 4 2 2 3 2 3 2 2 2" xfId="16020" xr:uid="{839A1A1C-64C6-4FB1-B807-25F4E53CCDD3}"/>
    <cellStyle name="Comma 4 2 2 3 2 3 2 3" xfId="11802" xr:uid="{A1C73144-7C80-411A-9411-47B44487BD06}"/>
    <cellStyle name="Comma 4 2 2 3 2 3 3" xfId="5433" xr:uid="{00000000-0005-0000-0000-000006080000}"/>
    <cellStyle name="Comma 4 2 2 3 2 3 3 2" xfId="13875" xr:uid="{B21BED3E-4938-4471-9B5E-39D4BA00615C}"/>
    <cellStyle name="Comma 4 2 2 3 2 3 4" xfId="9657" xr:uid="{A25CFE63-EC7C-490C-8254-5F5379DD123E}"/>
    <cellStyle name="Comma 4 2 2 3 2 4" xfId="1538" xr:uid="{00000000-0005-0000-0000-000007080000}"/>
    <cellStyle name="Comma 4 2 2 3 2 4 2" xfId="3768" xr:uid="{00000000-0005-0000-0000-000008080000}"/>
    <cellStyle name="Comma 4 2 2 3 2 4 2 2" xfId="7991" xr:uid="{00000000-0005-0000-0000-000009080000}"/>
    <cellStyle name="Comma 4 2 2 3 2 4 2 2 2" xfId="16433" xr:uid="{6339F74A-5B77-4813-9779-4720DEF1E829}"/>
    <cellStyle name="Comma 4 2 2 3 2 4 2 3" xfId="12215" xr:uid="{99F49B33-8B61-4C44-82A8-A748E26BC0B8}"/>
    <cellStyle name="Comma 4 2 2 3 2 4 3" xfId="5846" xr:uid="{00000000-0005-0000-0000-00000A080000}"/>
    <cellStyle name="Comma 4 2 2 3 2 4 3 2" xfId="14288" xr:uid="{EDBC9FD2-D4E0-449C-9F99-F2CD6192F518}"/>
    <cellStyle name="Comma 4 2 2 3 2 4 4" xfId="10070" xr:uid="{840AE3F9-499C-4452-99F0-C1FA40F2EA26}"/>
    <cellStyle name="Comma 4 2 2 3 2 5" xfId="1952" xr:uid="{00000000-0005-0000-0000-00000B080000}"/>
    <cellStyle name="Comma 4 2 2 3 2 5 2" xfId="4181" xr:uid="{00000000-0005-0000-0000-00000C080000}"/>
    <cellStyle name="Comma 4 2 2 3 2 5 2 2" xfId="8404" xr:uid="{00000000-0005-0000-0000-00000D080000}"/>
    <cellStyle name="Comma 4 2 2 3 2 5 2 2 2" xfId="16846" xr:uid="{CD7A4897-7876-4044-805D-1BF6E44C2921}"/>
    <cellStyle name="Comma 4 2 2 3 2 5 2 3" xfId="12628" xr:uid="{ED4EEB81-D30E-408B-946C-22DFF61BECBC}"/>
    <cellStyle name="Comma 4 2 2 3 2 5 3" xfId="6259" xr:uid="{00000000-0005-0000-0000-00000E080000}"/>
    <cellStyle name="Comma 4 2 2 3 2 5 3 2" xfId="14701" xr:uid="{0A76EA2B-35E0-4A4C-BE49-FDEC8DC8A828}"/>
    <cellStyle name="Comma 4 2 2 3 2 5 4" xfId="10483" xr:uid="{DF5180C1-659C-4DB2-B910-F18D763B78E6}"/>
    <cellStyle name="Comma 4 2 2 3 2 6" xfId="2387" xr:uid="{00000000-0005-0000-0000-00000F080000}"/>
    <cellStyle name="Comma 4 2 2 3 2 6 2" xfId="6672" xr:uid="{00000000-0005-0000-0000-000010080000}"/>
    <cellStyle name="Comma 4 2 2 3 2 6 2 2" xfId="15114" xr:uid="{917984AE-2FC0-4AD9-8F32-B241F8BD1960}"/>
    <cellStyle name="Comma 4 2 2 3 2 6 3" xfId="10896" xr:uid="{597597C4-A1CA-49AC-9472-FEE9C52559BA}"/>
    <cellStyle name="Comma 4 2 2 3 2 7" xfId="2376" xr:uid="{00000000-0005-0000-0000-000011080000}"/>
    <cellStyle name="Comma 4 2 2 3 2 8" xfId="2765" xr:uid="{00000000-0005-0000-0000-000012080000}"/>
    <cellStyle name="Comma 4 2 2 3 2 8 2" xfId="6989" xr:uid="{00000000-0005-0000-0000-000013080000}"/>
    <cellStyle name="Comma 4 2 2 3 2 8 2 2" xfId="15431" xr:uid="{2BE9B5E9-AEAE-43A4-B6A9-66DCA90D93C2}"/>
    <cellStyle name="Comma 4 2 2 3 2 8 3" xfId="11213" xr:uid="{ECB6445C-211C-42F8-AF66-076119AB89D0}"/>
    <cellStyle name="Comma 4 2 2 3 2 9" xfId="4606" xr:uid="{00000000-0005-0000-0000-000014080000}"/>
    <cellStyle name="Comma 4 2 2 3 2 9 2" xfId="13048" xr:uid="{8519231B-9072-43A2-B7FB-A607E0A9DB73}"/>
    <cellStyle name="Comma 4 2 2 3 3" xfId="670" xr:uid="{00000000-0005-0000-0000-000015080000}"/>
    <cellStyle name="Comma 4 2 2 3 3 2" xfId="2941" xr:uid="{00000000-0005-0000-0000-000016080000}"/>
    <cellStyle name="Comma 4 2 2 3 3 2 2" xfId="7164" xr:uid="{00000000-0005-0000-0000-000017080000}"/>
    <cellStyle name="Comma 4 2 2 3 3 2 2 2" xfId="15606" xr:uid="{01F15DD1-30C8-445D-B27F-9A445B6FE455}"/>
    <cellStyle name="Comma 4 2 2 3 3 2 3" xfId="11388" xr:uid="{4DD56824-566D-4C0C-BB42-5621ED470448}"/>
    <cellStyle name="Comma 4 2 2 3 3 3" xfId="5019" xr:uid="{00000000-0005-0000-0000-000018080000}"/>
    <cellStyle name="Comma 4 2 2 3 3 3 2" xfId="13461" xr:uid="{C73D9FE5-4C6A-4B26-A706-0E15EA4FF5DE}"/>
    <cellStyle name="Comma 4 2 2 3 3 4" xfId="9243" xr:uid="{687EDFA7-C353-45A4-B779-F57883B6B099}"/>
    <cellStyle name="Comma 4 2 2 3 4" xfId="1123" xr:uid="{00000000-0005-0000-0000-000019080000}"/>
    <cellStyle name="Comma 4 2 2 3 4 2" xfId="3354" xr:uid="{00000000-0005-0000-0000-00001A080000}"/>
    <cellStyle name="Comma 4 2 2 3 4 2 2" xfId="7577" xr:uid="{00000000-0005-0000-0000-00001B080000}"/>
    <cellStyle name="Comma 4 2 2 3 4 2 2 2" xfId="16019" xr:uid="{034E55C8-09D6-4341-8896-E2C0929A8038}"/>
    <cellStyle name="Comma 4 2 2 3 4 2 3" xfId="11801" xr:uid="{88F16D59-F46C-4D44-B771-5F98307351FE}"/>
    <cellStyle name="Comma 4 2 2 3 4 3" xfId="5432" xr:uid="{00000000-0005-0000-0000-00001C080000}"/>
    <cellStyle name="Comma 4 2 2 3 4 3 2" xfId="13874" xr:uid="{75DED12F-D9DB-4767-9615-A39B74760DED}"/>
    <cellStyle name="Comma 4 2 2 3 4 4" xfId="9656" xr:uid="{6BF4D1F7-3FC8-439B-A681-9F751332E245}"/>
    <cellStyle name="Comma 4 2 2 3 5" xfId="1537" xr:uid="{00000000-0005-0000-0000-00001D080000}"/>
    <cellStyle name="Comma 4 2 2 3 5 2" xfId="3767" xr:uid="{00000000-0005-0000-0000-00001E080000}"/>
    <cellStyle name="Comma 4 2 2 3 5 2 2" xfId="7990" xr:uid="{00000000-0005-0000-0000-00001F080000}"/>
    <cellStyle name="Comma 4 2 2 3 5 2 2 2" xfId="16432" xr:uid="{574BF24D-180F-49D5-9873-039682202486}"/>
    <cellStyle name="Comma 4 2 2 3 5 2 3" xfId="12214" xr:uid="{76BF9A21-C426-4121-A411-C896A9007AAC}"/>
    <cellStyle name="Comma 4 2 2 3 5 3" xfId="5845" xr:uid="{00000000-0005-0000-0000-000020080000}"/>
    <cellStyle name="Comma 4 2 2 3 5 3 2" xfId="14287" xr:uid="{C1491759-E227-4D68-91B2-4713F626D279}"/>
    <cellStyle name="Comma 4 2 2 3 5 4" xfId="10069" xr:uid="{411EE5E5-852C-4109-8B0E-CFBBA05F0F5D}"/>
    <cellStyle name="Comma 4 2 2 3 6" xfId="1951" xr:uid="{00000000-0005-0000-0000-000021080000}"/>
    <cellStyle name="Comma 4 2 2 3 6 2" xfId="4180" xr:uid="{00000000-0005-0000-0000-000022080000}"/>
    <cellStyle name="Comma 4 2 2 3 6 2 2" xfId="8403" xr:uid="{00000000-0005-0000-0000-000023080000}"/>
    <cellStyle name="Comma 4 2 2 3 6 2 2 2" xfId="16845" xr:uid="{958C7D16-5487-467B-93FF-6182AEFF63AC}"/>
    <cellStyle name="Comma 4 2 2 3 6 2 3" xfId="12627" xr:uid="{A2EF07BC-3EB0-45A3-8A3F-DFC13D0279DA}"/>
    <cellStyle name="Comma 4 2 2 3 6 3" xfId="6258" xr:uid="{00000000-0005-0000-0000-000024080000}"/>
    <cellStyle name="Comma 4 2 2 3 6 3 2" xfId="14700" xr:uid="{A7EC0B24-833B-4210-98BC-72AAE0924BE9}"/>
    <cellStyle name="Comma 4 2 2 3 6 4" xfId="10482" xr:uid="{34AB356E-6036-4716-B131-3385FFD6F0C7}"/>
    <cellStyle name="Comma 4 2 2 3 7" xfId="2386" xr:uid="{00000000-0005-0000-0000-000025080000}"/>
    <cellStyle name="Comma 4 2 2 3 7 2" xfId="6671" xr:uid="{00000000-0005-0000-0000-000026080000}"/>
    <cellStyle name="Comma 4 2 2 3 7 2 2" xfId="15113" xr:uid="{87506141-6E8F-41E9-A591-F8B26E5E4248}"/>
    <cellStyle name="Comma 4 2 2 3 7 3" xfId="10895" xr:uid="{00A5184C-46C8-41D6-83DD-CD466D79B100}"/>
    <cellStyle name="Comma 4 2 2 3 8" xfId="2377" xr:uid="{00000000-0005-0000-0000-000027080000}"/>
    <cellStyle name="Comma 4 2 2 3 9" xfId="2764" xr:uid="{00000000-0005-0000-0000-000028080000}"/>
    <cellStyle name="Comma 4 2 2 3 9 2" xfId="6988" xr:uid="{00000000-0005-0000-0000-000029080000}"/>
    <cellStyle name="Comma 4 2 2 3 9 2 2" xfId="15430" xr:uid="{B80BC692-B603-450B-A61E-3F2859DE6213}"/>
    <cellStyle name="Comma 4 2 2 3 9 3" xfId="11212" xr:uid="{9D7B3285-A07C-442E-A0A7-BADA23598DBB}"/>
    <cellStyle name="Comma 4 2 2 4" xfId="134" xr:uid="{00000000-0005-0000-0000-00002A080000}"/>
    <cellStyle name="Comma 4 2 2 4 10" xfId="8831" xr:uid="{226F0836-4ED9-4738-AD0D-A8A48350E1F6}"/>
    <cellStyle name="Comma 4 2 2 4 2" xfId="672" xr:uid="{00000000-0005-0000-0000-00002B080000}"/>
    <cellStyle name="Comma 4 2 2 4 2 2" xfId="2943" xr:uid="{00000000-0005-0000-0000-00002C080000}"/>
    <cellStyle name="Comma 4 2 2 4 2 2 2" xfId="7166" xr:uid="{00000000-0005-0000-0000-00002D080000}"/>
    <cellStyle name="Comma 4 2 2 4 2 2 2 2" xfId="15608" xr:uid="{8C2FA339-8032-41D0-BC2C-BC4CD17FC5B7}"/>
    <cellStyle name="Comma 4 2 2 4 2 2 3" xfId="11390" xr:uid="{A7A6B9BD-0324-4A3C-BD1E-381688310D69}"/>
    <cellStyle name="Comma 4 2 2 4 2 3" xfId="5021" xr:uid="{00000000-0005-0000-0000-00002E080000}"/>
    <cellStyle name="Comma 4 2 2 4 2 3 2" xfId="13463" xr:uid="{425C413A-33A8-4A68-9385-195730EAA09A}"/>
    <cellStyle name="Comma 4 2 2 4 2 4" xfId="9245" xr:uid="{81E77A79-DE13-4341-A156-525331FBE0A8}"/>
    <cellStyle name="Comma 4 2 2 4 3" xfId="1125" xr:uid="{00000000-0005-0000-0000-00002F080000}"/>
    <cellStyle name="Comma 4 2 2 4 3 2" xfId="3356" xr:uid="{00000000-0005-0000-0000-000030080000}"/>
    <cellStyle name="Comma 4 2 2 4 3 2 2" xfId="7579" xr:uid="{00000000-0005-0000-0000-000031080000}"/>
    <cellStyle name="Comma 4 2 2 4 3 2 2 2" xfId="16021" xr:uid="{9C606B9B-6FD0-4234-8C96-BB5A1FC42CCF}"/>
    <cellStyle name="Comma 4 2 2 4 3 2 3" xfId="11803" xr:uid="{358663B2-01CF-47E9-BF47-C097E6A8A576}"/>
    <cellStyle name="Comma 4 2 2 4 3 3" xfId="5434" xr:uid="{00000000-0005-0000-0000-000032080000}"/>
    <cellStyle name="Comma 4 2 2 4 3 3 2" xfId="13876" xr:uid="{79761343-3C72-439A-8EBF-10805C0AED71}"/>
    <cellStyle name="Comma 4 2 2 4 3 4" xfId="9658" xr:uid="{957E3DE9-6E1E-483F-ACE7-0394678E17A7}"/>
    <cellStyle name="Comma 4 2 2 4 4" xfId="1539" xr:uid="{00000000-0005-0000-0000-000033080000}"/>
    <cellStyle name="Comma 4 2 2 4 4 2" xfId="3769" xr:uid="{00000000-0005-0000-0000-000034080000}"/>
    <cellStyle name="Comma 4 2 2 4 4 2 2" xfId="7992" xr:uid="{00000000-0005-0000-0000-000035080000}"/>
    <cellStyle name="Comma 4 2 2 4 4 2 2 2" xfId="16434" xr:uid="{53D45599-2F81-4957-B27C-D08D143B3403}"/>
    <cellStyle name="Comma 4 2 2 4 4 2 3" xfId="12216" xr:uid="{BE3FC43F-E982-4178-BF69-1C43C6A8A9FB}"/>
    <cellStyle name="Comma 4 2 2 4 4 3" xfId="5847" xr:uid="{00000000-0005-0000-0000-000036080000}"/>
    <cellStyle name="Comma 4 2 2 4 4 3 2" xfId="14289" xr:uid="{7D962847-F226-460E-8819-22C099307806}"/>
    <cellStyle name="Comma 4 2 2 4 4 4" xfId="10071" xr:uid="{2C4E5D9F-2D00-4E01-9519-8F31ADB23877}"/>
    <cellStyle name="Comma 4 2 2 4 5" xfId="1953" xr:uid="{00000000-0005-0000-0000-000037080000}"/>
    <cellStyle name="Comma 4 2 2 4 5 2" xfId="4182" xr:uid="{00000000-0005-0000-0000-000038080000}"/>
    <cellStyle name="Comma 4 2 2 4 5 2 2" xfId="8405" xr:uid="{00000000-0005-0000-0000-000039080000}"/>
    <cellStyle name="Comma 4 2 2 4 5 2 2 2" xfId="16847" xr:uid="{4C61CD63-2416-4923-8386-0993AD7F6111}"/>
    <cellStyle name="Comma 4 2 2 4 5 2 3" xfId="12629" xr:uid="{8D1B2F9F-19FA-4936-B88E-764CEAFE9C06}"/>
    <cellStyle name="Comma 4 2 2 4 5 3" xfId="6260" xr:uid="{00000000-0005-0000-0000-00003A080000}"/>
    <cellStyle name="Comma 4 2 2 4 5 3 2" xfId="14702" xr:uid="{0C769BDB-6813-4000-A4BA-62E42EA12125}"/>
    <cellStyle name="Comma 4 2 2 4 5 4" xfId="10484" xr:uid="{13EFF2FB-7296-4C93-AB1A-15920B4C8CB2}"/>
    <cellStyle name="Comma 4 2 2 4 6" xfId="2388" xr:uid="{00000000-0005-0000-0000-00003B080000}"/>
    <cellStyle name="Comma 4 2 2 4 6 2" xfId="6673" xr:uid="{00000000-0005-0000-0000-00003C080000}"/>
    <cellStyle name="Comma 4 2 2 4 6 2 2" xfId="15115" xr:uid="{872E0E8D-C9E9-4384-8252-32954C7DD890}"/>
    <cellStyle name="Comma 4 2 2 4 6 3" xfId="10897" xr:uid="{938D98FD-2C49-4190-A3DA-7E6820F5954D}"/>
    <cellStyle name="Comma 4 2 2 4 7" xfId="2375" xr:uid="{00000000-0005-0000-0000-00003D080000}"/>
    <cellStyle name="Comma 4 2 2 4 8" xfId="2766" xr:uid="{00000000-0005-0000-0000-00003E080000}"/>
    <cellStyle name="Comma 4 2 2 4 8 2" xfId="6990" xr:uid="{00000000-0005-0000-0000-00003F080000}"/>
    <cellStyle name="Comma 4 2 2 4 8 2 2" xfId="15432" xr:uid="{3FE8B61F-37B9-444D-A8D2-A2EBA1248E61}"/>
    <cellStyle name="Comma 4 2 2 4 8 3" xfId="11214" xr:uid="{6471E764-1405-4102-8057-D636CD60D08B}"/>
    <cellStyle name="Comma 4 2 2 4 9" xfId="4607" xr:uid="{00000000-0005-0000-0000-000040080000}"/>
    <cellStyle name="Comma 4 2 2 4 9 2" xfId="13049" xr:uid="{5E432611-76DD-4BBA-8E98-24258FF57DA1}"/>
    <cellStyle name="Comma 4 2 2 5" xfId="135" xr:uid="{00000000-0005-0000-0000-000041080000}"/>
    <cellStyle name="Comma 4 2 2 5 10" xfId="8832" xr:uid="{F1A3CF60-2F4D-4C27-8D54-3769EDD76998}"/>
    <cellStyle name="Comma 4 2 2 5 2" xfId="673" xr:uid="{00000000-0005-0000-0000-000042080000}"/>
    <cellStyle name="Comma 4 2 2 5 2 2" xfId="2944" xr:uid="{00000000-0005-0000-0000-000043080000}"/>
    <cellStyle name="Comma 4 2 2 5 2 2 2" xfId="7167" xr:uid="{00000000-0005-0000-0000-000044080000}"/>
    <cellStyle name="Comma 4 2 2 5 2 2 2 2" xfId="15609" xr:uid="{344B2BEC-4353-4A69-AC7E-AF83D4099FD3}"/>
    <cellStyle name="Comma 4 2 2 5 2 2 3" xfId="11391" xr:uid="{6DBB7714-86E6-4616-92A5-F0BBB2337040}"/>
    <cellStyle name="Comma 4 2 2 5 2 3" xfId="5022" xr:uid="{00000000-0005-0000-0000-000045080000}"/>
    <cellStyle name="Comma 4 2 2 5 2 3 2" xfId="13464" xr:uid="{804E53C6-1D50-4433-B4CE-41BA978ED68C}"/>
    <cellStyle name="Comma 4 2 2 5 2 4" xfId="9246" xr:uid="{0D339B6A-9139-4CC2-8738-A4C55BA58892}"/>
    <cellStyle name="Comma 4 2 2 5 3" xfId="1126" xr:uid="{00000000-0005-0000-0000-000046080000}"/>
    <cellStyle name="Comma 4 2 2 5 3 2" xfId="3357" xr:uid="{00000000-0005-0000-0000-000047080000}"/>
    <cellStyle name="Comma 4 2 2 5 3 2 2" xfId="7580" xr:uid="{00000000-0005-0000-0000-000048080000}"/>
    <cellStyle name="Comma 4 2 2 5 3 2 2 2" xfId="16022" xr:uid="{C7FD3188-1E7C-49DC-9017-3B31DA02AE58}"/>
    <cellStyle name="Comma 4 2 2 5 3 2 3" xfId="11804" xr:uid="{EB9A1C8B-19D5-4234-8D4D-202EDD47885D}"/>
    <cellStyle name="Comma 4 2 2 5 3 3" xfId="5435" xr:uid="{00000000-0005-0000-0000-000049080000}"/>
    <cellStyle name="Comma 4 2 2 5 3 3 2" xfId="13877" xr:uid="{E4653181-68DA-43E8-8924-4111C2EA8E04}"/>
    <cellStyle name="Comma 4 2 2 5 3 4" xfId="9659" xr:uid="{DCA38105-294F-4D30-9BB2-94A4A653A6EB}"/>
    <cellStyle name="Comma 4 2 2 5 4" xfId="1540" xr:uid="{00000000-0005-0000-0000-00004A080000}"/>
    <cellStyle name="Comma 4 2 2 5 4 2" xfId="3770" xr:uid="{00000000-0005-0000-0000-00004B080000}"/>
    <cellStyle name="Comma 4 2 2 5 4 2 2" xfId="7993" xr:uid="{00000000-0005-0000-0000-00004C080000}"/>
    <cellStyle name="Comma 4 2 2 5 4 2 2 2" xfId="16435" xr:uid="{AFF5D75A-8C39-4483-9C21-01B35D2D4198}"/>
    <cellStyle name="Comma 4 2 2 5 4 2 3" xfId="12217" xr:uid="{B72BFC5C-C498-4927-9B61-09723878D740}"/>
    <cellStyle name="Comma 4 2 2 5 4 3" xfId="5848" xr:uid="{00000000-0005-0000-0000-00004D080000}"/>
    <cellStyle name="Comma 4 2 2 5 4 3 2" xfId="14290" xr:uid="{EE5A6C36-524F-4A4C-A1EF-7BCE2F093EDE}"/>
    <cellStyle name="Comma 4 2 2 5 4 4" xfId="10072" xr:uid="{EE702901-69BD-4850-840F-D3D95DAAC930}"/>
    <cellStyle name="Comma 4 2 2 5 5" xfId="1954" xr:uid="{00000000-0005-0000-0000-00004E080000}"/>
    <cellStyle name="Comma 4 2 2 5 5 2" xfId="4183" xr:uid="{00000000-0005-0000-0000-00004F080000}"/>
    <cellStyle name="Comma 4 2 2 5 5 2 2" xfId="8406" xr:uid="{00000000-0005-0000-0000-000050080000}"/>
    <cellStyle name="Comma 4 2 2 5 5 2 2 2" xfId="16848" xr:uid="{8356E01C-602F-47EF-8324-9EFE110F4BF9}"/>
    <cellStyle name="Comma 4 2 2 5 5 2 3" xfId="12630" xr:uid="{1A235E20-2E60-4497-A49E-36A239C9F048}"/>
    <cellStyle name="Comma 4 2 2 5 5 3" xfId="6261" xr:uid="{00000000-0005-0000-0000-000051080000}"/>
    <cellStyle name="Comma 4 2 2 5 5 3 2" xfId="14703" xr:uid="{650E3F08-06F2-4B78-B74F-BC215D255616}"/>
    <cellStyle name="Comma 4 2 2 5 5 4" xfId="10485" xr:uid="{7E369DF8-FB7C-439E-85CB-366A9199201C}"/>
    <cellStyle name="Comma 4 2 2 5 6" xfId="2389" xr:uid="{00000000-0005-0000-0000-000052080000}"/>
    <cellStyle name="Comma 4 2 2 5 6 2" xfId="6674" xr:uid="{00000000-0005-0000-0000-000053080000}"/>
    <cellStyle name="Comma 4 2 2 5 6 2 2" xfId="15116" xr:uid="{2917F471-1E45-43BB-BFDD-268432B811AE}"/>
    <cellStyle name="Comma 4 2 2 5 6 3" xfId="10898" xr:uid="{F5368B0F-CBA8-4177-AAEF-14614EA4116D}"/>
    <cellStyle name="Comma 4 2 2 5 7" xfId="2374" xr:uid="{00000000-0005-0000-0000-000054080000}"/>
    <cellStyle name="Comma 4 2 2 5 8" xfId="2767" xr:uid="{00000000-0005-0000-0000-000055080000}"/>
    <cellStyle name="Comma 4 2 2 5 8 2" xfId="6991" xr:uid="{00000000-0005-0000-0000-000056080000}"/>
    <cellStyle name="Comma 4 2 2 5 8 2 2" xfId="15433" xr:uid="{156CE3B4-D5A9-47C9-BB24-C4839141460A}"/>
    <cellStyle name="Comma 4 2 2 5 8 3" xfId="11215" xr:uid="{44D3D3CB-3F11-4727-A4DB-DD3D88374C6F}"/>
    <cellStyle name="Comma 4 2 2 5 9" xfId="4608" xr:uid="{00000000-0005-0000-0000-000057080000}"/>
    <cellStyle name="Comma 4 2 2 5 9 2" xfId="13050" xr:uid="{92FAC873-0AE1-43D8-91B5-3F56A86B9F19}"/>
    <cellStyle name="Comma 4 2 3" xfId="136" xr:uid="{00000000-0005-0000-0000-000058080000}"/>
    <cellStyle name="Comma 4 2 3 10" xfId="2768" xr:uid="{00000000-0005-0000-0000-000059080000}"/>
    <cellStyle name="Comma 4 2 3 10 2" xfId="6992" xr:uid="{00000000-0005-0000-0000-00005A080000}"/>
    <cellStyle name="Comma 4 2 3 10 2 2" xfId="15434" xr:uid="{C93A7F5D-5913-4BC8-84A5-B254762E016D}"/>
    <cellStyle name="Comma 4 2 3 10 3" xfId="11216" xr:uid="{56EA9CB7-618B-4385-B5AB-E4B6BC39E641}"/>
    <cellStyle name="Comma 4 2 3 11" xfId="4609" xr:uid="{00000000-0005-0000-0000-00005B080000}"/>
    <cellStyle name="Comma 4 2 3 11 2" xfId="13051" xr:uid="{ED3A8698-DD44-4A7F-89EF-58E3D0BF647F}"/>
    <cellStyle name="Comma 4 2 3 12" xfId="8833" xr:uid="{29D473E7-CF0B-463E-9427-FA16E7381B5E}"/>
    <cellStyle name="Comma 4 2 3 2" xfId="137" xr:uid="{00000000-0005-0000-0000-00005C080000}"/>
    <cellStyle name="Comma 4 2 3 2 10" xfId="4610" xr:uid="{00000000-0005-0000-0000-00005D080000}"/>
    <cellStyle name="Comma 4 2 3 2 10 2" xfId="13052" xr:uid="{214D56B9-5039-4EA3-9FBC-5ACBC6D2D1B3}"/>
    <cellStyle name="Comma 4 2 3 2 11" xfId="8834" xr:uid="{6A5AA928-8B26-42CD-8605-F2A62ADAB55E}"/>
    <cellStyle name="Comma 4 2 3 2 2" xfId="138" xr:uid="{00000000-0005-0000-0000-00005E080000}"/>
    <cellStyle name="Comma 4 2 3 2 2 10" xfId="8835" xr:uid="{447EA2C9-52AF-4909-A735-82D2BE66ADF3}"/>
    <cellStyle name="Comma 4 2 3 2 2 2" xfId="676" xr:uid="{00000000-0005-0000-0000-00005F080000}"/>
    <cellStyle name="Comma 4 2 3 2 2 2 2" xfId="2947" xr:uid="{00000000-0005-0000-0000-000060080000}"/>
    <cellStyle name="Comma 4 2 3 2 2 2 2 2" xfId="7170" xr:uid="{00000000-0005-0000-0000-000061080000}"/>
    <cellStyle name="Comma 4 2 3 2 2 2 2 2 2" xfId="15612" xr:uid="{ADD1A8C5-A51E-48FD-B251-DBE2CE643FD9}"/>
    <cellStyle name="Comma 4 2 3 2 2 2 2 3" xfId="11394" xr:uid="{5611CF3B-267D-48C0-AA4D-90724770F33E}"/>
    <cellStyle name="Comma 4 2 3 2 2 2 3" xfId="5025" xr:uid="{00000000-0005-0000-0000-000062080000}"/>
    <cellStyle name="Comma 4 2 3 2 2 2 3 2" xfId="13467" xr:uid="{D276B5D3-F79A-4058-B5CF-1A2C96B658A6}"/>
    <cellStyle name="Comma 4 2 3 2 2 2 4" xfId="9249" xr:uid="{B55D5580-EA75-4907-957A-5B5BE190E62F}"/>
    <cellStyle name="Comma 4 2 3 2 2 3" xfId="1129" xr:uid="{00000000-0005-0000-0000-000063080000}"/>
    <cellStyle name="Comma 4 2 3 2 2 3 2" xfId="3360" xr:uid="{00000000-0005-0000-0000-000064080000}"/>
    <cellStyle name="Comma 4 2 3 2 2 3 2 2" xfId="7583" xr:uid="{00000000-0005-0000-0000-000065080000}"/>
    <cellStyle name="Comma 4 2 3 2 2 3 2 2 2" xfId="16025" xr:uid="{17B73EB9-85D3-4EA7-87AE-D584C40C8AF9}"/>
    <cellStyle name="Comma 4 2 3 2 2 3 2 3" xfId="11807" xr:uid="{0175D371-28FF-46AF-B244-64D5BC322791}"/>
    <cellStyle name="Comma 4 2 3 2 2 3 3" xfId="5438" xr:uid="{00000000-0005-0000-0000-000066080000}"/>
    <cellStyle name="Comma 4 2 3 2 2 3 3 2" xfId="13880" xr:uid="{157039E2-8040-4C16-99CC-ABB2C40CDDC9}"/>
    <cellStyle name="Comma 4 2 3 2 2 3 4" xfId="9662" xr:uid="{391A454D-D866-488D-8C97-6447F58F5BAD}"/>
    <cellStyle name="Comma 4 2 3 2 2 4" xfId="1543" xr:uid="{00000000-0005-0000-0000-000067080000}"/>
    <cellStyle name="Comma 4 2 3 2 2 4 2" xfId="3773" xr:uid="{00000000-0005-0000-0000-000068080000}"/>
    <cellStyle name="Comma 4 2 3 2 2 4 2 2" xfId="7996" xr:uid="{00000000-0005-0000-0000-000069080000}"/>
    <cellStyle name="Comma 4 2 3 2 2 4 2 2 2" xfId="16438" xr:uid="{3C9879AF-4FD7-40DE-B261-33084DD0CE90}"/>
    <cellStyle name="Comma 4 2 3 2 2 4 2 3" xfId="12220" xr:uid="{3517498D-641C-45E9-9C0D-D1331501A59E}"/>
    <cellStyle name="Comma 4 2 3 2 2 4 3" xfId="5851" xr:uid="{00000000-0005-0000-0000-00006A080000}"/>
    <cellStyle name="Comma 4 2 3 2 2 4 3 2" xfId="14293" xr:uid="{D04F0C58-EAC4-4312-9F0F-D150021824C4}"/>
    <cellStyle name="Comma 4 2 3 2 2 4 4" xfId="10075" xr:uid="{7713FA32-9AE1-4068-9105-20C5D00A9E82}"/>
    <cellStyle name="Comma 4 2 3 2 2 5" xfId="1957" xr:uid="{00000000-0005-0000-0000-00006B080000}"/>
    <cellStyle name="Comma 4 2 3 2 2 5 2" xfId="4186" xr:uid="{00000000-0005-0000-0000-00006C080000}"/>
    <cellStyle name="Comma 4 2 3 2 2 5 2 2" xfId="8409" xr:uid="{00000000-0005-0000-0000-00006D080000}"/>
    <cellStyle name="Comma 4 2 3 2 2 5 2 2 2" xfId="16851" xr:uid="{7C66840B-5C6D-4BBE-934A-4AB351A404C6}"/>
    <cellStyle name="Comma 4 2 3 2 2 5 2 3" xfId="12633" xr:uid="{411A7018-3213-4876-81A2-20859836BD24}"/>
    <cellStyle name="Comma 4 2 3 2 2 5 3" xfId="6264" xr:uid="{00000000-0005-0000-0000-00006E080000}"/>
    <cellStyle name="Comma 4 2 3 2 2 5 3 2" xfId="14706" xr:uid="{74F75C62-289D-43DB-80A5-27598CA40FEF}"/>
    <cellStyle name="Comma 4 2 3 2 2 5 4" xfId="10488" xr:uid="{377DEC26-062D-4B53-AAE6-892C7AB28D28}"/>
    <cellStyle name="Comma 4 2 3 2 2 6" xfId="2392" xr:uid="{00000000-0005-0000-0000-00006F080000}"/>
    <cellStyle name="Comma 4 2 3 2 2 6 2" xfId="6677" xr:uid="{00000000-0005-0000-0000-000070080000}"/>
    <cellStyle name="Comma 4 2 3 2 2 6 2 2" xfId="15119" xr:uid="{985A9EF4-47C6-4022-8F22-25918A9C6059}"/>
    <cellStyle name="Comma 4 2 3 2 2 6 3" xfId="10901" xr:uid="{8D2CB612-0A83-4BAF-8B8D-68F95E1A7AA4}"/>
    <cellStyle name="Comma 4 2 3 2 2 7" xfId="2371" xr:uid="{00000000-0005-0000-0000-000071080000}"/>
    <cellStyle name="Comma 4 2 3 2 2 8" xfId="2770" xr:uid="{00000000-0005-0000-0000-000072080000}"/>
    <cellStyle name="Comma 4 2 3 2 2 8 2" xfId="6994" xr:uid="{00000000-0005-0000-0000-000073080000}"/>
    <cellStyle name="Comma 4 2 3 2 2 8 2 2" xfId="15436" xr:uid="{5FDE5A15-9811-4C62-AAF8-CC616F715607}"/>
    <cellStyle name="Comma 4 2 3 2 2 8 3" xfId="11218" xr:uid="{3FD7D4DA-985E-45D9-B735-A2204DCC9699}"/>
    <cellStyle name="Comma 4 2 3 2 2 9" xfId="4611" xr:uid="{00000000-0005-0000-0000-000074080000}"/>
    <cellStyle name="Comma 4 2 3 2 2 9 2" xfId="13053" xr:uid="{1FC6BE80-375F-48F8-AB25-2F1DE2376D93}"/>
    <cellStyle name="Comma 4 2 3 2 3" xfId="675" xr:uid="{00000000-0005-0000-0000-000075080000}"/>
    <cellStyle name="Comma 4 2 3 2 3 2" xfId="2946" xr:uid="{00000000-0005-0000-0000-000076080000}"/>
    <cellStyle name="Comma 4 2 3 2 3 2 2" xfId="7169" xr:uid="{00000000-0005-0000-0000-000077080000}"/>
    <cellStyle name="Comma 4 2 3 2 3 2 2 2" xfId="15611" xr:uid="{ACB4F5FB-04FC-4B00-9A30-0F5EAAF36AAB}"/>
    <cellStyle name="Comma 4 2 3 2 3 2 3" xfId="11393" xr:uid="{B854A132-7FA2-4FBB-AC6A-013038421671}"/>
    <cellStyle name="Comma 4 2 3 2 3 3" xfId="5024" xr:uid="{00000000-0005-0000-0000-000078080000}"/>
    <cellStyle name="Comma 4 2 3 2 3 3 2" xfId="13466" xr:uid="{261224EE-58D3-4A9A-84E6-6076CC17B5CB}"/>
    <cellStyle name="Comma 4 2 3 2 3 4" xfId="9248" xr:uid="{26BF4DB2-1EE2-4CB4-BEE5-2FBB0E904DD1}"/>
    <cellStyle name="Comma 4 2 3 2 4" xfId="1128" xr:uid="{00000000-0005-0000-0000-000079080000}"/>
    <cellStyle name="Comma 4 2 3 2 4 2" xfId="3359" xr:uid="{00000000-0005-0000-0000-00007A080000}"/>
    <cellStyle name="Comma 4 2 3 2 4 2 2" xfId="7582" xr:uid="{00000000-0005-0000-0000-00007B080000}"/>
    <cellStyle name="Comma 4 2 3 2 4 2 2 2" xfId="16024" xr:uid="{98DD07AC-C2A4-40CC-AED3-8B53A813C664}"/>
    <cellStyle name="Comma 4 2 3 2 4 2 3" xfId="11806" xr:uid="{2D7FB03F-2AA2-4355-9647-4132947E4C84}"/>
    <cellStyle name="Comma 4 2 3 2 4 3" xfId="5437" xr:uid="{00000000-0005-0000-0000-00007C080000}"/>
    <cellStyle name="Comma 4 2 3 2 4 3 2" xfId="13879" xr:uid="{52C5594A-8337-4E56-AD58-BF7FE0038092}"/>
    <cellStyle name="Comma 4 2 3 2 4 4" xfId="9661" xr:uid="{5FB542A1-3665-4F5E-9C58-4A33298781E8}"/>
    <cellStyle name="Comma 4 2 3 2 5" xfId="1542" xr:uid="{00000000-0005-0000-0000-00007D080000}"/>
    <cellStyle name="Comma 4 2 3 2 5 2" xfId="3772" xr:uid="{00000000-0005-0000-0000-00007E080000}"/>
    <cellStyle name="Comma 4 2 3 2 5 2 2" xfId="7995" xr:uid="{00000000-0005-0000-0000-00007F080000}"/>
    <cellStyle name="Comma 4 2 3 2 5 2 2 2" xfId="16437" xr:uid="{B615DCA5-5A31-448F-BA3F-65B4801A8A14}"/>
    <cellStyle name="Comma 4 2 3 2 5 2 3" xfId="12219" xr:uid="{76508DCB-1580-41A5-81C9-54CA4AE25B09}"/>
    <cellStyle name="Comma 4 2 3 2 5 3" xfId="5850" xr:uid="{00000000-0005-0000-0000-000080080000}"/>
    <cellStyle name="Comma 4 2 3 2 5 3 2" xfId="14292" xr:uid="{06213744-5102-46A0-83EB-4E1F6E2E5803}"/>
    <cellStyle name="Comma 4 2 3 2 5 4" xfId="10074" xr:uid="{8975CF60-A51E-4EDE-B9B8-7AB61EC963E8}"/>
    <cellStyle name="Comma 4 2 3 2 6" xfId="1956" xr:uid="{00000000-0005-0000-0000-000081080000}"/>
    <cellStyle name="Comma 4 2 3 2 6 2" xfId="4185" xr:uid="{00000000-0005-0000-0000-000082080000}"/>
    <cellStyle name="Comma 4 2 3 2 6 2 2" xfId="8408" xr:uid="{00000000-0005-0000-0000-000083080000}"/>
    <cellStyle name="Comma 4 2 3 2 6 2 2 2" xfId="16850" xr:uid="{99070A51-4E92-40AF-A124-6B905A8C2832}"/>
    <cellStyle name="Comma 4 2 3 2 6 2 3" xfId="12632" xr:uid="{7A71E2F9-D5E9-4219-A5A6-D8AD731D3065}"/>
    <cellStyle name="Comma 4 2 3 2 6 3" xfId="6263" xr:uid="{00000000-0005-0000-0000-000084080000}"/>
    <cellStyle name="Comma 4 2 3 2 6 3 2" xfId="14705" xr:uid="{F2114BB0-EB80-4843-81F7-8C1B93C10AFF}"/>
    <cellStyle name="Comma 4 2 3 2 6 4" xfId="10487" xr:uid="{6FF6B76E-8951-4D82-A443-900BC84C703E}"/>
    <cellStyle name="Comma 4 2 3 2 7" xfId="2391" xr:uid="{00000000-0005-0000-0000-000085080000}"/>
    <cellStyle name="Comma 4 2 3 2 7 2" xfId="6676" xr:uid="{00000000-0005-0000-0000-000086080000}"/>
    <cellStyle name="Comma 4 2 3 2 7 2 2" xfId="15118" xr:uid="{FEF9AA0D-522B-41FD-8876-54204ACC3CDB}"/>
    <cellStyle name="Comma 4 2 3 2 7 3" xfId="10900" xr:uid="{541CD652-DAA2-4E49-856A-F04BBD164437}"/>
    <cellStyle name="Comma 4 2 3 2 8" xfId="2372" xr:uid="{00000000-0005-0000-0000-000087080000}"/>
    <cellStyle name="Comma 4 2 3 2 9" xfId="2769" xr:uid="{00000000-0005-0000-0000-000088080000}"/>
    <cellStyle name="Comma 4 2 3 2 9 2" xfId="6993" xr:uid="{00000000-0005-0000-0000-000089080000}"/>
    <cellStyle name="Comma 4 2 3 2 9 2 2" xfId="15435" xr:uid="{8DF77FA0-26D0-49BE-91CD-5BC4C5046106}"/>
    <cellStyle name="Comma 4 2 3 2 9 3" xfId="11217" xr:uid="{009BE296-D6CC-4D36-9AA3-3061A8918ACD}"/>
    <cellStyle name="Comma 4 2 3 3" xfId="139" xr:uid="{00000000-0005-0000-0000-00008A080000}"/>
    <cellStyle name="Comma 4 2 3 3 10" xfId="8836" xr:uid="{F6ED3B8F-36E2-413C-9607-1B34F3E0BD3B}"/>
    <cellStyle name="Comma 4 2 3 3 2" xfId="677" xr:uid="{00000000-0005-0000-0000-00008B080000}"/>
    <cellStyle name="Comma 4 2 3 3 2 2" xfId="2948" xr:uid="{00000000-0005-0000-0000-00008C080000}"/>
    <cellStyle name="Comma 4 2 3 3 2 2 2" xfId="7171" xr:uid="{00000000-0005-0000-0000-00008D080000}"/>
    <cellStyle name="Comma 4 2 3 3 2 2 2 2" xfId="15613" xr:uid="{5CB78C0F-D67A-4684-B925-35308DC543AC}"/>
    <cellStyle name="Comma 4 2 3 3 2 2 3" xfId="11395" xr:uid="{69E84C6F-29DD-43CD-AED0-259B5B45F44A}"/>
    <cellStyle name="Comma 4 2 3 3 2 3" xfId="5026" xr:uid="{00000000-0005-0000-0000-00008E080000}"/>
    <cellStyle name="Comma 4 2 3 3 2 3 2" xfId="13468" xr:uid="{8A1A194A-A798-470F-B1D9-5A9615B699C9}"/>
    <cellStyle name="Comma 4 2 3 3 2 4" xfId="9250" xr:uid="{A89E2701-7E7C-4F16-B595-0959E0988A2E}"/>
    <cellStyle name="Comma 4 2 3 3 3" xfId="1130" xr:uid="{00000000-0005-0000-0000-00008F080000}"/>
    <cellStyle name="Comma 4 2 3 3 3 2" xfId="3361" xr:uid="{00000000-0005-0000-0000-000090080000}"/>
    <cellStyle name="Comma 4 2 3 3 3 2 2" xfId="7584" xr:uid="{00000000-0005-0000-0000-000091080000}"/>
    <cellStyle name="Comma 4 2 3 3 3 2 2 2" xfId="16026" xr:uid="{6BC4E05C-6D0D-4BE2-8F33-117E2CA4E13C}"/>
    <cellStyle name="Comma 4 2 3 3 3 2 3" xfId="11808" xr:uid="{64206689-07CB-4161-AE26-9E64632D0204}"/>
    <cellStyle name="Comma 4 2 3 3 3 3" xfId="5439" xr:uid="{00000000-0005-0000-0000-000092080000}"/>
    <cellStyle name="Comma 4 2 3 3 3 3 2" xfId="13881" xr:uid="{8249C693-0D20-4A2F-8817-1696BF7E9842}"/>
    <cellStyle name="Comma 4 2 3 3 3 4" xfId="9663" xr:uid="{CD35807A-0758-4979-91C4-681BE1B91AFC}"/>
    <cellStyle name="Comma 4 2 3 3 4" xfId="1544" xr:uid="{00000000-0005-0000-0000-000093080000}"/>
    <cellStyle name="Comma 4 2 3 3 4 2" xfId="3774" xr:uid="{00000000-0005-0000-0000-000094080000}"/>
    <cellStyle name="Comma 4 2 3 3 4 2 2" xfId="7997" xr:uid="{00000000-0005-0000-0000-000095080000}"/>
    <cellStyle name="Comma 4 2 3 3 4 2 2 2" xfId="16439" xr:uid="{BF684D64-CF9F-474B-ABCE-D08636ABD4CB}"/>
    <cellStyle name="Comma 4 2 3 3 4 2 3" xfId="12221" xr:uid="{644C9080-8D1A-4079-9011-D8A2C03454D3}"/>
    <cellStyle name="Comma 4 2 3 3 4 3" xfId="5852" xr:uid="{00000000-0005-0000-0000-000096080000}"/>
    <cellStyle name="Comma 4 2 3 3 4 3 2" xfId="14294" xr:uid="{08C3CC22-2394-4ACB-AC56-5DEA6E1263FC}"/>
    <cellStyle name="Comma 4 2 3 3 4 4" xfId="10076" xr:uid="{DF392BE3-A7FF-4AE0-830B-0AB75085FAA2}"/>
    <cellStyle name="Comma 4 2 3 3 5" xfId="1958" xr:uid="{00000000-0005-0000-0000-000097080000}"/>
    <cellStyle name="Comma 4 2 3 3 5 2" xfId="4187" xr:uid="{00000000-0005-0000-0000-000098080000}"/>
    <cellStyle name="Comma 4 2 3 3 5 2 2" xfId="8410" xr:uid="{00000000-0005-0000-0000-000099080000}"/>
    <cellStyle name="Comma 4 2 3 3 5 2 2 2" xfId="16852" xr:uid="{BEE99960-D8A2-4E54-846E-DAE21F14F537}"/>
    <cellStyle name="Comma 4 2 3 3 5 2 3" xfId="12634" xr:uid="{738CA09E-D569-4F1A-90E6-93D9F7E0435C}"/>
    <cellStyle name="Comma 4 2 3 3 5 3" xfId="6265" xr:uid="{00000000-0005-0000-0000-00009A080000}"/>
    <cellStyle name="Comma 4 2 3 3 5 3 2" xfId="14707" xr:uid="{22CFAC8A-292F-4DF7-AF8B-21C6A6A925DD}"/>
    <cellStyle name="Comma 4 2 3 3 5 4" xfId="10489" xr:uid="{6A318E17-DD7C-4230-A04F-A2FAE2C1448B}"/>
    <cellStyle name="Comma 4 2 3 3 6" xfId="2393" xr:uid="{00000000-0005-0000-0000-00009B080000}"/>
    <cellStyle name="Comma 4 2 3 3 6 2" xfId="6678" xr:uid="{00000000-0005-0000-0000-00009C080000}"/>
    <cellStyle name="Comma 4 2 3 3 6 2 2" xfId="15120" xr:uid="{03B4E5CE-BE6D-4C10-9CD7-33F5E4175193}"/>
    <cellStyle name="Comma 4 2 3 3 6 3" xfId="10902" xr:uid="{2125F899-2CE7-4BD9-8648-A2F9831293F0}"/>
    <cellStyle name="Comma 4 2 3 3 7" xfId="2370" xr:uid="{00000000-0005-0000-0000-00009D080000}"/>
    <cellStyle name="Comma 4 2 3 3 8" xfId="2771" xr:uid="{00000000-0005-0000-0000-00009E080000}"/>
    <cellStyle name="Comma 4 2 3 3 8 2" xfId="6995" xr:uid="{00000000-0005-0000-0000-00009F080000}"/>
    <cellStyle name="Comma 4 2 3 3 8 2 2" xfId="15437" xr:uid="{04C4B403-FC30-45A7-A365-8E4972370C21}"/>
    <cellStyle name="Comma 4 2 3 3 8 3" xfId="11219" xr:uid="{9203CE56-29CE-4033-9CD7-2C4A46633467}"/>
    <cellStyle name="Comma 4 2 3 3 9" xfId="4612" xr:uid="{00000000-0005-0000-0000-0000A0080000}"/>
    <cellStyle name="Comma 4 2 3 3 9 2" xfId="13054" xr:uid="{E59E04B5-B959-49E9-929A-F530F464FA8D}"/>
    <cellStyle name="Comma 4 2 3 4" xfId="674" xr:uid="{00000000-0005-0000-0000-0000A1080000}"/>
    <cellStyle name="Comma 4 2 3 4 2" xfId="2945" xr:uid="{00000000-0005-0000-0000-0000A2080000}"/>
    <cellStyle name="Comma 4 2 3 4 2 2" xfId="7168" xr:uid="{00000000-0005-0000-0000-0000A3080000}"/>
    <cellStyle name="Comma 4 2 3 4 2 2 2" xfId="15610" xr:uid="{E4A6CB49-C549-4A4E-9E91-9ABC0604DC25}"/>
    <cellStyle name="Comma 4 2 3 4 2 3" xfId="11392" xr:uid="{EB9CCE75-B5ED-443C-B339-F546D32FE161}"/>
    <cellStyle name="Comma 4 2 3 4 3" xfId="5023" xr:uid="{00000000-0005-0000-0000-0000A4080000}"/>
    <cellStyle name="Comma 4 2 3 4 3 2" xfId="13465" xr:uid="{143292C7-0779-4927-B1C4-EC2238D0CCA2}"/>
    <cellStyle name="Comma 4 2 3 4 4" xfId="9247" xr:uid="{3DB8D61A-7198-4FA7-B1F8-AAA7CB7D292E}"/>
    <cellStyle name="Comma 4 2 3 5" xfId="1127" xr:uid="{00000000-0005-0000-0000-0000A5080000}"/>
    <cellStyle name="Comma 4 2 3 5 2" xfId="3358" xr:uid="{00000000-0005-0000-0000-0000A6080000}"/>
    <cellStyle name="Comma 4 2 3 5 2 2" xfId="7581" xr:uid="{00000000-0005-0000-0000-0000A7080000}"/>
    <cellStyle name="Comma 4 2 3 5 2 2 2" xfId="16023" xr:uid="{E9066F86-3DED-454D-A7CA-C0C693DD1659}"/>
    <cellStyle name="Comma 4 2 3 5 2 3" xfId="11805" xr:uid="{7ED68BEE-6B9C-4560-A921-D10784EA9E3B}"/>
    <cellStyle name="Comma 4 2 3 5 3" xfId="5436" xr:uid="{00000000-0005-0000-0000-0000A8080000}"/>
    <cellStyle name="Comma 4 2 3 5 3 2" xfId="13878" xr:uid="{5176C72F-A96E-484F-BC06-94A91103115B}"/>
    <cellStyle name="Comma 4 2 3 5 4" xfId="9660" xr:uid="{27505F54-0EF7-4226-B6F5-F96F7568C5DA}"/>
    <cellStyle name="Comma 4 2 3 6" xfId="1541" xr:uid="{00000000-0005-0000-0000-0000A9080000}"/>
    <cellStyle name="Comma 4 2 3 6 2" xfId="3771" xr:uid="{00000000-0005-0000-0000-0000AA080000}"/>
    <cellStyle name="Comma 4 2 3 6 2 2" xfId="7994" xr:uid="{00000000-0005-0000-0000-0000AB080000}"/>
    <cellStyle name="Comma 4 2 3 6 2 2 2" xfId="16436" xr:uid="{84FCC135-D65B-486E-904C-1D7617FCD562}"/>
    <cellStyle name="Comma 4 2 3 6 2 3" xfId="12218" xr:uid="{3F7B8121-686B-45BF-99E2-C6B20A6EB7D1}"/>
    <cellStyle name="Comma 4 2 3 6 3" xfId="5849" xr:uid="{00000000-0005-0000-0000-0000AC080000}"/>
    <cellStyle name="Comma 4 2 3 6 3 2" xfId="14291" xr:uid="{FB899059-D6BD-4200-8504-1C0AE8636632}"/>
    <cellStyle name="Comma 4 2 3 6 4" xfId="10073" xr:uid="{DA3FBE95-4484-4E0A-92AE-B7761BD6FC40}"/>
    <cellStyle name="Comma 4 2 3 7" xfId="1955" xr:uid="{00000000-0005-0000-0000-0000AD080000}"/>
    <cellStyle name="Comma 4 2 3 7 2" xfId="4184" xr:uid="{00000000-0005-0000-0000-0000AE080000}"/>
    <cellStyle name="Comma 4 2 3 7 2 2" xfId="8407" xr:uid="{00000000-0005-0000-0000-0000AF080000}"/>
    <cellStyle name="Comma 4 2 3 7 2 2 2" xfId="16849" xr:uid="{734C75A8-7107-4A03-925B-81F56953802A}"/>
    <cellStyle name="Comma 4 2 3 7 2 3" xfId="12631" xr:uid="{73E4F092-6D27-40A4-9F57-5B300524803B}"/>
    <cellStyle name="Comma 4 2 3 7 3" xfId="6262" xr:uid="{00000000-0005-0000-0000-0000B0080000}"/>
    <cellStyle name="Comma 4 2 3 7 3 2" xfId="14704" xr:uid="{2F2508F9-CECD-450D-8532-07E391261FA3}"/>
    <cellStyle name="Comma 4 2 3 7 4" xfId="10486" xr:uid="{2CECAB36-8715-4EF4-8AD1-272D5849A1A1}"/>
    <cellStyle name="Comma 4 2 3 8" xfId="2390" xr:uid="{00000000-0005-0000-0000-0000B1080000}"/>
    <cellStyle name="Comma 4 2 3 8 2" xfId="6675" xr:uid="{00000000-0005-0000-0000-0000B2080000}"/>
    <cellStyle name="Comma 4 2 3 8 2 2" xfId="15117" xr:uid="{B9107A0A-5132-45F7-B599-47D9FF111779}"/>
    <cellStyle name="Comma 4 2 3 8 3" xfId="10899" xr:uid="{32CB0938-23CA-40B3-9AFD-1A96F9918030}"/>
    <cellStyle name="Comma 4 2 3 9" xfId="2373" xr:uid="{00000000-0005-0000-0000-0000B3080000}"/>
    <cellStyle name="Comma 4 2 4" xfId="140" xr:uid="{00000000-0005-0000-0000-0000B4080000}"/>
    <cellStyle name="Comma 4 2 4 10" xfId="4613" xr:uid="{00000000-0005-0000-0000-0000B5080000}"/>
    <cellStyle name="Comma 4 2 4 10 2" xfId="13055" xr:uid="{E04099B8-EAAA-42C9-94B2-2EBE3373E784}"/>
    <cellStyle name="Comma 4 2 4 11" xfId="8837" xr:uid="{4C4CCB68-9C07-4896-8E9D-3FAEBD34A1B7}"/>
    <cellStyle name="Comma 4 2 4 2" xfId="141" xr:uid="{00000000-0005-0000-0000-0000B6080000}"/>
    <cellStyle name="Comma 4 2 4 2 10" xfId="8838" xr:uid="{BA406A81-89EF-4A17-87A1-F01D13959041}"/>
    <cellStyle name="Comma 4 2 4 2 2" xfId="679" xr:uid="{00000000-0005-0000-0000-0000B7080000}"/>
    <cellStyle name="Comma 4 2 4 2 2 2" xfId="2950" xr:uid="{00000000-0005-0000-0000-0000B8080000}"/>
    <cellStyle name="Comma 4 2 4 2 2 2 2" xfId="7173" xr:uid="{00000000-0005-0000-0000-0000B9080000}"/>
    <cellStyle name="Comma 4 2 4 2 2 2 2 2" xfId="15615" xr:uid="{BAAB954B-BD3D-44BA-BE39-3D22B26A20F3}"/>
    <cellStyle name="Comma 4 2 4 2 2 2 3" xfId="11397" xr:uid="{C56E72F2-F73C-477A-8A29-96F78BD168F2}"/>
    <cellStyle name="Comma 4 2 4 2 2 3" xfId="5028" xr:uid="{00000000-0005-0000-0000-0000BA080000}"/>
    <cellStyle name="Comma 4 2 4 2 2 3 2" xfId="13470" xr:uid="{2E9C894A-A953-4C72-8D94-733C2FD243B5}"/>
    <cellStyle name="Comma 4 2 4 2 2 4" xfId="9252" xr:uid="{22ECCBBC-C9CB-4A74-9CF7-5961B7E8780D}"/>
    <cellStyle name="Comma 4 2 4 2 3" xfId="1132" xr:uid="{00000000-0005-0000-0000-0000BB080000}"/>
    <cellStyle name="Comma 4 2 4 2 3 2" xfId="3363" xr:uid="{00000000-0005-0000-0000-0000BC080000}"/>
    <cellStyle name="Comma 4 2 4 2 3 2 2" xfId="7586" xr:uid="{00000000-0005-0000-0000-0000BD080000}"/>
    <cellStyle name="Comma 4 2 4 2 3 2 2 2" xfId="16028" xr:uid="{23BE7886-938D-4F69-8DAD-1295C687F78E}"/>
    <cellStyle name="Comma 4 2 4 2 3 2 3" xfId="11810" xr:uid="{8FD1FB95-61B8-4827-9D1F-8588F57DE6D8}"/>
    <cellStyle name="Comma 4 2 4 2 3 3" xfId="5441" xr:uid="{00000000-0005-0000-0000-0000BE080000}"/>
    <cellStyle name="Comma 4 2 4 2 3 3 2" xfId="13883" xr:uid="{37E0F4B9-9907-47C5-A454-A18E6045A1B2}"/>
    <cellStyle name="Comma 4 2 4 2 3 4" xfId="9665" xr:uid="{02C04224-1A7C-4C9B-BA37-FC431A187A88}"/>
    <cellStyle name="Comma 4 2 4 2 4" xfId="1546" xr:uid="{00000000-0005-0000-0000-0000BF080000}"/>
    <cellStyle name="Comma 4 2 4 2 4 2" xfId="3776" xr:uid="{00000000-0005-0000-0000-0000C0080000}"/>
    <cellStyle name="Comma 4 2 4 2 4 2 2" xfId="7999" xr:uid="{00000000-0005-0000-0000-0000C1080000}"/>
    <cellStyle name="Comma 4 2 4 2 4 2 2 2" xfId="16441" xr:uid="{078C53B2-8C33-4070-9DE9-4AF01F0C7ACA}"/>
    <cellStyle name="Comma 4 2 4 2 4 2 3" xfId="12223" xr:uid="{D5C6AF68-A117-4825-8334-58647C73384E}"/>
    <cellStyle name="Comma 4 2 4 2 4 3" xfId="5854" xr:uid="{00000000-0005-0000-0000-0000C2080000}"/>
    <cellStyle name="Comma 4 2 4 2 4 3 2" xfId="14296" xr:uid="{A0F6DC22-BE30-4549-99CF-DA84FDDEE89A}"/>
    <cellStyle name="Comma 4 2 4 2 4 4" xfId="10078" xr:uid="{80BB3464-5745-4E48-A4F9-5A2B423E6BF8}"/>
    <cellStyle name="Comma 4 2 4 2 5" xfId="1960" xr:uid="{00000000-0005-0000-0000-0000C3080000}"/>
    <cellStyle name="Comma 4 2 4 2 5 2" xfId="4189" xr:uid="{00000000-0005-0000-0000-0000C4080000}"/>
    <cellStyle name="Comma 4 2 4 2 5 2 2" xfId="8412" xr:uid="{00000000-0005-0000-0000-0000C5080000}"/>
    <cellStyle name="Comma 4 2 4 2 5 2 2 2" xfId="16854" xr:uid="{0B425018-B010-406C-95D0-2B648FBC72CF}"/>
    <cellStyle name="Comma 4 2 4 2 5 2 3" xfId="12636" xr:uid="{8F2AC60A-3DD1-4E12-8737-77619346322F}"/>
    <cellStyle name="Comma 4 2 4 2 5 3" xfId="6267" xr:uid="{00000000-0005-0000-0000-0000C6080000}"/>
    <cellStyle name="Comma 4 2 4 2 5 3 2" xfId="14709" xr:uid="{748DA2E7-1B2E-48D0-B5F7-0BBE9515D1AA}"/>
    <cellStyle name="Comma 4 2 4 2 5 4" xfId="10491" xr:uid="{1AD5B65C-49D7-4E6F-A29F-A477FD0AEB90}"/>
    <cellStyle name="Comma 4 2 4 2 6" xfId="2395" xr:uid="{00000000-0005-0000-0000-0000C7080000}"/>
    <cellStyle name="Comma 4 2 4 2 6 2" xfId="6680" xr:uid="{00000000-0005-0000-0000-0000C8080000}"/>
    <cellStyle name="Comma 4 2 4 2 6 2 2" xfId="15122" xr:uid="{108E39B1-C154-49E4-B4EB-39A534CA426F}"/>
    <cellStyle name="Comma 4 2 4 2 6 3" xfId="10904" xr:uid="{95E1D4DD-648E-4EF6-9FC5-8FD231E29E8E}"/>
    <cellStyle name="Comma 4 2 4 2 7" xfId="2368" xr:uid="{00000000-0005-0000-0000-0000C9080000}"/>
    <cellStyle name="Comma 4 2 4 2 8" xfId="2773" xr:uid="{00000000-0005-0000-0000-0000CA080000}"/>
    <cellStyle name="Comma 4 2 4 2 8 2" xfId="6997" xr:uid="{00000000-0005-0000-0000-0000CB080000}"/>
    <cellStyle name="Comma 4 2 4 2 8 2 2" xfId="15439" xr:uid="{44ECE56D-B18B-4B4B-ABD0-1CACB04C6DE7}"/>
    <cellStyle name="Comma 4 2 4 2 8 3" xfId="11221" xr:uid="{0CDFCC65-49D2-4D09-8450-B49A3C52E5B2}"/>
    <cellStyle name="Comma 4 2 4 2 9" xfId="4614" xr:uid="{00000000-0005-0000-0000-0000CC080000}"/>
    <cellStyle name="Comma 4 2 4 2 9 2" xfId="13056" xr:uid="{CFED14E7-B257-4DA3-9932-6AE1127F5246}"/>
    <cellStyle name="Comma 4 2 4 3" xfId="678" xr:uid="{00000000-0005-0000-0000-0000CD080000}"/>
    <cellStyle name="Comma 4 2 4 3 2" xfId="2949" xr:uid="{00000000-0005-0000-0000-0000CE080000}"/>
    <cellStyle name="Comma 4 2 4 3 2 2" xfId="7172" xr:uid="{00000000-0005-0000-0000-0000CF080000}"/>
    <cellStyle name="Comma 4 2 4 3 2 2 2" xfId="15614" xr:uid="{0DA48336-800A-4A28-8053-F5A7626997A3}"/>
    <cellStyle name="Comma 4 2 4 3 2 3" xfId="11396" xr:uid="{D13B3BAD-FDAE-4CF9-A2D0-7D05FF7CBB3E}"/>
    <cellStyle name="Comma 4 2 4 3 3" xfId="5027" xr:uid="{00000000-0005-0000-0000-0000D0080000}"/>
    <cellStyle name="Comma 4 2 4 3 3 2" xfId="13469" xr:uid="{9E0833D0-B615-4B9F-9903-B2EEB57A23D1}"/>
    <cellStyle name="Comma 4 2 4 3 4" xfId="9251" xr:uid="{D7EA4124-ACC2-4F54-A41B-A012DA6FA392}"/>
    <cellStyle name="Comma 4 2 4 4" xfId="1131" xr:uid="{00000000-0005-0000-0000-0000D1080000}"/>
    <cellStyle name="Comma 4 2 4 4 2" xfId="3362" xr:uid="{00000000-0005-0000-0000-0000D2080000}"/>
    <cellStyle name="Comma 4 2 4 4 2 2" xfId="7585" xr:uid="{00000000-0005-0000-0000-0000D3080000}"/>
    <cellStyle name="Comma 4 2 4 4 2 2 2" xfId="16027" xr:uid="{285BDD50-CFA2-49FB-BE0E-A2267A832478}"/>
    <cellStyle name="Comma 4 2 4 4 2 3" xfId="11809" xr:uid="{94E883E3-141C-4F85-AD1B-882122CA8D82}"/>
    <cellStyle name="Comma 4 2 4 4 3" xfId="5440" xr:uid="{00000000-0005-0000-0000-0000D4080000}"/>
    <cellStyle name="Comma 4 2 4 4 3 2" xfId="13882" xr:uid="{EC126690-ABE5-4662-BB34-62D6570971FC}"/>
    <cellStyle name="Comma 4 2 4 4 4" xfId="9664" xr:uid="{901D3E92-DE6E-4E09-AB98-140669E05513}"/>
    <cellStyle name="Comma 4 2 4 5" xfId="1545" xr:uid="{00000000-0005-0000-0000-0000D5080000}"/>
    <cellStyle name="Comma 4 2 4 5 2" xfId="3775" xr:uid="{00000000-0005-0000-0000-0000D6080000}"/>
    <cellStyle name="Comma 4 2 4 5 2 2" xfId="7998" xr:uid="{00000000-0005-0000-0000-0000D7080000}"/>
    <cellStyle name="Comma 4 2 4 5 2 2 2" xfId="16440" xr:uid="{EB9F01B5-4D5D-4DFA-B9E6-6D693F3F5F0B}"/>
    <cellStyle name="Comma 4 2 4 5 2 3" xfId="12222" xr:uid="{6C5F5242-4EC8-46F2-A034-A9DE8E825E76}"/>
    <cellStyle name="Comma 4 2 4 5 3" xfId="5853" xr:uid="{00000000-0005-0000-0000-0000D8080000}"/>
    <cellStyle name="Comma 4 2 4 5 3 2" xfId="14295" xr:uid="{7FD800BF-1FAC-47FA-8E19-793E59EFF09D}"/>
    <cellStyle name="Comma 4 2 4 5 4" xfId="10077" xr:uid="{81F9EA7E-6F3B-4876-8CAA-3969B657A537}"/>
    <cellStyle name="Comma 4 2 4 6" xfId="1959" xr:uid="{00000000-0005-0000-0000-0000D9080000}"/>
    <cellStyle name="Comma 4 2 4 6 2" xfId="4188" xr:uid="{00000000-0005-0000-0000-0000DA080000}"/>
    <cellStyle name="Comma 4 2 4 6 2 2" xfId="8411" xr:uid="{00000000-0005-0000-0000-0000DB080000}"/>
    <cellStyle name="Comma 4 2 4 6 2 2 2" xfId="16853" xr:uid="{95BDA6D0-2E4C-4A04-A723-C59589DDCA67}"/>
    <cellStyle name="Comma 4 2 4 6 2 3" xfId="12635" xr:uid="{3E8BC985-32FB-44B9-82DB-B8A9118CD813}"/>
    <cellStyle name="Comma 4 2 4 6 3" xfId="6266" xr:uid="{00000000-0005-0000-0000-0000DC080000}"/>
    <cellStyle name="Comma 4 2 4 6 3 2" xfId="14708" xr:uid="{34977EC0-20F4-4A56-BB24-49EF5D4B17FF}"/>
    <cellStyle name="Comma 4 2 4 6 4" xfId="10490" xr:uid="{42A5788C-C770-4F47-BD44-85507659CB1F}"/>
    <cellStyle name="Comma 4 2 4 7" xfId="2394" xr:uid="{00000000-0005-0000-0000-0000DD080000}"/>
    <cellStyle name="Comma 4 2 4 7 2" xfId="6679" xr:uid="{00000000-0005-0000-0000-0000DE080000}"/>
    <cellStyle name="Comma 4 2 4 7 2 2" xfId="15121" xr:uid="{8E5E3A65-D399-4DCA-BC1D-90CA5D84986E}"/>
    <cellStyle name="Comma 4 2 4 7 3" xfId="10903" xr:uid="{7AD10D9B-F43E-47D3-8E6E-B7339602AE37}"/>
    <cellStyle name="Comma 4 2 4 8" xfId="2369" xr:uid="{00000000-0005-0000-0000-0000DF080000}"/>
    <cellStyle name="Comma 4 2 4 9" xfId="2772" xr:uid="{00000000-0005-0000-0000-0000E0080000}"/>
    <cellStyle name="Comma 4 2 4 9 2" xfId="6996" xr:uid="{00000000-0005-0000-0000-0000E1080000}"/>
    <cellStyle name="Comma 4 2 4 9 2 2" xfId="15438" xr:uid="{B64CF52B-F998-4250-AB5B-CD7F03522126}"/>
    <cellStyle name="Comma 4 2 4 9 3" xfId="11220" xr:uid="{608FAD1B-2F27-4561-9B12-B30A0D0A6E32}"/>
    <cellStyle name="Comma 4 2 5" xfId="142" xr:uid="{00000000-0005-0000-0000-0000E2080000}"/>
    <cellStyle name="Comma 4 2 5 10" xfId="8839" xr:uid="{71EAFAC8-8A41-491D-8E6C-0E438D900C79}"/>
    <cellStyle name="Comma 4 2 5 2" xfId="680" xr:uid="{00000000-0005-0000-0000-0000E3080000}"/>
    <cellStyle name="Comma 4 2 5 2 2" xfId="2951" xr:uid="{00000000-0005-0000-0000-0000E4080000}"/>
    <cellStyle name="Comma 4 2 5 2 2 2" xfId="7174" xr:uid="{00000000-0005-0000-0000-0000E5080000}"/>
    <cellStyle name="Comma 4 2 5 2 2 2 2" xfId="15616" xr:uid="{8B408EF3-106A-45A1-A651-B862ECAB62EB}"/>
    <cellStyle name="Comma 4 2 5 2 2 3" xfId="11398" xr:uid="{4F602523-7CEA-4267-906D-00E057824B43}"/>
    <cellStyle name="Comma 4 2 5 2 3" xfId="5029" xr:uid="{00000000-0005-0000-0000-0000E6080000}"/>
    <cellStyle name="Comma 4 2 5 2 3 2" xfId="13471" xr:uid="{52763EDC-659D-4187-8FD5-D4B02CC9E739}"/>
    <cellStyle name="Comma 4 2 5 2 4" xfId="9253" xr:uid="{399861A2-305F-49DB-BCDC-3F88863EF57D}"/>
    <cellStyle name="Comma 4 2 5 3" xfId="1133" xr:uid="{00000000-0005-0000-0000-0000E7080000}"/>
    <cellStyle name="Comma 4 2 5 3 2" xfId="3364" xr:uid="{00000000-0005-0000-0000-0000E8080000}"/>
    <cellStyle name="Comma 4 2 5 3 2 2" xfId="7587" xr:uid="{00000000-0005-0000-0000-0000E9080000}"/>
    <cellStyle name="Comma 4 2 5 3 2 2 2" xfId="16029" xr:uid="{1E31039B-1DF2-438A-9062-7E0A7F232812}"/>
    <cellStyle name="Comma 4 2 5 3 2 3" xfId="11811" xr:uid="{85E240BB-A64D-48FE-A238-54892421060F}"/>
    <cellStyle name="Comma 4 2 5 3 3" xfId="5442" xr:uid="{00000000-0005-0000-0000-0000EA080000}"/>
    <cellStyle name="Comma 4 2 5 3 3 2" xfId="13884" xr:uid="{029CED32-0A0D-4EE1-A974-7C38690818D4}"/>
    <cellStyle name="Comma 4 2 5 3 4" xfId="9666" xr:uid="{3C9FEFEB-6F98-415F-9F97-0FD6C459901F}"/>
    <cellStyle name="Comma 4 2 5 4" xfId="1547" xr:uid="{00000000-0005-0000-0000-0000EB080000}"/>
    <cellStyle name="Comma 4 2 5 4 2" xfId="3777" xr:uid="{00000000-0005-0000-0000-0000EC080000}"/>
    <cellStyle name="Comma 4 2 5 4 2 2" xfId="8000" xr:uid="{00000000-0005-0000-0000-0000ED080000}"/>
    <cellStyle name="Comma 4 2 5 4 2 2 2" xfId="16442" xr:uid="{9C6ADCA3-2A05-4B19-A85C-85931CCC4984}"/>
    <cellStyle name="Comma 4 2 5 4 2 3" xfId="12224" xr:uid="{A367445F-DCD0-43AC-92F4-B1681A8E113E}"/>
    <cellStyle name="Comma 4 2 5 4 3" xfId="5855" xr:uid="{00000000-0005-0000-0000-0000EE080000}"/>
    <cellStyle name="Comma 4 2 5 4 3 2" xfId="14297" xr:uid="{E045A956-5053-4403-A288-EF840847195C}"/>
    <cellStyle name="Comma 4 2 5 4 4" xfId="10079" xr:uid="{61C896DD-3588-4B4E-B890-BD7060F4CCE0}"/>
    <cellStyle name="Comma 4 2 5 5" xfId="1961" xr:uid="{00000000-0005-0000-0000-0000EF080000}"/>
    <cellStyle name="Comma 4 2 5 5 2" xfId="4190" xr:uid="{00000000-0005-0000-0000-0000F0080000}"/>
    <cellStyle name="Comma 4 2 5 5 2 2" xfId="8413" xr:uid="{00000000-0005-0000-0000-0000F1080000}"/>
    <cellStyle name="Comma 4 2 5 5 2 2 2" xfId="16855" xr:uid="{5D43FD12-9F9E-417D-ABB6-EDE66988ECEB}"/>
    <cellStyle name="Comma 4 2 5 5 2 3" xfId="12637" xr:uid="{61085951-01E8-4BED-ABE1-23B9500927A4}"/>
    <cellStyle name="Comma 4 2 5 5 3" xfId="6268" xr:uid="{00000000-0005-0000-0000-0000F2080000}"/>
    <cellStyle name="Comma 4 2 5 5 3 2" xfId="14710" xr:uid="{DD11C264-61E6-49A2-BB43-775A27721ACA}"/>
    <cellStyle name="Comma 4 2 5 5 4" xfId="10492" xr:uid="{1B3B104F-430B-43F9-9AE3-F291D5865BDD}"/>
    <cellStyle name="Comma 4 2 5 6" xfId="2396" xr:uid="{00000000-0005-0000-0000-0000F3080000}"/>
    <cellStyle name="Comma 4 2 5 6 2" xfId="6681" xr:uid="{00000000-0005-0000-0000-0000F4080000}"/>
    <cellStyle name="Comma 4 2 5 6 2 2" xfId="15123" xr:uid="{3B2250F7-07C2-4148-B051-9723934E1AE8}"/>
    <cellStyle name="Comma 4 2 5 6 3" xfId="10905" xr:uid="{B92D5F8A-587B-45DE-A62D-B4E862F998EE}"/>
    <cellStyle name="Comma 4 2 5 7" xfId="2367" xr:uid="{00000000-0005-0000-0000-0000F5080000}"/>
    <cellStyle name="Comma 4 2 5 8" xfId="2774" xr:uid="{00000000-0005-0000-0000-0000F6080000}"/>
    <cellStyle name="Comma 4 2 5 8 2" xfId="6998" xr:uid="{00000000-0005-0000-0000-0000F7080000}"/>
    <cellStyle name="Comma 4 2 5 8 2 2" xfId="15440" xr:uid="{744F8332-6932-43B3-8CC0-A19C2803C5F5}"/>
    <cellStyle name="Comma 4 2 5 8 3" xfId="11222" xr:uid="{F5AABA97-96B9-4AAA-946D-A4C0B6189657}"/>
    <cellStyle name="Comma 4 2 5 9" xfId="4615" xr:uid="{00000000-0005-0000-0000-0000F8080000}"/>
    <cellStyle name="Comma 4 2 5 9 2" xfId="13057" xr:uid="{B83010D3-8170-40F6-8F9F-35B3E64B830B}"/>
    <cellStyle name="Comma 4 2 6" xfId="143" xr:uid="{00000000-0005-0000-0000-0000F9080000}"/>
    <cellStyle name="Comma 4 2 6 10" xfId="8840" xr:uid="{A6820C3C-1024-42DD-A9D2-5C7E0FE426F7}"/>
    <cellStyle name="Comma 4 2 6 2" xfId="681" xr:uid="{00000000-0005-0000-0000-0000FA080000}"/>
    <cellStyle name="Comma 4 2 6 2 2" xfId="2952" xr:uid="{00000000-0005-0000-0000-0000FB080000}"/>
    <cellStyle name="Comma 4 2 6 2 2 2" xfId="7175" xr:uid="{00000000-0005-0000-0000-0000FC080000}"/>
    <cellStyle name="Comma 4 2 6 2 2 2 2" xfId="15617" xr:uid="{5385C1A9-FF64-48EF-8304-E6BCC2657BA8}"/>
    <cellStyle name="Comma 4 2 6 2 2 3" xfId="11399" xr:uid="{4A3765E5-022D-4FC6-A834-6EFD27EE81D0}"/>
    <cellStyle name="Comma 4 2 6 2 3" xfId="5030" xr:uid="{00000000-0005-0000-0000-0000FD080000}"/>
    <cellStyle name="Comma 4 2 6 2 3 2" xfId="13472" xr:uid="{0E6E39D8-A3C0-4E3E-B691-A39CB496B425}"/>
    <cellStyle name="Comma 4 2 6 2 4" xfId="9254" xr:uid="{94A29EAB-7A2E-4B8A-8F1C-43433DEF9EA5}"/>
    <cellStyle name="Comma 4 2 6 3" xfId="1134" xr:uid="{00000000-0005-0000-0000-0000FE080000}"/>
    <cellStyle name="Comma 4 2 6 3 2" xfId="3365" xr:uid="{00000000-0005-0000-0000-0000FF080000}"/>
    <cellStyle name="Comma 4 2 6 3 2 2" xfId="7588" xr:uid="{00000000-0005-0000-0000-000000090000}"/>
    <cellStyle name="Comma 4 2 6 3 2 2 2" xfId="16030" xr:uid="{C054C267-D043-45AC-9F55-E4AF3DEDA594}"/>
    <cellStyle name="Comma 4 2 6 3 2 3" xfId="11812" xr:uid="{B78AA0A8-FB29-4B69-BDBA-9183B79E88DD}"/>
    <cellStyle name="Comma 4 2 6 3 3" xfId="5443" xr:uid="{00000000-0005-0000-0000-000001090000}"/>
    <cellStyle name="Comma 4 2 6 3 3 2" xfId="13885" xr:uid="{8EB29CD2-AD3A-4C18-B742-19E68ABA3845}"/>
    <cellStyle name="Comma 4 2 6 3 4" xfId="9667" xr:uid="{E7C94CF6-5D8C-44CD-B450-B74E2B1A13F5}"/>
    <cellStyle name="Comma 4 2 6 4" xfId="1548" xr:uid="{00000000-0005-0000-0000-000002090000}"/>
    <cellStyle name="Comma 4 2 6 4 2" xfId="3778" xr:uid="{00000000-0005-0000-0000-000003090000}"/>
    <cellStyle name="Comma 4 2 6 4 2 2" xfId="8001" xr:uid="{00000000-0005-0000-0000-000004090000}"/>
    <cellStyle name="Comma 4 2 6 4 2 2 2" xfId="16443" xr:uid="{CABBED96-C178-478C-A65B-B34FC7B50C2B}"/>
    <cellStyle name="Comma 4 2 6 4 2 3" xfId="12225" xr:uid="{51F35896-F7AA-4470-9061-29DC8544A60A}"/>
    <cellStyle name="Comma 4 2 6 4 3" xfId="5856" xr:uid="{00000000-0005-0000-0000-000005090000}"/>
    <cellStyle name="Comma 4 2 6 4 3 2" xfId="14298" xr:uid="{FD077991-4D54-4983-96DF-47B98808963F}"/>
    <cellStyle name="Comma 4 2 6 4 4" xfId="10080" xr:uid="{00F57118-8B7A-4B20-B3F8-92622602CC8E}"/>
    <cellStyle name="Comma 4 2 6 5" xfId="1962" xr:uid="{00000000-0005-0000-0000-000006090000}"/>
    <cellStyle name="Comma 4 2 6 5 2" xfId="4191" xr:uid="{00000000-0005-0000-0000-000007090000}"/>
    <cellStyle name="Comma 4 2 6 5 2 2" xfId="8414" xr:uid="{00000000-0005-0000-0000-000008090000}"/>
    <cellStyle name="Comma 4 2 6 5 2 2 2" xfId="16856" xr:uid="{C49F661F-783A-4B82-B43E-560905DFEC76}"/>
    <cellStyle name="Comma 4 2 6 5 2 3" xfId="12638" xr:uid="{9782D488-8A25-4CC4-9DC0-162CC154F8AC}"/>
    <cellStyle name="Comma 4 2 6 5 3" xfId="6269" xr:uid="{00000000-0005-0000-0000-000009090000}"/>
    <cellStyle name="Comma 4 2 6 5 3 2" xfId="14711" xr:uid="{A3C7DF10-A867-4561-B1AE-6DE661DBD0DE}"/>
    <cellStyle name="Comma 4 2 6 5 4" xfId="10493" xr:uid="{6690A536-CD47-43FD-8868-8C98641DFEB0}"/>
    <cellStyle name="Comma 4 2 6 6" xfId="2397" xr:uid="{00000000-0005-0000-0000-00000A090000}"/>
    <cellStyle name="Comma 4 2 6 6 2" xfId="6682" xr:uid="{00000000-0005-0000-0000-00000B090000}"/>
    <cellStyle name="Comma 4 2 6 6 2 2" xfId="15124" xr:uid="{DC40F1BE-2F4D-4991-9F43-A0B2BE673B04}"/>
    <cellStyle name="Comma 4 2 6 6 3" xfId="10906" xr:uid="{DA64A242-B424-443B-BD10-0A698AB35E1F}"/>
    <cellStyle name="Comma 4 2 6 7" xfId="2366" xr:uid="{00000000-0005-0000-0000-00000C090000}"/>
    <cellStyle name="Comma 4 2 6 8" xfId="2775" xr:uid="{00000000-0005-0000-0000-00000D090000}"/>
    <cellStyle name="Comma 4 2 6 8 2" xfId="6999" xr:uid="{00000000-0005-0000-0000-00000E090000}"/>
    <cellStyle name="Comma 4 2 6 8 2 2" xfId="15441" xr:uid="{566958C4-885F-4D3B-AA15-14AE39858250}"/>
    <cellStyle name="Comma 4 2 6 8 3" xfId="11223" xr:uid="{23B6A312-6CE1-4A94-B747-F6DE2C19BD72}"/>
    <cellStyle name="Comma 4 2 6 9" xfId="4616" xr:uid="{00000000-0005-0000-0000-00000F090000}"/>
    <cellStyle name="Comma 4 2 6 9 2" xfId="13058" xr:uid="{D20DED2C-448F-4C07-B59F-F9A18C325AED}"/>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0 2 2" xfId="15442" xr:uid="{00AA27EF-9054-4DB4-83E8-7E338EA341BB}"/>
    <cellStyle name="Comma 4 3 2 10 3" xfId="11224" xr:uid="{F87C68C1-DE37-45D8-A6E3-EA8B2D1FF868}"/>
    <cellStyle name="Comma 4 3 2 11" xfId="4617" xr:uid="{00000000-0005-0000-0000-000014090000}"/>
    <cellStyle name="Comma 4 3 2 11 2" xfId="13059" xr:uid="{AC800711-A2B9-4F26-BBEA-4329B7FEF606}"/>
    <cellStyle name="Comma 4 3 2 12" xfId="8841" xr:uid="{162282AD-50AB-4269-A134-B215DB5E7045}"/>
    <cellStyle name="Comma 4 3 2 2" xfId="146" xr:uid="{00000000-0005-0000-0000-000015090000}"/>
    <cellStyle name="Comma 4 3 2 2 10" xfId="4618" xr:uid="{00000000-0005-0000-0000-000016090000}"/>
    <cellStyle name="Comma 4 3 2 2 10 2" xfId="13060" xr:uid="{34E341B2-6C91-4494-9DAB-DE0A76163452}"/>
    <cellStyle name="Comma 4 3 2 2 11" xfId="8842" xr:uid="{02A72F34-C1C9-4F5F-BD33-191F5EC9DA63}"/>
    <cellStyle name="Comma 4 3 2 2 2" xfId="147" xr:uid="{00000000-0005-0000-0000-000017090000}"/>
    <cellStyle name="Comma 4 3 2 2 2 10" xfId="8843" xr:uid="{F59C68CA-1233-4D28-A5F0-A7D20CA2E422}"/>
    <cellStyle name="Comma 4 3 2 2 2 2" xfId="684" xr:uid="{00000000-0005-0000-0000-000018090000}"/>
    <cellStyle name="Comma 4 3 2 2 2 2 2" xfId="2955" xr:uid="{00000000-0005-0000-0000-000019090000}"/>
    <cellStyle name="Comma 4 3 2 2 2 2 2 2" xfId="7178" xr:uid="{00000000-0005-0000-0000-00001A090000}"/>
    <cellStyle name="Comma 4 3 2 2 2 2 2 2 2" xfId="15620" xr:uid="{A89983C1-C17D-464E-9DE6-B0337040862A}"/>
    <cellStyle name="Comma 4 3 2 2 2 2 2 3" xfId="11402" xr:uid="{4483A2AB-ED4A-4642-9A05-B325696AA537}"/>
    <cellStyle name="Comma 4 3 2 2 2 2 3" xfId="5033" xr:uid="{00000000-0005-0000-0000-00001B090000}"/>
    <cellStyle name="Comma 4 3 2 2 2 2 3 2" xfId="13475" xr:uid="{6ADD15E4-DAF1-4D5C-A3E4-C71CCE6A13F5}"/>
    <cellStyle name="Comma 4 3 2 2 2 2 4" xfId="9257" xr:uid="{2431AAEA-AFF4-493B-8765-7B688A17AD4D}"/>
    <cellStyle name="Comma 4 3 2 2 2 3" xfId="1137" xr:uid="{00000000-0005-0000-0000-00001C090000}"/>
    <cellStyle name="Comma 4 3 2 2 2 3 2" xfId="3368" xr:uid="{00000000-0005-0000-0000-00001D090000}"/>
    <cellStyle name="Comma 4 3 2 2 2 3 2 2" xfId="7591" xr:uid="{00000000-0005-0000-0000-00001E090000}"/>
    <cellStyle name="Comma 4 3 2 2 2 3 2 2 2" xfId="16033" xr:uid="{F37F189B-0B84-476E-9D88-9588E526513F}"/>
    <cellStyle name="Comma 4 3 2 2 2 3 2 3" xfId="11815" xr:uid="{5970D8FA-B566-4B58-8244-204FB1D00720}"/>
    <cellStyle name="Comma 4 3 2 2 2 3 3" xfId="5446" xr:uid="{00000000-0005-0000-0000-00001F090000}"/>
    <cellStyle name="Comma 4 3 2 2 2 3 3 2" xfId="13888" xr:uid="{52D316D9-8D8D-41A2-AFB1-60F3B60E6D49}"/>
    <cellStyle name="Comma 4 3 2 2 2 3 4" xfId="9670" xr:uid="{68F87743-A371-4D0D-A777-7F9ABD503536}"/>
    <cellStyle name="Comma 4 3 2 2 2 4" xfId="1551" xr:uid="{00000000-0005-0000-0000-000020090000}"/>
    <cellStyle name="Comma 4 3 2 2 2 4 2" xfId="3781" xr:uid="{00000000-0005-0000-0000-000021090000}"/>
    <cellStyle name="Comma 4 3 2 2 2 4 2 2" xfId="8004" xr:uid="{00000000-0005-0000-0000-000022090000}"/>
    <cellStyle name="Comma 4 3 2 2 2 4 2 2 2" xfId="16446" xr:uid="{07C4ABD4-B616-440E-9C29-DACAAC294D0F}"/>
    <cellStyle name="Comma 4 3 2 2 2 4 2 3" xfId="12228" xr:uid="{FC4581D8-43CC-4BFD-852B-E441FB1FE783}"/>
    <cellStyle name="Comma 4 3 2 2 2 4 3" xfId="5859" xr:uid="{00000000-0005-0000-0000-000023090000}"/>
    <cellStyle name="Comma 4 3 2 2 2 4 3 2" xfId="14301" xr:uid="{939ACFA5-4B9F-4207-A88A-EAB1F84F4F39}"/>
    <cellStyle name="Comma 4 3 2 2 2 4 4" xfId="10083" xr:uid="{DE68EA12-B345-4472-AB12-BE5BD01A0D9B}"/>
    <cellStyle name="Comma 4 3 2 2 2 5" xfId="1965" xr:uid="{00000000-0005-0000-0000-000024090000}"/>
    <cellStyle name="Comma 4 3 2 2 2 5 2" xfId="4194" xr:uid="{00000000-0005-0000-0000-000025090000}"/>
    <cellStyle name="Comma 4 3 2 2 2 5 2 2" xfId="8417" xr:uid="{00000000-0005-0000-0000-000026090000}"/>
    <cellStyle name="Comma 4 3 2 2 2 5 2 2 2" xfId="16859" xr:uid="{011C9FEA-681C-4553-AA53-B766991EB25E}"/>
    <cellStyle name="Comma 4 3 2 2 2 5 2 3" xfId="12641" xr:uid="{33A321B6-6A06-4B04-8426-6559138F05BF}"/>
    <cellStyle name="Comma 4 3 2 2 2 5 3" xfId="6272" xr:uid="{00000000-0005-0000-0000-000027090000}"/>
    <cellStyle name="Comma 4 3 2 2 2 5 3 2" xfId="14714" xr:uid="{664B13A5-8AEC-49BF-85BC-88FC5D171F58}"/>
    <cellStyle name="Comma 4 3 2 2 2 5 4" xfId="10496" xr:uid="{846C1690-51B4-4F67-943D-7600308232CA}"/>
    <cellStyle name="Comma 4 3 2 2 2 6" xfId="2400" xr:uid="{00000000-0005-0000-0000-000028090000}"/>
    <cellStyle name="Comma 4 3 2 2 2 6 2" xfId="6685" xr:uid="{00000000-0005-0000-0000-000029090000}"/>
    <cellStyle name="Comma 4 3 2 2 2 6 2 2" xfId="15127" xr:uid="{A668AAA0-4447-4EED-9A3B-CCCABA52E37B}"/>
    <cellStyle name="Comma 4 3 2 2 2 6 3" xfId="10909" xr:uid="{65F3D5AC-D99A-43BB-874A-19080010641F}"/>
    <cellStyle name="Comma 4 3 2 2 2 7" xfId="2363" xr:uid="{00000000-0005-0000-0000-00002A090000}"/>
    <cellStyle name="Comma 4 3 2 2 2 8" xfId="2778" xr:uid="{00000000-0005-0000-0000-00002B090000}"/>
    <cellStyle name="Comma 4 3 2 2 2 8 2" xfId="7002" xr:uid="{00000000-0005-0000-0000-00002C090000}"/>
    <cellStyle name="Comma 4 3 2 2 2 8 2 2" xfId="15444" xr:uid="{8F351100-2D0C-4ADF-8BBD-C22906C7841A}"/>
    <cellStyle name="Comma 4 3 2 2 2 8 3" xfId="11226" xr:uid="{24F36BBA-84A4-4F2F-A997-53E7AF523142}"/>
    <cellStyle name="Comma 4 3 2 2 2 9" xfId="4619" xr:uid="{00000000-0005-0000-0000-00002D090000}"/>
    <cellStyle name="Comma 4 3 2 2 2 9 2" xfId="13061" xr:uid="{BE440E61-1D66-4DF6-B973-0124CDE85585}"/>
    <cellStyle name="Comma 4 3 2 2 3" xfId="683" xr:uid="{00000000-0005-0000-0000-00002E090000}"/>
    <cellStyle name="Comma 4 3 2 2 3 2" xfId="2954" xr:uid="{00000000-0005-0000-0000-00002F090000}"/>
    <cellStyle name="Comma 4 3 2 2 3 2 2" xfId="7177" xr:uid="{00000000-0005-0000-0000-000030090000}"/>
    <cellStyle name="Comma 4 3 2 2 3 2 2 2" xfId="15619" xr:uid="{D41DF41F-2F7C-4F5E-B4E7-00C2937BAD2C}"/>
    <cellStyle name="Comma 4 3 2 2 3 2 3" xfId="11401" xr:uid="{211C69CE-C47F-4136-9242-4CED50ED3A7A}"/>
    <cellStyle name="Comma 4 3 2 2 3 3" xfId="5032" xr:uid="{00000000-0005-0000-0000-000031090000}"/>
    <cellStyle name="Comma 4 3 2 2 3 3 2" xfId="13474" xr:uid="{D8D3EBE0-3725-4760-BDC0-DD9FC2E8F4DD}"/>
    <cellStyle name="Comma 4 3 2 2 3 4" xfId="9256" xr:uid="{B67370A2-45F6-473B-A10A-9DBDDD6344D8}"/>
    <cellStyle name="Comma 4 3 2 2 4" xfId="1136" xr:uid="{00000000-0005-0000-0000-000032090000}"/>
    <cellStyle name="Comma 4 3 2 2 4 2" xfId="3367" xr:uid="{00000000-0005-0000-0000-000033090000}"/>
    <cellStyle name="Comma 4 3 2 2 4 2 2" xfId="7590" xr:uid="{00000000-0005-0000-0000-000034090000}"/>
    <cellStyle name="Comma 4 3 2 2 4 2 2 2" xfId="16032" xr:uid="{47753390-E7C2-4362-8665-7B9E07AAC330}"/>
    <cellStyle name="Comma 4 3 2 2 4 2 3" xfId="11814" xr:uid="{55995566-8216-4C64-8612-878429B842A1}"/>
    <cellStyle name="Comma 4 3 2 2 4 3" xfId="5445" xr:uid="{00000000-0005-0000-0000-000035090000}"/>
    <cellStyle name="Comma 4 3 2 2 4 3 2" xfId="13887" xr:uid="{F3CB2158-0771-4C2F-97A0-074A76DD55CF}"/>
    <cellStyle name="Comma 4 3 2 2 4 4" xfId="9669" xr:uid="{C1611DD0-EF51-49B3-B293-DEAEBF22A342}"/>
    <cellStyle name="Comma 4 3 2 2 5" xfId="1550" xr:uid="{00000000-0005-0000-0000-000036090000}"/>
    <cellStyle name="Comma 4 3 2 2 5 2" xfId="3780" xr:uid="{00000000-0005-0000-0000-000037090000}"/>
    <cellStyle name="Comma 4 3 2 2 5 2 2" xfId="8003" xr:uid="{00000000-0005-0000-0000-000038090000}"/>
    <cellStyle name="Comma 4 3 2 2 5 2 2 2" xfId="16445" xr:uid="{23A3446D-2E4C-4DF3-ADDD-8ECA02B54538}"/>
    <cellStyle name="Comma 4 3 2 2 5 2 3" xfId="12227" xr:uid="{3E9797FE-082C-412B-83BF-654A8D88EEA1}"/>
    <cellStyle name="Comma 4 3 2 2 5 3" xfId="5858" xr:uid="{00000000-0005-0000-0000-000039090000}"/>
    <cellStyle name="Comma 4 3 2 2 5 3 2" xfId="14300" xr:uid="{579304D4-085C-4FDC-92F7-D57218E0F2B4}"/>
    <cellStyle name="Comma 4 3 2 2 5 4" xfId="10082" xr:uid="{482B4C5B-6D7A-4DB4-9EF1-02D4136E3FC0}"/>
    <cellStyle name="Comma 4 3 2 2 6" xfId="1964" xr:uid="{00000000-0005-0000-0000-00003A090000}"/>
    <cellStyle name="Comma 4 3 2 2 6 2" xfId="4193" xr:uid="{00000000-0005-0000-0000-00003B090000}"/>
    <cellStyle name="Comma 4 3 2 2 6 2 2" xfId="8416" xr:uid="{00000000-0005-0000-0000-00003C090000}"/>
    <cellStyle name="Comma 4 3 2 2 6 2 2 2" xfId="16858" xr:uid="{FC211236-0293-4487-B4CF-2BAEE7AE593C}"/>
    <cellStyle name="Comma 4 3 2 2 6 2 3" xfId="12640" xr:uid="{0F263F6A-FF91-487D-8BC9-80C181054496}"/>
    <cellStyle name="Comma 4 3 2 2 6 3" xfId="6271" xr:uid="{00000000-0005-0000-0000-00003D090000}"/>
    <cellStyle name="Comma 4 3 2 2 6 3 2" xfId="14713" xr:uid="{3DE6249D-DEE6-46A2-AD46-19F83ACB80EC}"/>
    <cellStyle name="Comma 4 3 2 2 6 4" xfId="10495" xr:uid="{A55523FD-648B-4C35-9151-368956463130}"/>
    <cellStyle name="Comma 4 3 2 2 7" xfId="2399" xr:uid="{00000000-0005-0000-0000-00003E090000}"/>
    <cellStyle name="Comma 4 3 2 2 7 2" xfId="6684" xr:uid="{00000000-0005-0000-0000-00003F090000}"/>
    <cellStyle name="Comma 4 3 2 2 7 2 2" xfId="15126" xr:uid="{B6F07441-A0CE-4448-AED7-56E4B2E2B7E0}"/>
    <cellStyle name="Comma 4 3 2 2 7 3" xfId="10908" xr:uid="{02EC613D-4BCD-4867-8789-F1F37FC55FCA}"/>
    <cellStyle name="Comma 4 3 2 2 8" xfId="2364" xr:uid="{00000000-0005-0000-0000-000040090000}"/>
    <cellStyle name="Comma 4 3 2 2 9" xfId="2777" xr:uid="{00000000-0005-0000-0000-000041090000}"/>
    <cellStyle name="Comma 4 3 2 2 9 2" xfId="7001" xr:uid="{00000000-0005-0000-0000-000042090000}"/>
    <cellStyle name="Comma 4 3 2 2 9 2 2" xfId="15443" xr:uid="{23D65850-F89D-4CEC-A194-03974DBB5400}"/>
    <cellStyle name="Comma 4 3 2 2 9 3" xfId="11225" xr:uid="{76CDCD6D-C9DE-4380-A7F1-F19220BE31F4}"/>
    <cellStyle name="Comma 4 3 2 3" xfId="148" xr:uid="{00000000-0005-0000-0000-000043090000}"/>
    <cellStyle name="Comma 4 3 2 3 10" xfId="8844" xr:uid="{169E3300-D4AA-4E71-B52F-0EAF974FA78D}"/>
    <cellStyle name="Comma 4 3 2 3 2" xfId="685" xr:uid="{00000000-0005-0000-0000-000044090000}"/>
    <cellStyle name="Comma 4 3 2 3 2 2" xfId="2956" xr:uid="{00000000-0005-0000-0000-000045090000}"/>
    <cellStyle name="Comma 4 3 2 3 2 2 2" xfId="7179" xr:uid="{00000000-0005-0000-0000-000046090000}"/>
    <cellStyle name="Comma 4 3 2 3 2 2 2 2" xfId="15621" xr:uid="{BDCBFB98-F453-4E1B-A6E3-C180887DB495}"/>
    <cellStyle name="Comma 4 3 2 3 2 2 3" xfId="11403" xr:uid="{1148C205-9968-446A-8B4B-FD3DC77B69F4}"/>
    <cellStyle name="Comma 4 3 2 3 2 3" xfId="5034" xr:uid="{00000000-0005-0000-0000-000047090000}"/>
    <cellStyle name="Comma 4 3 2 3 2 3 2" xfId="13476" xr:uid="{E45DF2A5-B9FD-47B1-B5C0-599B03165C57}"/>
    <cellStyle name="Comma 4 3 2 3 2 4" xfId="9258" xr:uid="{C69493FF-A66A-4BF1-BD29-7A9AE3CBD488}"/>
    <cellStyle name="Comma 4 3 2 3 3" xfId="1138" xr:uid="{00000000-0005-0000-0000-000048090000}"/>
    <cellStyle name="Comma 4 3 2 3 3 2" xfId="3369" xr:uid="{00000000-0005-0000-0000-000049090000}"/>
    <cellStyle name="Comma 4 3 2 3 3 2 2" xfId="7592" xr:uid="{00000000-0005-0000-0000-00004A090000}"/>
    <cellStyle name="Comma 4 3 2 3 3 2 2 2" xfId="16034" xr:uid="{569966C8-BC38-4DB4-8B83-2F3369914282}"/>
    <cellStyle name="Comma 4 3 2 3 3 2 3" xfId="11816" xr:uid="{5504181A-2EB1-4042-B981-2D66315AC35C}"/>
    <cellStyle name="Comma 4 3 2 3 3 3" xfId="5447" xr:uid="{00000000-0005-0000-0000-00004B090000}"/>
    <cellStyle name="Comma 4 3 2 3 3 3 2" xfId="13889" xr:uid="{9BCD90CA-22E1-4180-B6AE-E26474842B29}"/>
    <cellStyle name="Comma 4 3 2 3 3 4" xfId="9671" xr:uid="{50E76FBA-A1F4-4622-9337-F279F3EA02BE}"/>
    <cellStyle name="Comma 4 3 2 3 4" xfId="1552" xr:uid="{00000000-0005-0000-0000-00004C090000}"/>
    <cellStyle name="Comma 4 3 2 3 4 2" xfId="3782" xr:uid="{00000000-0005-0000-0000-00004D090000}"/>
    <cellStyle name="Comma 4 3 2 3 4 2 2" xfId="8005" xr:uid="{00000000-0005-0000-0000-00004E090000}"/>
    <cellStyle name="Comma 4 3 2 3 4 2 2 2" xfId="16447" xr:uid="{DB2CA3F0-EE81-4602-A4C9-6FF7B1425A83}"/>
    <cellStyle name="Comma 4 3 2 3 4 2 3" xfId="12229" xr:uid="{44ED0CA1-2124-487B-848C-CF2D6BB3346D}"/>
    <cellStyle name="Comma 4 3 2 3 4 3" xfId="5860" xr:uid="{00000000-0005-0000-0000-00004F090000}"/>
    <cellStyle name="Comma 4 3 2 3 4 3 2" xfId="14302" xr:uid="{526270AD-63FE-4931-BC4D-27DBB191DA95}"/>
    <cellStyle name="Comma 4 3 2 3 4 4" xfId="10084" xr:uid="{E3C8ED56-1092-4D3D-A186-C6398C60DFE8}"/>
    <cellStyle name="Comma 4 3 2 3 5" xfId="1966" xr:uid="{00000000-0005-0000-0000-000050090000}"/>
    <cellStyle name="Comma 4 3 2 3 5 2" xfId="4195" xr:uid="{00000000-0005-0000-0000-000051090000}"/>
    <cellStyle name="Comma 4 3 2 3 5 2 2" xfId="8418" xr:uid="{00000000-0005-0000-0000-000052090000}"/>
    <cellStyle name="Comma 4 3 2 3 5 2 2 2" xfId="16860" xr:uid="{19EDA725-6699-4EEE-B4C4-E6DF38CF5623}"/>
    <cellStyle name="Comma 4 3 2 3 5 2 3" xfId="12642" xr:uid="{54F5E054-A155-44FE-A016-9BB889219B48}"/>
    <cellStyle name="Comma 4 3 2 3 5 3" xfId="6273" xr:uid="{00000000-0005-0000-0000-000053090000}"/>
    <cellStyle name="Comma 4 3 2 3 5 3 2" xfId="14715" xr:uid="{9F49A5CC-652D-4E64-94F9-0F0BB06E5363}"/>
    <cellStyle name="Comma 4 3 2 3 5 4" xfId="10497" xr:uid="{AE1BF29E-6854-49E4-8F25-A21839D5B354}"/>
    <cellStyle name="Comma 4 3 2 3 6" xfId="2401" xr:uid="{00000000-0005-0000-0000-000054090000}"/>
    <cellStyle name="Comma 4 3 2 3 6 2" xfId="6686" xr:uid="{00000000-0005-0000-0000-000055090000}"/>
    <cellStyle name="Comma 4 3 2 3 6 2 2" xfId="15128" xr:uid="{7902263C-9A65-46DB-880E-C3712E09A07F}"/>
    <cellStyle name="Comma 4 3 2 3 6 3" xfId="10910" xr:uid="{5CFEBA3B-1E26-4DE0-BA2E-3F3B1EAAF0BA}"/>
    <cellStyle name="Comma 4 3 2 3 7" xfId="2362" xr:uid="{00000000-0005-0000-0000-000056090000}"/>
    <cellStyle name="Comma 4 3 2 3 8" xfId="2779" xr:uid="{00000000-0005-0000-0000-000057090000}"/>
    <cellStyle name="Comma 4 3 2 3 8 2" xfId="7003" xr:uid="{00000000-0005-0000-0000-000058090000}"/>
    <cellStyle name="Comma 4 3 2 3 8 2 2" xfId="15445" xr:uid="{CEE8C003-BC81-4B92-A942-6F5E7F926F16}"/>
    <cellStyle name="Comma 4 3 2 3 8 3" xfId="11227" xr:uid="{E054AFD7-0986-414F-9D31-1FA875EB7947}"/>
    <cellStyle name="Comma 4 3 2 3 9" xfId="4620" xr:uid="{00000000-0005-0000-0000-000059090000}"/>
    <cellStyle name="Comma 4 3 2 3 9 2" xfId="13062" xr:uid="{6AF0EBF5-7977-4314-88FA-EE529267AC64}"/>
    <cellStyle name="Comma 4 3 2 4" xfId="682" xr:uid="{00000000-0005-0000-0000-00005A090000}"/>
    <cellStyle name="Comma 4 3 2 4 2" xfId="2953" xr:uid="{00000000-0005-0000-0000-00005B090000}"/>
    <cellStyle name="Comma 4 3 2 4 2 2" xfId="7176" xr:uid="{00000000-0005-0000-0000-00005C090000}"/>
    <cellStyle name="Comma 4 3 2 4 2 2 2" xfId="15618" xr:uid="{CE2BA4E3-18DD-440B-B24A-A7C6865F7481}"/>
    <cellStyle name="Comma 4 3 2 4 2 3" xfId="11400" xr:uid="{FF21AA87-AD2B-493C-B194-24B1E6E568B9}"/>
    <cellStyle name="Comma 4 3 2 4 3" xfId="5031" xr:uid="{00000000-0005-0000-0000-00005D090000}"/>
    <cellStyle name="Comma 4 3 2 4 3 2" xfId="13473" xr:uid="{538A3D1E-E5A1-4DF7-9139-4770707871E5}"/>
    <cellStyle name="Comma 4 3 2 4 4" xfId="9255" xr:uid="{500B0C1D-2F2C-45DB-8690-60E683B50A14}"/>
    <cellStyle name="Comma 4 3 2 5" xfId="1135" xr:uid="{00000000-0005-0000-0000-00005E090000}"/>
    <cellStyle name="Comma 4 3 2 5 2" xfId="3366" xr:uid="{00000000-0005-0000-0000-00005F090000}"/>
    <cellStyle name="Comma 4 3 2 5 2 2" xfId="7589" xr:uid="{00000000-0005-0000-0000-000060090000}"/>
    <cellStyle name="Comma 4 3 2 5 2 2 2" xfId="16031" xr:uid="{DDFFD0ED-4543-4F97-94CA-10EC507E6502}"/>
    <cellStyle name="Comma 4 3 2 5 2 3" xfId="11813" xr:uid="{B0505B22-96EC-4D87-BD18-46C81431FAD9}"/>
    <cellStyle name="Comma 4 3 2 5 3" xfId="5444" xr:uid="{00000000-0005-0000-0000-000061090000}"/>
    <cellStyle name="Comma 4 3 2 5 3 2" xfId="13886" xr:uid="{4BE8E820-C963-4030-9051-3D6F8E2051FE}"/>
    <cellStyle name="Comma 4 3 2 5 4" xfId="9668" xr:uid="{117ABD74-D1BD-498C-80B6-E6353C63D87B}"/>
    <cellStyle name="Comma 4 3 2 6" xfId="1549" xr:uid="{00000000-0005-0000-0000-000062090000}"/>
    <cellStyle name="Comma 4 3 2 6 2" xfId="3779" xr:uid="{00000000-0005-0000-0000-000063090000}"/>
    <cellStyle name="Comma 4 3 2 6 2 2" xfId="8002" xr:uid="{00000000-0005-0000-0000-000064090000}"/>
    <cellStyle name="Comma 4 3 2 6 2 2 2" xfId="16444" xr:uid="{B9A883D4-7F38-4A24-BE86-9B1EE2DE979E}"/>
    <cellStyle name="Comma 4 3 2 6 2 3" xfId="12226" xr:uid="{2842E981-8946-4B7C-B5AC-5E5DA0819AD1}"/>
    <cellStyle name="Comma 4 3 2 6 3" xfId="5857" xr:uid="{00000000-0005-0000-0000-000065090000}"/>
    <cellStyle name="Comma 4 3 2 6 3 2" xfId="14299" xr:uid="{2BD91859-3B8C-4EFE-A606-1E3E74AF5D55}"/>
    <cellStyle name="Comma 4 3 2 6 4" xfId="10081" xr:uid="{DB999028-7180-4100-8668-D7A4FF9A5B5E}"/>
    <cellStyle name="Comma 4 3 2 7" xfId="1963" xr:uid="{00000000-0005-0000-0000-000066090000}"/>
    <cellStyle name="Comma 4 3 2 7 2" xfId="4192" xr:uid="{00000000-0005-0000-0000-000067090000}"/>
    <cellStyle name="Comma 4 3 2 7 2 2" xfId="8415" xr:uid="{00000000-0005-0000-0000-000068090000}"/>
    <cellStyle name="Comma 4 3 2 7 2 2 2" xfId="16857" xr:uid="{EDBD6946-661B-4202-AB68-191E9EAD6D6A}"/>
    <cellStyle name="Comma 4 3 2 7 2 3" xfId="12639" xr:uid="{F8ED67DD-9EB2-4D35-81BF-837907398CC6}"/>
    <cellStyle name="Comma 4 3 2 7 3" xfId="6270" xr:uid="{00000000-0005-0000-0000-000069090000}"/>
    <cellStyle name="Comma 4 3 2 7 3 2" xfId="14712" xr:uid="{FD7D6A5F-58DA-4437-8351-8E6FDF5AF335}"/>
    <cellStyle name="Comma 4 3 2 7 4" xfId="10494" xr:uid="{63EE8763-E116-430F-9A05-2C293A9B6DD9}"/>
    <cellStyle name="Comma 4 3 2 8" xfId="2398" xr:uid="{00000000-0005-0000-0000-00006A090000}"/>
    <cellStyle name="Comma 4 3 2 8 2" xfId="6683" xr:uid="{00000000-0005-0000-0000-00006B090000}"/>
    <cellStyle name="Comma 4 3 2 8 2 2" xfId="15125" xr:uid="{A52A7657-EF80-4FBA-9BFB-46FED79088AA}"/>
    <cellStyle name="Comma 4 3 2 8 3" xfId="10907" xr:uid="{863BB89B-E024-4958-899A-2F20A5ADE2DB}"/>
    <cellStyle name="Comma 4 3 2 9" xfId="2365" xr:uid="{00000000-0005-0000-0000-00006C090000}"/>
    <cellStyle name="Comma 4 3 3" xfId="149" xr:uid="{00000000-0005-0000-0000-00006D090000}"/>
    <cellStyle name="Comma 4 3 3 10" xfId="4621" xr:uid="{00000000-0005-0000-0000-00006E090000}"/>
    <cellStyle name="Comma 4 3 3 10 2" xfId="13063" xr:uid="{B4D0EC70-8F7E-4BAC-9B31-4F5EF48F7DBF}"/>
    <cellStyle name="Comma 4 3 3 11" xfId="8845" xr:uid="{F4DE3D3C-7D56-4ED0-8253-230037A9B2DE}"/>
    <cellStyle name="Comma 4 3 3 2" xfId="150" xr:uid="{00000000-0005-0000-0000-00006F090000}"/>
    <cellStyle name="Comma 4 3 3 2 10" xfId="8846" xr:uid="{54F75ACB-60DF-4A90-98CD-ADC69732F733}"/>
    <cellStyle name="Comma 4 3 3 2 2" xfId="687" xr:uid="{00000000-0005-0000-0000-000070090000}"/>
    <cellStyle name="Comma 4 3 3 2 2 2" xfId="2958" xr:uid="{00000000-0005-0000-0000-000071090000}"/>
    <cellStyle name="Comma 4 3 3 2 2 2 2" xfId="7181" xr:uid="{00000000-0005-0000-0000-000072090000}"/>
    <cellStyle name="Comma 4 3 3 2 2 2 2 2" xfId="15623" xr:uid="{A744161D-DD3E-4884-A236-58AF76EB6FAE}"/>
    <cellStyle name="Comma 4 3 3 2 2 2 3" xfId="11405" xr:uid="{F0431000-C416-4F44-AF4F-D495F832AC66}"/>
    <cellStyle name="Comma 4 3 3 2 2 3" xfId="5036" xr:uid="{00000000-0005-0000-0000-000073090000}"/>
    <cellStyle name="Comma 4 3 3 2 2 3 2" xfId="13478" xr:uid="{47180F79-FD4A-4E0B-A501-2C2CC9DB89A6}"/>
    <cellStyle name="Comma 4 3 3 2 2 4" xfId="9260" xr:uid="{0F44A1B4-0AAF-40D9-BA83-447A789240D2}"/>
    <cellStyle name="Comma 4 3 3 2 3" xfId="1140" xr:uid="{00000000-0005-0000-0000-000074090000}"/>
    <cellStyle name="Comma 4 3 3 2 3 2" xfId="3371" xr:uid="{00000000-0005-0000-0000-000075090000}"/>
    <cellStyle name="Comma 4 3 3 2 3 2 2" xfId="7594" xr:uid="{00000000-0005-0000-0000-000076090000}"/>
    <cellStyle name="Comma 4 3 3 2 3 2 2 2" xfId="16036" xr:uid="{731DD8A0-B8A4-4CF1-A14A-90368F4724FA}"/>
    <cellStyle name="Comma 4 3 3 2 3 2 3" xfId="11818" xr:uid="{85BB62CF-6D96-4331-81DB-D69C91FC8732}"/>
    <cellStyle name="Comma 4 3 3 2 3 3" xfId="5449" xr:uid="{00000000-0005-0000-0000-000077090000}"/>
    <cellStyle name="Comma 4 3 3 2 3 3 2" xfId="13891" xr:uid="{3675260D-1DAD-44E3-9328-366391D86A05}"/>
    <cellStyle name="Comma 4 3 3 2 3 4" xfId="9673" xr:uid="{522B26A5-6BE8-4F20-845C-78D57B3B8656}"/>
    <cellStyle name="Comma 4 3 3 2 4" xfId="1554" xr:uid="{00000000-0005-0000-0000-000078090000}"/>
    <cellStyle name="Comma 4 3 3 2 4 2" xfId="3784" xr:uid="{00000000-0005-0000-0000-000079090000}"/>
    <cellStyle name="Comma 4 3 3 2 4 2 2" xfId="8007" xr:uid="{00000000-0005-0000-0000-00007A090000}"/>
    <cellStyle name="Comma 4 3 3 2 4 2 2 2" xfId="16449" xr:uid="{205ABD74-9B0A-4A80-9FAA-268E63333D5E}"/>
    <cellStyle name="Comma 4 3 3 2 4 2 3" xfId="12231" xr:uid="{C069BAD8-6866-435B-B8C5-EB655EE42DFF}"/>
    <cellStyle name="Comma 4 3 3 2 4 3" xfId="5862" xr:uid="{00000000-0005-0000-0000-00007B090000}"/>
    <cellStyle name="Comma 4 3 3 2 4 3 2" xfId="14304" xr:uid="{3486BB7C-5F17-446E-85D4-75C6D6AE1C19}"/>
    <cellStyle name="Comma 4 3 3 2 4 4" xfId="10086" xr:uid="{B5628FF5-0808-4231-A1F0-348975B6A957}"/>
    <cellStyle name="Comma 4 3 3 2 5" xfId="1968" xr:uid="{00000000-0005-0000-0000-00007C090000}"/>
    <cellStyle name="Comma 4 3 3 2 5 2" xfId="4197" xr:uid="{00000000-0005-0000-0000-00007D090000}"/>
    <cellStyle name="Comma 4 3 3 2 5 2 2" xfId="8420" xr:uid="{00000000-0005-0000-0000-00007E090000}"/>
    <cellStyle name="Comma 4 3 3 2 5 2 2 2" xfId="16862" xr:uid="{C718A486-E2BB-425E-A8AF-D115F5E6891A}"/>
    <cellStyle name="Comma 4 3 3 2 5 2 3" xfId="12644" xr:uid="{215FB3F2-6F8C-4742-98A6-0A58225C14F4}"/>
    <cellStyle name="Comma 4 3 3 2 5 3" xfId="6275" xr:uid="{00000000-0005-0000-0000-00007F090000}"/>
    <cellStyle name="Comma 4 3 3 2 5 3 2" xfId="14717" xr:uid="{6197EF0F-1B61-45D2-AD45-F66202EF0D87}"/>
    <cellStyle name="Comma 4 3 3 2 5 4" xfId="10499" xr:uid="{6FB044A8-EBB7-4D86-B3F0-40707333D4E3}"/>
    <cellStyle name="Comma 4 3 3 2 6" xfId="2403" xr:uid="{00000000-0005-0000-0000-000080090000}"/>
    <cellStyle name="Comma 4 3 3 2 6 2" xfId="6688" xr:uid="{00000000-0005-0000-0000-000081090000}"/>
    <cellStyle name="Comma 4 3 3 2 6 2 2" xfId="15130" xr:uid="{698B6569-102C-43FA-9B4B-A1E2A3AAF8BE}"/>
    <cellStyle name="Comma 4 3 3 2 6 3" xfId="10912" xr:uid="{0FCEC1B0-14D3-4258-AADD-0BD37153C122}"/>
    <cellStyle name="Comma 4 3 3 2 7" xfId="2360" xr:uid="{00000000-0005-0000-0000-000082090000}"/>
    <cellStyle name="Comma 4 3 3 2 8" xfId="2781" xr:uid="{00000000-0005-0000-0000-000083090000}"/>
    <cellStyle name="Comma 4 3 3 2 8 2" xfId="7005" xr:uid="{00000000-0005-0000-0000-000084090000}"/>
    <cellStyle name="Comma 4 3 3 2 8 2 2" xfId="15447" xr:uid="{DEB53725-B2BE-441E-AA18-BE5E449EFD28}"/>
    <cellStyle name="Comma 4 3 3 2 8 3" xfId="11229" xr:uid="{9B2A4F55-8943-4D97-AD68-19EA666768CF}"/>
    <cellStyle name="Comma 4 3 3 2 9" xfId="4622" xr:uid="{00000000-0005-0000-0000-000085090000}"/>
    <cellStyle name="Comma 4 3 3 2 9 2" xfId="13064" xr:uid="{CD78237F-4C7A-4F3B-80F6-4971F39F945A}"/>
    <cellStyle name="Comma 4 3 3 3" xfId="686" xr:uid="{00000000-0005-0000-0000-000086090000}"/>
    <cellStyle name="Comma 4 3 3 3 2" xfId="2957" xr:uid="{00000000-0005-0000-0000-000087090000}"/>
    <cellStyle name="Comma 4 3 3 3 2 2" xfId="7180" xr:uid="{00000000-0005-0000-0000-000088090000}"/>
    <cellStyle name="Comma 4 3 3 3 2 2 2" xfId="15622" xr:uid="{7EAD6DE9-C91F-4F1F-8386-6EE563747AF3}"/>
    <cellStyle name="Comma 4 3 3 3 2 3" xfId="11404" xr:uid="{DDBEA0F2-3059-470A-AA6B-D69F6802A8CC}"/>
    <cellStyle name="Comma 4 3 3 3 3" xfId="5035" xr:uid="{00000000-0005-0000-0000-000089090000}"/>
    <cellStyle name="Comma 4 3 3 3 3 2" xfId="13477" xr:uid="{DC69D002-D02C-421E-84E2-346F02764ABE}"/>
    <cellStyle name="Comma 4 3 3 3 4" xfId="9259" xr:uid="{74972249-5F45-4006-AFDC-6DAB60D7A16E}"/>
    <cellStyle name="Comma 4 3 3 4" xfId="1139" xr:uid="{00000000-0005-0000-0000-00008A090000}"/>
    <cellStyle name="Comma 4 3 3 4 2" xfId="3370" xr:uid="{00000000-0005-0000-0000-00008B090000}"/>
    <cellStyle name="Comma 4 3 3 4 2 2" xfId="7593" xr:uid="{00000000-0005-0000-0000-00008C090000}"/>
    <cellStyle name="Comma 4 3 3 4 2 2 2" xfId="16035" xr:uid="{440B9DE4-CEBA-409C-B741-604641A30D78}"/>
    <cellStyle name="Comma 4 3 3 4 2 3" xfId="11817" xr:uid="{E4B1EF10-7B53-4B75-9867-DF224B590A26}"/>
    <cellStyle name="Comma 4 3 3 4 3" xfId="5448" xr:uid="{00000000-0005-0000-0000-00008D090000}"/>
    <cellStyle name="Comma 4 3 3 4 3 2" xfId="13890" xr:uid="{3D195DFA-7296-4B69-97E1-D03D5C1FA16F}"/>
    <cellStyle name="Comma 4 3 3 4 4" xfId="9672" xr:uid="{A86B0967-CE94-4BEC-AA0B-47F8BAFD8112}"/>
    <cellStyle name="Comma 4 3 3 5" xfId="1553" xr:uid="{00000000-0005-0000-0000-00008E090000}"/>
    <cellStyle name="Comma 4 3 3 5 2" xfId="3783" xr:uid="{00000000-0005-0000-0000-00008F090000}"/>
    <cellStyle name="Comma 4 3 3 5 2 2" xfId="8006" xr:uid="{00000000-0005-0000-0000-000090090000}"/>
    <cellStyle name="Comma 4 3 3 5 2 2 2" xfId="16448" xr:uid="{118FC839-50B5-448F-B1B4-9A036B48ED9B}"/>
    <cellStyle name="Comma 4 3 3 5 2 3" xfId="12230" xr:uid="{65E1E2EA-EB72-4452-B849-CB28D2910F57}"/>
    <cellStyle name="Comma 4 3 3 5 3" xfId="5861" xr:uid="{00000000-0005-0000-0000-000091090000}"/>
    <cellStyle name="Comma 4 3 3 5 3 2" xfId="14303" xr:uid="{E89AF0BF-54CB-4F04-8ACF-E80FEC1A853E}"/>
    <cellStyle name="Comma 4 3 3 5 4" xfId="10085" xr:uid="{AB443635-55BF-4AED-AE30-CF4EB94C4428}"/>
    <cellStyle name="Comma 4 3 3 6" xfId="1967" xr:uid="{00000000-0005-0000-0000-000092090000}"/>
    <cellStyle name="Comma 4 3 3 6 2" xfId="4196" xr:uid="{00000000-0005-0000-0000-000093090000}"/>
    <cellStyle name="Comma 4 3 3 6 2 2" xfId="8419" xr:uid="{00000000-0005-0000-0000-000094090000}"/>
    <cellStyle name="Comma 4 3 3 6 2 2 2" xfId="16861" xr:uid="{40D19490-55CC-4C74-82B2-98915463189F}"/>
    <cellStyle name="Comma 4 3 3 6 2 3" xfId="12643" xr:uid="{C6F4EF0C-E031-4094-BCA3-8950E65096EF}"/>
    <cellStyle name="Comma 4 3 3 6 3" xfId="6274" xr:uid="{00000000-0005-0000-0000-000095090000}"/>
    <cellStyle name="Comma 4 3 3 6 3 2" xfId="14716" xr:uid="{E238D818-2478-4573-ACAE-C19918D82EC1}"/>
    <cellStyle name="Comma 4 3 3 6 4" xfId="10498" xr:uid="{922B4F68-56B8-4CFC-A4F3-D59C7EF1E846}"/>
    <cellStyle name="Comma 4 3 3 7" xfId="2402" xr:uid="{00000000-0005-0000-0000-000096090000}"/>
    <cellStyle name="Comma 4 3 3 7 2" xfId="6687" xr:uid="{00000000-0005-0000-0000-000097090000}"/>
    <cellStyle name="Comma 4 3 3 7 2 2" xfId="15129" xr:uid="{50DCD913-0164-4DFC-9DD4-D4AE690F4761}"/>
    <cellStyle name="Comma 4 3 3 7 3" xfId="10911" xr:uid="{65CB3602-8D81-4BAF-BDBB-7AFFBD11ABAC}"/>
    <cellStyle name="Comma 4 3 3 8" xfId="2361" xr:uid="{00000000-0005-0000-0000-000098090000}"/>
    <cellStyle name="Comma 4 3 3 9" xfId="2780" xr:uid="{00000000-0005-0000-0000-000099090000}"/>
    <cellStyle name="Comma 4 3 3 9 2" xfId="7004" xr:uid="{00000000-0005-0000-0000-00009A090000}"/>
    <cellStyle name="Comma 4 3 3 9 2 2" xfId="15446" xr:uid="{9B10DC02-D7F0-40AB-83D2-F4CD00C92986}"/>
    <cellStyle name="Comma 4 3 3 9 3" xfId="11228" xr:uid="{7FD57139-653B-4FF3-B5BD-F076DB0B82E6}"/>
    <cellStyle name="Comma 4 3 4" xfId="151" xr:uid="{00000000-0005-0000-0000-00009B090000}"/>
    <cellStyle name="Comma 4 3 4 10" xfId="8847" xr:uid="{7E94E92D-F08A-4633-82D2-F05FF0CE20CC}"/>
    <cellStyle name="Comma 4 3 4 2" xfId="688" xr:uid="{00000000-0005-0000-0000-00009C090000}"/>
    <cellStyle name="Comma 4 3 4 2 2" xfId="2959" xr:uid="{00000000-0005-0000-0000-00009D090000}"/>
    <cellStyle name="Comma 4 3 4 2 2 2" xfId="7182" xr:uid="{00000000-0005-0000-0000-00009E090000}"/>
    <cellStyle name="Comma 4 3 4 2 2 2 2" xfId="15624" xr:uid="{23E8EAB4-3A82-48CE-90F1-87DE25C3B866}"/>
    <cellStyle name="Comma 4 3 4 2 2 3" xfId="11406" xr:uid="{5D35FC40-83FB-494A-9C2E-4388909AFC12}"/>
    <cellStyle name="Comma 4 3 4 2 3" xfId="5037" xr:uid="{00000000-0005-0000-0000-00009F090000}"/>
    <cellStyle name="Comma 4 3 4 2 3 2" xfId="13479" xr:uid="{1E079603-DCCF-4761-A182-1CD715A4706C}"/>
    <cellStyle name="Comma 4 3 4 2 4" xfId="9261" xr:uid="{5419AF3B-6132-4D7F-91ED-303E4273B9B8}"/>
    <cellStyle name="Comma 4 3 4 3" xfId="1141" xr:uid="{00000000-0005-0000-0000-0000A0090000}"/>
    <cellStyle name="Comma 4 3 4 3 2" xfId="3372" xr:uid="{00000000-0005-0000-0000-0000A1090000}"/>
    <cellStyle name="Comma 4 3 4 3 2 2" xfId="7595" xr:uid="{00000000-0005-0000-0000-0000A2090000}"/>
    <cellStyle name="Comma 4 3 4 3 2 2 2" xfId="16037" xr:uid="{D24E5961-9374-47B5-BAC8-63FEB8ACB96B}"/>
    <cellStyle name="Comma 4 3 4 3 2 3" xfId="11819" xr:uid="{E7D013DA-541F-499A-B3DB-77AB85C4FF5A}"/>
    <cellStyle name="Comma 4 3 4 3 3" xfId="5450" xr:uid="{00000000-0005-0000-0000-0000A3090000}"/>
    <cellStyle name="Comma 4 3 4 3 3 2" xfId="13892" xr:uid="{57FDB4FC-FE17-43A8-B7A4-D14AB5C5E502}"/>
    <cellStyle name="Comma 4 3 4 3 4" xfId="9674" xr:uid="{C7F8496C-1F66-4F73-BA10-189F3CAF3FD3}"/>
    <cellStyle name="Comma 4 3 4 4" xfId="1555" xr:uid="{00000000-0005-0000-0000-0000A4090000}"/>
    <cellStyle name="Comma 4 3 4 4 2" xfId="3785" xr:uid="{00000000-0005-0000-0000-0000A5090000}"/>
    <cellStyle name="Comma 4 3 4 4 2 2" xfId="8008" xr:uid="{00000000-0005-0000-0000-0000A6090000}"/>
    <cellStyle name="Comma 4 3 4 4 2 2 2" xfId="16450" xr:uid="{88E197FB-2693-41EC-B0AD-A1B5FBC4C216}"/>
    <cellStyle name="Comma 4 3 4 4 2 3" xfId="12232" xr:uid="{EB87FF7C-2020-4458-AA4B-6DE6169EB4A0}"/>
    <cellStyle name="Comma 4 3 4 4 3" xfId="5863" xr:uid="{00000000-0005-0000-0000-0000A7090000}"/>
    <cellStyle name="Comma 4 3 4 4 3 2" xfId="14305" xr:uid="{6EB56FAA-6C1D-4079-88F6-F0358DA44DC5}"/>
    <cellStyle name="Comma 4 3 4 4 4" xfId="10087" xr:uid="{C5A31A32-56C6-493F-AA30-9B1E408B6834}"/>
    <cellStyle name="Comma 4 3 4 5" xfId="1969" xr:uid="{00000000-0005-0000-0000-0000A8090000}"/>
    <cellStyle name="Comma 4 3 4 5 2" xfId="4198" xr:uid="{00000000-0005-0000-0000-0000A9090000}"/>
    <cellStyle name="Comma 4 3 4 5 2 2" xfId="8421" xr:uid="{00000000-0005-0000-0000-0000AA090000}"/>
    <cellStyle name="Comma 4 3 4 5 2 2 2" xfId="16863" xr:uid="{E479E5A0-AD11-415E-9F92-04B765CCB078}"/>
    <cellStyle name="Comma 4 3 4 5 2 3" xfId="12645" xr:uid="{9535A9A5-C0C3-4085-881F-BAFA67815A03}"/>
    <cellStyle name="Comma 4 3 4 5 3" xfId="6276" xr:uid="{00000000-0005-0000-0000-0000AB090000}"/>
    <cellStyle name="Comma 4 3 4 5 3 2" xfId="14718" xr:uid="{DCB7AB15-E29F-4441-AE47-663BB1007807}"/>
    <cellStyle name="Comma 4 3 4 5 4" xfId="10500" xr:uid="{CD774B87-66BA-4CC1-90CB-3AA2695EF0EF}"/>
    <cellStyle name="Comma 4 3 4 6" xfId="2404" xr:uid="{00000000-0005-0000-0000-0000AC090000}"/>
    <cellStyle name="Comma 4 3 4 6 2" xfId="6689" xr:uid="{00000000-0005-0000-0000-0000AD090000}"/>
    <cellStyle name="Comma 4 3 4 6 2 2" xfId="15131" xr:uid="{0B20130C-D4D4-4514-AE24-3401D1DFD6EB}"/>
    <cellStyle name="Comma 4 3 4 6 3" xfId="10913" xr:uid="{EC7D3121-05FA-45F2-8D28-AC0A6D834821}"/>
    <cellStyle name="Comma 4 3 4 7" xfId="2700" xr:uid="{00000000-0005-0000-0000-0000AE090000}"/>
    <cellStyle name="Comma 4 3 4 8" xfId="2782" xr:uid="{00000000-0005-0000-0000-0000AF090000}"/>
    <cellStyle name="Comma 4 3 4 8 2" xfId="7006" xr:uid="{00000000-0005-0000-0000-0000B0090000}"/>
    <cellStyle name="Comma 4 3 4 8 2 2" xfId="15448" xr:uid="{F260FA9B-AF2E-4B33-8115-76BC4B3C3CE0}"/>
    <cellStyle name="Comma 4 3 4 8 3" xfId="11230" xr:uid="{557DE7B4-A7EC-4AFB-AEFA-CB0310815582}"/>
    <cellStyle name="Comma 4 3 4 9" xfId="4623" xr:uid="{00000000-0005-0000-0000-0000B1090000}"/>
    <cellStyle name="Comma 4 3 4 9 2" xfId="13065" xr:uid="{B24F9A77-0ABF-4B36-9FF6-A7C66B53AEFA}"/>
    <cellStyle name="Comma 4 3 5" xfId="152" xr:uid="{00000000-0005-0000-0000-0000B2090000}"/>
    <cellStyle name="Comma 4 3 5 10" xfId="8848" xr:uid="{31BFD08B-23D7-406A-8278-57A02B8D34B0}"/>
    <cellStyle name="Comma 4 3 5 2" xfId="689" xr:uid="{00000000-0005-0000-0000-0000B3090000}"/>
    <cellStyle name="Comma 4 3 5 2 2" xfId="2960" xr:uid="{00000000-0005-0000-0000-0000B4090000}"/>
    <cellStyle name="Comma 4 3 5 2 2 2" xfId="7183" xr:uid="{00000000-0005-0000-0000-0000B5090000}"/>
    <cellStyle name="Comma 4 3 5 2 2 2 2" xfId="15625" xr:uid="{A320332A-89A5-4969-980C-AF12693AC520}"/>
    <cellStyle name="Comma 4 3 5 2 2 3" xfId="11407" xr:uid="{3C6B28BE-1F1D-4CAC-8679-05990309599F}"/>
    <cellStyle name="Comma 4 3 5 2 3" xfId="5038" xr:uid="{00000000-0005-0000-0000-0000B6090000}"/>
    <cellStyle name="Comma 4 3 5 2 3 2" xfId="13480" xr:uid="{65D738DF-0AFB-48FC-A113-FCDAB9989537}"/>
    <cellStyle name="Comma 4 3 5 2 4" xfId="9262" xr:uid="{8FE3DBB5-4B85-479E-A0F6-0AB8371BB1CD}"/>
    <cellStyle name="Comma 4 3 5 3" xfId="1142" xr:uid="{00000000-0005-0000-0000-0000B7090000}"/>
    <cellStyle name="Comma 4 3 5 3 2" xfId="3373" xr:uid="{00000000-0005-0000-0000-0000B8090000}"/>
    <cellStyle name="Comma 4 3 5 3 2 2" xfId="7596" xr:uid="{00000000-0005-0000-0000-0000B9090000}"/>
    <cellStyle name="Comma 4 3 5 3 2 2 2" xfId="16038" xr:uid="{3D767956-3F1A-404C-B2BC-3ECE204491CA}"/>
    <cellStyle name="Comma 4 3 5 3 2 3" xfId="11820" xr:uid="{CCD60F12-6751-4FD9-98A2-360E0FD7CB11}"/>
    <cellStyle name="Comma 4 3 5 3 3" xfId="5451" xr:uid="{00000000-0005-0000-0000-0000BA090000}"/>
    <cellStyle name="Comma 4 3 5 3 3 2" xfId="13893" xr:uid="{6CAB0C5E-2AF1-48FB-B04F-38F3D3B8FF45}"/>
    <cellStyle name="Comma 4 3 5 3 4" xfId="9675" xr:uid="{C8422B2A-D482-4B52-81DC-B7179F0B3D3B}"/>
    <cellStyle name="Comma 4 3 5 4" xfId="1556" xr:uid="{00000000-0005-0000-0000-0000BB090000}"/>
    <cellStyle name="Comma 4 3 5 4 2" xfId="3786" xr:uid="{00000000-0005-0000-0000-0000BC090000}"/>
    <cellStyle name="Comma 4 3 5 4 2 2" xfId="8009" xr:uid="{00000000-0005-0000-0000-0000BD090000}"/>
    <cellStyle name="Comma 4 3 5 4 2 2 2" xfId="16451" xr:uid="{A3AB23A9-B897-4C8B-A94D-7E0DD65AA9F9}"/>
    <cellStyle name="Comma 4 3 5 4 2 3" xfId="12233" xr:uid="{7CD184FA-AA15-46D5-9410-3F12B717BB2D}"/>
    <cellStyle name="Comma 4 3 5 4 3" xfId="5864" xr:uid="{00000000-0005-0000-0000-0000BE090000}"/>
    <cellStyle name="Comma 4 3 5 4 3 2" xfId="14306" xr:uid="{59436DB6-EE4D-40EF-A3AB-14D2E3D59B81}"/>
    <cellStyle name="Comma 4 3 5 4 4" xfId="10088" xr:uid="{C43EE6F0-DE31-4C55-9314-1535C6088DF8}"/>
    <cellStyle name="Comma 4 3 5 5" xfId="1970" xr:uid="{00000000-0005-0000-0000-0000BF090000}"/>
    <cellStyle name="Comma 4 3 5 5 2" xfId="4199" xr:uid="{00000000-0005-0000-0000-0000C0090000}"/>
    <cellStyle name="Comma 4 3 5 5 2 2" xfId="8422" xr:uid="{00000000-0005-0000-0000-0000C1090000}"/>
    <cellStyle name="Comma 4 3 5 5 2 2 2" xfId="16864" xr:uid="{7635E83E-C4B6-4AC5-853F-1E461750B40F}"/>
    <cellStyle name="Comma 4 3 5 5 2 3" xfId="12646" xr:uid="{4BFA9A86-B8BD-45EB-AF0E-A3FDCE520F41}"/>
    <cellStyle name="Comma 4 3 5 5 3" xfId="6277" xr:uid="{00000000-0005-0000-0000-0000C2090000}"/>
    <cellStyle name="Comma 4 3 5 5 3 2" xfId="14719" xr:uid="{ABBF7BB4-4348-4C15-8D79-04D50B19AD8E}"/>
    <cellStyle name="Comma 4 3 5 5 4" xfId="10501" xr:uid="{5B898914-C6A9-4165-B4C1-8F08765A4F10}"/>
    <cellStyle name="Comma 4 3 5 6" xfId="2405" xr:uid="{00000000-0005-0000-0000-0000C3090000}"/>
    <cellStyle name="Comma 4 3 5 6 2" xfId="6690" xr:uid="{00000000-0005-0000-0000-0000C4090000}"/>
    <cellStyle name="Comma 4 3 5 6 2 2" xfId="15132" xr:uid="{55C8D62E-FE35-48A3-94F0-D281C38AC147}"/>
    <cellStyle name="Comma 4 3 5 6 3" xfId="10914" xr:uid="{5BF90786-70AE-43C7-A794-9C2BF5F1C639}"/>
    <cellStyle name="Comma 4 3 5 7" xfId="2701" xr:uid="{00000000-0005-0000-0000-0000C5090000}"/>
    <cellStyle name="Comma 4 3 5 8" xfId="2783" xr:uid="{00000000-0005-0000-0000-0000C6090000}"/>
    <cellStyle name="Comma 4 3 5 8 2" xfId="7007" xr:uid="{00000000-0005-0000-0000-0000C7090000}"/>
    <cellStyle name="Comma 4 3 5 8 2 2" xfId="15449" xr:uid="{8D426672-59FC-4B13-8866-ADE136937BB3}"/>
    <cellStyle name="Comma 4 3 5 8 3" xfId="11231" xr:uid="{C92A682A-76C0-4CB7-9F78-E1EA480E5FD2}"/>
    <cellStyle name="Comma 4 3 5 9" xfId="4624" xr:uid="{00000000-0005-0000-0000-0000C8090000}"/>
    <cellStyle name="Comma 4 3 5 9 2" xfId="13066" xr:uid="{ED670872-2C6E-4D3C-945F-E48A669E3A57}"/>
    <cellStyle name="Comma 4 4" xfId="153" xr:uid="{00000000-0005-0000-0000-0000C9090000}"/>
    <cellStyle name="Comma 4 4 10" xfId="2784" xr:uid="{00000000-0005-0000-0000-0000CA090000}"/>
    <cellStyle name="Comma 4 4 10 2" xfId="7008" xr:uid="{00000000-0005-0000-0000-0000CB090000}"/>
    <cellStyle name="Comma 4 4 10 2 2" xfId="15450" xr:uid="{54D3CC02-7FB1-400E-BBEA-B1B62C3C7CC9}"/>
    <cellStyle name="Comma 4 4 10 3" xfId="11232" xr:uid="{FE8CB1B9-EA0D-4FB4-89E2-374FBB37D9B8}"/>
    <cellStyle name="Comma 4 4 11" xfId="4625" xr:uid="{00000000-0005-0000-0000-0000CC090000}"/>
    <cellStyle name="Comma 4 4 11 2" xfId="13067" xr:uid="{148EBC4F-A3CE-49DD-9233-C9FDAC806C24}"/>
    <cellStyle name="Comma 4 4 12" xfId="8849" xr:uid="{EF6BD4EF-2BE7-4642-BE9A-DA8AF70D3C5D}"/>
    <cellStyle name="Comma 4 4 2" xfId="154" xr:uid="{00000000-0005-0000-0000-0000CD090000}"/>
    <cellStyle name="Comma 4 4 2 10" xfId="4626" xr:uid="{00000000-0005-0000-0000-0000CE090000}"/>
    <cellStyle name="Comma 4 4 2 10 2" xfId="13068" xr:uid="{BB68F43C-4378-416B-8568-44C1373753AC}"/>
    <cellStyle name="Comma 4 4 2 11" xfId="8850" xr:uid="{98F26357-F0E2-4001-89D2-914AAC1A3442}"/>
    <cellStyle name="Comma 4 4 2 2" xfId="155" xr:uid="{00000000-0005-0000-0000-0000CF090000}"/>
    <cellStyle name="Comma 4 4 2 2 10" xfId="8851" xr:uid="{92C1E329-8282-4F89-A62C-8C87121717CE}"/>
    <cellStyle name="Comma 4 4 2 2 2" xfId="692" xr:uid="{00000000-0005-0000-0000-0000D0090000}"/>
    <cellStyle name="Comma 4 4 2 2 2 2" xfId="2963" xr:uid="{00000000-0005-0000-0000-0000D1090000}"/>
    <cellStyle name="Comma 4 4 2 2 2 2 2" xfId="7186" xr:uid="{00000000-0005-0000-0000-0000D2090000}"/>
    <cellStyle name="Comma 4 4 2 2 2 2 2 2" xfId="15628" xr:uid="{9AA4E87D-D887-4861-A5BF-832E46F67416}"/>
    <cellStyle name="Comma 4 4 2 2 2 2 3" xfId="11410" xr:uid="{5DCEF1D9-8F0D-4DE3-ADFD-0F4F4232EF10}"/>
    <cellStyle name="Comma 4 4 2 2 2 3" xfId="5041" xr:uid="{00000000-0005-0000-0000-0000D3090000}"/>
    <cellStyle name="Comma 4 4 2 2 2 3 2" xfId="13483" xr:uid="{BAA7102F-A3EA-4C48-B0B2-4F51C78D0165}"/>
    <cellStyle name="Comma 4 4 2 2 2 4" xfId="9265" xr:uid="{101E8B36-5275-47D3-BFE5-4D3E5CF488FE}"/>
    <cellStyle name="Comma 4 4 2 2 3" xfId="1145" xr:uid="{00000000-0005-0000-0000-0000D4090000}"/>
    <cellStyle name="Comma 4 4 2 2 3 2" xfId="3376" xr:uid="{00000000-0005-0000-0000-0000D5090000}"/>
    <cellStyle name="Comma 4 4 2 2 3 2 2" xfId="7599" xr:uid="{00000000-0005-0000-0000-0000D6090000}"/>
    <cellStyle name="Comma 4 4 2 2 3 2 2 2" xfId="16041" xr:uid="{14038369-A7AF-4A09-9906-FEAFFB4D71D9}"/>
    <cellStyle name="Comma 4 4 2 2 3 2 3" xfId="11823" xr:uid="{653537D1-1078-41B8-87C8-4887C02CA438}"/>
    <cellStyle name="Comma 4 4 2 2 3 3" xfId="5454" xr:uid="{00000000-0005-0000-0000-0000D7090000}"/>
    <cellStyle name="Comma 4 4 2 2 3 3 2" xfId="13896" xr:uid="{D00FAFDA-D775-45CF-A3C0-C733C4CD2000}"/>
    <cellStyle name="Comma 4 4 2 2 3 4" xfId="9678" xr:uid="{529627AC-B181-4EDC-A8A6-891AC5C6A9DC}"/>
    <cellStyle name="Comma 4 4 2 2 4" xfId="1559" xr:uid="{00000000-0005-0000-0000-0000D8090000}"/>
    <cellStyle name="Comma 4 4 2 2 4 2" xfId="3789" xr:uid="{00000000-0005-0000-0000-0000D9090000}"/>
    <cellStyle name="Comma 4 4 2 2 4 2 2" xfId="8012" xr:uid="{00000000-0005-0000-0000-0000DA090000}"/>
    <cellStyle name="Comma 4 4 2 2 4 2 2 2" xfId="16454" xr:uid="{C968E3E3-A268-4919-890F-E892FF56973A}"/>
    <cellStyle name="Comma 4 4 2 2 4 2 3" xfId="12236" xr:uid="{5D024F68-E0A2-48EE-A6CE-CB712DFDA369}"/>
    <cellStyle name="Comma 4 4 2 2 4 3" xfId="5867" xr:uid="{00000000-0005-0000-0000-0000DB090000}"/>
    <cellStyle name="Comma 4 4 2 2 4 3 2" xfId="14309" xr:uid="{E0ADF05A-BE81-41A6-92DF-382F0457E7C8}"/>
    <cellStyle name="Comma 4 4 2 2 4 4" xfId="10091" xr:uid="{1D3D7147-276E-4571-AB80-8C6B53C82D62}"/>
    <cellStyle name="Comma 4 4 2 2 5" xfId="1973" xr:uid="{00000000-0005-0000-0000-0000DC090000}"/>
    <cellStyle name="Comma 4 4 2 2 5 2" xfId="4202" xr:uid="{00000000-0005-0000-0000-0000DD090000}"/>
    <cellStyle name="Comma 4 4 2 2 5 2 2" xfId="8425" xr:uid="{00000000-0005-0000-0000-0000DE090000}"/>
    <cellStyle name="Comma 4 4 2 2 5 2 2 2" xfId="16867" xr:uid="{6269A919-E50A-4203-8F3E-78EDC151A011}"/>
    <cellStyle name="Comma 4 4 2 2 5 2 3" xfId="12649" xr:uid="{578F394E-26FE-4662-A5B3-8C569F5D9CF5}"/>
    <cellStyle name="Comma 4 4 2 2 5 3" xfId="6280" xr:uid="{00000000-0005-0000-0000-0000DF090000}"/>
    <cellStyle name="Comma 4 4 2 2 5 3 2" xfId="14722" xr:uid="{0FAB6C24-2D93-4E30-AD1A-408FE591F248}"/>
    <cellStyle name="Comma 4 4 2 2 5 4" xfId="10504" xr:uid="{D5289068-D23F-4268-8206-8B093A0CBB8A}"/>
    <cellStyle name="Comma 4 4 2 2 6" xfId="2408" xr:uid="{00000000-0005-0000-0000-0000E0090000}"/>
    <cellStyle name="Comma 4 4 2 2 6 2" xfId="6693" xr:uid="{00000000-0005-0000-0000-0000E1090000}"/>
    <cellStyle name="Comma 4 4 2 2 6 2 2" xfId="15135" xr:uid="{146C9013-4D24-4EEF-A7F0-3EAA97C3CC4C}"/>
    <cellStyle name="Comma 4 4 2 2 6 3" xfId="10917" xr:uid="{19429598-5613-445E-89C2-D8680A79C0AB}"/>
    <cellStyle name="Comma 4 4 2 2 7" xfId="2704" xr:uid="{00000000-0005-0000-0000-0000E2090000}"/>
    <cellStyle name="Comma 4 4 2 2 8" xfId="2786" xr:uid="{00000000-0005-0000-0000-0000E3090000}"/>
    <cellStyle name="Comma 4 4 2 2 8 2" xfId="7010" xr:uid="{00000000-0005-0000-0000-0000E4090000}"/>
    <cellStyle name="Comma 4 4 2 2 8 2 2" xfId="15452" xr:uid="{6F18AE68-1979-49AA-919F-B16BDFB501F3}"/>
    <cellStyle name="Comma 4 4 2 2 8 3" xfId="11234" xr:uid="{64DC8849-6F0B-4C14-9A82-3ACBE0ECE2EA}"/>
    <cellStyle name="Comma 4 4 2 2 9" xfId="4627" xr:uid="{00000000-0005-0000-0000-0000E5090000}"/>
    <cellStyle name="Comma 4 4 2 2 9 2" xfId="13069" xr:uid="{CB047CAC-CA9B-4CF8-BA23-A5FC220394CE}"/>
    <cellStyle name="Comma 4 4 2 3" xfId="691" xr:uid="{00000000-0005-0000-0000-0000E6090000}"/>
    <cellStyle name="Comma 4 4 2 3 2" xfId="2962" xr:uid="{00000000-0005-0000-0000-0000E7090000}"/>
    <cellStyle name="Comma 4 4 2 3 2 2" xfId="7185" xr:uid="{00000000-0005-0000-0000-0000E8090000}"/>
    <cellStyle name="Comma 4 4 2 3 2 2 2" xfId="15627" xr:uid="{A2AC14E7-BD3C-4721-9D29-4339653DFEA9}"/>
    <cellStyle name="Comma 4 4 2 3 2 3" xfId="11409" xr:uid="{C1B1B3AB-687F-41FA-A413-828A5487D061}"/>
    <cellStyle name="Comma 4 4 2 3 3" xfId="5040" xr:uid="{00000000-0005-0000-0000-0000E9090000}"/>
    <cellStyle name="Comma 4 4 2 3 3 2" xfId="13482" xr:uid="{DA602E46-42D6-4C18-9E6D-92B6126ADC92}"/>
    <cellStyle name="Comma 4 4 2 3 4" xfId="9264" xr:uid="{05824A27-590E-4A3F-992A-A2DEE56D0789}"/>
    <cellStyle name="Comma 4 4 2 4" xfId="1144" xr:uid="{00000000-0005-0000-0000-0000EA090000}"/>
    <cellStyle name="Comma 4 4 2 4 2" xfId="3375" xr:uid="{00000000-0005-0000-0000-0000EB090000}"/>
    <cellStyle name="Comma 4 4 2 4 2 2" xfId="7598" xr:uid="{00000000-0005-0000-0000-0000EC090000}"/>
    <cellStyle name="Comma 4 4 2 4 2 2 2" xfId="16040" xr:uid="{08079EB5-5677-4E7A-996A-5C00C296EBF9}"/>
    <cellStyle name="Comma 4 4 2 4 2 3" xfId="11822" xr:uid="{1906836A-2B21-4C35-9321-50E556BB55CC}"/>
    <cellStyle name="Comma 4 4 2 4 3" xfId="5453" xr:uid="{00000000-0005-0000-0000-0000ED090000}"/>
    <cellStyle name="Comma 4 4 2 4 3 2" xfId="13895" xr:uid="{83E559D2-9340-410D-A437-D6E001FC16B8}"/>
    <cellStyle name="Comma 4 4 2 4 4" xfId="9677" xr:uid="{EB6325C4-4D0D-43DA-AA09-7208D4DF3580}"/>
    <cellStyle name="Comma 4 4 2 5" xfId="1558" xr:uid="{00000000-0005-0000-0000-0000EE090000}"/>
    <cellStyle name="Comma 4 4 2 5 2" xfId="3788" xr:uid="{00000000-0005-0000-0000-0000EF090000}"/>
    <cellStyle name="Comma 4 4 2 5 2 2" xfId="8011" xr:uid="{00000000-0005-0000-0000-0000F0090000}"/>
    <cellStyle name="Comma 4 4 2 5 2 2 2" xfId="16453" xr:uid="{6A16DB27-36C2-4F0D-B21C-7986E89EF83D}"/>
    <cellStyle name="Comma 4 4 2 5 2 3" xfId="12235" xr:uid="{1B0E9F86-B38A-413D-86F5-10E4A1BC7E36}"/>
    <cellStyle name="Comma 4 4 2 5 3" xfId="5866" xr:uid="{00000000-0005-0000-0000-0000F1090000}"/>
    <cellStyle name="Comma 4 4 2 5 3 2" xfId="14308" xr:uid="{981BA566-08E1-4DA2-A9C7-84D6763CEBEB}"/>
    <cellStyle name="Comma 4 4 2 5 4" xfId="10090" xr:uid="{DF4C92EE-5EA6-4D78-8D24-AA1FFC1049AE}"/>
    <cellStyle name="Comma 4 4 2 6" xfId="1972" xr:uid="{00000000-0005-0000-0000-0000F2090000}"/>
    <cellStyle name="Comma 4 4 2 6 2" xfId="4201" xr:uid="{00000000-0005-0000-0000-0000F3090000}"/>
    <cellStyle name="Comma 4 4 2 6 2 2" xfId="8424" xr:uid="{00000000-0005-0000-0000-0000F4090000}"/>
    <cellStyle name="Comma 4 4 2 6 2 2 2" xfId="16866" xr:uid="{2CA1F2C6-15E2-489E-A8A6-BBB8CA58887C}"/>
    <cellStyle name="Comma 4 4 2 6 2 3" xfId="12648" xr:uid="{26A19411-5DE0-462A-8B03-C311E6B95268}"/>
    <cellStyle name="Comma 4 4 2 6 3" xfId="6279" xr:uid="{00000000-0005-0000-0000-0000F5090000}"/>
    <cellStyle name="Comma 4 4 2 6 3 2" xfId="14721" xr:uid="{42FC9B4B-17EF-4628-8B43-C6C4808D1AE3}"/>
    <cellStyle name="Comma 4 4 2 6 4" xfId="10503" xr:uid="{EE32675A-A9FC-4F64-AAA4-BEEE1F9A580F}"/>
    <cellStyle name="Comma 4 4 2 7" xfId="2407" xr:uid="{00000000-0005-0000-0000-0000F6090000}"/>
    <cellStyle name="Comma 4 4 2 7 2" xfId="6692" xr:uid="{00000000-0005-0000-0000-0000F7090000}"/>
    <cellStyle name="Comma 4 4 2 7 2 2" xfId="15134" xr:uid="{C5EA14D9-5955-4485-B882-3CE6F8E83717}"/>
    <cellStyle name="Comma 4 4 2 7 3" xfId="10916" xr:uid="{A64E19E4-A655-40C7-9295-F7A268A0FC11}"/>
    <cellStyle name="Comma 4 4 2 8" xfId="2703" xr:uid="{00000000-0005-0000-0000-0000F8090000}"/>
    <cellStyle name="Comma 4 4 2 9" xfId="2785" xr:uid="{00000000-0005-0000-0000-0000F9090000}"/>
    <cellStyle name="Comma 4 4 2 9 2" xfId="7009" xr:uid="{00000000-0005-0000-0000-0000FA090000}"/>
    <cellStyle name="Comma 4 4 2 9 2 2" xfId="15451" xr:uid="{042FB6FB-95F0-453F-B607-9F83DF5647FA}"/>
    <cellStyle name="Comma 4 4 2 9 3" xfId="11233" xr:uid="{E627A29A-4D3C-4B65-93E4-AD9102125A6E}"/>
    <cellStyle name="Comma 4 4 3" xfId="156" xr:uid="{00000000-0005-0000-0000-0000FB090000}"/>
    <cellStyle name="Comma 4 4 3 10" xfId="8852" xr:uid="{1216B0C1-3D84-47AF-8212-7B60DE4E18A4}"/>
    <cellStyle name="Comma 4 4 3 2" xfId="693" xr:uid="{00000000-0005-0000-0000-0000FC090000}"/>
    <cellStyle name="Comma 4 4 3 2 2" xfId="2964" xr:uid="{00000000-0005-0000-0000-0000FD090000}"/>
    <cellStyle name="Comma 4 4 3 2 2 2" xfId="7187" xr:uid="{00000000-0005-0000-0000-0000FE090000}"/>
    <cellStyle name="Comma 4 4 3 2 2 2 2" xfId="15629" xr:uid="{E15FF8F1-AA7E-471C-8FE9-A4FA2CC3D7F1}"/>
    <cellStyle name="Comma 4 4 3 2 2 3" xfId="11411" xr:uid="{ABDCBFCC-A7A4-4311-8744-074B2C7B2326}"/>
    <cellStyle name="Comma 4 4 3 2 3" xfId="5042" xr:uid="{00000000-0005-0000-0000-0000FF090000}"/>
    <cellStyle name="Comma 4 4 3 2 3 2" xfId="13484" xr:uid="{E1731D63-17DD-4970-AC7A-66B46B02EB62}"/>
    <cellStyle name="Comma 4 4 3 2 4" xfId="9266" xr:uid="{48A9BCFA-2C78-4C15-A9F5-1F3A900BB246}"/>
    <cellStyle name="Comma 4 4 3 3" xfId="1146" xr:uid="{00000000-0005-0000-0000-0000000A0000}"/>
    <cellStyle name="Comma 4 4 3 3 2" xfId="3377" xr:uid="{00000000-0005-0000-0000-0000010A0000}"/>
    <cellStyle name="Comma 4 4 3 3 2 2" xfId="7600" xr:uid="{00000000-0005-0000-0000-0000020A0000}"/>
    <cellStyle name="Comma 4 4 3 3 2 2 2" xfId="16042" xr:uid="{4ABFD2B3-E65A-422A-8734-154744FB9734}"/>
    <cellStyle name="Comma 4 4 3 3 2 3" xfId="11824" xr:uid="{58539157-823A-4C16-8138-DA61BB77556E}"/>
    <cellStyle name="Comma 4 4 3 3 3" xfId="5455" xr:uid="{00000000-0005-0000-0000-0000030A0000}"/>
    <cellStyle name="Comma 4 4 3 3 3 2" xfId="13897" xr:uid="{5EA5021E-F6EA-4601-8767-70391B85EFAF}"/>
    <cellStyle name="Comma 4 4 3 3 4" xfId="9679" xr:uid="{D8B56C1C-BF63-4A39-8AD1-C8106694D493}"/>
    <cellStyle name="Comma 4 4 3 4" xfId="1560" xr:uid="{00000000-0005-0000-0000-0000040A0000}"/>
    <cellStyle name="Comma 4 4 3 4 2" xfId="3790" xr:uid="{00000000-0005-0000-0000-0000050A0000}"/>
    <cellStyle name="Comma 4 4 3 4 2 2" xfId="8013" xr:uid="{00000000-0005-0000-0000-0000060A0000}"/>
    <cellStyle name="Comma 4 4 3 4 2 2 2" xfId="16455" xr:uid="{1D71EA75-395B-42A1-AC8C-62FACEBBB5D9}"/>
    <cellStyle name="Comma 4 4 3 4 2 3" xfId="12237" xr:uid="{D49246CA-C08D-4510-8238-0D7662D2AAC7}"/>
    <cellStyle name="Comma 4 4 3 4 3" xfId="5868" xr:uid="{00000000-0005-0000-0000-0000070A0000}"/>
    <cellStyle name="Comma 4 4 3 4 3 2" xfId="14310" xr:uid="{A30DDE1D-08B6-4D7B-93DA-5307543B3BE8}"/>
    <cellStyle name="Comma 4 4 3 4 4" xfId="10092" xr:uid="{7BEA3C63-E81A-4967-8D94-2C50D76C66B6}"/>
    <cellStyle name="Comma 4 4 3 5" xfId="1974" xr:uid="{00000000-0005-0000-0000-0000080A0000}"/>
    <cellStyle name="Comma 4 4 3 5 2" xfId="4203" xr:uid="{00000000-0005-0000-0000-0000090A0000}"/>
    <cellStyle name="Comma 4 4 3 5 2 2" xfId="8426" xr:uid="{00000000-0005-0000-0000-00000A0A0000}"/>
    <cellStyle name="Comma 4 4 3 5 2 2 2" xfId="16868" xr:uid="{8768350D-8CDC-453A-A1EA-DF9A413229D2}"/>
    <cellStyle name="Comma 4 4 3 5 2 3" xfId="12650" xr:uid="{05B81250-52AB-4762-8572-C3A29A820F19}"/>
    <cellStyle name="Comma 4 4 3 5 3" xfId="6281" xr:uid="{00000000-0005-0000-0000-00000B0A0000}"/>
    <cellStyle name="Comma 4 4 3 5 3 2" xfId="14723" xr:uid="{4CF3DA71-B5E4-4CE6-82A2-10FDF2CF607B}"/>
    <cellStyle name="Comma 4 4 3 5 4" xfId="10505" xr:uid="{0B78AE0E-EBB1-44C5-963B-A40CB7C8C79A}"/>
    <cellStyle name="Comma 4 4 3 6" xfId="2409" xr:uid="{00000000-0005-0000-0000-00000C0A0000}"/>
    <cellStyle name="Comma 4 4 3 6 2" xfId="6694" xr:uid="{00000000-0005-0000-0000-00000D0A0000}"/>
    <cellStyle name="Comma 4 4 3 6 2 2" xfId="15136" xr:uid="{148D1921-8AAB-4F6B-B174-204281AEF139}"/>
    <cellStyle name="Comma 4 4 3 6 3" xfId="10918" xr:uid="{14ECDE68-AAAF-4A79-B8C1-38F16A762797}"/>
    <cellStyle name="Comma 4 4 3 7" xfId="2705" xr:uid="{00000000-0005-0000-0000-00000E0A0000}"/>
    <cellStyle name="Comma 4 4 3 8" xfId="2787" xr:uid="{00000000-0005-0000-0000-00000F0A0000}"/>
    <cellStyle name="Comma 4 4 3 8 2" xfId="7011" xr:uid="{00000000-0005-0000-0000-0000100A0000}"/>
    <cellStyle name="Comma 4 4 3 8 2 2" xfId="15453" xr:uid="{F801E742-7AAA-4041-A307-01694EA64248}"/>
    <cellStyle name="Comma 4 4 3 8 3" xfId="11235" xr:uid="{78164090-D670-42BE-9A20-70BF663785B7}"/>
    <cellStyle name="Comma 4 4 3 9" xfId="4628" xr:uid="{00000000-0005-0000-0000-0000110A0000}"/>
    <cellStyle name="Comma 4 4 3 9 2" xfId="13070" xr:uid="{E11E5691-FCD7-4582-89FA-FDE45ACA5CBE}"/>
    <cellStyle name="Comma 4 4 4" xfId="690" xr:uid="{00000000-0005-0000-0000-0000120A0000}"/>
    <cellStyle name="Comma 4 4 4 2" xfId="2961" xr:uid="{00000000-0005-0000-0000-0000130A0000}"/>
    <cellStyle name="Comma 4 4 4 2 2" xfId="7184" xr:uid="{00000000-0005-0000-0000-0000140A0000}"/>
    <cellStyle name="Comma 4 4 4 2 2 2" xfId="15626" xr:uid="{97304AED-4DB3-44F5-824F-709B316C4D35}"/>
    <cellStyle name="Comma 4 4 4 2 3" xfId="11408" xr:uid="{D02ADDDC-DA9A-4EF4-B6F1-59E3049763F0}"/>
    <cellStyle name="Comma 4 4 4 3" xfId="5039" xr:uid="{00000000-0005-0000-0000-0000150A0000}"/>
    <cellStyle name="Comma 4 4 4 3 2" xfId="13481" xr:uid="{1DA7266F-975B-4FC0-ADC7-B9DB7E31290A}"/>
    <cellStyle name="Comma 4 4 4 4" xfId="9263" xr:uid="{46E1525A-CEA3-4173-9F9E-0C562D2C5944}"/>
    <cellStyle name="Comma 4 4 5" xfId="1143" xr:uid="{00000000-0005-0000-0000-0000160A0000}"/>
    <cellStyle name="Comma 4 4 5 2" xfId="3374" xr:uid="{00000000-0005-0000-0000-0000170A0000}"/>
    <cellStyle name="Comma 4 4 5 2 2" xfId="7597" xr:uid="{00000000-0005-0000-0000-0000180A0000}"/>
    <cellStyle name="Comma 4 4 5 2 2 2" xfId="16039" xr:uid="{164B238E-E155-43EA-A4C5-B7446DA755C2}"/>
    <cellStyle name="Comma 4 4 5 2 3" xfId="11821" xr:uid="{72528AAE-C667-495E-919A-2A87EAA5D5DF}"/>
    <cellStyle name="Comma 4 4 5 3" xfId="5452" xr:uid="{00000000-0005-0000-0000-0000190A0000}"/>
    <cellStyle name="Comma 4 4 5 3 2" xfId="13894" xr:uid="{00417876-868D-4F88-982B-C39E1D0A15DF}"/>
    <cellStyle name="Comma 4 4 5 4" xfId="9676" xr:uid="{002B5BAF-ABE1-4B74-96AC-ED64A6691080}"/>
    <cellStyle name="Comma 4 4 6" xfId="1557" xr:uid="{00000000-0005-0000-0000-00001A0A0000}"/>
    <cellStyle name="Comma 4 4 6 2" xfId="3787" xr:uid="{00000000-0005-0000-0000-00001B0A0000}"/>
    <cellStyle name="Comma 4 4 6 2 2" xfId="8010" xr:uid="{00000000-0005-0000-0000-00001C0A0000}"/>
    <cellStyle name="Comma 4 4 6 2 2 2" xfId="16452" xr:uid="{A7E002FD-AEAE-440A-A5A5-BA126DE33209}"/>
    <cellStyle name="Comma 4 4 6 2 3" xfId="12234" xr:uid="{A0DC06E2-B7A7-4D9D-9515-B6EFBDB2F98D}"/>
    <cellStyle name="Comma 4 4 6 3" xfId="5865" xr:uid="{00000000-0005-0000-0000-00001D0A0000}"/>
    <cellStyle name="Comma 4 4 6 3 2" xfId="14307" xr:uid="{AC32F383-429F-4AC5-A1A5-34F93B2185BA}"/>
    <cellStyle name="Comma 4 4 6 4" xfId="10089" xr:uid="{A1150BCC-0217-49CB-BED9-E13529EB5D8A}"/>
    <cellStyle name="Comma 4 4 7" xfId="1971" xr:uid="{00000000-0005-0000-0000-00001E0A0000}"/>
    <cellStyle name="Comma 4 4 7 2" xfId="4200" xr:uid="{00000000-0005-0000-0000-00001F0A0000}"/>
    <cellStyle name="Comma 4 4 7 2 2" xfId="8423" xr:uid="{00000000-0005-0000-0000-0000200A0000}"/>
    <cellStyle name="Comma 4 4 7 2 2 2" xfId="16865" xr:uid="{00F0BFA3-3C2C-490E-A495-99F6A6C56666}"/>
    <cellStyle name="Comma 4 4 7 2 3" xfId="12647" xr:uid="{FB2E5B2F-8326-427B-8BA7-827EA77B467E}"/>
    <cellStyle name="Comma 4 4 7 3" xfId="6278" xr:uid="{00000000-0005-0000-0000-0000210A0000}"/>
    <cellStyle name="Comma 4 4 7 3 2" xfId="14720" xr:uid="{D3631859-2D4A-4570-BF55-A5ECE00396CE}"/>
    <cellStyle name="Comma 4 4 7 4" xfId="10502" xr:uid="{A690E539-8A86-409B-8AFA-E4EB4F13A4D1}"/>
    <cellStyle name="Comma 4 4 8" xfId="2406" xr:uid="{00000000-0005-0000-0000-0000220A0000}"/>
    <cellStyle name="Comma 4 4 8 2" xfId="6691" xr:uid="{00000000-0005-0000-0000-0000230A0000}"/>
    <cellStyle name="Comma 4 4 8 2 2" xfId="15133" xr:uid="{EC1C72E4-3E27-48B4-ACB1-B0F04F33F78B}"/>
    <cellStyle name="Comma 4 4 8 3" xfId="10915" xr:uid="{6275242B-8EFE-4B6E-AF4B-21471831764A}"/>
    <cellStyle name="Comma 4 4 9" xfId="2702" xr:uid="{00000000-0005-0000-0000-0000240A0000}"/>
    <cellStyle name="Comma 4 5" xfId="157" xr:uid="{00000000-0005-0000-0000-0000250A0000}"/>
    <cellStyle name="Comma 4 5 10" xfId="4629" xr:uid="{00000000-0005-0000-0000-0000260A0000}"/>
    <cellStyle name="Comma 4 5 10 2" xfId="13071" xr:uid="{86A72B95-0EB6-42D1-8018-077352A4A84D}"/>
    <cellStyle name="Comma 4 5 11" xfId="8853" xr:uid="{CE6BD68E-D41C-4797-999D-D3D636A57E2B}"/>
    <cellStyle name="Comma 4 5 2" xfId="158" xr:uid="{00000000-0005-0000-0000-0000270A0000}"/>
    <cellStyle name="Comma 4 5 2 10" xfId="8854" xr:uid="{580AAE5E-D3A0-4457-A57A-8842928CAEB2}"/>
    <cellStyle name="Comma 4 5 2 2" xfId="695" xr:uid="{00000000-0005-0000-0000-0000280A0000}"/>
    <cellStyle name="Comma 4 5 2 2 2" xfId="2966" xr:uid="{00000000-0005-0000-0000-0000290A0000}"/>
    <cellStyle name="Comma 4 5 2 2 2 2" xfId="7189" xr:uid="{00000000-0005-0000-0000-00002A0A0000}"/>
    <cellStyle name="Comma 4 5 2 2 2 2 2" xfId="15631" xr:uid="{5E3A3C92-A11D-4D0F-B14E-B4481582025F}"/>
    <cellStyle name="Comma 4 5 2 2 2 3" xfId="11413" xr:uid="{D42B9D5F-0FB3-4CA6-BA55-0EF0C7982B5A}"/>
    <cellStyle name="Comma 4 5 2 2 3" xfId="5044" xr:uid="{00000000-0005-0000-0000-00002B0A0000}"/>
    <cellStyle name="Comma 4 5 2 2 3 2" xfId="13486" xr:uid="{C7FC750C-1B03-4896-A026-1EEF9E2E41E9}"/>
    <cellStyle name="Comma 4 5 2 2 4" xfId="9268" xr:uid="{39D46EE7-95C4-4B85-B329-5600B813D08E}"/>
    <cellStyle name="Comma 4 5 2 3" xfId="1148" xr:uid="{00000000-0005-0000-0000-00002C0A0000}"/>
    <cellStyle name="Comma 4 5 2 3 2" xfId="3379" xr:uid="{00000000-0005-0000-0000-00002D0A0000}"/>
    <cellStyle name="Comma 4 5 2 3 2 2" xfId="7602" xr:uid="{00000000-0005-0000-0000-00002E0A0000}"/>
    <cellStyle name="Comma 4 5 2 3 2 2 2" xfId="16044" xr:uid="{4A7610D5-DF85-4772-88A3-AF426E6FA7B0}"/>
    <cellStyle name="Comma 4 5 2 3 2 3" xfId="11826" xr:uid="{F4FADBA4-ECB6-4AD3-B38D-14C240A487A2}"/>
    <cellStyle name="Comma 4 5 2 3 3" xfId="5457" xr:uid="{00000000-0005-0000-0000-00002F0A0000}"/>
    <cellStyle name="Comma 4 5 2 3 3 2" xfId="13899" xr:uid="{6CCD8EB9-C574-469A-B967-972C30956A24}"/>
    <cellStyle name="Comma 4 5 2 3 4" xfId="9681" xr:uid="{38FA022C-1A2D-423F-8B01-2509410B94C8}"/>
    <cellStyle name="Comma 4 5 2 4" xfId="1562" xr:uid="{00000000-0005-0000-0000-0000300A0000}"/>
    <cellStyle name="Comma 4 5 2 4 2" xfId="3792" xr:uid="{00000000-0005-0000-0000-0000310A0000}"/>
    <cellStyle name="Comma 4 5 2 4 2 2" xfId="8015" xr:uid="{00000000-0005-0000-0000-0000320A0000}"/>
    <cellStyle name="Comma 4 5 2 4 2 2 2" xfId="16457" xr:uid="{AB83893D-3742-47CD-8F79-C731EE220309}"/>
    <cellStyle name="Comma 4 5 2 4 2 3" xfId="12239" xr:uid="{318A22B4-5ABA-41F3-A553-783938B42EC7}"/>
    <cellStyle name="Comma 4 5 2 4 3" xfId="5870" xr:uid="{00000000-0005-0000-0000-0000330A0000}"/>
    <cellStyle name="Comma 4 5 2 4 3 2" xfId="14312" xr:uid="{1BDC464B-0787-4365-B4FD-3409A2DCE780}"/>
    <cellStyle name="Comma 4 5 2 4 4" xfId="10094" xr:uid="{0AF2C54F-2C03-4E65-B1A5-68AA1CA36D21}"/>
    <cellStyle name="Comma 4 5 2 5" xfId="1976" xr:uid="{00000000-0005-0000-0000-0000340A0000}"/>
    <cellStyle name="Comma 4 5 2 5 2" xfId="4205" xr:uid="{00000000-0005-0000-0000-0000350A0000}"/>
    <cellStyle name="Comma 4 5 2 5 2 2" xfId="8428" xr:uid="{00000000-0005-0000-0000-0000360A0000}"/>
    <cellStyle name="Comma 4 5 2 5 2 2 2" xfId="16870" xr:uid="{DAC6A265-CB8F-4380-938E-270B96F33DDC}"/>
    <cellStyle name="Comma 4 5 2 5 2 3" xfId="12652" xr:uid="{1D5A56B2-4A9A-430F-8623-E9F3E14EDD7F}"/>
    <cellStyle name="Comma 4 5 2 5 3" xfId="6283" xr:uid="{00000000-0005-0000-0000-0000370A0000}"/>
    <cellStyle name="Comma 4 5 2 5 3 2" xfId="14725" xr:uid="{54E65FB9-895D-4225-A101-5BEB6D71C0C2}"/>
    <cellStyle name="Comma 4 5 2 5 4" xfId="10507" xr:uid="{B0D6005C-5E24-4401-9C09-52FAFE773D7E}"/>
    <cellStyle name="Comma 4 5 2 6" xfId="2411" xr:uid="{00000000-0005-0000-0000-0000380A0000}"/>
    <cellStyle name="Comma 4 5 2 6 2" xfId="6696" xr:uid="{00000000-0005-0000-0000-0000390A0000}"/>
    <cellStyle name="Comma 4 5 2 6 2 2" xfId="15138" xr:uid="{DA36D29E-8A5B-48FF-9FE3-32BC594B13D0}"/>
    <cellStyle name="Comma 4 5 2 6 3" xfId="10920" xr:uid="{755BF7A1-DDF6-4CC1-AFE0-19F9D8AC69E8}"/>
    <cellStyle name="Comma 4 5 2 7" xfId="2707" xr:uid="{00000000-0005-0000-0000-00003A0A0000}"/>
    <cellStyle name="Comma 4 5 2 8" xfId="2789" xr:uid="{00000000-0005-0000-0000-00003B0A0000}"/>
    <cellStyle name="Comma 4 5 2 8 2" xfId="7013" xr:uid="{00000000-0005-0000-0000-00003C0A0000}"/>
    <cellStyle name="Comma 4 5 2 8 2 2" xfId="15455" xr:uid="{DFD2151C-A199-44BF-BB9C-91DBE337C30B}"/>
    <cellStyle name="Comma 4 5 2 8 3" xfId="11237" xr:uid="{F8F60018-A372-48B4-B521-CD8279FD81C7}"/>
    <cellStyle name="Comma 4 5 2 9" xfId="4630" xr:uid="{00000000-0005-0000-0000-00003D0A0000}"/>
    <cellStyle name="Comma 4 5 2 9 2" xfId="13072" xr:uid="{EEB123CB-FDC7-4527-B52D-1487191AF671}"/>
    <cellStyle name="Comma 4 5 3" xfId="694" xr:uid="{00000000-0005-0000-0000-00003E0A0000}"/>
    <cellStyle name="Comma 4 5 3 2" xfId="2965" xr:uid="{00000000-0005-0000-0000-00003F0A0000}"/>
    <cellStyle name="Comma 4 5 3 2 2" xfId="7188" xr:uid="{00000000-0005-0000-0000-0000400A0000}"/>
    <cellStyle name="Comma 4 5 3 2 2 2" xfId="15630" xr:uid="{04977128-90DC-4E43-87C3-6EEB4ED8C751}"/>
    <cellStyle name="Comma 4 5 3 2 3" xfId="11412" xr:uid="{FBCF67F2-D49F-446C-8943-6E5942BE101E}"/>
    <cellStyle name="Comma 4 5 3 3" xfId="5043" xr:uid="{00000000-0005-0000-0000-0000410A0000}"/>
    <cellStyle name="Comma 4 5 3 3 2" xfId="13485" xr:uid="{2A82F22D-E3C2-4026-9060-25661D20EA90}"/>
    <cellStyle name="Comma 4 5 3 4" xfId="9267" xr:uid="{17570F38-AA39-46AE-B79D-52F5417C9394}"/>
    <cellStyle name="Comma 4 5 4" xfId="1147" xr:uid="{00000000-0005-0000-0000-0000420A0000}"/>
    <cellStyle name="Comma 4 5 4 2" xfId="3378" xr:uid="{00000000-0005-0000-0000-0000430A0000}"/>
    <cellStyle name="Comma 4 5 4 2 2" xfId="7601" xr:uid="{00000000-0005-0000-0000-0000440A0000}"/>
    <cellStyle name="Comma 4 5 4 2 2 2" xfId="16043" xr:uid="{0F71D635-89A7-40A2-8E72-8DD7629B901D}"/>
    <cellStyle name="Comma 4 5 4 2 3" xfId="11825" xr:uid="{EF942B55-A94C-4644-B903-63AF1685BDA0}"/>
    <cellStyle name="Comma 4 5 4 3" xfId="5456" xr:uid="{00000000-0005-0000-0000-0000450A0000}"/>
    <cellStyle name="Comma 4 5 4 3 2" xfId="13898" xr:uid="{D137432E-6452-4ED5-8F77-3CF6CDF4FA11}"/>
    <cellStyle name="Comma 4 5 4 4" xfId="9680" xr:uid="{1971693D-C3EC-4A46-ABD8-25C2F5372E9E}"/>
    <cellStyle name="Comma 4 5 5" xfId="1561" xr:uid="{00000000-0005-0000-0000-0000460A0000}"/>
    <cellStyle name="Comma 4 5 5 2" xfId="3791" xr:uid="{00000000-0005-0000-0000-0000470A0000}"/>
    <cellStyle name="Comma 4 5 5 2 2" xfId="8014" xr:uid="{00000000-0005-0000-0000-0000480A0000}"/>
    <cellStyle name="Comma 4 5 5 2 2 2" xfId="16456" xr:uid="{967724E1-793D-4C40-B599-6CC3924A90D0}"/>
    <cellStyle name="Comma 4 5 5 2 3" xfId="12238" xr:uid="{8BD48CF7-C674-4741-913B-A53949ED7F9F}"/>
    <cellStyle name="Comma 4 5 5 3" xfId="5869" xr:uid="{00000000-0005-0000-0000-0000490A0000}"/>
    <cellStyle name="Comma 4 5 5 3 2" xfId="14311" xr:uid="{180F11D0-E7EF-45D9-B1C7-E0789B4AF297}"/>
    <cellStyle name="Comma 4 5 5 4" xfId="10093" xr:uid="{BAE95C45-DF9B-4BAD-9F7C-131BB57570E6}"/>
    <cellStyle name="Comma 4 5 6" xfId="1975" xr:uid="{00000000-0005-0000-0000-00004A0A0000}"/>
    <cellStyle name="Comma 4 5 6 2" xfId="4204" xr:uid="{00000000-0005-0000-0000-00004B0A0000}"/>
    <cellStyle name="Comma 4 5 6 2 2" xfId="8427" xr:uid="{00000000-0005-0000-0000-00004C0A0000}"/>
    <cellStyle name="Comma 4 5 6 2 2 2" xfId="16869" xr:uid="{8FA95D2F-E544-4A59-8B98-F7EAAFBFF2EE}"/>
    <cellStyle name="Comma 4 5 6 2 3" xfId="12651" xr:uid="{033EB4FE-0278-410A-B61A-A9659AC8F7DE}"/>
    <cellStyle name="Comma 4 5 6 3" xfId="6282" xr:uid="{00000000-0005-0000-0000-00004D0A0000}"/>
    <cellStyle name="Comma 4 5 6 3 2" xfId="14724" xr:uid="{4F83EB23-92F3-42C0-936B-91C21D62451C}"/>
    <cellStyle name="Comma 4 5 6 4" xfId="10506" xr:uid="{BA330237-BC2F-4076-A262-954463243E64}"/>
    <cellStyle name="Comma 4 5 7" xfId="2410" xr:uid="{00000000-0005-0000-0000-00004E0A0000}"/>
    <cellStyle name="Comma 4 5 7 2" xfId="6695" xr:uid="{00000000-0005-0000-0000-00004F0A0000}"/>
    <cellStyle name="Comma 4 5 7 2 2" xfId="15137" xr:uid="{5B1F864B-057E-41BE-A4BC-76AA78FA2B0E}"/>
    <cellStyle name="Comma 4 5 7 3" xfId="10919" xr:uid="{2B144814-4EE6-4DB1-B3A5-E74A9CD979D0}"/>
    <cellStyle name="Comma 4 5 8" xfId="2706" xr:uid="{00000000-0005-0000-0000-0000500A0000}"/>
    <cellStyle name="Comma 4 5 9" xfId="2788" xr:uid="{00000000-0005-0000-0000-0000510A0000}"/>
    <cellStyle name="Comma 4 5 9 2" xfId="7012" xr:uid="{00000000-0005-0000-0000-0000520A0000}"/>
    <cellStyle name="Comma 4 5 9 2 2" xfId="15454" xr:uid="{8D8E98D1-5ADC-4D64-8C71-494267BA8E8D}"/>
    <cellStyle name="Comma 4 5 9 3" xfId="11236" xr:uid="{685B73FE-7AAF-4A27-BB0C-CD86D510D83C}"/>
    <cellStyle name="Comma 4 6" xfId="159" xr:uid="{00000000-0005-0000-0000-0000530A0000}"/>
    <cellStyle name="Comma 4 6 10" xfId="8855" xr:uid="{984296B0-69C8-4915-9E16-CA4C61047643}"/>
    <cellStyle name="Comma 4 6 2" xfId="696" xr:uid="{00000000-0005-0000-0000-0000540A0000}"/>
    <cellStyle name="Comma 4 6 2 2" xfId="2967" xr:uid="{00000000-0005-0000-0000-0000550A0000}"/>
    <cellStyle name="Comma 4 6 2 2 2" xfId="7190" xr:uid="{00000000-0005-0000-0000-0000560A0000}"/>
    <cellStyle name="Comma 4 6 2 2 2 2" xfId="15632" xr:uid="{C3FDE98B-E82A-41CE-BD7F-504B88A86353}"/>
    <cellStyle name="Comma 4 6 2 2 3" xfId="11414" xr:uid="{E07F3AE3-35C9-4C40-B272-D19E7562CDB4}"/>
    <cellStyle name="Comma 4 6 2 3" xfId="5045" xr:uid="{00000000-0005-0000-0000-0000570A0000}"/>
    <cellStyle name="Comma 4 6 2 3 2" xfId="13487" xr:uid="{4EC87D86-2BBE-420A-8EA0-326E40B9F47D}"/>
    <cellStyle name="Comma 4 6 2 4" xfId="9269" xr:uid="{AC6A2D5E-56CA-423D-A62E-86C488BA3A38}"/>
    <cellStyle name="Comma 4 6 3" xfId="1149" xr:uid="{00000000-0005-0000-0000-0000580A0000}"/>
    <cellStyle name="Comma 4 6 3 2" xfId="3380" xr:uid="{00000000-0005-0000-0000-0000590A0000}"/>
    <cellStyle name="Comma 4 6 3 2 2" xfId="7603" xr:uid="{00000000-0005-0000-0000-00005A0A0000}"/>
    <cellStyle name="Comma 4 6 3 2 2 2" xfId="16045" xr:uid="{6B0E5371-EF10-48FB-9135-7D8DCD35AA6C}"/>
    <cellStyle name="Comma 4 6 3 2 3" xfId="11827" xr:uid="{66088819-DA2D-4F4A-B524-2CD963DAE2CE}"/>
    <cellStyle name="Comma 4 6 3 3" xfId="5458" xr:uid="{00000000-0005-0000-0000-00005B0A0000}"/>
    <cellStyle name="Comma 4 6 3 3 2" xfId="13900" xr:uid="{87541C63-D329-4BF5-A2D2-88BF64CE6ACB}"/>
    <cellStyle name="Comma 4 6 3 4" xfId="9682" xr:uid="{60233062-A391-49C3-A198-7D79AC32449E}"/>
    <cellStyle name="Comma 4 6 4" xfId="1563" xr:uid="{00000000-0005-0000-0000-00005C0A0000}"/>
    <cellStyle name="Comma 4 6 4 2" xfId="3793" xr:uid="{00000000-0005-0000-0000-00005D0A0000}"/>
    <cellStyle name="Comma 4 6 4 2 2" xfId="8016" xr:uid="{00000000-0005-0000-0000-00005E0A0000}"/>
    <cellStyle name="Comma 4 6 4 2 2 2" xfId="16458" xr:uid="{30FB4AF1-76BD-4351-A48A-E4A9F20F3F2C}"/>
    <cellStyle name="Comma 4 6 4 2 3" xfId="12240" xr:uid="{B50703B2-8A0E-4AF7-ACCB-7179A6DEF128}"/>
    <cellStyle name="Comma 4 6 4 3" xfId="5871" xr:uid="{00000000-0005-0000-0000-00005F0A0000}"/>
    <cellStyle name="Comma 4 6 4 3 2" xfId="14313" xr:uid="{F73BC644-01DF-46C3-A926-47F640AE9C2D}"/>
    <cellStyle name="Comma 4 6 4 4" xfId="10095" xr:uid="{A7972ABB-7AA2-4C64-8629-50B279D75AA5}"/>
    <cellStyle name="Comma 4 6 5" xfId="1977" xr:uid="{00000000-0005-0000-0000-0000600A0000}"/>
    <cellStyle name="Comma 4 6 5 2" xfId="4206" xr:uid="{00000000-0005-0000-0000-0000610A0000}"/>
    <cellStyle name="Comma 4 6 5 2 2" xfId="8429" xr:uid="{00000000-0005-0000-0000-0000620A0000}"/>
    <cellStyle name="Comma 4 6 5 2 2 2" xfId="16871" xr:uid="{422AD61B-C009-4604-A7D3-E9E2591772FC}"/>
    <cellStyle name="Comma 4 6 5 2 3" xfId="12653" xr:uid="{93B74899-50DF-4370-AD18-54F099380FA8}"/>
    <cellStyle name="Comma 4 6 5 3" xfId="6284" xr:uid="{00000000-0005-0000-0000-0000630A0000}"/>
    <cellStyle name="Comma 4 6 5 3 2" xfId="14726" xr:uid="{B32BC997-9DD1-4711-89DF-D8559738B918}"/>
    <cellStyle name="Comma 4 6 5 4" xfId="10508" xr:uid="{1BD6C51B-FB99-4523-BD32-F08BE11DF623}"/>
    <cellStyle name="Comma 4 6 6" xfId="2412" xr:uid="{00000000-0005-0000-0000-0000640A0000}"/>
    <cellStyle name="Comma 4 6 6 2" xfId="6697" xr:uid="{00000000-0005-0000-0000-0000650A0000}"/>
    <cellStyle name="Comma 4 6 6 2 2" xfId="15139" xr:uid="{DEBA03D1-07F0-4F07-A55F-4EF3B1460ED0}"/>
    <cellStyle name="Comma 4 6 6 3" xfId="10921" xr:uid="{866860DD-3F64-4440-98D6-3349692D271A}"/>
    <cellStyle name="Comma 4 6 7" xfId="2708" xr:uid="{00000000-0005-0000-0000-0000660A0000}"/>
    <cellStyle name="Comma 4 6 8" xfId="2790" xr:uid="{00000000-0005-0000-0000-0000670A0000}"/>
    <cellStyle name="Comma 4 6 8 2" xfId="7014" xr:uid="{00000000-0005-0000-0000-0000680A0000}"/>
    <cellStyle name="Comma 4 6 8 2 2" xfId="15456" xr:uid="{B041927F-7DFC-48FE-9D8D-D6E432774397}"/>
    <cellStyle name="Comma 4 6 8 3" xfId="11238" xr:uid="{EC718907-600C-4613-B4D0-79FE1B3C0612}"/>
    <cellStyle name="Comma 4 6 9" xfId="4631" xr:uid="{00000000-0005-0000-0000-0000690A0000}"/>
    <cellStyle name="Comma 4 6 9 2" xfId="13073" xr:uid="{E3D75022-9513-4FD9-B5B5-3B80CDB37EA1}"/>
    <cellStyle name="Comma 4 7" xfId="160" xr:uid="{00000000-0005-0000-0000-00006A0A0000}"/>
    <cellStyle name="Comma 4 7 10" xfId="8856" xr:uid="{A236F5A5-6A72-4521-A3A6-BA3EBB155100}"/>
    <cellStyle name="Comma 4 7 2" xfId="697" xr:uid="{00000000-0005-0000-0000-00006B0A0000}"/>
    <cellStyle name="Comma 4 7 2 2" xfId="2968" xr:uid="{00000000-0005-0000-0000-00006C0A0000}"/>
    <cellStyle name="Comma 4 7 2 2 2" xfId="7191" xr:uid="{00000000-0005-0000-0000-00006D0A0000}"/>
    <cellStyle name="Comma 4 7 2 2 2 2" xfId="15633" xr:uid="{B0BE8569-4ABA-433C-97E3-6298F36B18DB}"/>
    <cellStyle name="Comma 4 7 2 2 3" xfId="11415" xr:uid="{34D624A1-0384-4EE6-AEF5-EB62F3881F88}"/>
    <cellStyle name="Comma 4 7 2 3" xfId="5046" xr:uid="{00000000-0005-0000-0000-00006E0A0000}"/>
    <cellStyle name="Comma 4 7 2 3 2" xfId="13488" xr:uid="{07433975-788D-4DBE-A370-9725C22ECED6}"/>
    <cellStyle name="Comma 4 7 2 4" xfId="9270" xr:uid="{A28ED2C0-1A2A-4569-9C76-618F6ACACF73}"/>
    <cellStyle name="Comma 4 7 3" xfId="1150" xr:uid="{00000000-0005-0000-0000-00006F0A0000}"/>
    <cellStyle name="Comma 4 7 3 2" xfId="3381" xr:uid="{00000000-0005-0000-0000-0000700A0000}"/>
    <cellStyle name="Comma 4 7 3 2 2" xfId="7604" xr:uid="{00000000-0005-0000-0000-0000710A0000}"/>
    <cellStyle name="Comma 4 7 3 2 2 2" xfId="16046" xr:uid="{68A1726C-EBEB-4BA4-B76F-9EEE66B35FA7}"/>
    <cellStyle name="Comma 4 7 3 2 3" xfId="11828" xr:uid="{F2B42E6A-4BE0-46F3-A3C8-BBA81339AEA5}"/>
    <cellStyle name="Comma 4 7 3 3" xfId="5459" xr:uid="{00000000-0005-0000-0000-0000720A0000}"/>
    <cellStyle name="Comma 4 7 3 3 2" xfId="13901" xr:uid="{BBFD1ABC-EB94-461A-8210-66AA28BD717F}"/>
    <cellStyle name="Comma 4 7 3 4" xfId="9683" xr:uid="{72E1DCDC-7AFD-49E8-9397-DBC08BDC01DA}"/>
    <cellStyle name="Comma 4 7 4" xfId="1564" xr:uid="{00000000-0005-0000-0000-0000730A0000}"/>
    <cellStyle name="Comma 4 7 4 2" xfId="3794" xr:uid="{00000000-0005-0000-0000-0000740A0000}"/>
    <cellStyle name="Comma 4 7 4 2 2" xfId="8017" xr:uid="{00000000-0005-0000-0000-0000750A0000}"/>
    <cellStyle name="Comma 4 7 4 2 2 2" xfId="16459" xr:uid="{153BE2F8-34A0-419E-8CD8-F7F596E17548}"/>
    <cellStyle name="Comma 4 7 4 2 3" xfId="12241" xr:uid="{78A28849-C9F7-48DE-868E-B4F092A3FB81}"/>
    <cellStyle name="Comma 4 7 4 3" xfId="5872" xr:uid="{00000000-0005-0000-0000-0000760A0000}"/>
    <cellStyle name="Comma 4 7 4 3 2" xfId="14314" xr:uid="{209B03E8-C779-4C86-8F32-BA980EECF645}"/>
    <cellStyle name="Comma 4 7 4 4" xfId="10096" xr:uid="{418CCF6C-135D-431C-A810-F43E89284F19}"/>
    <cellStyle name="Comma 4 7 5" xfId="1978" xr:uid="{00000000-0005-0000-0000-0000770A0000}"/>
    <cellStyle name="Comma 4 7 5 2" xfId="4207" xr:uid="{00000000-0005-0000-0000-0000780A0000}"/>
    <cellStyle name="Comma 4 7 5 2 2" xfId="8430" xr:uid="{00000000-0005-0000-0000-0000790A0000}"/>
    <cellStyle name="Comma 4 7 5 2 2 2" xfId="16872" xr:uid="{4167642A-3DD7-4855-8434-2CD39AF5BB9E}"/>
    <cellStyle name="Comma 4 7 5 2 3" xfId="12654" xr:uid="{35A7FA78-F155-4AA0-9D07-E1FB8F276A54}"/>
    <cellStyle name="Comma 4 7 5 3" xfId="6285" xr:uid="{00000000-0005-0000-0000-00007A0A0000}"/>
    <cellStyle name="Comma 4 7 5 3 2" xfId="14727" xr:uid="{85E70B31-EA6F-4841-9CD9-23DCFDECA820}"/>
    <cellStyle name="Comma 4 7 5 4" xfId="10509" xr:uid="{AA49956C-D418-4457-AABA-F92EF5E9EB7F}"/>
    <cellStyle name="Comma 4 7 6" xfId="2413" xr:uid="{00000000-0005-0000-0000-00007B0A0000}"/>
    <cellStyle name="Comma 4 7 6 2" xfId="6698" xr:uid="{00000000-0005-0000-0000-00007C0A0000}"/>
    <cellStyle name="Comma 4 7 6 2 2" xfId="15140" xr:uid="{811F18DC-CDE1-4C27-8546-702D0DBEF00B}"/>
    <cellStyle name="Comma 4 7 6 3" xfId="10922" xr:uid="{6D45F7A3-1CCC-4D5A-A977-10864B3C9552}"/>
    <cellStyle name="Comma 4 7 7" xfId="2709" xr:uid="{00000000-0005-0000-0000-00007D0A0000}"/>
    <cellStyle name="Comma 4 7 8" xfId="2791" xr:uid="{00000000-0005-0000-0000-00007E0A0000}"/>
    <cellStyle name="Comma 4 7 8 2" xfId="7015" xr:uid="{00000000-0005-0000-0000-00007F0A0000}"/>
    <cellStyle name="Comma 4 7 8 2 2" xfId="15457" xr:uid="{ACC39265-C795-4668-8728-807ABBA4FBA1}"/>
    <cellStyle name="Comma 4 7 8 3" xfId="11239" xr:uid="{BEEB2AC3-B3D9-4D80-ADEA-D94371C3EA6F}"/>
    <cellStyle name="Comma 4 7 9" xfId="4632" xr:uid="{00000000-0005-0000-0000-0000800A0000}"/>
    <cellStyle name="Comma 4 7 9 2" xfId="13074" xr:uid="{E75907DF-50CE-4693-AB9B-43FF29865C73}"/>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omma 7 2" xfId="12942" xr:uid="{C54A6E33-3C37-4484-8F86-8B2EF7B623DB}"/>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2 2" xfId="17159" xr:uid="{1404E314-41CA-4172-944B-0C93CF06209E}"/>
    <cellStyle name="Currency 14 3" xfId="8720" xr:uid="{729B09A7-2394-4D7C-912C-1471FB3455A3}"/>
    <cellStyle name="Currency 14 3 2" xfId="8724" xr:uid="{1945FB0F-31EC-4D98-B64C-BAFBADA341A1}"/>
    <cellStyle name="Currency 14 3 2 2" xfId="8727" xr:uid="{03BA8DEE-11D2-406B-B26D-8EE163916FB0}"/>
    <cellStyle name="Currency 14 3 2 2 2" xfId="17168" xr:uid="{FE68046C-D736-4E41-89EC-373FA5190085}"/>
    <cellStyle name="Currency 14 3 2 3" xfId="17165" xr:uid="{0A8CE143-60CA-4B6A-A34D-D3BF921CCCA4}"/>
    <cellStyle name="Currency 14 3 3" xfId="17162" xr:uid="{2A0716C7-55DE-42DE-AF33-62F72ECEA4D9}"/>
    <cellStyle name="Currency 14 4" xfId="12945" xr:uid="{5E355D2B-0039-4161-A3FF-44A2EBEB141C}"/>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0 2 2" xfId="15458" xr:uid="{33A8BFC9-005E-440B-961F-D5E4B345672F}"/>
    <cellStyle name="Currency 3 2 2 10 3" xfId="11240" xr:uid="{903074ED-182D-4489-866F-E1085DE98041}"/>
    <cellStyle name="Currency 3 2 2 11" xfId="4633" xr:uid="{00000000-0005-0000-0000-0000A50A0000}"/>
    <cellStyle name="Currency 3 2 2 11 2" xfId="13075" xr:uid="{3C0AD840-BD32-4E35-B745-14C833ACD5D1}"/>
    <cellStyle name="Currency 3 2 2 12" xfId="8857" xr:uid="{F3FBE4F6-6B1E-4981-A1E8-4C35049AB8D1}"/>
    <cellStyle name="Currency 3 2 2 2" xfId="179" xr:uid="{00000000-0005-0000-0000-0000A60A0000}"/>
    <cellStyle name="Currency 3 2 2 2 10" xfId="4634" xr:uid="{00000000-0005-0000-0000-0000A70A0000}"/>
    <cellStyle name="Currency 3 2 2 2 10 2" xfId="13076" xr:uid="{448C84CC-926B-49C3-94B9-B9C1ECC92950}"/>
    <cellStyle name="Currency 3 2 2 2 11" xfId="8858" xr:uid="{4A03853E-7C5A-4F48-B230-9239FD44FD1D}"/>
    <cellStyle name="Currency 3 2 2 2 2" xfId="180" xr:uid="{00000000-0005-0000-0000-0000A80A0000}"/>
    <cellStyle name="Currency 3 2 2 2 2 10" xfId="8859" xr:uid="{8E4405A8-AD13-4943-9B25-ADEADFF292B4}"/>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2 2 2" xfId="15636" xr:uid="{05852DFE-D26D-48D1-9560-5DA096A40D07}"/>
    <cellStyle name="Currency 3 2 2 2 2 2 2 3" xfId="11418" xr:uid="{76565C96-B15A-4FEF-8452-5D62EC356168}"/>
    <cellStyle name="Currency 3 2 2 2 2 2 3" xfId="5049" xr:uid="{00000000-0005-0000-0000-0000AC0A0000}"/>
    <cellStyle name="Currency 3 2 2 2 2 2 3 2" xfId="13491" xr:uid="{5D5DA1DD-33FB-42F2-9CE7-59B06C103CCE}"/>
    <cellStyle name="Currency 3 2 2 2 2 2 4" xfId="9273" xr:uid="{765488F2-04DB-49DD-A3AF-B90DFAFAAB63}"/>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2 2 2" xfId="16049" xr:uid="{E9802074-2975-4323-B733-39766455AEBD}"/>
    <cellStyle name="Currency 3 2 2 2 2 3 2 3" xfId="11831" xr:uid="{30638C95-7642-443D-8AE7-9885AD6694C2}"/>
    <cellStyle name="Currency 3 2 2 2 2 3 3" xfId="5462" xr:uid="{00000000-0005-0000-0000-0000B00A0000}"/>
    <cellStyle name="Currency 3 2 2 2 2 3 3 2" xfId="13904" xr:uid="{38C1546F-EE48-4911-9B2B-E023456C4967}"/>
    <cellStyle name="Currency 3 2 2 2 2 3 4" xfId="9686" xr:uid="{721B5609-C466-4A60-8C2B-43C8883F66E3}"/>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2 2 2" xfId="16462" xr:uid="{D2DB3037-B566-4727-8A9A-54E30B3F9E5A}"/>
    <cellStyle name="Currency 3 2 2 2 2 4 2 3" xfId="12244" xr:uid="{696B5334-46A9-4B0E-B52E-EB41F351B776}"/>
    <cellStyle name="Currency 3 2 2 2 2 4 3" xfId="5875" xr:uid="{00000000-0005-0000-0000-0000B40A0000}"/>
    <cellStyle name="Currency 3 2 2 2 2 4 3 2" xfId="14317" xr:uid="{6385A462-3DE8-449A-BB7F-1AC202989A3F}"/>
    <cellStyle name="Currency 3 2 2 2 2 4 4" xfId="10099" xr:uid="{B09211DF-F8C5-45C1-A814-E75413C53DA2}"/>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2 2 2" xfId="16875" xr:uid="{6E6DB0CE-A903-4300-A85B-9E18FDF746D9}"/>
    <cellStyle name="Currency 3 2 2 2 2 5 2 3" xfId="12657" xr:uid="{D846DAE9-76BC-4670-856A-6B6BF631EF5B}"/>
    <cellStyle name="Currency 3 2 2 2 2 5 3" xfId="6288" xr:uid="{00000000-0005-0000-0000-0000B80A0000}"/>
    <cellStyle name="Currency 3 2 2 2 2 5 3 2" xfId="14730" xr:uid="{F5F72F25-8752-4105-81E4-2F319CCF4CCE}"/>
    <cellStyle name="Currency 3 2 2 2 2 5 4" xfId="10512" xr:uid="{9A3BBBB2-22D1-4060-8AFC-36392B4A9275}"/>
    <cellStyle name="Currency 3 2 2 2 2 6" xfId="2416" xr:uid="{00000000-0005-0000-0000-0000B90A0000}"/>
    <cellStyle name="Currency 3 2 2 2 2 6 2" xfId="6701" xr:uid="{00000000-0005-0000-0000-0000BA0A0000}"/>
    <cellStyle name="Currency 3 2 2 2 2 6 2 2" xfId="15143" xr:uid="{601C1A71-EBD8-4D2C-8CC0-B53E791A4E2A}"/>
    <cellStyle name="Currency 3 2 2 2 2 6 3" xfId="10925" xr:uid="{DACA7939-5A2C-48DD-A573-BF56E6BC186D}"/>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8 2 2" xfId="15460" xr:uid="{EE02D382-7659-4B12-BD1F-6B808785EE0D}"/>
    <cellStyle name="Currency 3 2 2 2 2 8 3" xfId="11242" xr:uid="{5AAC718B-37BA-4A5E-A9DA-51B4CD0B807E}"/>
    <cellStyle name="Currency 3 2 2 2 2 9" xfId="4635" xr:uid="{00000000-0005-0000-0000-0000BE0A0000}"/>
    <cellStyle name="Currency 3 2 2 2 2 9 2" xfId="13077" xr:uid="{31D66837-C830-462F-A81F-2DD5AFD805A1}"/>
    <cellStyle name="Currency 3 2 2 2 3" xfId="709" xr:uid="{00000000-0005-0000-0000-0000BF0A0000}"/>
    <cellStyle name="Currency 3 2 2 2 3 2" xfId="2970" xr:uid="{00000000-0005-0000-0000-0000C00A0000}"/>
    <cellStyle name="Currency 3 2 2 2 3 2 2" xfId="7193" xr:uid="{00000000-0005-0000-0000-0000C10A0000}"/>
    <cellStyle name="Currency 3 2 2 2 3 2 2 2" xfId="15635" xr:uid="{57823384-29AA-4AC6-A59F-2118EC0CEFB9}"/>
    <cellStyle name="Currency 3 2 2 2 3 2 3" xfId="11417" xr:uid="{735B38E1-ADA1-4633-8406-AF19D8948486}"/>
    <cellStyle name="Currency 3 2 2 2 3 3" xfId="5048" xr:uid="{00000000-0005-0000-0000-0000C20A0000}"/>
    <cellStyle name="Currency 3 2 2 2 3 3 2" xfId="13490" xr:uid="{C02A522F-D9CE-4CA5-9DEF-820BB5E8AAFB}"/>
    <cellStyle name="Currency 3 2 2 2 3 4" xfId="9272" xr:uid="{222AC82C-8E38-45E4-B686-9CDCE0358504}"/>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2 2 2" xfId="16048" xr:uid="{A6D8DDB0-A1DF-4CD5-9A9F-3E97403D315D}"/>
    <cellStyle name="Currency 3 2 2 2 4 2 3" xfId="11830" xr:uid="{A50DF92B-9653-472D-98E3-19F5447CEB4F}"/>
    <cellStyle name="Currency 3 2 2 2 4 3" xfId="5461" xr:uid="{00000000-0005-0000-0000-0000C60A0000}"/>
    <cellStyle name="Currency 3 2 2 2 4 3 2" xfId="13903" xr:uid="{406FB558-3EA1-4C8C-AFCD-42B0FC19C978}"/>
    <cellStyle name="Currency 3 2 2 2 4 4" xfId="9685" xr:uid="{D86D8D3B-2170-4791-BE5C-AA4296922E4E}"/>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2 2 2" xfId="16461" xr:uid="{31695307-B750-42BE-8A13-580EAD98EFCD}"/>
    <cellStyle name="Currency 3 2 2 2 5 2 3" xfId="12243" xr:uid="{733A3CE9-4AC4-49AD-86A0-C8BDCD9B0305}"/>
    <cellStyle name="Currency 3 2 2 2 5 3" xfId="5874" xr:uid="{00000000-0005-0000-0000-0000CA0A0000}"/>
    <cellStyle name="Currency 3 2 2 2 5 3 2" xfId="14316" xr:uid="{C5788E1A-48F8-4D1C-847F-A62FF882FF11}"/>
    <cellStyle name="Currency 3 2 2 2 5 4" xfId="10098" xr:uid="{516C641C-0DED-4F98-8477-D2E195D67A3D}"/>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2 2 2" xfId="16874" xr:uid="{6B758B06-ECCC-4E01-BDEC-4B33F882C0A5}"/>
    <cellStyle name="Currency 3 2 2 2 6 2 3" xfId="12656" xr:uid="{D28BBC82-3822-4A8B-AD9B-37A2643351C4}"/>
    <cellStyle name="Currency 3 2 2 2 6 3" xfId="6287" xr:uid="{00000000-0005-0000-0000-0000CE0A0000}"/>
    <cellStyle name="Currency 3 2 2 2 6 3 2" xfId="14729" xr:uid="{1F84344B-B87D-4EE8-A9AD-059A1AAD2EEC}"/>
    <cellStyle name="Currency 3 2 2 2 6 4" xfId="10511" xr:uid="{72D98AED-E9FC-4BD3-AC86-EC6188229281}"/>
    <cellStyle name="Currency 3 2 2 2 7" xfId="2415" xr:uid="{00000000-0005-0000-0000-0000CF0A0000}"/>
    <cellStyle name="Currency 3 2 2 2 7 2" xfId="6700" xr:uid="{00000000-0005-0000-0000-0000D00A0000}"/>
    <cellStyle name="Currency 3 2 2 2 7 2 2" xfId="15142" xr:uid="{C08AE462-5E86-4FB1-80C3-9A36F9789A61}"/>
    <cellStyle name="Currency 3 2 2 2 7 3" xfId="10924" xr:uid="{D038D076-1584-4ED2-9667-72DBC40A236E}"/>
    <cellStyle name="Currency 3 2 2 2 8" xfId="2712" xr:uid="{00000000-0005-0000-0000-0000D10A0000}"/>
    <cellStyle name="Currency 3 2 2 2 9" xfId="2793" xr:uid="{00000000-0005-0000-0000-0000D20A0000}"/>
    <cellStyle name="Currency 3 2 2 2 9 2" xfId="7017" xr:uid="{00000000-0005-0000-0000-0000D30A0000}"/>
    <cellStyle name="Currency 3 2 2 2 9 2 2" xfId="15459" xr:uid="{A763892D-0CCF-4F8E-9471-ADC14422F0E4}"/>
    <cellStyle name="Currency 3 2 2 2 9 3" xfId="11241" xr:uid="{F0222932-1638-4FBD-94DD-65D20DA5FC97}"/>
    <cellStyle name="Currency 3 2 2 3" xfId="181" xr:uid="{00000000-0005-0000-0000-0000D40A0000}"/>
    <cellStyle name="Currency 3 2 2 3 10" xfId="8860" xr:uid="{D4A67AF4-955D-4460-B89C-540A51DE98BC}"/>
    <cellStyle name="Currency 3 2 2 3 2" xfId="711" xr:uid="{00000000-0005-0000-0000-0000D50A0000}"/>
    <cellStyle name="Currency 3 2 2 3 2 2" xfId="2972" xr:uid="{00000000-0005-0000-0000-0000D60A0000}"/>
    <cellStyle name="Currency 3 2 2 3 2 2 2" xfId="7195" xr:uid="{00000000-0005-0000-0000-0000D70A0000}"/>
    <cellStyle name="Currency 3 2 2 3 2 2 2 2" xfId="15637" xr:uid="{7A188A3F-8409-4B50-A139-679E60AB6767}"/>
    <cellStyle name="Currency 3 2 2 3 2 2 3" xfId="11419" xr:uid="{9CA57224-0F3B-4536-9FBA-C56A27BE835E}"/>
    <cellStyle name="Currency 3 2 2 3 2 3" xfId="5050" xr:uid="{00000000-0005-0000-0000-0000D80A0000}"/>
    <cellStyle name="Currency 3 2 2 3 2 3 2" xfId="13492" xr:uid="{C9FB80CB-C8B1-47EA-B1BB-287095BACA5D}"/>
    <cellStyle name="Currency 3 2 2 3 2 4" xfId="9274" xr:uid="{1778868A-118A-4945-BF10-23F50DA3C9C8}"/>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2 2 2" xfId="16050" xr:uid="{7BD317E3-1279-49CF-B71E-EE851EBC3515}"/>
    <cellStyle name="Currency 3 2 2 3 3 2 3" xfId="11832" xr:uid="{B3980FAE-9444-48E7-9D93-8A45C0346A62}"/>
    <cellStyle name="Currency 3 2 2 3 3 3" xfId="5463" xr:uid="{00000000-0005-0000-0000-0000DC0A0000}"/>
    <cellStyle name="Currency 3 2 2 3 3 3 2" xfId="13905" xr:uid="{500A7CA7-478C-43BA-B81D-7504A7AB3C2E}"/>
    <cellStyle name="Currency 3 2 2 3 3 4" xfId="9687" xr:uid="{B2E2AD5D-602A-42CA-95D0-EC9AF59A369A}"/>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2 2 2" xfId="16463" xr:uid="{538E1993-4844-4152-810A-58C1DE549297}"/>
    <cellStyle name="Currency 3 2 2 3 4 2 3" xfId="12245" xr:uid="{B31031C1-6A95-48C5-84A4-332E532152BF}"/>
    <cellStyle name="Currency 3 2 2 3 4 3" xfId="5876" xr:uid="{00000000-0005-0000-0000-0000E00A0000}"/>
    <cellStyle name="Currency 3 2 2 3 4 3 2" xfId="14318" xr:uid="{EA4F2958-08E8-4D77-8D03-B332499B8AD5}"/>
    <cellStyle name="Currency 3 2 2 3 4 4" xfId="10100" xr:uid="{4C154F4A-EDE1-480D-9354-13350CD83BE3}"/>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2 2 2" xfId="16876" xr:uid="{205DAD83-0E03-4DB4-9833-BCCBC5C2E1D9}"/>
    <cellStyle name="Currency 3 2 2 3 5 2 3" xfId="12658" xr:uid="{3F378496-198A-4D2C-8EBA-9E9D73F7AC25}"/>
    <cellStyle name="Currency 3 2 2 3 5 3" xfId="6289" xr:uid="{00000000-0005-0000-0000-0000E40A0000}"/>
    <cellStyle name="Currency 3 2 2 3 5 3 2" xfId="14731" xr:uid="{CFDA4B44-78A2-4A9F-A818-65EB8BC9E299}"/>
    <cellStyle name="Currency 3 2 2 3 5 4" xfId="10513" xr:uid="{27DC260B-348D-471F-AFC5-CE0CFBA5B4D1}"/>
    <cellStyle name="Currency 3 2 2 3 6" xfId="2417" xr:uid="{00000000-0005-0000-0000-0000E50A0000}"/>
    <cellStyle name="Currency 3 2 2 3 6 2" xfId="6702" xr:uid="{00000000-0005-0000-0000-0000E60A0000}"/>
    <cellStyle name="Currency 3 2 2 3 6 2 2" xfId="15144" xr:uid="{EA016851-C92F-4178-812D-F12A2A93A35B}"/>
    <cellStyle name="Currency 3 2 2 3 6 3" xfId="10926" xr:uid="{ED820731-C18B-4FDC-98C2-A4DA5570645C}"/>
    <cellStyle name="Currency 3 2 2 3 7" xfId="2714" xr:uid="{00000000-0005-0000-0000-0000E70A0000}"/>
    <cellStyle name="Currency 3 2 2 3 8" xfId="2795" xr:uid="{00000000-0005-0000-0000-0000E80A0000}"/>
    <cellStyle name="Currency 3 2 2 3 8 2" xfId="7019" xr:uid="{00000000-0005-0000-0000-0000E90A0000}"/>
    <cellStyle name="Currency 3 2 2 3 8 2 2" xfId="15461" xr:uid="{B60DDB02-9773-466B-AF63-FE3D2E3CD65A}"/>
    <cellStyle name="Currency 3 2 2 3 8 3" xfId="11243" xr:uid="{399E4298-0883-4ED3-927B-344E326B26FC}"/>
    <cellStyle name="Currency 3 2 2 3 9" xfId="4636" xr:uid="{00000000-0005-0000-0000-0000EA0A0000}"/>
    <cellStyle name="Currency 3 2 2 3 9 2" xfId="13078" xr:uid="{8EA82089-035A-4669-BC3D-6AFA323CCDB2}"/>
    <cellStyle name="Currency 3 2 2 4" xfId="708" xr:uid="{00000000-0005-0000-0000-0000EB0A0000}"/>
    <cellStyle name="Currency 3 2 2 4 2" xfId="2969" xr:uid="{00000000-0005-0000-0000-0000EC0A0000}"/>
    <cellStyle name="Currency 3 2 2 4 2 2" xfId="7192" xr:uid="{00000000-0005-0000-0000-0000ED0A0000}"/>
    <cellStyle name="Currency 3 2 2 4 2 2 2" xfId="15634" xr:uid="{162B5438-7BB9-4572-AE00-AE7CEFDE4E2B}"/>
    <cellStyle name="Currency 3 2 2 4 2 3" xfId="11416" xr:uid="{9CD7C4F2-D4CA-40CF-A4B6-55B10E5B5F4D}"/>
    <cellStyle name="Currency 3 2 2 4 3" xfId="5047" xr:uid="{00000000-0005-0000-0000-0000EE0A0000}"/>
    <cellStyle name="Currency 3 2 2 4 3 2" xfId="13489" xr:uid="{A77A7FE0-8C2D-4FAE-A0EC-71C0F95E2E4A}"/>
    <cellStyle name="Currency 3 2 2 4 4" xfId="9271" xr:uid="{0BF28C4D-F772-45F9-B1B3-C7EF6C840860}"/>
    <cellStyle name="Currency 3 2 2 5" xfId="1151" xr:uid="{00000000-0005-0000-0000-0000EF0A0000}"/>
    <cellStyle name="Currency 3 2 2 5 2" xfId="3382" xr:uid="{00000000-0005-0000-0000-0000F00A0000}"/>
    <cellStyle name="Currency 3 2 2 5 2 2" xfId="7605" xr:uid="{00000000-0005-0000-0000-0000F10A0000}"/>
    <cellStyle name="Currency 3 2 2 5 2 2 2" xfId="16047" xr:uid="{05B2CB11-8F9B-40B3-829F-A89D962B69D0}"/>
    <cellStyle name="Currency 3 2 2 5 2 3" xfId="11829" xr:uid="{00534BE7-4BB9-47EE-88FE-A647D3D39D6B}"/>
    <cellStyle name="Currency 3 2 2 5 3" xfId="5460" xr:uid="{00000000-0005-0000-0000-0000F20A0000}"/>
    <cellStyle name="Currency 3 2 2 5 3 2" xfId="13902" xr:uid="{22B44AE7-CF39-460F-94A9-AB0CA3FC4E64}"/>
    <cellStyle name="Currency 3 2 2 5 4" xfId="9684" xr:uid="{FECB45D0-FF57-4749-A880-6DDA73C9DEE9}"/>
    <cellStyle name="Currency 3 2 2 6" xfId="1565" xr:uid="{00000000-0005-0000-0000-0000F30A0000}"/>
    <cellStyle name="Currency 3 2 2 6 2" xfId="3795" xr:uid="{00000000-0005-0000-0000-0000F40A0000}"/>
    <cellStyle name="Currency 3 2 2 6 2 2" xfId="8018" xr:uid="{00000000-0005-0000-0000-0000F50A0000}"/>
    <cellStyle name="Currency 3 2 2 6 2 2 2" xfId="16460" xr:uid="{2692F2CC-8253-4525-9CD1-1736B6DF8BB3}"/>
    <cellStyle name="Currency 3 2 2 6 2 3" xfId="12242" xr:uid="{E03153C2-D189-48D4-A791-17FA225204EE}"/>
    <cellStyle name="Currency 3 2 2 6 3" xfId="5873" xr:uid="{00000000-0005-0000-0000-0000F60A0000}"/>
    <cellStyle name="Currency 3 2 2 6 3 2" xfId="14315" xr:uid="{48FC7E29-5BA6-49B6-A5F5-A39AEF22D7D9}"/>
    <cellStyle name="Currency 3 2 2 6 4" xfId="10097" xr:uid="{2F4B0823-D47A-4067-AB1B-65E945801EF9}"/>
    <cellStyle name="Currency 3 2 2 7" xfId="1979" xr:uid="{00000000-0005-0000-0000-0000F70A0000}"/>
    <cellStyle name="Currency 3 2 2 7 2" xfId="4208" xr:uid="{00000000-0005-0000-0000-0000F80A0000}"/>
    <cellStyle name="Currency 3 2 2 7 2 2" xfId="8431" xr:uid="{00000000-0005-0000-0000-0000F90A0000}"/>
    <cellStyle name="Currency 3 2 2 7 2 2 2" xfId="16873" xr:uid="{4D46C042-B3D3-48F0-BFCB-549D67E4875A}"/>
    <cellStyle name="Currency 3 2 2 7 2 3" xfId="12655" xr:uid="{497614BF-CBF7-4D85-B70C-909DB8D1580F}"/>
    <cellStyle name="Currency 3 2 2 7 3" xfId="6286" xr:uid="{00000000-0005-0000-0000-0000FA0A0000}"/>
    <cellStyle name="Currency 3 2 2 7 3 2" xfId="14728" xr:uid="{712134E6-18AD-4522-A336-FEDF8D8B54FE}"/>
    <cellStyle name="Currency 3 2 2 7 4" xfId="10510" xr:uid="{F7DF6FDF-64B2-4B45-A366-A14D385733C4}"/>
    <cellStyle name="Currency 3 2 2 8" xfId="2414" xr:uid="{00000000-0005-0000-0000-0000FB0A0000}"/>
    <cellStyle name="Currency 3 2 2 8 2" xfId="6699" xr:uid="{00000000-0005-0000-0000-0000FC0A0000}"/>
    <cellStyle name="Currency 3 2 2 8 2 2" xfId="15141" xr:uid="{CC0016C6-A3DD-4592-9066-08E02680FE51}"/>
    <cellStyle name="Currency 3 2 2 8 3" xfId="10923" xr:uid="{8938C632-0971-450F-9C3C-F16C5DE97ED2}"/>
    <cellStyle name="Currency 3 2 2 9" xfId="2711" xr:uid="{00000000-0005-0000-0000-0000FD0A0000}"/>
    <cellStyle name="Currency 3 2 3" xfId="182" xr:uid="{00000000-0005-0000-0000-0000FE0A0000}"/>
    <cellStyle name="Currency 3 2 3 10" xfId="4637" xr:uid="{00000000-0005-0000-0000-0000FF0A0000}"/>
    <cellStyle name="Currency 3 2 3 10 2" xfId="13079" xr:uid="{B228D090-F39A-4CA5-91FF-AC4EDA7556B3}"/>
    <cellStyle name="Currency 3 2 3 11" xfId="8861" xr:uid="{062F90B4-4D23-4C72-BABD-ED402C834E58}"/>
    <cellStyle name="Currency 3 2 3 2" xfId="183" xr:uid="{00000000-0005-0000-0000-0000000B0000}"/>
    <cellStyle name="Currency 3 2 3 2 10" xfId="8862" xr:uid="{E2459D9E-1779-453E-96E7-6A0DA186BEE4}"/>
    <cellStyle name="Currency 3 2 3 2 2" xfId="713" xr:uid="{00000000-0005-0000-0000-0000010B0000}"/>
    <cellStyle name="Currency 3 2 3 2 2 2" xfId="2974" xr:uid="{00000000-0005-0000-0000-0000020B0000}"/>
    <cellStyle name="Currency 3 2 3 2 2 2 2" xfId="7197" xr:uid="{00000000-0005-0000-0000-0000030B0000}"/>
    <cellStyle name="Currency 3 2 3 2 2 2 2 2" xfId="15639" xr:uid="{5EBD31E8-EC7F-44DF-81DE-AA8C234C13AB}"/>
    <cellStyle name="Currency 3 2 3 2 2 2 3" xfId="11421" xr:uid="{14EEA18B-C90C-400A-9605-52C1A1FF9633}"/>
    <cellStyle name="Currency 3 2 3 2 2 3" xfId="5052" xr:uid="{00000000-0005-0000-0000-0000040B0000}"/>
    <cellStyle name="Currency 3 2 3 2 2 3 2" xfId="13494" xr:uid="{B9D3F6EE-BAB5-4F50-9101-41AEF81F7BED}"/>
    <cellStyle name="Currency 3 2 3 2 2 4" xfId="9276" xr:uid="{6FDFFB3B-1382-410C-8278-A40A7162922F}"/>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2 2 2" xfId="16052" xr:uid="{3651CC37-F87C-4A5D-A04A-299D1CDE3BF0}"/>
    <cellStyle name="Currency 3 2 3 2 3 2 3" xfId="11834" xr:uid="{DFB47DEB-0BE2-4176-9708-E077F76D5698}"/>
    <cellStyle name="Currency 3 2 3 2 3 3" xfId="5465" xr:uid="{00000000-0005-0000-0000-0000080B0000}"/>
    <cellStyle name="Currency 3 2 3 2 3 3 2" xfId="13907" xr:uid="{5443B858-7087-4AB4-A718-B1B1BB48DAD2}"/>
    <cellStyle name="Currency 3 2 3 2 3 4" xfId="9689" xr:uid="{72632F05-9BFB-476A-B19E-3F8111A7521B}"/>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2 2 2" xfId="16465" xr:uid="{3000BA68-4D68-412A-B738-81D1B61D0781}"/>
    <cellStyle name="Currency 3 2 3 2 4 2 3" xfId="12247" xr:uid="{99C9AA9C-4EDA-4E92-A3F5-85895D64DB79}"/>
    <cellStyle name="Currency 3 2 3 2 4 3" xfId="5878" xr:uid="{00000000-0005-0000-0000-00000C0B0000}"/>
    <cellStyle name="Currency 3 2 3 2 4 3 2" xfId="14320" xr:uid="{CC44FBA2-25CB-4F8B-94F2-E793EAC409CE}"/>
    <cellStyle name="Currency 3 2 3 2 4 4" xfId="10102" xr:uid="{38CC9A49-4813-43B4-A26D-0E6DD76C15A5}"/>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2 2 2" xfId="16878" xr:uid="{160B51A1-0B20-4A24-A2C9-3A2717627B66}"/>
    <cellStyle name="Currency 3 2 3 2 5 2 3" xfId="12660" xr:uid="{A14C2729-63C0-4689-9CAF-990C885DC027}"/>
    <cellStyle name="Currency 3 2 3 2 5 3" xfId="6291" xr:uid="{00000000-0005-0000-0000-0000100B0000}"/>
    <cellStyle name="Currency 3 2 3 2 5 3 2" xfId="14733" xr:uid="{83A80CE1-7A22-4CA4-8660-8F163CA211DC}"/>
    <cellStyle name="Currency 3 2 3 2 5 4" xfId="10515" xr:uid="{EE6AB082-FEF1-484F-B85C-411FEBC53E20}"/>
    <cellStyle name="Currency 3 2 3 2 6" xfId="2419" xr:uid="{00000000-0005-0000-0000-0000110B0000}"/>
    <cellStyle name="Currency 3 2 3 2 6 2" xfId="6704" xr:uid="{00000000-0005-0000-0000-0000120B0000}"/>
    <cellStyle name="Currency 3 2 3 2 6 2 2" xfId="15146" xr:uid="{C228B0A1-89E6-4C1B-8C1C-1AECDA4D5385}"/>
    <cellStyle name="Currency 3 2 3 2 6 3" xfId="10928" xr:uid="{D2C2C278-8B0F-40C5-8554-2CF19E55BE6F}"/>
    <cellStyle name="Currency 3 2 3 2 7" xfId="2716" xr:uid="{00000000-0005-0000-0000-0000130B0000}"/>
    <cellStyle name="Currency 3 2 3 2 8" xfId="2797" xr:uid="{00000000-0005-0000-0000-0000140B0000}"/>
    <cellStyle name="Currency 3 2 3 2 8 2" xfId="7021" xr:uid="{00000000-0005-0000-0000-0000150B0000}"/>
    <cellStyle name="Currency 3 2 3 2 8 2 2" xfId="15463" xr:uid="{A0C001DC-D99D-463D-876B-868C5E96DF71}"/>
    <cellStyle name="Currency 3 2 3 2 8 3" xfId="11245" xr:uid="{7C12C0A2-7040-4CFE-A5A2-DC0F02397528}"/>
    <cellStyle name="Currency 3 2 3 2 9" xfId="4638" xr:uid="{00000000-0005-0000-0000-0000160B0000}"/>
    <cellStyle name="Currency 3 2 3 2 9 2" xfId="13080" xr:uid="{45A9FA5B-841C-4876-ADD6-8D0B5E1986CD}"/>
    <cellStyle name="Currency 3 2 3 3" xfId="712" xr:uid="{00000000-0005-0000-0000-0000170B0000}"/>
    <cellStyle name="Currency 3 2 3 3 2" xfId="2973" xr:uid="{00000000-0005-0000-0000-0000180B0000}"/>
    <cellStyle name="Currency 3 2 3 3 2 2" xfId="7196" xr:uid="{00000000-0005-0000-0000-0000190B0000}"/>
    <cellStyle name="Currency 3 2 3 3 2 2 2" xfId="15638" xr:uid="{E829F3D2-FC0B-442A-8F53-CE262363A4F3}"/>
    <cellStyle name="Currency 3 2 3 3 2 3" xfId="11420" xr:uid="{67E6FC1F-771B-4AAF-991A-65F693B6E940}"/>
    <cellStyle name="Currency 3 2 3 3 3" xfId="5051" xr:uid="{00000000-0005-0000-0000-00001A0B0000}"/>
    <cellStyle name="Currency 3 2 3 3 3 2" xfId="13493" xr:uid="{3441E3BB-567F-41FE-9B6A-BE14CFED1865}"/>
    <cellStyle name="Currency 3 2 3 3 4" xfId="9275" xr:uid="{5EE1087C-F4D6-4E2B-BE9E-F950DACFD6DD}"/>
    <cellStyle name="Currency 3 2 3 4" xfId="1155" xr:uid="{00000000-0005-0000-0000-00001B0B0000}"/>
    <cellStyle name="Currency 3 2 3 4 2" xfId="3386" xr:uid="{00000000-0005-0000-0000-00001C0B0000}"/>
    <cellStyle name="Currency 3 2 3 4 2 2" xfId="7609" xr:uid="{00000000-0005-0000-0000-00001D0B0000}"/>
    <cellStyle name="Currency 3 2 3 4 2 2 2" xfId="16051" xr:uid="{6D5E7B11-E88C-409A-916C-9E96496C2077}"/>
    <cellStyle name="Currency 3 2 3 4 2 3" xfId="11833" xr:uid="{8C0EDE53-8021-4178-A693-AA01159F15A6}"/>
    <cellStyle name="Currency 3 2 3 4 3" xfId="5464" xr:uid="{00000000-0005-0000-0000-00001E0B0000}"/>
    <cellStyle name="Currency 3 2 3 4 3 2" xfId="13906" xr:uid="{B26DB919-D245-43BC-8279-1AF3B4262821}"/>
    <cellStyle name="Currency 3 2 3 4 4" xfId="9688" xr:uid="{E305BB29-D3B7-4815-B7F0-8BC4909D221E}"/>
    <cellStyle name="Currency 3 2 3 5" xfId="1569" xr:uid="{00000000-0005-0000-0000-00001F0B0000}"/>
    <cellStyle name="Currency 3 2 3 5 2" xfId="3799" xr:uid="{00000000-0005-0000-0000-0000200B0000}"/>
    <cellStyle name="Currency 3 2 3 5 2 2" xfId="8022" xr:uid="{00000000-0005-0000-0000-0000210B0000}"/>
    <cellStyle name="Currency 3 2 3 5 2 2 2" xfId="16464" xr:uid="{7AEEF65D-A139-4D2C-AAEC-435B86712669}"/>
    <cellStyle name="Currency 3 2 3 5 2 3" xfId="12246" xr:uid="{F8AEE156-2862-4318-AD38-388566686740}"/>
    <cellStyle name="Currency 3 2 3 5 3" xfId="5877" xr:uid="{00000000-0005-0000-0000-0000220B0000}"/>
    <cellStyle name="Currency 3 2 3 5 3 2" xfId="14319" xr:uid="{381537B3-3074-41A2-9E1B-6484BC5D3078}"/>
    <cellStyle name="Currency 3 2 3 5 4" xfId="10101" xr:uid="{DD3E33EE-CF3B-4D4C-9A81-D5F511023552}"/>
    <cellStyle name="Currency 3 2 3 6" xfId="1983" xr:uid="{00000000-0005-0000-0000-0000230B0000}"/>
    <cellStyle name="Currency 3 2 3 6 2" xfId="4212" xr:uid="{00000000-0005-0000-0000-0000240B0000}"/>
    <cellStyle name="Currency 3 2 3 6 2 2" xfId="8435" xr:uid="{00000000-0005-0000-0000-0000250B0000}"/>
    <cellStyle name="Currency 3 2 3 6 2 2 2" xfId="16877" xr:uid="{362046B7-CAC1-40EB-B398-47B356B9C648}"/>
    <cellStyle name="Currency 3 2 3 6 2 3" xfId="12659" xr:uid="{05215EAD-1713-4BDA-9C40-42E02646027D}"/>
    <cellStyle name="Currency 3 2 3 6 3" xfId="6290" xr:uid="{00000000-0005-0000-0000-0000260B0000}"/>
    <cellStyle name="Currency 3 2 3 6 3 2" xfId="14732" xr:uid="{F0B730D1-8F44-4E4F-901A-7CDD7A9B139A}"/>
    <cellStyle name="Currency 3 2 3 6 4" xfId="10514" xr:uid="{FCA37431-778A-4266-8E13-132086A24A0F}"/>
    <cellStyle name="Currency 3 2 3 7" xfId="2418" xr:uid="{00000000-0005-0000-0000-0000270B0000}"/>
    <cellStyle name="Currency 3 2 3 7 2" xfId="6703" xr:uid="{00000000-0005-0000-0000-0000280B0000}"/>
    <cellStyle name="Currency 3 2 3 7 2 2" xfId="15145" xr:uid="{41599572-87DC-40C2-8A5B-68B92BDCFA4A}"/>
    <cellStyle name="Currency 3 2 3 7 3" xfId="10927" xr:uid="{E356E0F7-BE5A-41FE-AF0A-006CA8541BB1}"/>
    <cellStyle name="Currency 3 2 3 8" xfId="2715" xr:uid="{00000000-0005-0000-0000-0000290B0000}"/>
    <cellStyle name="Currency 3 2 3 9" xfId="2796" xr:uid="{00000000-0005-0000-0000-00002A0B0000}"/>
    <cellStyle name="Currency 3 2 3 9 2" xfId="7020" xr:uid="{00000000-0005-0000-0000-00002B0B0000}"/>
    <cellStyle name="Currency 3 2 3 9 2 2" xfId="15462" xr:uid="{03199EEC-ADDF-43BA-BECD-4F1F5ACFD6F1}"/>
    <cellStyle name="Currency 3 2 3 9 3" xfId="11244" xr:uid="{372F44F7-6C82-4D3C-988A-E43A0C96FE6F}"/>
    <cellStyle name="Currency 3 2 4" xfId="184" xr:uid="{00000000-0005-0000-0000-00002C0B0000}"/>
    <cellStyle name="Currency 3 2 4 10" xfId="8863" xr:uid="{B6348D2F-31F3-4805-8309-30A12A237BB7}"/>
    <cellStyle name="Currency 3 2 4 2" xfId="714" xr:uid="{00000000-0005-0000-0000-00002D0B0000}"/>
    <cellStyle name="Currency 3 2 4 2 2" xfId="2975" xr:uid="{00000000-0005-0000-0000-00002E0B0000}"/>
    <cellStyle name="Currency 3 2 4 2 2 2" xfId="7198" xr:uid="{00000000-0005-0000-0000-00002F0B0000}"/>
    <cellStyle name="Currency 3 2 4 2 2 2 2" xfId="15640" xr:uid="{97979B05-9012-49D0-A85D-C8F94FA1D1DE}"/>
    <cellStyle name="Currency 3 2 4 2 2 3" xfId="11422" xr:uid="{E3DCA191-CB19-4DA7-BFF4-F16A3835FA18}"/>
    <cellStyle name="Currency 3 2 4 2 3" xfId="5053" xr:uid="{00000000-0005-0000-0000-0000300B0000}"/>
    <cellStyle name="Currency 3 2 4 2 3 2" xfId="13495" xr:uid="{F9EEE6CA-CAF8-47CE-8103-E10730E42CCC}"/>
    <cellStyle name="Currency 3 2 4 2 4" xfId="9277" xr:uid="{E8813FDC-C1D3-497B-93CC-BC68DF269578}"/>
    <cellStyle name="Currency 3 2 4 3" xfId="1157" xr:uid="{00000000-0005-0000-0000-0000310B0000}"/>
    <cellStyle name="Currency 3 2 4 3 2" xfId="3388" xr:uid="{00000000-0005-0000-0000-0000320B0000}"/>
    <cellStyle name="Currency 3 2 4 3 2 2" xfId="7611" xr:uid="{00000000-0005-0000-0000-0000330B0000}"/>
    <cellStyle name="Currency 3 2 4 3 2 2 2" xfId="16053" xr:uid="{7417B3EC-0F2C-41EC-8FA6-DE5D5F1AA656}"/>
    <cellStyle name="Currency 3 2 4 3 2 3" xfId="11835" xr:uid="{C89CF578-418A-4505-BA9F-C3E8BC602408}"/>
    <cellStyle name="Currency 3 2 4 3 3" xfId="5466" xr:uid="{00000000-0005-0000-0000-0000340B0000}"/>
    <cellStyle name="Currency 3 2 4 3 3 2" xfId="13908" xr:uid="{BEA4C777-B9E1-4341-A451-9B045224C8C8}"/>
    <cellStyle name="Currency 3 2 4 3 4" xfId="9690" xr:uid="{79DA82D6-0D36-4A26-83C2-BBEE789E1194}"/>
    <cellStyle name="Currency 3 2 4 4" xfId="1571" xr:uid="{00000000-0005-0000-0000-0000350B0000}"/>
    <cellStyle name="Currency 3 2 4 4 2" xfId="3801" xr:uid="{00000000-0005-0000-0000-0000360B0000}"/>
    <cellStyle name="Currency 3 2 4 4 2 2" xfId="8024" xr:uid="{00000000-0005-0000-0000-0000370B0000}"/>
    <cellStyle name="Currency 3 2 4 4 2 2 2" xfId="16466" xr:uid="{83E45583-FA74-41A6-94F1-93FA09174790}"/>
    <cellStyle name="Currency 3 2 4 4 2 3" xfId="12248" xr:uid="{63E827D5-A0E1-4833-834E-DB95943D7D60}"/>
    <cellStyle name="Currency 3 2 4 4 3" xfId="5879" xr:uid="{00000000-0005-0000-0000-0000380B0000}"/>
    <cellStyle name="Currency 3 2 4 4 3 2" xfId="14321" xr:uid="{51268255-3C83-48FC-B712-AA0301FA624A}"/>
    <cellStyle name="Currency 3 2 4 4 4" xfId="10103" xr:uid="{FC47A5A3-63C6-4AD8-ADAB-58FA3236369A}"/>
    <cellStyle name="Currency 3 2 4 5" xfId="1985" xr:uid="{00000000-0005-0000-0000-0000390B0000}"/>
    <cellStyle name="Currency 3 2 4 5 2" xfId="4214" xr:uid="{00000000-0005-0000-0000-00003A0B0000}"/>
    <cellStyle name="Currency 3 2 4 5 2 2" xfId="8437" xr:uid="{00000000-0005-0000-0000-00003B0B0000}"/>
    <cellStyle name="Currency 3 2 4 5 2 2 2" xfId="16879" xr:uid="{F9C0EA5D-17E7-4352-AE7A-C68DA48F8F07}"/>
    <cellStyle name="Currency 3 2 4 5 2 3" xfId="12661" xr:uid="{D6B2AB7B-DC73-4EAC-8F38-66CA3D276D0B}"/>
    <cellStyle name="Currency 3 2 4 5 3" xfId="6292" xr:uid="{00000000-0005-0000-0000-00003C0B0000}"/>
    <cellStyle name="Currency 3 2 4 5 3 2" xfId="14734" xr:uid="{E5B6EA75-4E2E-4093-A75B-93F2308C4A7B}"/>
    <cellStyle name="Currency 3 2 4 5 4" xfId="10516" xr:uid="{C66CC451-439D-4FD5-BCA7-C408D5893F7A}"/>
    <cellStyle name="Currency 3 2 4 6" xfId="2420" xr:uid="{00000000-0005-0000-0000-00003D0B0000}"/>
    <cellStyle name="Currency 3 2 4 6 2" xfId="6705" xr:uid="{00000000-0005-0000-0000-00003E0B0000}"/>
    <cellStyle name="Currency 3 2 4 6 2 2" xfId="15147" xr:uid="{7839BB4B-9ACE-401A-A10E-194BA627EE2D}"/>
    <cellStyle name="Currency 3 2 4 6 3" xfId="10929" xr:uid="{227EB4FA-1881-4A42-BA15-8D6FF4E6C8DC}"/>
    <cellStyle name="Currency 3 2 4 7" xfId="2717" xr:uid="{00000000-0005-0000-0000-00003F0B0000}"/>
    <cellStyle name="Currency 3 2 4 8" xfId="2798" xr:uid="{00000000-0005-0000-0000-0000400B0000}"/>
    <cellStyle name="Currency 3 2 4 8 2" xfId="7022" xr:uid="{00000000-0005-0000-0000-0000410B0000}"/>
    <cellStyle name="Currency 3 2 4 8 2 2" xfId="15464" xr:uid="{4B8B5330-6F4A-4E22-ADE8-815928B2B6E7}"/>
    <cellStyle name="Currency 3 2 4 8 3" xfId="11246" xr:uid="{46F364DB-1B3E-46CE-8C81-DC19AC5F6100}"/>
    <cellStyle name="Currency 3 2 4 9" xfId="4639" xr:uid="{00000000-0005-0000-0000-0000420B0000}"/>
    <cellStyle name="Currency 3 2 4 9 2" xfId="13081" xr:uid="{7DD3FD6C-CDC5-4C62-9889-5D65ECE9A2C1}"/>
    <cellStyle name="Currency 3 2 5" xfId="185" xr:uid="{00000000-0005-0000-0000-0000430B0000}"/>
    <cellStyle name="Currency 3 2 5 10" xfId="8864" xr:uid="{D2A4CD75-01D2-482B-983D-F32D91F07E2F}"/>
    <cellStyle name="Currency 3 2 5 2" xfId="715" xr:uid="{00000000-0005-0000-0000-0000440B0000}"/>
    <cellStyle name="Currency 3 2 5 2 2" xfId="2976" xr:uid="{00000000-0005-0000-0000-0000450B0000}"/>
    <cellStyle name="Currency 3 2 5 2 2 2" xfId="7199" xr:uid="{00000000-0005-0000-0000-0000460B0000}"/>
    <cellStyle name="Currency 3 2 5 2 2 2 2" xfId="15641" xr:uid="{13DE84DA-178C-49AB-A568-45B9F10D8228}"/>
    <cellStyle name="Currency 3 2 5 2 2 3" xfId="11423" xr:uid="{85D2CCEB-73DC-462B-9CC1-4E2F6E180FBD}"/>
    <cellStyle name="Currency 3 2 5 2 3" xfId="5054" xr:uid="{00000000-0005-0000-0000-0000470B0000}"/>
    <cellStyle name="Currency 3 2 5 2 3 2" xfId="13496" xr:uid="{70C13D46-9D6D-4BF6-8E7A-8BE81DA54270}"/>
    <cellStyle name="Currency 3 2 5 2 4" xfId="9278" xr:uid="{75DB2BBC-89E8-4DA6-8398-1C8158D31879}"/>
    <cellStyle name="Currency 3 2 5 3" xfId="1158" xr:uid="{00000000-0005-0000-0000-0000480B0000}"/>
    <cellStyle name="Currency 3 2 5 3 2" xfId="3389" xr:uid="{00000000-0005-0000-0000-0000490B0000}"/>
    <cellStyle name="Currency 3 2 5 3 2 2" xfId="7612" xr:uid="{00000000-0005-0000-0000-00004A0B0000}"/>
    <cellStyle name="Currency 3 2 5 3 2 2 2" xfId="16054" xr:uid="{72C5A863-809D-477C-8B9C-E525AED28704}"/>
    <cellStyle name="Currency 3 2 5 3 2 3" xfId="11836" xr:uid="{D56D0790-C40C-4454-B279-D01AEC3B15C5}"/>
    <cellStyle name="Currency 3 2 5 3 3" xfId="5467" xr:uid="{00000000-0005-0000-0000-00004B0B0000}"/>
    <cellStyle name="Currency 3 2 5 3 3 2" xfId="13909" xr:uid="{4A78749E-4804-49D8-9C02-84B4A0CDC882}"/>
    <cellStyle name="Currency 3 2 5 3 4" xfId="9691" xr:uid="{671F56AD-73DB-4901-A841-2B04231D59B8}"/>
    <cellStyle name="Currency 3 2 5 4" xfId="1572" xr:uid="{00000000-0005-0000-0000-00004C0B0000}"/>
    <cellStyle name="Currency 3 2 5 4 2" xfId="3802" xr:uid="{00000000-0005-0000-0000-00004D0B0000}"/>
    <cellStyle name="Currency 3 2 5 4 2 2" xfId="8025" xr:uid="{00000000-0005-0000-0000-00004E0B0000}"/>
    <cellStyle name="Currency 3 2 5 4 2 2 2" xfId="16467" xr:uid="{9DA32B73-6A3F-4F23-8406-F76853E36AF0}"/>
    <cellStyle name="Currency 3 2 5 4 2 3" xfId="12249" xr:uid="{E4A3337D-B421-47EE-98BA-0A12D65F2283}"/>
    <cellStyle name="Currency 3 2 5 4 3" xfId="5880" xr:uid="{00000000-0005-0000-0000-00004F0B0000}"/>
    <cellStyle name="Currency 3 2 5 4 3 2" xfId="14322" xr:uid="{585F888C-7D15-4B38-BD3F-B1D0ADD047F2}"/>
    <cellStyle name="Currency 3 2 5 4 4" xfId="10104" xr:uid="{8EEAFDBE-F49F-48A3-B694-A585302E9F5B}"/>
    <cellStyle name="Currency 3 2 5 5" xfId="1986" xr:uid="{00000000-0005-0000-0000-0000500B0000}"/>
    <cellStyle name="Currency 3 2 5 5 2" xfId="4215" xr:uid="{00000000-0005-0000-0000-0000510B0000}"/>
    <cellStyle name="Currency 3 2 5 5 2 2" xfId="8438" xr:uid="{00000000-0005-0000-0000-0000520B0000}"/>
    <cellStyle name="Currency 3 2 5 5 2 2 2" xfId="16880" xr:uid="{EDD3046F-8036-45F3-80EA-28E0B3D8AE4E}"/>
    <cellStyle name="Currency 3 2 5 5 2 3" xfId="12662" xr:uid="{7B94F2BD-FC6C-45DC-9657-26099FA1AA47}"/>
    <cellStyle name="Currency 3 2 5 5 3" xfId="6293" xr:uid="{00000000-0005-0000-0000-0000530B0000}"/>
    <cellStyle name="Currency 3 2 5 5 3 2" xfId="14735" xr:uid="{69087553-55A3-4284-BF21-9E3429CA01CC}"/>
    <cellStyle name="Currency 3 2 5 5 4" xfId="10517" xr:uid="{85F1446F-1554-49F3-B6FA-89F384C4E72D}"/>
    <cellStyle name="Currency 3 2 5 6" xfId="2421" xr:uid="{00000000-0005-0000-0000-0000540B0000}"/>
    <cellStyle name="Currency 3 2 5 6 2" xfId="6706" xr:uid="{00000000-0005-0000-0000-0000550B0000}"/>
    <cellStyle name="Currency 3 2 5 6 2 2" xfId="15148" xr:uid="{FC677EE0-4AD3-4A51-B76C-F5487196033A}"/>
    <cellStyle name="Currency 3 2 5 6 3" xfId="10930" xr:uid="{E0260DE5-7F5B-4908-8E82-D73005C11C26}"/>
    <cellStyle name="Currency 3 2 5 7" xfId="2718" xr:uid="{00000000-0005-0000-0000-0000560B0000}"/>
    <cellStyle name="Currency 3 2 5 8" xfId="2799" xr:uid="{00000000-0005-0000-0000-0000570B0000}"/>
    <cellStyle name="Currency 3 2 5 8 2" xfId="7023" xr:uid="{00000000-0005-0000-0000-0000580B0000}"/>
    <cellStyle name="Currency 3 2 5 8 2 2" xfId="15465" xr:uid="{88AA0A46-6FA9-4291-BEA9-34BD80C3CA5D}"/>
    <cellStyle name="Currency 3 2 5 8 3" xfId="11247" xr:uid="{AC32D364-B577-43CD-B74D-72F7125E0874}"/>
    <cellStyle name="Currency 3 2 5 9" xfId="4640" xr:uid="{00000000-0005-0000-0000-0000590B0000}"/>
    <cellStyle name="Currency 3 2 5 9 2" xfId="13082" xr:uid="{A9E009D9-EF5D-479D-9D30-00DC3E9481AD}"/>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0 2 2" xfId="15466" xr:uid="{0C88C3A4-BD23-4D3F-8BD8-2CB046249A99}"/>
    <cellStyle name="Currency 5 2 2 2 10 3" xfId="11248" xr:uid="{377D8C46-56F8-4A01-B338-1F78EB1F4DA6}"/>
    <cellStyle name="Currency 5 2 2 2 11" xfId="4641" xr:uid="{00000000-0005-0000-0000-00006C0B0000}"/>
    <cellStyle name="Currency 5 2 2 2 11 2" xfId="13083" xr:uid="{73B0D56F-EBAB-4C70-98C5-99AA52D90DB3}"/>
    <cellStyle name="Currency 5 2 2 2 12" xfId="8865" xr:uid="{55E52530-0C7D-4925-9DA6-BE7E9813EF38}"/>
    <cellStyle name="Currency 5 2 2 2 2" xfId="197" xr:uid="{00000000-0005-0000-0000-00006D0B0000}"/>
    <cellStyle name="Currency 5 2 2 2 2 10" xfId="4642" xr:uid="{00000000-0005-0000-0000-00006E0B0000}"/>
    <cellStyle name="Currency 5 2 2 2 2 10 2" xfId="13084" xr:uid="{432C6AF0-7E75-4BEE-954C-6DF358A30DE2}"/>
    <cellStyle name="Currency 5 2 2 2 2 11" xfId="8866" xr:uid="{E6366DC6-3B56-463C-9942-B6A12D8CC74E}"/>
    <cellStyle name="Currency 5 2 2 2 2 2" xfId="198" xr:uid="{00000000-0005-0000-0000-00006F0B0000}"/>
    <cellStyle name="Currency 5 2 2 2 2 2 10" xfId="8867" xr:uid="{8E8CAA4F-A6BB-4D7C-8C33-53F530044CAD}"/>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2 2 2" xfId="15644" xr:uid="{AC3F827C-4BBB-4CB6-B0C8-F87ADC9679EA}"/>
    <cellStyle name="Currency 5 2 2 2 2 2 2 2 3" xfId="11426" xr:uid="{5786A21F-414F-4DC1-A841-11A07FA87E6A}"/>
    <cellStyle name="Currency 5 2 2 2 2 2 2 3" xfId="5057" xr:uid="{00000000-0005-0000-0000-0000730B0000}"/>
    <cellStyle name="Currency 5 2 2 2 2 2 2 3 2" xfId="13499" xr:uid="{EE9A3856-9864-4403-BF0B-4592790A66F6}"/>
    <cellStyle name="Currency 5 2 2 2 2 2 2 4" xfId="9281" xr:uid="{FA28E7CA-11B1-489C-AB4C-38FE5F6E4A3C}"/>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2 2 2" xfId="16057" xr:uid="{6C77519E-BDEF-42C7-8E7D-FA48765A19AC}"/>
    <cellStyle name="Currency 5 2 2 2 2 2 3 2 3" xfId="11839" xr:uid="{AB825A44-7588-447B-A47F-8AAF2A79BB43}"/>
    <cellStyle name="Currency 5 2 2 2 2 2 3 3" xfId="5470" xr:uid="{00000000-0005-0000-0000-0000770B0000}"/>
    <cellStyle name="Currency 5 2 2 2 2 2 3 3 2" xfId="13912" xr:uid="{BEBDED20-A2ED-4683-B5BF-62397A2C5C66}"/>
    <cellStyle name="Currency 5 2 2 2 2 2 3 4" xfId="9694" xr:uid="{E7375E06-F25C-40E4-A5FD-EF4B24D035AD}"/>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2 2 2" xfId="16470" xr:uid="{FE6239AC-F642-46AD-9C0E-392614377F63}"/>
    <cellStyle name="Currency 5 2 2 2 2 2 4 2 3" xfId="12252" xr:uid="{668F4B86-0461-4688-94ED-C1A29821B2D1}"/>
    <cellStyle name="Currency 5 2 2 2 2 2 4 3" xfId="5883" xr:uid="{00000000-0005-0000-0000-00007B0B0000}"/>
    <cellStyle name="Currency 5 2 2 2 2 2 4 3 2" xfId="14325" xr:uid="{FF049575-B6BE-48AD-B80C-21ECEBFC3712}"/>
    <cellStyle name="Currency 5 2 2 2 2 2 4 4" xfId="10107" xr:uid="{7E00D615-6327-4BA9-B8CA-402CEFF7CB91}"/>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2 2 2" xfId="16883" xr:uid="{7F081162-82EA-46EA-A26A-6EADD0B6B5E2}"/>
    <cellStyle name="Currency 5 2 2 2 2 2 5 2 3" xfId="12665" xr:uid="{E7E0283F-5E10-4020-9F4D-D538F4630C41}"/>
    <cellStyle name="Currency 5 2 2 2 2 2 5 3" xfId="6296" xr:uid="{00000000-0005-0000-0000-00007F0B0000}"/>
    <cellStyle name="Currency 5 2 2 2 2 2 5 3 2" xfId="14738" xr:uid="{8E434899-1519-4AF5-A222-23D8A552914D}"/>
    <cellStyle name="Currency 5 2 2 2 2 2 5 4" xfId="10520" xr:uid="{67B2BDD5-6939-4EBC-AA37-08838474837D}"/>
    <cellStyle name="Currency 5 2 2 2 2 2 6" xfId="2424" xr:uid="{00000000-0005-0000-0000-0000800B0000}"/>
    <cellStyle name="Currency 5 2 2 2 2 2 6 2" xfId="6709" xr:uid="{00000000-0005-0000-0000-0000810B0000}"/>
    <cellStyle name="Currency 5 2 2 2 2 2 6 2 2" xfId="15151" xr:uid="{1A411F4C-D29B-4966-B138-96B047F08EC4}"/>
    <cellStyle name="Currency 5 2 2 2 2 2 6 3" xfId="10933" xr:uid="{2B27ABFE-A8EC-488E-B3DE-753D5A2AD389}"/>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8 2 2" xfId="15468" xr:uid="{66E46199-233F-437F-B34A-3339EC4213B9}"/>
    <cellStyle name="Currency 5 2 2 2 2 2 8 3" xfId="11250" xr:uid="{ECCB0141-8BB7-4CA4-94A3-4ED0115A1673}"/>
    <cellStyle name="Currency 5 2 2 2 2 2 9" xfId="4643" xr:uid="{00000000-0005-0000-0000-0000850B0000}"/>
    <cellStyle name="Currency 5 2 2 2 2 2 9 2" xfId="13085" xr:uid="{BB31ACD7-96BB-4795-85BD-75F832C20415}"/>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2 2 2" xfId="15643" xr:uid="{136AC1FD-106B-4E01-9794-898A1883727A}"/>
    <cellStyle name="Currency 5 2 2 2 2 3 2 3" xfId="11425" xr:uid="{26B33625-61F5-4C05-9D46-F8016B10A9E1}"/>
    <cellStyle name="Currency 5 2 2 2 2 3 3" xfId="5056" xr:uid="{00000000-0005-0000-0000-0000890B0000}"/>
    <cellStyle name="Currency 5 2 2 2 2 3 3 2" xfId="13498" xr:uid="{D509B7D1-20A9-4AAA-B8D7-768641A71026}"/>
    <cellStyle name="Currency 5 2 2 2 2 3 4" xfId="9280" xr:uid="{A81DAF4C-3811-4EC1-B7A1-BB23C3A5DA43}"/>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2 2 2" xfId="16056" xr:uid="{2FAB8C70-6E35-4B77-8D97-C248FC75BFE3}"/>
    <cellStyle name="Currency 5 2 2 2 2 4 2 3" xfId="11838" xr:uid="{211D59A8-5739-41F1-A10B-CB2DFE927264}"/>
    <cellStyle name="Currency 5 2 2 2 2 4 3" xfId="5469" xr:uid="{00000000-0005-0000-0000-00008D0B0000}"/>
    <cellStyle name="Currency 5 2 2 2 2 4 3 2" xfId="13911" xr:uid="{2B6E8DE3-393E-4E49-9487-F97CB4998593}"/>
    <cellStyle name="Currency 5 2 2 2 2 4 4" xfId="9693" xr:uid="{7E0E1EF2-1220-47C1-B3EE-A80A3485E8C6}"/>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2 2 2" xfId="16469" xr:uid="{60A1C52B-EEB4-4C3E-8AF1-5A4846B76245}"/>
    <cellStyle name="Currency 5 2 2 2 2 5 2 3" xfId="12251" xr:uid="{AB44FE25-3E07-4210-AE70-543CFADBB952}"/>
    <cellStyle name="Currency 5 2 2 2 2 5 3" xfId="5882" xr:uid="{00000000-0005-0000-0000-0000910B0000}"/>
    <cellStyle name="Currency 5 2 2 2 2 5 3 2" xfId="14324" xr:uid="{CA502612-A407-4997-A4B0-F09602F3F13D}"/>
    <cellStyle name="Currency 5 2 2 2 2 5 4" xfId="10106" xr:uid="{6B23F7A9-D071-4BF8-A105-05E15A40691B}"/>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2 2 2" xfId="16882" xr:uid="{53393B38-FF26-4BC7-9BAC-70638D9AF2A6}"/>
    <cellStyle name="Currency 5 2 2 2 2 6 2 3" xfId="12664" xr:uid="{C210E013-C71D-41F3-90AA-A38EF43CF361}"/>
    <cellStyle name="Currency 5 2 2 2 2 6 3" xfId="6295" xr:uid="{00000000-0005-0000-0000-0000950B0000}"/>
    <cellStyle name="Currency 5 2 2 2 2 6 3 2" xfId="14737" xr:uid="{D7D4B79F-C6F7-488A-A0E8-533F0FBEDEBC}"/>
    <cellStyle name="Currency 5 2 2 2 2 6 4" xfId="10519" xr:uid="{26EE23E6-0718-43C7-B3EA-1969F090D128}"/>
    <cellStyle name="Currency 5 2 2 2 2 7" xfId="2423" xr:uid="{00000000-0005-0000-0000-0000960B0000}"/>
    <cellStyle name="Currency 5 2 2 2 2 7 2" xfId="6708" xr:uid="{00000000-0005-0000-0000-0000970B0000}"/>
    <cellStyle name="Currency 5 2 2 2 2 7 2 2" xfId="15150" xr:uid="{5622E8F9-8EEC-47DE-9C94-4CEDEB58B8E9}"/>
    <cellStyle name="Currency 5 2 2 2 2 7 3" xfId="10932" xr:uid="{249BA478-05FE-4FAA-87FE-9A50C56FD3EA}"/>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2 9 2 2" xfId="15467" xr:uid="{9F73C100-54E3-4999-A0B0-FE673FAD5507}"/>
    <cellStyle name="Currency 5 2 2 2 2 9 3" xfId="11249" xr:uid="{BB5C318A-6760-4B32-BE22-6411631C450A}"/>
    <cellStyle name="Currency 5 2 2 2 3" xfId="199" xr:uid="{00000000-0005-0000-0000-00009B0B0000}"/>
    <cellStyle name="Currency 5 2 2 2 3 10" xfId="8868" xr:uid="{A13273D5-33F4-4A2D-973B-8B97CEDC4A62}"/>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2 2 2" xfId="15645" xr:uid="{A6E48520-3636-4C67-9852-851C22901874}"/>
    <cellStyle name="Currency 5 2 2 2 3 2 2 3" xfId="11427" xr:uid="{49472521-A195-4FC0-973C-EBE1F226ECFB}"/>
    <cellStyle name="Currency 5 2 2 2 3 2 3" xfId="5058" xr:uid="{00000000-0005-0000-0000-00009F0B0000}"/>
    <cellStyle name="Currency 5 2 2 2 3 2 3 2" xfId="13500" xr:uid="{4AFE4749-0682-4F4A-856F-3F07B619E1C5}"/>
    <cellStyle name="Currency 5 2 2 2 3 2 4" xfId="9282" xr:uid="{A06F5566-5D5D-4DE4-B62E-8057964DB597}"/>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2 2 2" xfId="16058" xr:uid="{EA89A3F4-B137-444E-80ED-0F4628523770}"/>
    <cellStyle name="Currency 5 2 2 2 3 3 2 3" xfId="11840" xr:uid="{AA82C0AC-FA2C-47F9-829A-4D5488C5DF41}"/>
    <cellStyle name="Currency 5 2 2 2 3 3 3" xfId="5471" xr:uid="{00000000-0005-0000-0000-0000A30B0000}"/>
    <cellStyle name="Currency 5 2 2 2 3 3 3 2" xfId="13913" xr:uid="{373904C2-CE94-4561-A1F8-D9F2F319CC02}"/>
    <cellStyle name="Currency 5 2 2 2 3 3 4" xfId="9695" xr:uid="{AB9A6F70-59A2-4E6A-8C68-690A67B2533F}"/>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2 2 2" xfId="16471" xr:uid="{76ADE0DA-B78D-4F0D-BD5A-9655F761F13F}"/>
    <cellStyle name="Currency 5 2 2 2 3 4 2 3" xfId="12253" xr:uid="{BBA9D2AB-C6CD-400A-8CF9-D883C7D28705}"/>
    <cellStyle name="Currency 5 2 2 2 3 4 3" xfId="5884" xr:uid="{00000000-0005-0000-0000-0000A70B0000}"/>
    <cellStyle name="Currency 5 2 2 2 3 4 3 2" xfId="14326" xr:uid="{754A3A99-1F4E-48FA-B697-7900B4413713}"/>
    <cellStyle name="Currency 5 2 2 2 3 4 4" xfId="10108" xr:uid="{189AD451-8CC9-4F5F-B13F-E2AD8A7E488D}"/>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2 2 2" xfId="16884" xr:uid="{13C3195F-B121-411E-80D7-666B2A33C218}"/>
    <cellStyle name="Currency 5 2 2 2 3 5 2 3" xfId="12666" xr:uid="{CD958628-B892-4F1F-922E-C3F3A76429F1}"/>
    <cellStyle name="Currency 5 2 2 2 3 5 3" xfId="6297" xr:uid="{00000000-0005-0000-0000-0000AB0B0000}"/>
    <cellStyle name="Currency 5 2 2 2 3 5 3 2" xfId="14739" xr:uid="{FB61A8B4-AB05-4633-B7BC-9153DADB5397}"/>
    <cellStyle name="Currency 5 2 2 2 3 5 4" xfId="10521" xr:uid="{E0E61554-5982-4A20-8062-D91AABBB5133}"/>
    <cellStyle name="Currency 5 2 2 2 3 6" xfId="2425" xr:uid="{00000000-0005-0000-0000-0000AC0B0000}"/>
    <cellStyle name="Currency 5 2 2 2 3 6 2" xfId="6710" xr:uid="{00000000-0005-0000-0000-0000AD0B0000}"/>
    <cellStyle name="Currency 5 2 2 2 3 6 2 2" xfId="15152" xr:uid="{39BF7155-4C80-4805-A53D-9D9EC428C0D9}"/>
    <cellStyle name="Currency 5 2 2 2 3 6 3" xfId="10934" xr:uid="{FF877A30-D0AE-42F0-AE8F-969A5CFAA566}"/>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8 2 2" xfId="15469" xr:uid="{96979F3B-2A7E-43B4-8245-7ABB684ED08A}"/>
    <cellStyle name="Currency 5 2 2 2 3 8 3" xfId="11251" xr:uid="{A6C6CCBF-95D4-4DA3-9800-3284FF25242F}"/>
    <cellStyle name="Currency 5 2 2 2 3 9" xfId="4644" xr:uid="{00000000-0005-0000-0000-0000B10B0000}"/>
    <cellStyle name="Currency 5 2 2 2 3 9 2" xfId="13086" xr:uid="{43571A27-5546-4B8F-8CD9-462C6AF2C37A}"/>
    <cellStyle name="Currency 5 2 2 2 4" xfId="723" xr:uid="{00000000-0005-0000-0000-0000B20B0000}"/>
    <cellStyle name="Currency 5 2 2 2 4 2" xfId="2977" xr:uid="{00000000-0005-0000-0000-0000B30B0000}"/>
    <cellStyle name="Currency 5 2 2 2 4 2 2" xfId="7200" xr:uid="{00000000-0005-0000-0000-0000B40B0000}"/>
    <cellStyle name="Currency 5 2 2 2 4 2 2 2" xfId="15642" xr:uid="{32832917-69B6-4CDB-B50A-4EBA65262CBB}"/>
    <cellStyle name="Currency 5 2 2 2 4 2 3" xfId="11424" xr:uid="{EC18E964-C59C-4FF2-B49C-820116B7E490}"/>
    <cellStyle name="Currency 5 2 2 2 4 3" xfId="5055" xr:uid="{00000000-0005-0000-0000-0000B50B0000}"/>
    <cellStyle name="Currency 5 2 2 2 4 3 2" xfId="13497" xr:uid="{5B17C508-E6E1-4555-83CC-75E2D580F1B6}"/>
    <cellStyle name="Currency 5 2 2 2 4 4" xfId="9279" xr:uid="{FFAB5931-4E3F-4F54-A470-AF9E1285D488}"/>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2 2 2" xfId="16055" xr:uid="{FC12A747-0787-4098-9193-4D192FB96117}"/>
    <cellStyle name="Currency 5 2 2 2 5 2 3" xfId="11837" xr:uid="{060F136E-A35A-45A1-96B0-3AF263B8C44D}"/>
    <cellStyle name="Currency 5 2 2 2 5 3" xfId="5468" xr:uid="{00000000-0005-0000-0000-0000B90B0000}"/>
    <cellStyle name="Currency 5 2 2 2 5 3 2" xfId="13910" xr:uid="{DB48CDBA-6078-49B1-B0A8-FD6C0E0E1A43}"/>
    <cellStyle name="Currency 5 2 2 2 5 4" xfId="9692" xr:uid="{390770EB-A12C-45FB-91E4-1537D5E429D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2 2 2" xfId="16468" xr:uid="{4DD0CB5E-D657-4397-846A-C048CDC84012}"/>
    <cellStyle name="Currency 5 2 2 2 6 2 3" xfId="12250" xr:uid="{9D0EB949-E22C-4B90-B4F3-886E3825980D}"/>
    <cellStyle name="Currency 5 2 2 2 6 3" xfId="5881" xr:uid="{00000000-0005-0000-0000-0000BD0B0000}"/>
    <cellStyle name="Currency 5 2 2 2 6 3 2" xfId="14323" xr:uid="{3D83FCAD-BB17-44C3-9685-C9D905C92A01}"/>
    <cellStyle name="Currency 5 2 2 2 6 4" xfId="10105" xr:uid="{60C67710-E809-46E8-880E-842C271E76AC}"/>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2 2 2" xfId="16881" xr:uid="{087822A1-773C-4E4A-A393-C85C544B62F6}"/>
    <cellStyle name="Currency 5 2 2 2 7 2 3" xfId="12663" xr:uid="{6F8D5D4E-44E9-4CF8-A9E9-8B5DF281C5EC}"/>
    <cellStyle name="Currency 5 2 2 2 7 3" xfId="6294" xr:uid="{00000000-0005-0000-0000-0000C10B0000}"/>
    <cellStyle name="Currency 5 2 2 2 7 3 2" xfId="14736" xr:uid="{24D16157-8263-4521-BEB1-0B2524D6AAC4}"/>
    <cellStyle name="Currency 5 2 2 2 7 4" xfId="10518" xr:uid="{F9C5E196-4A96-4781-93E7-7264E19E762D}"/>
    <cellStyle name="Currency 5 2 2 2 8" xfId="2422" xr:uid="{00000000-0005-0000-0000-0000C20B0000}"/>
    <cellStyle name="Currency 5 2 2 2 8 2" xfId="6707" xr:uid="{00000000-0005-0000-0000-0000C30B0000}"/>
    <cellStyle name="Currency 5 2 2 2 8 2 2" xfId="15149" xr:uid="{989071BA-91F7-433F-AC15-FC23EE8876FD}"/>
    <cellStyle name="Currency 5 2 2 2 8 3" xfId="10931" xr:uid="{9BFED2CC-6D31-41B0-9BE8-9708FC73C67A}"/>
    <cellStyle name="Currency 5 2 2 2 9" xfId="2719" xr:uid="{00000000-0005-0000-0000-0000C40B0000}"/>
    <cellStyle name="Currency 5 2 2 3" xfId="200" xr:uid="{00000000-0005-0000-0000-0000C50B0000}"/>
    <cellStyle name="Currency 5 2 2 3 10" xfId="4645" xr:uid="{00000000-0005-0000-0000-0000C60B0000}"/>
    <cellStyle name="Currency 5 2 2 3 10 2" xfId="13087" xr:uid="{242E16B6-F994-4869-97BF-2AA68725802D}"/>
    <cellStyle name="Currency 5 2 2 3 11" xfId="8869" xr:uid="{8F0BB97C-B775-4063-B2E4-066813348BA1}"/>
    <cellStyle name="Currency 5 2 2 3 2" xfId="201" xr:uid="{00000000-0005-0000-0000-0000C70B0000}"/>
    <cellStyle name="Currency 5 2 2 3 2 10" xfId="8870" xr:uid="{E994A52C-3F17-4CED-B974-7EC603F64F35}"/>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2 2 2" xfId="15647" xr:uid="{6BBE1B1A-8A14-4270-AA69-F0BA4EC147D0}"/>
    <cellStyle name="Currency 5 2 2 3 2 2 2 3" xfId="11429" xr:uid="{675C2A0C-EE58-4325-937D-3E926FC42D36}"/>
    <cellStyle name="Currency 5 2 2 3 2 2 3" xfId="5060" xr:uid="{00000000-0005-0000-0000-0000CB0B0000}"/>
    <cellStyle name="Currency 5 2 2 3 2 2 3 2" xfId="13502" xr:uid="{B62D615B-D16E-4AD5-A005-82E3AC8CF94F}"/>
    <cellStyle name="Currency 5 2 2 3 2 2 4" xfId="9284" xr:uid="{4C9DDFD0-9691-473F-8623-B23C4BA3C105}"/>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2 2 2" xfId="16060" xr:uid="{087DF54B-022D-4183-AB67-46987521BDFC}"/>
    <cellStyle name="Currency 5 2 2 3 2 3 2 3" xfId="11842" xr:uid="{8C589A8F-D4E3-4854-870A-F842EA7CC405}"/>
    <cellStyle name="Currency 5 2 2 3 2 3 3" xfId="5473" xr:uid="{00000000-0005-0000-0000-0000CF0B0000}"/>
    <cellStyle name="Currency 5 2 2 3 2 3 3 2" xfId="13915" xr:uid="{1C090BE1-8395-4D98-B9F8-DF961DB4FC4A}"/>
    <cellStyle name="Currency 5 2 2 3 2 3 4" xfId="9697" xr:uid="{C7DA21EB-B983-4BE6-9DED-3060F256CBBB}"/>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2 2 2" xfId="16473" xr:uid="{E541CEF7-8BD2-4DBA-BEEA-4902B52AF65C}"/>
    <cellStyle name="Currency 5 2 2 3 2 4 2 3" xfId="12255" xr:uid="{93452F8D-8683-4486-A3D0-EFC254CF47A2}"/>
    <cellStyle name="Currency 5 2 2 3 2 4 3" xfId="5886" xr:uid="{00000000-0005-0000-0000-0000D30B0000}"/>
    <cellStyle name="Currency 5 2 2 3 2 4 3 2" xfId="14328" xr:uid="{0018418F-C681-4A22-825B-5E809A4FE99C}"/>
    <cellStyle name="Currency 5 2 2 3 2 4 4" xfId="10110" xr:uid="{51B880D2-B4A3-40D4-AEED-343889B247EF}"/>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2 2 2" xfId="16886" xr:uid="{A4B66712-B2D6-405E-ABD3-BA989B0AE7E5}"/>
    <cellStyle name="Currency 5 2 2 3 2 5 2 3" xfId="12668" xr:uid="{3F6740E2-535E-44CB-97D5-D7CEE406235D}"/>
    <cellStyle name="Currency 5 2 2 3 2 5 3" xfId="6299" xr:uid="{00000000-0005-0000-0000-0000D70B0000}"/>
    <cellStyle name="Currency 5 2 2 3 2 5 3 2" xfId="14741" xr:uid="{9B1CDC84-241D-457D-B055-CD73AB986F38}"/>
    <cellStyle name="Currency 5 2 2 3 2 5 4" xfId="10523" xr:uid="{D082D4F6-A955-4995-AB34-A4E94F048E11}"/>
    <cellStyle name="Currency 5 2 2 3 2 6" xfId="2427" xr:uid="{00000000-0005-0000-0000-0000D80B0000}"/>
    <cellStyle name="Currency 5 2 2 3 2 6 2" xfId="6712" xr:uid="{00000000-0005-0000-0000-0000D90B0000}"/>
    <cellStyle name="Currency 5 2 2 3 2 6 2 2" xfId="15154" xr:uid="{4E3A38D3-618C-48B4-A328-216282386BCD}"/>
    <cellStyle name="Currency 5 2 2 3 2 6 3" xfId="10936" xr:uid="{62838BF6-62B4-4AA5-A27A-2722C1666AF4}"/>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8 2 2" xfId="15471" xr:uid="{492A3654-F40B-47B3-B50C-59DD1880BBE4}"/>
    <cellStyle name="Currency 5 2 2 3 2 8 3" xfId="11253" xr:uid="{0D408CBD-3812-423A-885E-68D75D276BC3}"/>
    <cellStyle name="Currency 5 2 2 3 2 9" xfId="4646" xr:uid="{00000000-0005-0000-0000-0000DD0B0000}"/>
    <cellStyle name="Currency 5 2 2 3 2 9 2" xfId="13088" xr:uid="{94E632BB-7689-41DB-8182-3DC50326B456}"/>
    <cellStyle name="Currency 5 2 2 3 3" xfId="727" xr:uid="{00000000-0005-0000-0000-0000DE0B0000}"/>
    <cellStyle name="Currency 5 2 2 3 3 2" xfId="2981" xr:uid="{00000000-0005-0000-0000-0000DF0B0000}"/>
    <cellStyle name="Currency 5 2 2 3 3 2 2" xfId="7204" xr:uid="{00000000-0005-0000-0000-0000E00B0000}"/>
    <cellStyle name="Currency 5 2 2 3 3 2 2 2" xfId="15646" xr:uid="{B2BAB6E0-30A5-43D4-B5A4-DF70A86EC164}"/>
    <cellStyle name="Currency 5 2 2 3 3 2 3" xfId="11428" xr:uid="{44248C25-DED7-431F-BEAF-AE74A357BBA1}"/>
    <cellStyle name="Currency 5 2 2 3 3 3" xfId="5059" xr:uid="{00000000-0005-0000-0000-0000E10B0000}"/>
    <cellStyle name="Currency 5 2 2 3 3 3 2" xfId="13501" xr:uid="{9B6D321F-0A72-46DE-B854-DA6A19A6E1B8}"/>
    <cellStyle name="Currency 5 2 2 3 3 4" xfId="9283" xr:uid="{8EE27BB9-0330-4990-81F6-8507804FECE1}"/>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2 2 2" xfId="16059" xr:uid="{ACB72FEF-0D5A-4BC9-9F1C-CCF983F78775}"/>
    <cellStyle name="Currency 5 2 2 3 4 2 3" xfId="11841" xr:uid="{CA5A4820-5491-4EB2-80B7-BAB00180BC8C}"/>
    <cellStyle name="Currency 5 2 2 3 4 3" xfId="5472" xr:uid="{00000000-0005-0000-0000-0000E50B0000}"/>
    <cellStyle name="Currency 5 2 2 3 4 3 2" xfId="13914" xr:uid="{E961AC2C-8DDD-41A4-9596-E9F03472A238}"/>
    <cellStyle name="Currency 5 2 2 3 4 4" xfId="9696" xr:uid="{FDE0D7B6-9065-4F80-B633-C1DBE8C80344}"/>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2 2 2" xfId="16472" xr:uid="{EF7D1941-754A-4FF4-A916-50FF2586E55A}"/>
    <cellStyle name="Currency 5 2 2 3 5 2 3" xfId="12254" xr:uid="{E1ED5E24-FEF0-4EA6-9BAD-26BF8AB1338A}"/>
    <cellStyle name="Currency 5 2 2 3 5 3" xfId="5885" xr:uid="{00000000-0005-0000-0000-0000E90B0000}"/>
    <cellStyle name="Currency 5 2 2 3 5 3 2" xfId="14327" xr:uid="{6376AC2E-6791-4072-94E8-9F25E1BB3492}"/>
    <cellStyle name="Currency 5 2 2 3 5 4" xfId="10109" xr:uid="{46DE529E-D9B6-41E3-99C1-6E75FF8C0F8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2 2 2" xfId="16885" xr:uid="{3EA0A177-22D3-4286-B48C-9071223EE74C}"/>
    <cellStyle name="Currency 5 2 2 3 6 2 3" xfId="12667" xr:uid="{F05A514B-EE6E-48DB-8EAF-6FCE1E7C3DBE}"/>
    <cellStyle name="Currency 5 2 2 3 6 3" xfId="6298" xr:uid="{00000000-0005-0000-0000-0000ED0B0000}"/>
    <cellStyle name="Currency 5 2 2 3 6 3 2" xfId="14740" xr:uid="{02673A49-1637-4D9A-A46D-B3CA7C2EB254}"/>
    <cellStyle name="Currency 5 2 2 3 6 4" xfId="10522" xr:uid="{61E6C77A-6A27-44D7-B0D3-C4A66A814D7E}"/>
    <cellStyle name="Currency 5 2 2 3 7" xfId="2426" xr:uid="{00000000-0005-0000-0000-0000EE0B0000}"/>
    <cellStyle name="Currency 5 2 2 3 7 2" xfId="6711" xr:uid="{00000000-0005-0000-0000-0000EF0B0000}"/>
    <cellStyle name="Currency 5 2 2 3 7 2 2" xfId="15153" xr:uid="{E40086EC-1FAF-4379-966F-1D829D00B603}"/>
    <cellStyle name="Currency 5 2 2 3 7 3" xfId="10935" xr:uid="{7E7A1448-4D49-467E-AD72-E84877498621}"/>
    <cellStyle name="Currency 5 2 2 3 8" xfId="2723" xr:uid="{00000000-0005-0000-0000-0000F00B0000}"/>
    <cellStyle name="Currency 5 2 2 3 9" xfId="2804" xr:uid="{00000000-0005-0000-0000-0000F10B0000}"/>
    <cellStyle name="Currency 5 2 2 3 9 2" xfId="7028" xr:uid="{00000000-0005-0000-0000-0000F20B0000}"/>
    <cellStyle name="Currency 5 2 2 3 9 2 2" xfId="15470" xr:uid="{8AF3D862-E475-483B-B228-0F1DB4DFFBAF}"/>
    <cellStyle name="Currency 5 2 2 3 9 3" xfId="11252" xr:uid="{6FAB3D7A-DCB0-4F6F-BDA1-42337697DD7F}"/>
    <cellStyle name="Currency 5 2 2 4" xfId="202" xr:uid="{00000000-0005-0000-0000-0000F30B0000}"/>
    <cellStyle name="Currency 5 2 2 4 10" xfId="8871" xr:uid="{88C7D8AC-9626-42F6-97A7-996EA52FF435}"/>
    <cellStyle name="Currency 5 2 2 4 2" xfId="729" xr:uid="{00000000-0005-0000-0000-0000F40B0000}"/>
    <cellStyle name="Currency 5 2 2 4 2 2" xfId="2983" xr:uid="{00000000-0005-0000-0000-0000F50B0000}"/>
    <cellStyle name="Currency 5 2 2 4 2 2 2" xfId="7206" xr:uid="{00000000-0005-0000-0000-0000F60B0000}"/>
    <cellStyle name="Currency 5 2 2 4 2 2 2 2" xfId="15648" xr:uid="{C757EE2A-5858-4DEA-9C8A-B0051FC7B860}"/>
    <cellStyle name="Currency 5 2 2 4 2 2 3" xfId="11430" xr:uid="{7506D483-EEC3-47F4-BC6F-7BBB0FA91C03}"/>
    <cellStyle name="Currency 5 2 2 4 2 3" xfId="5061" xr:uid="{00000000-0005-0000-0000-0000F70B0000}"/>
    <cellStyle name="Currency 5 2 2 4 2 3 2" xfId="13503" xr:uid="{A8D9B627-50E6-453C-923D-01306A3AAF89}"/>
    <cellStyle name="Currency 5 2 2 4 2 4" xfId="9285" xr:uid="{14680220-01A3-4495-B7A9-09F9BD0EECB7}"/>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2 2 2" xfId="16061" xr:uid="{9995342A-518B-4B7C-94BD-0841A98B1246}"/>
    <cellStyle name="Currency 5 2 2 4 3 2 3" xfId="11843" xr:uid="{39837528-CE4E-4DC7-95F1-F24972C42505}"/>
    <cellStyle name="Currency 5 2 2 4 3 3" xfId="5474" xr:uid="{00000000-0005-0000-0000-0000FB0B0000}"/>
    <cellStyle name="Currency 5 2 2 4 3 3 2" xfId="13916" xr:uid="{084A9FC3-D1FB-4442-9EF4-E08FED379A15}"/>
    <cellStyle name="Currency 5 2 2 4 3 4" xfId="9698" xr:uid="{3E367C87-D21E-40B5-88E0-8F0A001623FF}"/>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2 2 2" xfId="16474" xr:uid="{A0D36B8C-F546-405C-83F1-3044533B01A7}"/>
    <cellStyle name="Currency 5 2 2 4 4 2 3" xfId="12256" xr:uid="{4EF12C82-049F-41DA-8AFC-9DC819587C3E}"/>
    <cellStyle name="Currency 5 2 2 4 4 3" xfId="5887" xr:uid="{00000000-0005-0000-0000-0000FF0B0000}"/>
    <cellStyle name="Currency 5 2 2 4 4 3 2" xfId="14329" xr:uid="{E2AEDE6A-2635-41A7-809D-3F0A21784A3A}"/>
    <cellStyle name="Currency 5 2 2 4 4 4" xfId="10111" xr:uid="{AB3A2FDC-C6DE-400C-B471-16D404B685F7}"/>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2 2 2" xfId="16887" xr:uid="{0FA3EDD1-AA02-4A5D-AEF6-5509F090EC6E}"/>
    <cellStyle name="Currency 5 2 2 4 5 2 3" xfId="12669" xr:uid="{4EE9B18F-8943-4703-89E8-53B96303924E}"/>
    <cellStyle name="Currency 5 2 2 4 5 3" xfId="6300" xr:uid="{00000000-0005-0000-0000-0000030C0000}"/>
    <cellStyle name="Currency 5 2 2 4 5 3 2" xfId="14742" xr:uid="{3A7580EB-086B-475F-A905-19CFBA46A38A}"/>
    <cellStyle name="Currency 5 2 2 4 5 4" xfId="10524" xr:uid="{CCF50835-DE29-4C3B-A1E4-723CBE640B15}"/>
    <cellStyle name="Currency 5 2 2 4 6" xfId="2428" xr:uid="{00000000-0005-0000-0000-0000040C0000}"/>
    <cellStyle name="Currency 5 2 2 4 6 2" xfId="6713" xr:uid="{00000000-0005-0000-0000-0000050C0000}"/>
    <cellStyle name="Currency 5 2 2 4 6 2 2" xfId="15155" xr:uid="{FA334709-773C-4EFD-B6E9-A28ECC87C314}"/>
    <cellStyle name="Currency 5 2 2 4 6 3" xfId="10937" xr:uid="{134F9D4F-8055-425A-87E8-665E60BE2FC4}"/>
    <cellStyle name="Currency 5 2 2 4 7" xfId="2725" xr:uid="{00000000-0005-0000-0000-0000060C0000}"/>
    <cellStyle name="Currency 5 2 2 4 8" xfId="2806" xr:uid="{00000000-0005-0000-0000-0000070C0000}"/>
    <cellStyle name="Currency 5 2 2 4 8 2" xfId="7030" xr:uid="{00000000-0005-0000-0000-0000080C0000}"/>
    <cellStyle name="Currency 5 2 2 4 8 2 2" xfId="15472" xr:uid="{7B83E901-A995-44F2-AB2D-949876D78010}"/>
    <cellStyle name="Currency 5 2 2 4 8 3" xfId="11254" xr:uid="{727B8C5E-601E-478A-AF6A-E53A30A0F58F}"/>
    <cellStyle name="Currency 5 2 2 4 9" xfId="4647" xr:uid="{00000000-0005-0000-0000-0000090C0000}"/>
    <cellStyle name="Currency 5 2 2 4 9 2" xfId="13089" xr:uid="{CE371EB4-6CC5-4298-AE52-68AE6C42DD29}"/>
    <cellStyle name="Currency 5 2 2 5" xfId="203" xr:uid="{00000000-0005-0000-0000-00000A0C0000}"/>
    <cellStyle name="Currency 5 2 2 5 10" xfId="8872" xr:uid="{5D0CCB43-7E12-4CEF-9B61-127123ED539B}"/>
    <cellStyle name="Currency 5 2 2 5 2" xfId="730" xr:uid="{00000000-0005-0000-0000-00000B0C0000}"/>
    <cellStyle name="Currency 5 2 2 5 2 2" xfId="2984" xr:uid="{00000000-0005-0000-0000-00000C0C0000}"/>
    <cellStyle name="Currency 5 2 2 5 2 2 2" xfId="7207" xr:uid="{00000000-0005-0000-0000-00000D0C0000}"/>
    <cellStyle name="Currency 5 2 2 5 2 2 2 2" xfId="15649" xr:uid="{8EE6BD04-6C33-48D3-BF2B-903C7374FCB3}"/>
    <cellStyle name="Currency 5 2 2 5 2 2 3" xfId="11431" xr:uid="{50AD8902-6E2C-4B7B-AD7C-51334309604D}"/>
    <cellStyle name="Currency 5 2 2 5 2 3" xfId="5062" xr:uid="{00000000-0005-0000-0000-00000E0C0000}"/>
    <cellStyle name="Currency 5 2 2 5 2 3 2" xfId="13504" xr:uid="{FA69CF65-A590-4E28-BCCD-580F641F1515}"/>
    <cellStyle name="Currency 5 2 2 5 2 4" xfId="9286" xr:uid="{A5A7FA81-24EF-404A-BCFF-814A00EE8472}"/>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2 2 2" xfId="16062" xr:uid="{604A2B56-0659-407A-89F1-EA22FB5E870C}"/>
    <cellStyle name="Currency 5 2 2 5 3 2 3" xfId="11844" xr:uid="{C3D00E8F-D793-42AD-BADB-0680988EB2AC}"/>
    <cellStyle name="Currency 5 2 2 5 3 3" xfId="5475" xr:uid="{00000000-0005-0000-0000-0000120C0000}"/>
    <cellStyle name="Currency 5 2 2 5 3 3 2" xfId="13917" xr:uid="{BF7A1DD6-706D-4F2A-B9E2-66CFD5E00BBE}"/>
    <cellStyle name="Currency 5 2 2 5 3 4" xfId="9699" xr:uid="{05ADD373-5AEF-4864-A7D6-334B07E3621A}"/>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2 2 2" xfId="16475" xr:uid="{3BE18E1A-614B-4276-AA14-CAA7DF84E61F}"/>
    <cellStyle name="Currency 5 2 2 5 4 2 3" xfId="12257" xr:uid="{15DC7B48-14C4-4624-B1D9-D6DCA752F9CC}"/>
    <cellStyle name="Currency 5 2 2 5 4 3" xfId="5888" xr:uid="{00000000-0005-0000-0000-0000160C0000}"/>
    <cellStyle name="Currency 5 2 2 5 4 3 2" xfId="14330" xr:uid="{39795E0F-3F25-4628-B19C-BE779D85314E}"/>
    <cellStyle name="Currency 5 2 2 5 4 4" xfId="10112" xr:uid="{958D6981-9F5D-4EF1-A1AF-51835A2FF505}"/>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2 2 2" xfId="16888" xr:uid="{D46472DB-2F5F-48F2-97CE-DF0D06D738F4}"/>
    <cellStyle name="Currency 5 2 2 5 5 2 3" xfId="12670" xr:uid="{41F56563-E368-4C35-81CE-12A64D1521C3}"/>
    <cellStyle name="Currency 5 2 2 5 5 3" xfId="6301" xr:uid="{00000000-0005-0000-0000-00001A0C0000}"/>
    <cellStyle name="Currency 5 2 2 5 5 3 2" xfId="14743" xr:uid="{502DAB96-04AE-43D1-91F2-E75745921056}"/>
    <cellStyle name="Currency 5 2 2 5 5 4" xfId="10525" xr:uid="{4ECB3137-F6DE-4ACD-9178-0E5271382393}"/>
    <cellStyle name="Currency 5 2 2 5 6" xfId="2429" xr:uid="{00000000-0005-0000-0000-00001B0C0000}"/>
    <cellStyle name="Currency 5 2 2 5 6 2" xfId="6714" xr:uid="{00000000-0005-0000-0000-00001C0C0000}"/>
    <cellStyle name="Currency 5 2 2 5 6 2 2" xfId="15156" xr:uid="{201105E1-D4F0-4FAB-AF3A-AC69DF301D98}"/>
    <cellStyle name="Currency 5 2 2 5 6 3" xfId="10938" xr:uid="{21D0990C-93BE-4D23-9022-D4245B1DC77F}"/>
    <cellStyle name="Currency 5 2 2 5 7" xfId="2726" xr:uid="{00000000-0005-0000-0000-00001D0C0000}"/>
    <cellStyle name="Currency 5 2 2 5 8" xfId="2807" xr:uid="{00000000-0005-0000-0000-00001E0C0000}"/>
    <cellStyle name="Currency 5 2 2 5 8 2" xfId="7031" xr:uid="{00000000-0005-0000-0000-00001F0C0000}"/>
    <cellStyle name="Currency 5 2 2 5 8 2 2" xfId="15473" xr:uid="{11342D46-4608-47BA-8F46-E9B7327B5B11}"/>
    <cellStyle name="Currency 5 2 2 5 8 3" xfId="11255" xr:uid="{D1554D8E-9E88-4A86-A04E-E7D834E8DFCE}"/>
    <cellStyle name="Currency 5 2 2 5 9" xfId="4648" xr:uid="{00000000-0005-0000-0000-0000200C0000}"/>
    <cellStyle name="Currency 5 2 2 5 9 2" xfId="13090" xr:uid="{BDFF5566-259D-4400-B916-E190E74A638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10 2" xfId="13091" xr:uid="{6F3B2B94-22B7-443D-87FF-9F07DAFC493B}"/>
    <cellStyle name="Currency 5 2 4 11" xfId="8873" xr:uid="{5431F97B-BD61-4088-A45E-98427FF57816}"/>
    <cellStyle name="Currency 5 2 4 2" xfId="206" xr:uid="{00000000-0005-0000-0000-0000250C0000}"/>
    <cellStyle name="Currency 5 2 4 2 10" xfId="8874" xr:uid="{7631F078-E319-4D72-9BA2-E78AB1980D8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2 2 2" xfId="15651" xr:uid="{61CB51EE-62F6-4D4F-AB4E-5AACB416917A}"/>
    <cellStyle name="Currency 5 2 4 2 2 2 3" xfId="11433" xr:uid="{8CE9E372-93AD-48CC-A93D-2BFAD96CD25D}"/>
    <cellStyle name="Currency 5 2 4 2 2 3" xfId="5064" xr:uid="{00000000-0005-0000-0000-0000290C0000}"/>
    <cellStyle name="Currency 5 2 4 2 2 3 2" xfId="13506" xr:uid="{842F8384-715F-462F-9605-1AF98C379D6E}"/>
    <cellStyle name="Currency 5 2 4 2 2 4" xfId="9288" xr:uid="{A4B94B1A-957C-4A47-BF3F-ABF09C07B5E4}"/>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2 2 2" xfId="16064" xr:uid="{B017330A-0B3F-4ED4-939D-20BC353608FC}"/>
    <cellStyle name="Currency 5 2 4 2 3 2 3" xfId="11846" xr:uid="{9A6AF7E0-4AF0-4747-854B-AE89B19B7E5E}"/>
    <cellStyle name="Currency 5 2 4 2 3 3" xfId="5477" xr:uid="{00000000-0005-0000-0000-00002D0C0000}"/>
    <cellStyle name="Currency 5 2 4 2 3 3 2" xfId="13919" xr:uid="{AFFE82CD-6F42-44B9-8321-AA265B425DCD}"/>
    <cellStyle name="Currency 5 2 4 2 3 4" xfId="9701" xr:uid="{69265DF9-BD19-4B75-8EAE-7DBF4E585D0B}"/>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2 2 2" xfId="16477" xr:uid="{4EA8C92D-E844-4B99-8D40-CABDE1C4CA0A}"/>
    <cellStyle name="Currency 5 2 4 2 4 2 3" xfId="12259" xr:uid="{009705AE-087C-40D4-92BC-5CCEC9D2E2E8}"/>
    <cellStyle name="Currency 5 2 4 2 4 3" xfId="5890" xr:uid="{00000000-0005-0000-0000-0000310C0000}"/>
    <cellStyle name="Currency 5 2 4 2 4 3 2" xfId="14332" xr:uid="{05B5A931-8B9A-40C1-B98F-FCCE4E01BF24}"/>
    <cellStyle name="Currency 5 2 4 2 4 4" xfId="10114" xr:uid="{8BEE6DBB-A2A2-4250-B9F2-8ADF5F8BA984}"/>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2 2 2" xfId="16890" xr:uid="{A590EA82-80F6-458D-AE21-7371BD17CF0D}"/>
    <cellStyle name="Currency 5 2 4 2 5 2 3" xfId="12672" xr:uid="{96E8780E-9362-4539-83D0-FCA8FAE0FB4F}"/>
    <cellStyle name="Currency 5 2 4 2 5 3" xfId="6303" xr:uid="{00000000-0005-0000-0000-0000350C0000}"/>
    <cellStyle name="Currency 5 2 4 2 5 3 2" xfId="14745" xr:uid="{20EF4510-263F-4094-9EBB-4D5198188198}"/>
    <cellStyle name="Currency 5 2 4 2 5 4" xfId="10527" xr:uid="{60E887B0-63BC-43A3-AE75-3F203BD235B3}"/>
    <cellStyle name="Currency 5 2 4 2 6" xfId="2431" xr:uid="{00000000-0005-0000-0000-0000360C0000}"/>
    <cellStyle name="Currency 5 2 4 2 6 2" xfId="6716" xr:uid="{00000000-0005-0000-0000-0000370C0000}"/>
    <cellStyle name="Currency 5 2 4 2 6 2 2" xfId="15158" xr:uid="{729E3DCE-021A-481F-AB24-90A893BB9933}"/>
    <cellStyle name="Currency 5 2 4 2 6 3" xfId="10940" xr:uid="{2FD32077-A789-4876-A318-DD3E3FF25043}"/>
    <cellStyle name="Currency 5 2 4 2 7" xfId="2728" xr:uid="{00000000-0005-0000-0000-0000380C0000}"/>
    <cellStyle name="Currency 5 2 4 2 8" xfId="2809" xr:uid="{00000000-0005-0000-0000-0000390C0000}"/>
    <cellStyle name="Currency 5 2 4 2 8 2" xfId="7033" xr:uid="{00000000-0005-0000-0000-00003A0C0000}"/>
    <cellStyle name="Currency 5 2 4 2 8 2 2" xfId="15475" xr:uid="{6025A396-BF52-48A4-829A-E71A2109B49F}"/>
    <cellStyle name="Currency 5 2 4 2 8 3" xfId="11257" xr:uid="{05FF1A15-007D-42E6-AF36-BDA98E9D64B2}"/>
    <cellStyle name="Currency 5 2 4 2 9" xfId="4650" xr:uid="{00000000-0005-0000-0000-00003B0C0000}"/>
    <cellStyle name="Currency 5 2 4 2 9 2" xfId="13092" xr:uid="{AF0B4E68-6003-4EB8-9B81-2F0491B6053B}"/>
    <cellStyle name="Currency 5 2 4 3" xfId="732" xr:uid="{00000000-0005-0000-0000-00003C0C0000}"/>
    <cellStyle name="Currency 5 2 4 3 2" xfId="2985" xr:uid="{00000000-0005-0000-0000-00003D0C0000}"/>
    <cellStyle name="Currency 5 2 4 3 2 2" xfId="7208" xr:uid="{00000000-0005-0000-0000-00003E0C0000}"/>
    <cellStyle name="Currency 5 2 4 3 2 2 2" xfId="15650" xr:uid="{C64355DA-0250-40DF-9CDB-F2CF66A0B5AA}"/>
    <cellStyle name="Currency 5 2 4 3 2 3" xfId="11432" xr:uid="{95DADC54-DDA4-4BD8-A823-834CC5C1EB7E}"/>
    <cellStyle name="Currency 5 2 4 3 3" xfId="5063" xr:uid="{00000000-0005-0000-0000-00003F0C0000}"/>
    <cellStyle name="Currency 5 2 4 3 3 2" xfId="13505" xr:uid="{D4ED24AC-CB4F-4C3C-9E3E-C0E162211A36}"/>
    <cellStyle name="Currency 5 2 4 3 4" xfId="9287" xr:uid="{26783E9B-DD73-488E-A6B2-557D99A3CA51}"/>
    <cellStyle name="Currency 5 2 4 4" xfId="1167" xr:uid="{00000000-0005-0000-0000-0000400C0000}"/>
    <cellStyle name="Currency 5 2 4 4 2" xfId="3398" xr:uid="{00000000-0005-0000-0000-0000410C0000}"/>
    <cellStyle name="Currency 5 2 4 4 2 2" xfId="7621" xr:uid="{00000000-0005-0000-0000-0000420C0000}"/>
    <cellStyle name="Currency 5 2 4 4 2 2 2" xfId="16063" xr:uid="{E810BCA9-83E5-498E-8E3B-3C77C5717A34}"/>
    <cellStyle name="Currency 5 2 4 4 2 3" xfId="11845" xr:uid="{73434DCD-C526-45C3-B9E7-151D2DDFA8CC}"/>
    <cellStyle name="Currency 5 2 4 4 3" xfId="5476" xr:uid="{00000000-0005-0000-0000-0000430C0000}"/>
    <cellStyle name="Currency 5 2 4 4 3 2" xfId="13918" xr:uid="{308F8C8B-ACE1-4A21-A150-4AC5E304D81D}"/>
    <cellStyle name="Currency 5 2 4 4 4" xfId="9700" xr:uid="{0AE77363-B455-4E53-AD69-5D6F862467CF}"/>
    <cellStyle name="Currency 5 2 4 5" xfId="1581" xr:uid="{00000000-0005-0000-0000-0000440C0000}"/>
    <cellStyle name="Currency 5 2 4 5 2" xfId="3811" xr:uid="{00000000-0005-0000-0000-0000450C0000}"/>
    <cellStyle name="Currency 5 2 4 5 2 2" xfId="8034" xr:uid="{00000000-0005-0000-0000-0000460C0000}"/>
    <cellStyle name="Currency 5 2 4 5 2 2 2" xfId="16476" xr:uid="{E1F354EB-33F7-41FA-AE12-1CC2C4061156}"/>
    <cellStyle name="Currency 5 2 4 5 2 3" xfId="12258" xr:uid="{7F8A3DBD-4784-4FE9-8CFC-18CBDA382795}"/>
    <cellStyle name="Currency 5 2 4 5 3" xfId="5889" xr:uid="{00000000-0005-0000-0000-0000470C0000}"/>
    <cellStyle name="Currency 5 2 4 5 3 2" xfId="14331" xr:uid="{8B294D92-561A-47CA-BA72-2D508A7F6821}"/>
    <cellStyle name="Currency 5 2 4 5 4" xfId="10113" xr:uid="{9840505D-8E6F-45B3-AD07-E1B19A0625C1}"/>
    <cellStyle name="Currency 5 2 4 6" xfId="1995" xr:uid="{00000000-0005-0000-0000-0000480C0000}"/>
    <cellStyle name="Currency 5 2 4 6 2" xfId="4224" xr:uid="{00000000-0005-0000-0000-0000490C0000}"/>
    <cellStyle name="Currency 5 2 4 6 2 2" xfId="8447" xr:uid="{00000000-0005-0000-0000-00004A0C0000}"/>
    <cellStyle name="Currency 5 2 4 6 2 2 2" xfId="16889" xr:uid="{2D3A99B6-C408-43D8-9C5E-7419A7E57E2F}"/>
    <cellStyle name="Currency 5 2 4 6 2 3" xfId="12671" xr:uid="{4E15ABF2-BC81-47A6-906F-F3202EF3B3AB}"/>
    <cellStyle name="Currency 5 2 4 6 3" xfId="6302" xr:uid="{00000000-0005-0000-0000-00004B0C0000}"/>
    <cellStyle name="Currency 5 2 4 6 3 2" xfId="14744" xr:uid="{7BECC846-7B77-4D61-A500-F14DF9EE730A}"/>
    <cellStyle name="Currency 5 2 4 6 4" xfId="10526" xr:uid="{42BD5B2D-FDE2-4020-9C78-07F9C0D3ACDA}"/>
    <cellStyle name="Currency 5 2 4 7" xfId="2430" xr:uid="{00000000-0005-0000-0000-00004C0C0000}"/>
    <cellStyle name="Currency 5 2 4 7 2" xfId="6715" xr:uid="{00000000-0005-0000-0000-00004D0C0000}"/>
    <cellStyle name="Currency 5 2 4 7 2 2" xfId="15157" xr:uid="{0DC40CBA-970C-4B56-871E-10158D2F4548}"/>
    <cellStyle name="Currency 5 2 4 7 3" xfId="10939" xr:uid="{9D01E50C-5B35-41DA-8BF4-454CF5EF99A0}"/>
    <cellStyle name="Currency 5 2 4 8" xfId="2727" xr:uid="{00000000-0005-0000-0000-00004E0C0000}"/>
    <cellStyle name="Currency 5 2 4 9" xfId="2808" xr:uid="{00000000-0005-0000-0000-00004F0C0000}"/>
    <cellStyle name="Currency 5 2 4 9 2" xfId="7032" xr:uid="{00000000-0005-0000-0000-0000500C0000}"/>
    <cellStyle name="Currency 5 2 4 9 2 2" xfId="15474" xr:uid="{C0142408-3BD9-4FB9-B063-C74EB3790D2C}"/>
    <cellStyle name="Currency 5 2 4 9 3" xfId="11256" xr:uid="{C56DBC07-1A82-4502-8A41-6AD59D4E9D14}"/>
    <cellStyle name="Currency 5 2 5" xfId="207" xr:uid="{00000000-0005-0000-0000-0000510C0000}"/>
    <cellStyle name="Currency 5 2 5 10" xfId="8875" xr:uid="{003AC633-1089-42F8-9D70-D00B5286FFBB}"/>
    <cellStyle name="Currency 5 2 5 2" xfId="734" xr:uid="{00000000-0005-0000-0000-0000520C0000}"/>
    <cellStyle name="Currency 5 2 5 2 2" xfId="2987" xr:uid="{00000000-0005-0000-0000-0000530C0000}"/>
    <cellStyle name="Currency 5 2 5 2 2 2" xfId="7210" xr:uid="{00000000-0005-0000-0000-0000540C0000}"/>
    <cellStyle name="Currency 5 2 5 2 2 2 2" xfId="15652" xr:uid="{9B0BCFBC-82C4-48CD-82E0-E21583CA6F15}"/>
    <cellStyle name="Currency 5 2 5 2 2 3" xfId="11434" xr:uid="{DC7D92BE-9825-46EF-82DB-EC9F4F9A9B5C}"/>
    <cellStyle name="Currency 5 2 5 2 3" xfId="5065" xr:uid="{00000000-0005-0000-0000-0000550C0000}"/>
    <cellStyle name="Currency 5 2 5 2 3 2" xfId="13507" xr:uid="{7B049FCB-CBF3-4019-AA58-5C612E8D6390}"/>
    <cellStyle name="Currency 5 2 5 2 4" xfId="9289" xr:uid="{FF705EC6-1F3D-4EA3-B09A-45F49608D6D0}"/>
    <cellStyle name="Currency 5 2 5 3" xfId="1169" xr:uid="{00000000-0005-0000-0000-0000560C0000}"/>
    <cellStyle name="Currency 5 2 5 3 2" xfId="3400" xr:uid="{00000000-0005-0000-0000-0000570C0000}"/>
    <cellStyle name="Currency 5 2 5 3 2 2" xfId="7623" xr:uid="{00000000-0005-0000-0000-0000580C0000}"/>
    <cellStyle name="Currency 5 2 5 3 2 2 2" xfId="16065" xr:uid="{A8C12564-A291-419E-9AD3-FC95C7D62F80}"/>
    <cellStyle name="Currency 5 2 5 3 2 3" xfId="11847" xr:uid="{BCD440B0-952F-41B6-986C-DCB3BBD10650}"/>
    <cellStyle name="Currency 5 2 5 3 3" xfId="5478" xr:uid="{00000000-0005-0000-0000-0000590C0000}"/>
    <cellStyle name="Currency 5 2 5 3 3 2" xfId="13920" xr:uid="{ED55830F-6217-4617-A504-14E17F59B199}"/>
    <cellStyle name="Currency 5 2 5 3 4" xfId="9702" xr:uid="{1CBB423F-0ABC-4891-9232-16359B7C2E5D}"/>
    <cellStyle name="Currency 5 2 5 4" xfId="1583" xr:uid="{00000000-0005-0000-0000-00005A0C0000}"/>
    <cellStyle name="Currency 5 2 5 4 2" xfId="3813" xr:uid="{00000000-0005-0000-0000-00005B0C0000}"/>
    <cellStyle name="Currency 5 2 5 4 2 2" xfId="8036" xr:uid="{00000000-0005-0000-0000-00005C0C0000}"/>
    <cellStyle name="Currency 5 2 5 4 2 2 2" xfId="16478" xr:uid="{F6D73F55-E080-4794-8996-936A09151204}"/>
    <cellStyle name="Currency 5 2 5 4 2 3" xfId="12260" xr:uid="{B089AA34-74B1-4A50-8670-F12FEB9526A0}"/>
    <cellStyle name="Currency 5 2 5 4 3" xfId="5891" xr:uid="{00000000-0005-0000-0000-00005D0C0000}"/>
    <cellStyle name="Currency 5 2 5 4 3 2" xfId="14333" xr:uid="{289377C9-6322-44B6-AAA1-9B04A69A0B07}"/>
    <cellStyle name="Currency 5 2 5 4 4" xfId="10115" xr:uid="{37B1F747-4A64-4609-807F-03D721994694}"/>
    <cellStyle name="Currency 5 2 5 5" xfId="1997" xr:uid="{00000000-0005-0000-0000-00005E0C0000}"/>
    <cellStyle name="Currency 5 2 5 5 2" xfId="4226" xr:uid="{00000000-0005-0000-0000-00005F0C0000}"/>
    <cellStyle name="Currency 5 2 5 5 2 2" xfId="8449" xr:uid="{00000000-0005-0000-0000-0000600C0000}"/>
    <cellStyle name="Currency 5 2 5 5 2 2 2" xfId="16891" xr:uid="{3794D518-B456-41C7-80B6-50D5DF7817BC}"/>
    <cellStyle name="Currency 5 2 5 5 2 3" xfId="12673" xr:uid="{0D3BF357-0B3A-46D7-999A-D782D952B840}"/>
    <cellStyle name="Currency 5 2 5 5 3" xfId="6304" xr:uid="{00000000-0005-0000-0000-0000610C0000}"/>
    <cellStyle name="Currency 5 2 5 5 3 2" xfId="14746" xr:uid="{FCBA7B59-4F69-49B3-A63E-863BACE559A4}"/>
    <cellStyle name="Currency 5 2 5 5 4" xfId="10528" xr:uid="{981F0C26-5AEA-434E-A207-7486E35B0336}"/>
    <cellStyle name="Currency 5 2 5 6" xfId="2432" xr:uid="{00000000-0005-0000-0000-0000620C0000}"/>
    <cellStyle name="Currency 5 2 5 6 2" xfId="6717" xr:uid="{00000000-0005-0000-0000-0000630C0000}"/>
    <cellStyle name="Currency 5 2 5 6 2 2" xfId="15159" xr:uid="{7AC35471-C398-4A26-AA60-D03D46A05AF6}"/>
    <cellStyle name="Currency 5 2 5 6 3" xfId="10941" xr:uid="{F023F0D9-70DF-44A9-BCE3-519ACDBA537C}"/>
    <cellStyle name="Currency 5 2 5 7" xfId="2729" xr:uid="{00000000-0005-0000-0000-0000640C0000}"/>
    <cellStyle name="Currency 5 2 5 8" xfId="2810" xr:uid="{00000000-0005-0000-0000-0000650C0000}"/>
    <cellStyle name="Currency 5 2 5 8 2" xfId="7034" xr:uid="{00000000-0005-0000-0000-0000660C0000}"/>
    <cellStyle name="Currency 5 2 5 8 2 2" xfId="15476" xr:uid="{76F2AF80-5B70-476D-9B26-7FDFC1C6FE2D}"/>
    <cellStyle name="Currency 5 2 5 8 3" xfId="11258" xr:uid="{F06E8B39-E6C8-424E-9809-DF592DEA590F}"/>
    <cellStyle name="Currency 5 2 5 9" xfId="4651" xr:uid="{00000000-0005-0000-0000-0000670C0000}"/>
    <cellStyle name="Currency 5 2 5 9 2" xfId="13093" xr:uid="{5F8C5C6A-70B3-4444-888C-97C7A0EB8760}"/>
    <cellStyle name="Currency 5 2 6" xfId="208" xr:uid="{00000000-0005-0000-0000-0000680C0000}"/>
    <cellStyle name="Currency 5 2 6 10" xfId="8876" xr:uid="{C23C10D7-493A-4400-8F99-82B769F78562}"/>
    <cellStyle name="Currency 5 2 6 2" xfId="735" xr:uid="{00000000-0005-0000-0000-0000690C0000}"/>
    <cellStyle name="Currency 5 2 6 2 2" xfId="2988" xr:uid="{00000000-0005-0000-0000-00006A0C0000}"/>
    <cellStyle name="Currency 5 2 6 2 2 2" xfId="7211" xr:uid="{00000000-0005-0000-0000-00006B0C0000}"/>
    <cellStyle name="Currency 5 2 6 2 2 2 2" xfId="15653" xr:uid="{D3C16ECF-8D3C-48DB-9D3B-41F0D5FB7DF7}"/>
    <cellStyle name="Currency 5 2 6 2 2 3" xfId="11435" xr:uid="{E2391F4F-731A-4C59-BE04-75991C6E6BD0}"/>
    <cellStyle name="Currency 5 2 6 2 3" xfId="5066" xr:uid="{00000000-0005-0000-0000-00006C0C0000}"/>
    <cellStyle name="Currency 5 2 6 2 3 2" xfId="13508" xr:uid="{E3751C05-0EEE-4F56-9B74-0A5753337D69}"/>
    <cellStyle name="Currency 5 2 6 2 4" xfId="9290" xr:uid="{FCD182BD-6489-4DF3-ACBB-3781F272F96D}"/>
    <cellStyle name="Currency 5 2 6 3" xfId="1170" xr:uid="{00000000-0005-0000-0000-00006D0C0000}"/>
    <cellStyle name="Currency 5 2 6 3 2" xfId="3401" xr:uid="{00000000-0005-0000-0000-00006E0C0000}"/>
    <cellStyle name="Currency 5 2 6 3 2 2" xfId="7624" xr:uid="{00000000-0005-0000-0000-00006F0C0000}"/>
    <cellStyle name="Currency 5 2 6 3 2 2 2" xfId="16066" xr:uid="{13E05052-F87C-4748-B493-B92272F1C8E4}"/>
    <cellStyle name="Currency 5 2 6 3 2 3" xfId="11848" xr:uid="{B90C3B20-57F7-481C-B031-AC31C072C12B}"/>
    <cellStyle name="Currency 5 2 6 3 3" xfId="5479" xr:uid="{00000000-0005-0000-0000-0000700C0000}"/>
    <cellStyle name="Currency 5 2 6 3 3 2" xfId="13921" xr:uid="{F70EB987-6AAB-40DC-902D-6A4BB8D6E691}"/>
    <cellStyle name="Currency 5 2 6 3 4" xfId="9703" xr:uid="{87315DC0-A735-4BBE-BFAF-A8E045093384}"/>
    <cellStyle name="Currency 5 2 6 4" xfId="1584" xr:uid="{00000000-0005-0000-0000-0000710C0000}"/>
    <cellStyle name="Currency 5 2 6 4 2" xfId="3814" xr:uid="{00000000-0005-0000-0000-0000720C0000}"/>
    <cellStyle name="Currency 5 2 6 4 2 2" xfId="8037" xr:uid="{00000000-0005-0000-0000-0000730C0000}"/>
    <cellStyle name="Currency 5 2 6 4 2 2 2" xfId="16479" xr:uid="{4B9FF1B6-2852-4A7C-A340-87DC696CBC80}"/>
    <cellStyle name="Currency 5 2 6 4 2 3" xfId="12261" xr:uid="{972B06C4-112D-4A11-A1DD-E18BD76C01E8}"/>
    <cellStyle name="Currency 5 2 6 4 3" xfId="5892" xr:uid="{00000000-0005-0000-0000-0000740C0000}"/>
    <cellStyle name="Currency 5 2 6 4 3 2" xfId="14334" xr:uid="{B753FC20-8FE8-43F0-BEDD-A7073191AD2E}"/>
    <cellStyle name="Currency 5 2 6 4 4" xfId="10116" xr:uid="{BAACDDF9-AC85-4EE4-A7F1-386D5C2B9CFD}"/>
    <cellStyle name="Currency 5 2 6 5" xfId="1998" xr:uid="{00000000-0005-0000-0000-0000750C0000}"/>
    <cellStyle name="Currency 5 2 6 5 2" xfId="4227" xr:uid="{00000000-0005-0000-0000-0000760C0000}"/>
    <cellStyle name="Currency 5 2 6 5 2 2" xfId="8450" xr:uid="{00000000-0005-0000-0000-0000770C0000}"/>
    <cellStyle name="Currency 5 2 6 5 2 2 2" xfId="16892" xr:uid="{1080F58C-2B42-4160-AEDE-D1DC2EBCCF50}"/>
    <cellStyle name="Currency 5 2 6 5 2 3" xfId="12674" xr:uid="{C44C5B46-E399-4635-9204-F0FE12D4161D}"/>
    <cellStyle name="Currency 5 2 6 5 3" xfId="6305" xr:uid="{00000000-0005-0000-0000-0000780C0000}"/>
    <cellStyle name="Currency 5 2 6 5 3 2" xfId="14747" xr:uid="{483D6A52-22A4-4E9B-A3A4-1A890D1A55E4}"/>
    <cellStyle name="Currency 5 2 6 5 4" xfId="10529" xr:uid="{F68871E9-ED4E-4FDC-BF56-717A3301C94D}"/>
    <cellStyle name="Currency 5 2 6 6" xfId="2433" xr:uid="{00000000-0005-0000-0000-0000790C0000}"/>
    <cellStyle name="Currency 5 2 6 6 2" xfId="6718" xr:uid="{00000000-0005-0000-0000-00007A0C0000}"/>
    <cellStyle name="Currency 5 2 6 6 2 2" xfId="15160" xr:uid="{EE8E4ADB-5EBC-4DF5-BC80-4A9318ED891D}"/>
    <cellStyle name="Currency 5 2 6 6 3" xfId="10942" xr:uid="{13A59C97-B5E3-4900-9767-E82BCDE5778C}"/>
    <cellStyle name="Currency 5 2 6 7" xfId="2730" xr:uid="{00000000-0005-0000-0000-00007B0C0000}"/>
    <cellStyle name="Currency 5 2 6 8" xfId="2811" xr:uid="{00000000-0005-0000-0000-00007C0C0000}"/>
    <cellStyle name="Currency 5 2 6 8 2" xfId="7035" xr:uid="{00000000-0005-0000-0000-00007D0C0000}"/>
    <cellStyle name="Currency 5 2 6 8 2 2" xfId="15477" xr:uid="{24E5B71F-C0BD-4E58-A392-5A2BC4487881}"/>
    <cellStyle name="Currency 5 2 6 8 3" xfId="11259" xr:uid="{9D239D0E-D8DB-4A03-BC33-5A8B077BB0D4}"/>
    <cellStyle name="Currency 5 2 6 9" xfId="4652" xr:uid="{00000000-0005-0000-0000-00007E0C0000}"/>
    <cellStyle name="Currency 5 2 6 9 2" xfId="13094" xr:uid="{38E78742-4BB2-4B7A-9FD9-B233D0C56562}"/>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0 2 2" xfId="15478" xr:uid="{05F678D6-6F2E-4660-AA0C-C340A8D26D3F}"/>
    <cellStyle name="Currency 5 3 2 10 3" xfId="11260" xr:uid="{22BBD47F-5083-400E-B8AE-0ADE87DCA3F5}"/>
    <cellStyle name="Currency 5 3 2 11" xfId="4653" xr:uid="{00000000-0005-0000-0000-0000840C0000}"/>
    <cellStyle name="Currency 5 3 2 11 2" xfId="13095" xr:uid="{2AB21EDF-0EE5-41B6-B52D-503BD3446ED1}"/>
    <cellStyle name="Currency 5 3 2 12" xfId="8877" xr:uid="{AC8F0B4E-388D-41D7-8BAF-E74B8BAF822F}"/>
    <cellStyle name="Currency 5 3 2 2" xfId="211" xr:uid="{00000000-0005-0000-0000-0000850C0000}"/>
    <cellStyle name="Currency 5 3 2 2 10" xfId="4654" xr:uid="{00000000-0005-0000-0000-0000860C0000}"/>
    <cellStyle name="Currency 5 3 2 2 10 2" xfId="13096" xr:uid="{0E00EF93-5DA8-490D-9E46-F0D643138E86}"/>
    <cellStyle name="Currency 5 3 2 2 11" xfId="8878" xr:uid="{3C8EBCB7-B665-4203-A361-DD563B502C37}"/>
    <cellStyle name="Currency 5 3 2 2 2" xfId="212" xr:uid="{00000000-0005-0000-0000-0000870C0000}"/>
    <cellStyle name="Currency 5 3 2 2 2 10" xfId="8879" xr:uid="{C44821D5-C68F-42AD-81B9-42F2EF85F1AD}"/>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2 2 2" xfId="15656" xr:uid="{C762611D-8B88-49D0-86EE-7670E2FD9060}"/>
    <cellStyle name="Currency 5 3 2 2 2 2 2 3" xfId="11438" xr:uid="{C52C0333-CECB-4CB6-9A03-314E03996837}"/>
    <cellStyle name="Currency 5 3 2 2 2 2 3" xfId="5069" xr:uid="{00000000-0005-0000-0000-00008B0C0000}"/>
    <cellStyle name="Currency 5 3 2 2 2 2 3 2" xfId="13511" xr:uid="{D5A10E89-EE82-4FCA-B321-3C98E596BF42}"/>
    <cellStyle name="Currency 5 3 2 2 2 2 4" xfId="9293" xr:uid="{D374F9FD-ED24-4341-800A-F88BAA01A1A2}"/>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2 2 2" xfId="16069" xr:uid="{EF1EC67D-C811-4020-BFF3-D1124E3B014B}"/>
    <cellStyle name="Currency 5 3 2 2 2 3 2 3" xfId="11851" xr:uid="{E65F353C-E321-4296-86DB-E6CCC220996F}"/>
    <cellStyle name="Currency 5 3 2 2 2 3 3" xfId="5482" xr:uid="{00000000-0005-0000-0000-00008F0C0000}"/>
    <cellStyle name="Currency 5 3 2 2 2 3 3 2" xfId="13924" xr:uid="{2EEC5D35-7C10-4EFD-B6AF-E91F00B9EA39}"/>
    <cellStyle name="Currency 5 3 2 2 2 3 4" xfId="9706" xr:uid="{766829CF-C86A-494D-8F68-D989BF3D1DEC}"/>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2 2 2" xfId="16482" xr:uid="{CC73ECE8-B405-4051-94B7-802D6868816B}"/>
    <cellStyle name="Currency 5 3 2 2 2 4 2 3" xfId="12264" xr:uid="{5DE851B9-B03B-493C-8B6B-24E59197BEB5}"/>
    <cellStyle name="Currency 5 3 2 2 2 4 3" xfId="5895" xr:uid="{00000000-0005-0000-0000-0000930C0000}"/>
    <cellStyle name="Currency 5 3 2 2 2 4 3 2" xfId="14337" xr:uid="{7DC94D37-9FE5-4D56-ACC1-EFD8F9EBC043}"/>
    <cellStyle name="Currency 5 3 2 2 2 4 4" xfId="10119" xr:uid="{40209911-76AE-4BE9-B6B1-AB763ABE0D07}"/>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2 2 2" xfId="16895" xr:uid="{C6169DF4-CB38-4A3B-8904-E280593603A8}"/>
    <cellStyle name="Currency 5 3 2 2 2 5 2 3" xfId="12677" xr:uid="{26A2A02C-38F4-4092-A84E-7D25E962021D}"/>
    <cellStyle name="Currency 5 3 2 2 2 5 3" xfId="6308" xr:uid="{00000000-0005-0000-0000-0000970C0000}"/>
    <cellStyle name="Currency 5 3 2 2 2 5 3 2" xfId="14750" xr:uid="{E2B98B14-6DD6-4359-9529-0A24D985A029}"/>
    <cellStyle name="Currency 5 3 2 2 2 5 4" xfId="10532" xr:uid="{E511272C-1C5E-4032-A6D7-4BFEC628B320}"/>
    <cellStyle name="Currency 5 3 2 2 2 6" xfId="2436" xr:uid="{00000000-0005-0000-0000-0000980C0000}"/>
    <cellStyle name="Currency 5 3 2 2 2 6 2" xfId="6721" xr:uid="{00000000-0005-0000-0000-0000990C0000}"/>
    <cellStyle name="Currency 5 3 2 2 2 6 2 2" xfId="15163" xr:uid="{FBAD5D39-6BCC-495B-8C7B-C2839A9E4781}"/>
    <cellStyle name="Currency 5 3 2 2 2 6 3" xfId="10945" xr:uid="{476E9286-5D21-4A21-A5A8-3B182ACE157C}"/>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8 2 2" xfId="15480" xr:uid="{308791B7-1582-445C-9BEB-8CF097A63286}"/>
    <cellStyle name="Currency 5 3 2 2 2 8 3" xfId="11262" xr:uid="{542DF4F9-D69A-4DDD-819D-0B1EE688FABC}"/>
    <cellStyle name="Currency 5 3 2 2 2 9" xfId="4655" xr:uid="{00000000-0005-0000-0000-00009D0C0000}"/>
    <cellStyle name="Currency 5 3 2 2 2 9 2" xfId="13097" xr:uid="{26EEA76B-914A-454A-A6DF-2FF465114994}"/>
    <cellStyle name="Currency 5 3 2 2 3" xfId="737" xr:uid="{00000000-0005-0000-0000-00009E0C0000}"/>
    <cellStyle name="Currency 5 3 2 2 3 2" xfId="2990" xr:uid="{00000000-0005-0000-0000-00009F0C0000}"/>
    <cellStyle name="Currency 5 3 2 2 3 2 2" xfId="7213" xr:uid="{00000000-0005-0000-0000-0000A00C0000}"/>
    <cellStyle name="Currency 5 3 2 2 3 2 2 2" xfId="15655" xr:uid="{BFC722DE-1BB3-45FA-961D-FFD8D86536E3}"/>
    <cellStyle name="Currency 5 3 2 2 3 2 3" xfId="11437" xr:uid="{7A647DBC-B0EE-4B07-967B-1360C2274112}"/>
    <cellStyle name="Currency 5 3 2 2 3 3" xfId="5068" xr:uid="{00000000-0005-0000-0000-0000A10C0000}"/>
    <cellStyle name="Currency 5 3 2 2 3 3 2" xfId="13510" xr:uid="{65CF2577-8F13-4EF5-A4E0-2EF2623B15E3}"/>
    <cellStyle name="Currency 5 3 2 2 3 4" xfId="9292" xr:uid="{F8DD4623-21E2-4CAE-9A87-D4DA4EF29808}"/>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2 2 2" xfId="16068" xr:uid="{883B706B-46E9-479F-8B83-90D876779C3B}"/>
    <cellStyle name="Currency 5 3 2 2 4 2 3" xfId="11850" xr:uid="{A9AF5D5D-6CCC-4635-A5C5-D380F4959AAF}"/>
    <cellStyle name="Currency 5 3 2 2 4 3" xfId="5481" xr:uid="{00000000-0005-0000-0000-0000A50C0000}"/>
    <cellStyle name="Currency 5 3 2 2 4 3 2" xfId="13923" xr:uid="{9952D53A-5FAE-4351-9B64-9DCA8B661BAA}"/>
    <cellStyle name="Currency 5 3 2 2 4 4" xfId="9705" xr:uid="{04F0D50D-7A0C-4623-B285-22169FC15D62}"/>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2 2 2" xfId="16481" xr:uid="{8E0EB2AB-FED2-441E-ABBD-4686859ABACD}"/>
    <cellStyle name="Currency 5 3 2 2 5 2 3" xfId="12263" xr:uid="{1AE71918-1A99-4CF2-B5B0-F513448E65EF}"/>
    <cellStyle name="Currency 5 3 2 2 5 3" xfId="5894" xr:uid="{00000000-0005-0000-0000-0000A90C0000}"/>
    <cellStyle name="Currency 5 3 2 2 5 3 2" xfId="14336" xr:uid="{2C11906A-F225-4361-82CA-FD575035B6FD}"/>
    <cellStyle name="Currency 5 3 2 2 5 4" xfId="10118" xr:uid="{9483A0A1-A828-4B53-8956-7F7FAE3CD7DA}"/>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2 2 2" xfId="16894" xr:uid="{1C115121-2D75-4BA5-8DEC-F60B24EE6B16}"/>
    <cellStyle name="Currency 5 3 2 2 6 2 3" xfId="12676" xr:uid="{249F3EDD-01B7-4CCD-BC63-1D87FF477E2D}"/>
    <cellStyle name="Currency 5 3 2 2 6 3" xfId="6307" xr:uid="{00000000-0005-0000-0000-0000AD0C0000}"/>
    <cellStyle name="Currency 5 3 2 2 6 3 2" xfId="14749" xr:uid="{6F8C8280-451E-4D12-AA61-1730331E6E0F}"/>
    <cellStyle name="Currency 5 3 2 2 6 4" xfId="10531" xr:uid="{BD7E05DB-CF37-43D9-8408-CE6C0910DF65}"/>
    <cellStyle name="Currency 5 3 2 2 7" xfId="2435" xr:uid="{00000000-0005-0000-0000-0000AE0C0000}"/>
    <cellStyle name="Currency 5 3 2 2 7 2" xfId="6720" xr:uid="{00000000-0005-0000-0000-0000AF0C0000}"/>
    <cellStyle name="Currency 5 3 2 2 7 2 2" xfId="15162" xr:uid="{8F68C2AB-839D-404B-B9A4-62853F2C5393}"/>
    <cellStyle name="Currency 5 3 2 2 7 3" xfId="10944" xr:uid="{872A7C35-72EF-408F-8F7A-5A885139F786}"/>
    <cellStyle name="Currency 5 3 2 2 8" xfId="2732" xr:uid="{00000000-0005-0000-0000-0000B00C0000}"/>
    <cellStyle name="Currency 5 3 2 2 9" xfId="2813" xr:uid="{00000000-0005-0000-0000-0000B10C0000}"/>
    <cellStyle name="Currency 5 3 2 2 9 2" xfId="7037" xr:uid="{00000000-0005-0000-0000-0000B20C0000}"/>
    <cellStyle name="Currency 5 3 2 2 9 2 2" xfId="15479" xr:uid="{A9A94EAF-8F8E-4788-B33F-ADD0530FD891}"/>
    <cellStyle name="Currency 5 3 2 2 9 3" xfId="11261" xr:uid="{C433903D-86C0-41FF-AAE0-F28360464BAE}"/>
    <cellStyle name="Currency 5 3 2 3" xfId="213" xr:uid="{00000000-0005-0000-0000-0000B30C0000}"/>
    <cellStyle name="Currency 5 3 2 3 10" xfId="8880" xr:uid="{748D9C55-8264-4309-8E88-6E405907B6FB}"/>
    <cellStyle name="Currency 5 3 2 3 2" xfId="739" xr:uid="{00000000-0005-0000-0000-0000B40C0000}"/>
    <cellStyle name="Currency 5 3 2 3 2 2" xfId="2992" xr:uid="{00000000-0005-0000-0000-0000B50C0000}"/>
    <cellStyle name="Currency 5 3 2 3 2 2 2" xfId="7215" xr:uid="{00000000-0005-0000-0000-0000B60C0000}"/>
    <cellStyle name="Currency 5 3 2 3 2 2 2 2" xfId="15657" xr:uid="{771279A3-0F30-4942-B6C5-3FC523EC87AD}"/>
    <cellStyle name="Currency 5 3 2 3 2 2 3" xfId="11439" xr:uid="{C173E734-A14E-4A33-90F5-E8C991255E89}"/>
    <cellStyle name="Currency 5 3 2 3 2 3" xfId="5070" xr:uid="{00000000-0005-0000-0000-0000B70C0000}"/>
    <cellStyle name="Currency 5 3 2 3 2 3 2" xfId="13512" xr:uid="{0CD2A63E-7741-4538-A619-491D168395B3}"/>
    <cellStyle name="Currency 5 3 2 3 2 4" xfId="9294" xr:uid="{335A33BC-A6F8-4F6F-B5A0-BFFE274A2A8E}"/>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2 2 2" xfId="16070" xr:uid="{267C04C1-06E4-432D-B48D-CC421D478A2E}"/>
    <cellStyle name="Currency 5 3 2 3 3 2 3" xfId="11852" xr:uid="{8ED847D4-C155-4EFE-93A7-F852B3575D90}"/>
    <cellStyle name="Currency 5 3 2 3 3 3" xfId="5483" xr:uid="{00000000-0005-0000-0000-0000BB0C0000}"/>
    <cellStyle name="Currency 5 3 2 3 3 3 2" xfId="13925" xr:uid="{772FE26C-CF1F-4EC8-B320-306EA80B4049}"/>
    <cellStyle name="Currency 5 3 2 3 3 4" xfId="9707" xr:uid="{1C005441-7E4A-4F48-A47E-53DD657800D6}"/>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2 2 2" xfId="16483" xr:uid="{562C5AE9-B228-4600-8FB7-65943C442C6E}"/>
    <cellStyle name="Currency 5 3 2 3 4 2 3" xfId="12265" xr:uid="{2C73B598-B1AE-4983-9FF6-F540C627CC7C}"/>
    <cellStyle name="Currency 5 3 2 3 4 3" xfId="5896" xr:uid="{00000000-0005-0000-0000-0000BF0C0000}"/>
    <cellStyle name="Currency 5 3 2 3 4 3 2" xfId="14338" xr:uid="{EF7178FB-4CB0-4067-8A9A-FE2B52C0CB39}"/>
    <cellStyle name="Currency 5 3 2 3 4 4" xfId="10120" xr:uid="{E2B7415A-0CC3-4C5D-AA2B-41739E1BE56F}"/>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2 2 2" xfId="16896" xr:uid="{B8E96782-6472-44AD-BF5D-3F1D986DC16A}"/>
    <cellStyle name="Currency 5 3 2 3 5 2 3" xfId="12678" xr:uid="{D3FD72B8-1B80-43D8-871F-938511C1CC5D}"/>
    <cellStyle name="Currency 5 3 2 3 5 3" xfId="6309" xr:uid="{00000000-0005-0000-0000-0000C30C0000}"/>
    <cellStyle name="Currency 5 3 2 3 5 3 2" xfId="14751" xr:uid="{1B9273DF-F568-44BD-9B24-CA5104D5E014}"/>
    <cellStyle name="Currency 5 3 2 3 5 4" xfId="10533" xr:uid="{0666176A-9D47-4E00-9F2B-4D2BE40E167A}"/>
    <cellStyle name="Currency 5 3 2 3 6" xfId="2437" xr:uid="{00000000-0005-0000-0000-0000C40C0000}"/>
    <cellStyle name="Currency 5 3 2 3 6 2" xfId="6722" xr:uid="{00000000-0005-0000-0000-0000C50C0000}"/>
    <cellStyle name="Currency 5 3 2 3 6 2 2" xfId="15164" xr:uid="{359E70D6-4B91-4AD1-B749-5B06656493F2}"/>
    <cellStyle name="Currency 5 3 2 3 6 3" xfId="10946" xr:uid="{988C9A23-7FD6-4489-9CC5-5282258CA692}"/>
    <cellStyle name="Currency 5 3 2 3 7" xfId="2734" xr:uid="{00000000-0005-0000-0000-0000C60C0000}"/>
    <cellStyle name="Currency 5 3 2 3 8" xfId="2815" xr:uid="{00000000-0005-0000-0000-0000C70C0000}"/>
    <cellStyle name="Currency 5 3 2 3 8 2" xfId="7039" xr:uid="{00000000-0005-0000-0000-0000C80C0000}"/>
    <cellStyle name="Currency 5 3 2 3 8 2 2" xfId="15481" xr:uid="{5B59DA8B-5965-4B72-9D44-1FA5866752A5}"/>
    <cellStyle name="Currency 5 3 2 3 8 3" xfId="11263" xr:uid="{66E6B6CE-76CE-4FC2-BDEB-66B4E7DE659B}"/>
    <cellStyle name="Currency 5 3 2 3 9" xfId="4656" xr:uid="{00000000-0005-0000-0000-0000C90C0000}"/>
    <cellStyle name="Currency 5 3 2 3 9 2" xfId="13098" xr:uid="{8BC8B91E-B8DA-4311-B8EB-B8B74DF6D98C}"/>
    <cellStyle name="Currency 5 3 2 4" xfId="736" xr:uid="{00000000-0005-0000-0000-0000CA0C0000}"/>
    <cellStyle name="Currency 5 3 2 4 2" xfId="2989" xr:uid="{00000000-0005-0000-0000-0000CB0C0000}"/>
    <cellStyle name="Currency 5 3 2 4 2 2" xfId="7212" xr:uid="{00000000-0005-0000-0000-0000CC0C0000}"/>
    <cellStyle name="Currency 5 3 2 4 2 2 2" xfId="15654" xr:uid="{71591C80-924C-4032-B5A9-C699C9C53CCB}"/>
    <cellStyle name="Currency 5 3 2 4 2 3" xfId="11436" xr:uid="{1AE997FC-D8C3-4DB2-A430-E17A7281BC00}"/>
    <cellStyle name="Currency 5 3 2 4 3" xfId="5067" xr:uid="{00000000-0005-0000-0000-0000CD0C0000}"/>
    <cellStyle name="Currency 5 3 2 4 3 2" xfId="13509" xr:uid="{007379E9-2F70-46E0-9D64-F7AC55CE8F5C}"/>
    <cellStyle name="Currency 5 3 2 4 4" xfId="9291" xr:uid="{13824581-6383-47C9-A537-5BB90090D2BE}"/>
    <cellStyle name="Currency 5 3 2 5" xfId="1171" xr:uid="{00000000-0005-0000-0000-0000CE0C0000}"/>
    <cellStyle name="Currency 5 3 2 5 2" xfId="3402" xr:uid="{00000000-0005-0000-0000-0000CF0C0000}"/>
    <cellStyle name="Currency 5 3 2 5 2 2" xfId="7625" xr:uid="{00000000-0005-0000-0000-0000D00C0000}"/>
    <cellStyle name="Currency 5 3 2 5 2 2 2" xfId="16067" xr:uid="{58F17D78-1F7C-4F6B-AF51-2C5AD9908B6F}"/>
    <cellStyle name="Currency 5 3 2 5 2 3" xfId="11849" xr:uid="{D16325BF-5766-49BA-950B-9078EAC55335}"/>
    <cellStyle name="Currency 5 3 2 5 3" xfId="5480" xr:uid="{00000000-0005-0000-0000-0000D10C0000}"/>
    <cellStyle name="Currency 5 3 2 5 3 2" xfId="13922" xr:uid="{741DC633-EDEF-4421-8D20-E4CB89DB6EE5}"/>
    <cellStyle name="Currency 5 3 2 5 4" xfId="9704" xr:uid="{BDBF0493-865D-4B53-A889-38006E56855A}"/>
    <cellStyle name="Currency 5 3 2 6" xfId="1585" xr:uid="{00000000-0005-0000-0000-0000D20C0000}"/>
    <cellStyle name="Currency 5 3 2 6 2" xfId="3815" xr:uid="{00000000-0005-0000-0000-0000D30C0000}"/>
    <cellStyle name="Currency 5 3 2 6 2 2" xfId="8038" xr:uid="{00000000-0005-0000-0000-0000D40C0000}"/>
    <cellStyle name="Currency 5 3 2 6 2 2 2" xfId="16480" xr:uid="{850D16D6-BB6E-4F98-A59F-4A7B923DC527}"/>
    <cellStyle name="Currency 5 3 2 6 2 3" xfId="12262" xr:uid="{3B6C303F-9789-4326-99FD-A79D1635AD76}"/>
    <cellStyle name="Currency 5 3 2 6 3" xfId="5893" xr:uid="{00000000-0005-0000-0000-0000D50C0000}"/>
    <cellStyle name="Currency 5 3 2 6 3 2" xfId="14335" xr:uid="{B93C7D98-C194-4BE7-823E-1CD35B6F3F89}"/>
    <cellStyle name="Currency 5 3 2 6 4" xfId="10117" xr:uid="{E27E08A2-F197-4854-A6F7-AAC2C608FFA5}"/>
    <cellStyle name="Currency 5 3 2 7" xfId="1999" xr:uid="{00000000-0005-0000-0000-0000D60C0000}"/>
    <cellStyle name="Currency 5 3 2 7 2" xfId="4228" xr:uid="{00000000-0005-0000-0000-0000D70C0000}"/>
    <cellStyle name="Currency 5 3 2 7 2 2" xfId="8451" xr:uid="{00000000-0005-0000-0000-0000D80C0000}"/>
    <cellStyle name="Currency 5 3 2 7 2 2 2" xfId="16893" xr:uid="{897212EC-2E67-4DF9-AE9A-757B1A0B3592}"/>
    <cellStyle name="Currency 5 3 2 7 2 3" xfId="12675" xr:uid="{F2E8F320-3CBA-47CA-BD1A-1D7AAE5D6CCA}"/>
    <cellStyle name="Currency 5 3 2 7 3" xfId="6306" xr:uid="{00000000-0005-0000-0000-0000D90C0000}"/>
    <cellStyle name="Currency 5 3 2 7 3 2" xfId="14748" xr:uid="{0F36BAC7-4C13-4D4B-B349-F01B101FC15C}"/>
    <cellStyle name="Currency 5 3 2 7 4" xfId="10530" xr:uid="{0B6FC0F2-8780-498E-BBAD-D9ABDD54ECA9}"/>
    <cellStyle name="Currency 5 3 2 8" xfId="2434" xr:uid="{00000000-0005-0000-0000-0000DA0C0000}"/>
    <cellStyle name="Currency 5 3 2 8 2" xfId="6719" xr:uid="{00000000-0005-0000-0000-0000DB0C0000}"/>
    <cellStyle name="Currency 5 3 2 8 2 2" xfId="15161" xr:uid="{ED3A5C79-42C1-4924-86FF-02442037ADD3}"/>
    <cellStyle name="Currency 5 3 2 8 3" xfId="10943" xr:uid="{6107B951-936A-4A52-94D4-4ADCC11C4E5D}"/>
    <cellStyle name="Currency 5 3 2 9" xfId="2731" xr:uid="{00000000-0005-0000-0000-0000DC0C0000}"/>
    <cellStyle name="Currency 5 3 3" xfId="214" xr:uid="{00000000-0005-0000-0000-0000DD0C0000}"/>
    <cellStyle name="Currency 5 3 3 10" xfId="4657" xr:uid="{00000000-0005-0000-0000-0000DE0C0000}"/>
    <cellStyle name="Currency 5 3 3 10 2" xfId="13099" xr:uid="{88976EE0-721F-454E-A8A6-880095D47BCA}"/>
    <cellStyle name="Currency 5 3 3 11" xfId="8881" xr:uid="{42FD6FD2-F5EC-4F10-9E09-E5CDE6191A10}"/>
    <cellStyle name="Currency 5 3 3 2" xfId="215" xr:uid="{00000000-0005-0000-0000-0000DF0C0000}"/>
    <cellStyle name="Currency 5 3 3 2 10" xfId="8882" xr:uid="{58E3AEBD-A087-4D37-98F4-E3C52B9557A4}"/>
    <cellStyle name="Currency 5 3 3 2 2" xfId="741" xr:uid="{00000000-0005-0000-0000-0000E00C0000}"/>
    <cellStyle name="Currency 5 3 3 2 2 2" xfId="2994" xr:uid="{00000000-0005-0000-0000-0000E10C0000}"/>
    <cellStyle name="Currency 5 3 3 2 2 2 2" xfId="7217" xr:uid="{00000000-0005-0000-0000-0000E20C0000}"/>
    <cellStyle name="Currency 5 3 3 2 2 2 2 2" xfId="15659" xr:uid="{06BCEEA4-780F-4B1F-9701-0EAEDCC45B7E}"/>
    <cellStyle name="Currency 5 3 3 2 2 2 3" xfId="11441" xr:uid="{D09932A6-0A8F-4793-8F53-A39DA013E43E}"/>
    <cellStyle name="Currency 5 3 3 2 2 3" xfId="5072" xr:uid="{00000000-0005-0000-0000-0000E30C0000}"/>
    <cellStyle name="Currency 5 3 3 2 2 3 2" xfId="13514" xr:uid="{345E34E8-13FE-4DC2-B2B5-19C380A5450A}"/>
    <cellStyle name="Currency 5 3 3 2 2 4" xfId="9296" xr:uid="{1CDCAD4C-DBEF-45D6-9D13-307859228806}"/>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2 2 2" xfId="16072" xr:uid="{A72712C5-3DEF-4359-98E6-C07816A505AD}"/>
    <cellStyle name="Currency 5 3 3 2 3 2 3" xfId="11854" xr:uid="{C9F60102-E5C4-45CA-96BF-460B499D6345}"/>
    <cellStyle name="Currency 5 3 3 2 3 3" xfId="5485" xr:uid="{00000000-0005-0000-0000-0000E70C0000}"/>
    <cellStyle name="Currency 5 3 3 2 3 3 2" xfId="13927" xr:uid="{20957844-A685-4001-87BD-2D6D7AD43F6D}"/>
    <cellStyle name="Currency 5 3 3 2 3 4" xfId="9709" xr:uid="{5B49A5F6-7963-45D6-8269-B9157EF6C4D7}"/>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2 2 2" xfId="16485" xr:uid="{CCCAA8CA-C3AC-4389-BAD0-C9405045A36B}"/>
    <cellStyle name="Currency 5 3 3 2 4 2 3" xfId="12267" xr:uid="{D96A9DE8-BB75-4130-8EA2-D83537007D50}"/>
    <cellStyle name="Currency 5 3 3 2 4 3" xfId="5898" xr:uid="{00000000-0005-0000-0000-0000EB0C0000}"/>
    <cellStyle name="Currency 5 3 3 2 4 3 2" xfId="14340" xr:uid="{5AB89B71-C5EA-43F4-9EAB-43F161B18F83}"/>
    <cellStyle name="Currency 5 3 3 2 4 4" xfId="10122" xr:uid="{7A7EF6BC-806A-482C-992D-E5962496C937}"/>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2 2 2" xfId="16898" xr:uid="{44FDBCD9-E20A-417B-A31E-AD2877BC4C18}"/>
    <cellStyle name="Currency 5 3 3 2 5 2 3" xfId="12680" xr:uid="{F5901668-15A7-4CEA-ACB5-CC60D2DC9617}"/>
    <cellStyle name="Currency 5 3 3 2 5 3" xfId="6311" xr:uid="{00000000-0005-0000-0000-0000EF0C0000}"/>
    <cellStyle name="Currency 5 3 3 2 5 3 2" xfId="14753" xr:uid="{1A5741EB-56C7-4F7C-AE9C-91644DBD27C8}"/>
    <cellStyle name="Currency 5 3 3 2 5 4" xfId="10535" xr:uid="{F0002634-24F8-4959-AC2B-8CF9086A8525}"/>
    <cellStyle name="Currency 5 3 3 2 6" xfId="2439" xr:uid="{00000000-0005-0000-0000-0000F00C0000}"/>
    <cellStyle name="Currency 5 3 3 2 6 2" xfId="6724" xr:uid="{00000000-0005-0000-0000-0000F10C0000}"/>
    <cellStyle name="Currency 5 3 3 2 6 2 2" xfId="15166" xr:uid="{A9E3266E-0945-4213-96AF-09B7AEB6A422}"/>
    <cellStyle name="Currency 5 3 3 2 6 3" xfId="10948" xr:uid="{8534679B-2736-46BC-9885-2DC3C80A1989}"/>
    <cellStyle name="Currency 5 3 3 2 7" xfId="2736" xr:uid="{00000000-0005-0000-0000-0000F20C0000}"/>
    <cellStyle name="Currency 5 3 3 2 8" xfId="2817" xr:uid="{00000000-0005-0000-0000-0000F30C0000}"/>
    <cellStyle name="Currency 5 3 3 2 8 2" xfId="7041" xr:uid="{00000000-0005-0000-0000-0000F40C0000}"/>
    <cellStyle name="Currency 5 3 3 2 8 2 2" xfId="15483" xr:uid="{56C80240-54BC-413F-B074-AD78FBEC2DA1}"/>
    <cellStyle name="Currency 5 3 3 2 8 3" xfId="11265" xr:uid="{3F9C7C41-90D1-45A7-B8DA-5DF6C9E5F4D2}"/>
    <cellStyle name="Currency 5 3 3 2 9" xfId="4658" xr:uid="{00000000-0005-0000-0000-0000F50C0000}"/>
    <cellStyle name="Currency 5 3 3 2 9 2" xfId="13100" xr:uid="{A6F465C7-AD1B-46D4-9D41-ED4D2C633D1D}"/>
    <cellStyle name="Currency 5 3 3 3" xfId="740" xr:uid="{00000000-0005-0000-0000-0000F60C0000}"/>
    <cellStyle name="Currency 5 3 3 3 2" xfId="2993" xr:uid="{00000000-0005-0000-0000-0000F70C0000}"/>
    <cellStyle name="Currency 5 3 3 3 2 2" xfId="7216" xr:uid="{00000000-0005-0000-0000-0000F80C0000}"/>
    <cellStyle name="Currency 5 3 3 3 2 2 2" xfId="15658" xr:uid="{015BF549-06BC-4917-AD3B-E4EEA549790E}"/>
    <cellStyle name="Currency 5 3 3 3 2 3" xfId="11440" xr:uid="{6E564D6A-8BE9-42E2-9146-14E7AD8F7DC3}"/>
    <cellStyle name="Currency 5 3 3 3 3" xfId="5071" xr:uid="{00000000-0005-0000-0000-0000F90C0000}"/>
    <cellStyle name="Currency 5 3 3 3 3 2" xfId="13513" xr:uid="{BFF2B0DB-50F3-49AF-B98B-A45951444FB6}"/>
    <cellStyle name="Currency 5 3 3 3 4" xfId="9295" xr:uid="{374B9BD4-D362-46A5-A90C-CD560B6812F3}"/>
    <cellStyle name="Currency 5 3 3 4" xfId="1175" xr:uid="{00000000-0005-0000-0000-0000FA0C0000}"/>
    <cellStyle name="Currency 5 3 3 4 2" xfId="3406" xr:uid="{00000000-0005-0000-0000-0000FB0C0000}"/>
    <cellStyle name="Currency 5 3 3 4 2 2" xfId="7629" xr:uid="{00000000-0005-0000-0000-0000FC0C0000}"/>
    <cellStyle name="Currency 5 3 3 4 2 2 2" xfId="16071" xr:uid="{984B0700-E250-4DBF-BA1E-406B7E91D47E}"/>
    <cellStyle name="Currency 5 3 3 4 2 3" xfId="11853" xr:uid="{745F49F9-B5AE-4C42-B685-BDDEEC4DF962}"/>
    <cellStyle name="Currency 5 3 3 4 3" xfId="5484" xr:uid="{00000000-0005-0000-0000-0000FD0C0000}"/>
    <cellStyle name="Currency 5 3 3 4 3 2" xfId="13926" xr:uid="{762FBFEA-1D78-4BC3-A5EB-81C8A2A72795}"/>
    <cellStyle name="Currency 5 3 3 4 4" xfId="9708" xr:uid="{20B49C5F-733D-45C9-9F42-6F4C256BCF65}"/>
    <cellStyle name="Currency 5 3 3 5" xfId="1589" xr:uid="{00000000-0005-0000-0000-0000FE0C0000}"/>
    <cellStyle name="Currency 5 3 3 5 2" xfId="3819" xr:uid="{00000000-0005-0000-0000-0000FF0C0000}"/>
    <cellStyle name="Currency 5 3 3 5 2 2" xfId="8042" xr:uid="{00000000-0005-0000-0000-0000000D0000}"/>
    <cellStyle name="Currency 5 3 3 5 2 2 2" xfId="16484" xr:uid="{5F9440DC-5BDF-4780-832E-5C664EF33623}"/>
    <cellStyle name="Currency 5 3 3 5 2 3" xfId="12266" xr:uid="{51EC5C6D-5339-4ED0-BBF3-84605009F605}"/>
    <cellStyle name="Currency 5 3 3 5 3" xfId="5897" xr:uid="{00000000-0005-0000-0000-0000010D0000}"/>
    <cellStyle name="Currency 5 3 3 5 3 2" xfId="14339" xr:uid="{91F10A03-A643-4D28-80AB-124A8F550D75}"/>
    <cellStyle name="Currency 5 3 3 5 4" xfId="10121" xr:uid="{0D4443D1-EFF0-462B-8FDC-8085DBFC578A}"/>
    <cellStyle name="Currency 5 3 3 6" xfId="2003" xr:uid="{00000000-0005-0000-0000-0000020D0000}"/>
    <cellStyle name="Currency 5 3 3 6 2" xfId="4232" xr:uid="{00000000-0005-0000-0000-0000030D0000}"/>
    <cellStyle name="Currency 5 3 3 6 2 2" xfId="8455" xr:uid="{00000000-0005-0000-0000-0000040D0000}"/>
    <cellStyle name="Currency 5 3 3 6 2 2 2" xfId="16897" xr:uid="{F40D3103-C541-45BB-AFB2-8D4742FB372E}"/>
    <cellStyle name="Currency 5 3 3 6 2 3" xfId="12679" xr:uid="{C1547DB5-1FD4-4B83-8CC6-19A28D936E69}"/>
    <cellStyle name="Currency 5 3 3 6 3" xfId="6310" xr:uid="{00000000-0005-0000-0000-0000050D0000}"/>
    <cellStyle name="Currency 5 3 3 6 3 2" xfId="14752" xr:uid="{5E68210E-B0BC-417D-B645-A124940C350E}"/>
    <cellStyle name="Currency 5 3 3 6 4" xfId="10534" xr:uid="{CF3B9EA6-DA47-421B-8B66-AB1F0301E03E}"/>
    <cellStyle name="Currency 5 3 3 7" xfId="2438" xr:uid="{00000000-0005-0000-0000-0000060D0000}"/>
    <cellStyle name="Currency 5 3 3 7 2" xfId="6723" xr:uid="{00000000-0005-0000-0000-0000070D0000}"/>
    <cellStyle name="Currency 5 3 3 7 2 2" xfId="15165" xr:uid="{73F84277-CC48-40CE-8C66-7559ACAA3F95}"/>
    <cellStyle name="Currency 5 3 3 7 3" xfId="10947" xr:uid="{49E30113-06C5-416E-B107-8BDDEA5141C8}"/>
    <cellStyle name="Currency 5 3 3 8" xfId="2735" xr:uid="{00000000-0005-0000-0000-0000080D0000}"/>
    <cellStyle name="Currency 5 3 3 9" xfId="2816" xr:uid="{00000000-0005-0000-0000-0000090D0000}"/>
    <cellStyle name="Currency 5 3 3 9 2" xfId="7040" xr:uid="{00000000-0005-0000-0000-00000A0D0000}"/>
    <cellStyle name="Currency 5 3 3 9 2 2" xfId="15482" xr:uid="{92335385-A8C5-4727-ACD2-DA4BD1066BB2}"/>
    <cellStyle name="Currency 5 3 3 9 3" xfId="11264" xr:uid="{07B3DC8D-F849-4D12-A55F-83332B536C3C}"/>
    <cellStyle name="Currency 5 3 4" xfId="216" xr:uid="{00000000-0005-0000-0000-00000B0D0000}"/>
    <cellStyle name="Currency 5 3 4 10" xfId="8883" xr:uid="{66D7DD95-FE27-4124-986D-E4FF63CC6235}"/>
    <cellStyle name="Currency 5 3 4 2" xfId="742" xr:uid="{00000000-0005-0000-0000-00000C0D0000}"/>
    <cellStyle name="Currency 5 3 4 2 2" xfId="2995" xr:uid="{00000000-0005-0000-0000-00000D0D0000}"/>
    <cellStyle name="Currency 5 3 4 2 2 2" xfId="7218" xr:uid="{00000000-0005-0000-0000-00000E0D0000}"/>
    <cellStyle name="Currency 5 3 4 2 2 2 2" xfId="15660" xr:uid="{0C0BB2E3-ED32-4B29-B327-092FAF9E0B24}"/>
    <cellStyle name="Currency 5 3 4 2 2 3" xfId="11442" xr:uid="{AD2C0A36-663B-4874-8928-B2B220D0CDEC}"/>
    <cellStyle name="Currency 5 3 4 2 3" xfId="5073" xr:uid="{00000000-0005-0000-0000-00000F0D0000}"/>
    <cellStyle name="Currency 5 3 4 2 3 2" xfId="13515" xr:uid="{5ED7D860-6DF5-48F4-8318-81265A513959}"/>
    <cellStyle name="Currency 5 3 4 2 4" xfId="9297" xr:uid="{4EA9CC9B-D7A3-49F9-A153-39BBC6D0C144}"/>
    <cellStyle name="Currency 5 3 4 3" xfId="1177" xr:uid="{00000000-0005-0000-0000-0000100D0000}"/>
    <cellStyle name="Currency 5 3 4 3 2" xfId="3408" xr:uid="{00000000-0005-0000-0000-0000110D0000}"/>
    <cellStyle name="Currency 5 3 4 3 2 2" xfId="7631" xr:uid="{00000000-0005-0000-0000-0000120D0000}"/>
    <cellStyle name="Currency 5 3 4 3 2 2 2" xfId="16073" xr:uid="{0EC6B6F4-F79B-44A7-86C3-303AFB39F850}"/>
    <cellStyle name="Currency 5 3 4 3 2 3" xfId="11855" xr:uid="{C9C7772D-3056-4E60-BB5B-37C1D7D09422}"/>
    <cellStyle name="Currency 5 3 4 3 3" xfId="5486" xr:uid="{00000000-0005-0000-0000-0000130D0000}"/>
    <cellStyle name="Currency 5 3 4 3 3 2" xfId="13928" xr:uid="{BED63177-3D30-4C72-BB49-C5099A0A339E}"/>
    <cellStyle name="Currency 5 3 4 3 4" xfId="9710" xr:uid="{0F22F394-5E9F-4EF7-BCF2-BAE110A119B6}"/>
    <cellStyle name="Currency 5 3 4 4" xfId="1591" xr:uid="{00000000-0005-0000-0000-0000140D0000}"/>
    <cellStyle name="Currency 5 3 4 4 2" xfId="3821" xr:uid="{00000000-0005-0000-0000-0000150D0000}"/>
    <cellStyle name="Currency 5 3 4 4 2 2" xfId="8044" xr:uid="{00000000-0005-0000-0000-0000160D0000}"/>
    <cellStyle name="Currency 5 3 4 4 2 2 2" xfId="16486" xr:uid="{36A6C66D-8045-46A4-901E-68B55A1B16AC}"/>
    <cellStyle name="Currency 5 3 4 4 2 3" xfId="12268" xr:uid="{A10839E0-13B7-4E02-9997-C95060006455}"/>
    <cellStyle name="Currency 5 3 4 4 3" xfId="5899" xr:uid="{00000000-0005-0000-0000-0000170D0000}"/>
    <cellStyle name="Currency 5 3 4 4 3 2" xfId="14341" xr:uid="{D50CCB0F-5323-49F6-A93B-63C027EC2E55}"/>
    <cellStyle name="Currency 5 3 4 4 4" xfId="10123" xr:uid="{889F6913-03B0-4559-9DAF-FE844786045A}"/>
    <cellStyle name="Currency 5 3 4 5" xfId="2005" xr:uid="{00000000-0005-0000-0000-0000180D0000}"/>
    <cellStyle name="Currency 5 3 4 5 2" xfId="4234" xr:uid="{00000000-0005-0000-0000-0000190D0000}"/>
    <cellStyle name="Currency 5 3 4 5 2 2" xfId="8457" xr:uid="{00000000-0005-0000-0000-00001A0D0000}"/>
    <cellStyle name="Currency 5 3 4 5 2 2 2" xfId="16899" xr:uid="{949BAD09-E906-4E4B-82B4-D803071BCBAE}"/>
    <cellStyle name="Currency 5 3 4 5 2 3" xfId="12681" xr:uid="{F5FFE67F-27F8-4FD9-8E5B-1EA2C4237A7E}"/>
    <cellStyle name="Currency 5 3 4 5 3" xfId="6312" xr:uid="{00000000-0005-0000-0000-00001B0D0000}"/>
    <cellStyle name="Currency 5 3 4 5 3 2" xfId="14754" xr:uid="{F981020F-A1B0-4F2B-BFAC-E61EE8B1946B}"/>
    <cellStyle name="Currency 5 3 4 5 4" xfId="10536" xr:uid="{879F3261-5714-4AC1-9105-E6ECED2C4CED}"/>
    <cellStyle name="Currency 5 3 4 6" xfId="2440" xr:uid="{00000000-0005-0000-0000-00001C0D0000}"/>
    <cellStyle name="Currency 5 3 4 6 2" xfId="6725" xr:uid="{00000000-0005-0000-0000-00001D0D0000}"/>
    <cellStyle name="Currency 5 3 4 6 2 2" xfId="15167" xr:uid="{AB091E1E-5E47-479E-812F-D6EE0A01FF90}"/>
    <cellStyle name="Currency 5 3 4 6 3" xfId="10949" xr:uid="{A0F36E38-B1AF-4F33-BECA-910C052C01E1}"/>
    <cellStyle name="Currency 5 3 4 7" xfId="2737" xr:uid="{00000000-0005-0000-0000-00001E0D0000}"/>
    <cellStyle name="Currency 5 3 4 8" xfId="2818" xr:uid="{00000000-0005-0000-0000-00001F0D0000}"/>
    <cellStyle name="Currency 5 3 4 8 2" xfId="7042" xr:uid="{00000000-0005-0000-0000-0000200D0000}"/>
    <cellStyle name="Currency 5 3 4 8 2 2" xfId="15484" xr:uid="{33E6DCE7-9E4C-460D-B558-0C823BEAACA1}"/>
    <cellStyle name="Currency 5 3 4 8 3" xfId="11266" xr:uid="{5933413E-23ED-49F4-805B-E4CE947868B9}"/>
    <cellStyle name="Currency 5 3 4 9" xfId="4659" xr:uid="{00000000-0005-0000-0000-0000210D0000}"/>
    <cellStyle name="Currency 5 3 4 9 2" xfId="13101" xr:uid="{D489F877-97E3-401C-A4FB-867860904B71}"/>
    <cellStyle name="Currency 5 3 5" xfId="217" xr:uid="{00000000-0005-0000-0000-0000220D0000}"/>
    <cellStyle name="Currency 5 3 5 10" xfId="8884" xr:uid="{E436335C-9930-4FAC-8C71-CCA597FEDBD0}"/>
    <cellStyle name="Currency 5 3 5 2" xfId="743" xr:uid="{00000000-0005-0000-0000-0000230D0000}"/>
    <cellStyle name="Currency 5 3 5 2 2" xfId="2996" xr:uid="{00000000-0005-0000-0000-0000240D0000}"/>
    <cellStyle name="Currency 5 3 5 2 2 2" xfId="7219" xr:uid="{00000000-0005-0000-0000-0000250D0000}"/>
    <cellStyle name="Currency 5 3 5 2 2 2 2" xfId="15661" xr:uid="{4B73C56B-C849-4471-8C29-182101D072AE}"/>
    <cellStyle name="Currency 5 3 5 2 2 3" xfId="11443" xr:uid="{DD836EB2-50DF-4C5D-8A7B-B20791AC8E4C}"/>
    <cellStyle name="Currency 5 3 5 2 3" xfId="5074" xr:uid="{00000000-0005-0000-0000-0000260D0000}"/>
    <cellStyle name="Currency 5 3 5 2 3 2" xfId="13516" xr:uid="{7C3B07AE-E4E3-4D15-A481-8E52B8EE2060}"/>
    <cellStyle name="Currency 5 3 5 2 4" xfId="9298" xr:uid="{3A579678-744B-4164-8FF5-D272C48FCE83}"/>
    <cellStyle name="Currency 5 3 5 3" xfId="1178" xr:uid="{00000000-0005-0000-0000-0000270D0000}"/>
    <cellStyle name="Currency 5 3 5 3 2" xfId="3409" xr:uid="{00000000-0005-0000-0000-0000280D0000}"/>
    <cellStyle name="Currency 5 3 5 3 2 2" xfId="7632" xr:uid="{00000000-0005-0000-0000-0000290D0000}"/>
    <cellStyle name="Currency 5 3 5 3 2 2 2" xfId="16074" xr:uid="{FD3869E2-BE4C-4D20-A907-9F887145262A}"/>
    <cellStyle name="Currency 5 3 5 3 2 3" xfId="11856" xr:uid="{2CF416FC-D009-423B-B522-5D220C89D870}"/>
    <cellStyle name="Currency 5 3 5 3 3" xfId="5487" xr:uid="{00000000-0005-0000-0000-00002A0D0000}"/>
    <cellStyle name="Currency 5 3 5 3 3 2" xfId="13929" xr:uid="{89489378-D886-4958-BF52-A3CD15A09036}"/>
    <cellStyle name="Currency 5 3 5 3 4" xfId="9711" xr:uid="{34F523C8-DD26-48B3-8EDD-C5DE0031ED0C}"/>
    <cellStyle name="Currency 5 3 5 4" xfId="1592" xr:uid="{00000000-0005-0000-0000-00002B0D0000}"/>
    <cellStyle name="Currency 5 3 5 4 2" xfId="3822" xr:uid="{00000000-0005-0000-0000-00002C0D0000}"/>
    <cellStyle name="Currency 5 3 5 4 2 2" xfId="8045" xr:uid="{00000000-0005-0000-0000-00002D0D0000}"/>
    <cellStyle name="Currency 5 3 5 4 2 2 2" xfId="16487" xr:uid="{8CA7BD1C-E713-4643-B1D3-16BAE9D0CED0}"/>
    <cellStyle name="Currency 5 3 5 4 2 3" xfId="12269" xr:uid="{B20F3474-9EB6-45DC-9448-2B8C1BC950C1}"/>
    <cellStyle name="Currency 5 3 5 4 3" xfId="5900" xr:uid="{00000000-0005-0000-0000-00002E0D0000}"/>
    <cellStyle name="Currency 5 3 5 4 3 2" xfId="14342" xr:uid="{00A0EDD9-57E7-4840-ADDF-709F723723E4}"/>
    <cellStyle name="Currency 5 3 5 4 4" xfId="10124" xr:uid="{E6C430F6-D5EE-4BC2-9949-8B7BA1B6CDED}"/>
    <cellStyle name="Currency 5 3 5 5" xfId="2006" xr:uid="{00000000-0005-0000-0000-00002F0D0000}"/>
    <cellStyle name="Currency 5 3 5 5 2" xfId="4235" xr:uid="{00000000-0005-0000-0000-0000300D0000}"/>
    <cellStyle name="Currency 5 3 5 5 2 2" xfId="8458" xr:uid="{00000000-0005-0000-0000-0000310D0000}"/>
    <cellStyle name="Currency 5 3 5 5 2 2 2" xfId="16900" xr:uid="{73863300-19E1-4B26-9FD2-0C37DCC130F0}"/>
    <cellStyle name="Currency 5 3 5 5 2 3" xfId="12682" xr:uid="{5DEDD2AD-25BF-4BA6-BB5B-AD253C8FB39D}"/>
    <cellStyle name="Currency 5 3 5 5 3" xfId="6313" xr:uid="{00000000-0005-0000-0000-0000320D0000}"/>
    <cellStyle name="Currency 5 3 5 5 3 2" xfId="14755" xr:uid="{1E0F9190-D8C8-42C1-8A20-63856E1B3F29}"/>
    <cellStyle name="Currency 5 3 5 5 4" xfId="10537" xr:uid="{039139EB-F9FB-4FBE-ABEF-663A274BACA4}"/>
    <cellStyle name="Currency 5 3 5 6" xfId="2441" xr:uid="{00000000-0005-0000-0000-0000330D0000}"/>
    <cellStyle name="Currency 5 3 5 6 2" xfId="6726" xr:uid="{00000000-0005-0000-0000-0000340D0000}"/>
    <cellStyle name="Currency 5 3 5 6 2 2" xfId="15168" xr:uid="{C7728E8C-A71E-4688-B339-B840343392A4}"/>
    <cellStyle name="Currency 5 3 5 6 3" xfId="10950" xr:uid="{5EB13838-FB20-426A-9CAD-43FDC72D1043}"/>
    <cellStyle name="Currency 5 3 5 7" xfId="2738" xr:uid="{00000000-0005-0000-0000-0000350D0000}"/>
    <cellStyle name="Currency 5 3 5 8" xfId="2819" xr:uid="{00000000-0005-0000-0000-0000360D0000}"/>
    <cellStyle name="Currency 5 3 5 8 2" xfId="7043" xr:uid="{00000000-0005-0000-0000-0000370D0000}"/>
    <cellStyle name="Currency 5 3 5 8 2 2" xfId="15485" xr:uid="{CF191E46-8F08-4981-A38C-0C7F3161E91A}"/>
    <cellStyle name="Currency 5 3 5 8 3" xfId="11267" xr:uid="{CB796364-BB55-4A6B-99FB-2D1D021F2B73}"/>
    <cellStyle name="Currency 5 3 5 9" xfId="4660" xr:uid="{00000000-0005-0000-0000-0000380D0000}"/>
    <cellStyle name="Currency 5 3 5 9 2" xfId="13102" xr:uid="{A96DEACD-0639-4772-8C64-92A057419F32}"/>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10 2" xfId="13103" xr:uid="{B0C463CF-C710-4648-850A-B63BA87B5B58}"/>
    <cellStyle name="Currency 5 5 11" xfId="8885" xr:uid="{E51747D4-199F-4F9D-BBB8-93F804166AB5}"/>
    <cellStyle name="Currency 5 5 2" xfId="220" xr:uid="{00000000-0005-0000-0000-00003D0D0000}"/>
    <cellStyle name="Currency 5 5 2 10" xfId="8886" xr:uid="{641A318E-75AE-419C-8C16-26AA334AF87A}"/>
    <cellStyle name="Currency 5 5 2 2" xfId="746" xr:uid="{00000000-0005-0000-0000-00003E0D0000}"/>
    <cellStyle name="Currency 5 5 2 2 2" xfId="2998" xr:uid="{00000000-0005-0000-0000-00003F0D0000}"/>
    <cellStyle name="Currency 5 5 2 2 2 2" xfId="7221" xr:uid="{00000000-0005-0000-0000-0000400D0000}"/>
    <cellStyle name="Currency 5 5 2 2 2 2 2" xfId="15663" xr:uid="{7FC6332D-0728-4372-9473-A1500A7F791F}"/>
    <cellStyle name="Currency 5 5 2 2 2 3" xfId="11445" xr:uid="{FBFBBE27-920D-452F-9981-E885229EEBAE}"/>
    <cellStyle name="Currency 5 5 2 2 3" xfId="5076" xr:uid="{00000000-0005-0000-0000-0000410D0000}"/>
    <cellStyle name="Currency 5 5 2 2 3 2" xfId="13518" xr:uid="{B0C4A9E1-17CD-4F3B-9EFE-6D2A097F3E64}"/>
    <cellStyle name="Currency 5 5 2 2 4" xfId="9300" xr:uid="{62E02486-D6CF-44EF-B580-CDB0E7EC5BC0}"/>
    <cellStyle name="Currency 5 5 2 3" xfId="1180" xr:uid="{00000000-0005-0000-0000-0000420D0000}"/>
    <cellStyle name="Currency 5 5 2 3 2" xfId="3411" xr:uid="{00000000-0005-0000-0000-0000430D0000}"/>
    <cellStyle name="Currency 5 5 2 3 2 2" xfId="7634" xr:uid="{00000000-0005-0000-0000-0000440D0000}"/>
    <cellStyle name="Currency 5 5 2 3 2 2 2" xfId="16076" xr:uid="{683C107E-C601-43BC-A04E-7BBA684B9048}"/>
    <cellStyle name="Currency 5 5 2 3 2 3" xfId="11858" xr:uid="{649C9281-154B-4704-956C-DBF709197A29}"/>
    <cellStyle name="Currency 5 5 2 3 3" xfId="5489" xr:uid="{00000000-0005-0000-0000-0000450D0000}"/>
    <cellStyle name="Currency 5 5 2 3 3 2" xfId="13931" xr:uid="{D468080E-9D53-42DD-BC1A-93CEA1D1DF56}"/>
    <cellStyle name="Currency 5 5 2 3 4" xfId="9713" xr:uid="{781BECE4-3339-4C10-837B-9F8E922958AC}"/>
    <cellStyle name="Currency 5 5 2 4" xfId="1594" xr:uid="{00000000-0005-0000-0000-0000460D0000}"/>
    <cellStyle name="Currency 5 5 2 4 2" xfId="3824" xr:uid="{00000000-0005-0000-0000-0000470D0000}"/>
    <cellStyle name="Currency 5 5 2 4 2 2" xfId="8047" xr:uid="{00000000-0005-0000-0000-0000480D0000}"/>
    <cellStyle name="Currency 5 5 2 4 2 2 2" xfId="16489" xr:uid="{691D2E7A-911E-4106-B828-6BCDEEA963FE}"/>
    <cellStyle name="Currency 5 5 2 4 2 3" xfId="12271" xr:uid="{F04D0464-843D-4CC5-8278-45936091E85E}"/>
    <cellStyle name="Currency 5 5 2 4 3" xfId="5902" xr:uid="{00000000-0005-0000-0000-0000490D0000}"/>
    <cellStyle name="Currency 5 5 2 4 3 2" xfId="14344" xr:uid="{F9BD7AEC-DE02-4940-B532-256720565F48}"/>
    <cellStyle name="Currency 5 5 2 4 4" xfId="10126" xr:uid="{8712E3E0-7199-45E0-A574-B4E7E455293A}"/>
    <cellStyle name="Currency 5 5 2 5" xfId="2008" xr:uid="{00000000-0005-0000-0000-00004A0D0000}"/>
    <cellStyle name="Currency 5 5 2 5 2" xfId="4237" xr:uid="{00000000-0005-0000-0000-00004B0D0000}"/>
    <cellStyle name="Currency 5 5 2 5 2 2" xfId="8460" xr:uid="{00000000-0005-0000-0000-00004C0D0000}"/>
    <cellStyle name="Currency 5 5 2 5 2 2 2" xfId="16902" xr:uid="{D32F445C-4130-456E-90B7-88A7E23F8793}"/>
    <cellStyle name="Currency 5 5 2 5 2 3" xfId="12684" xr:uid="{31CFE40B-4002-47AA-88F8-B1C928E45B1E}"/>
    <cellStyle name="Currency 5 5 2 5 3" xfId="6315" xr:uid="{00000000-0005-0000-0000-00004D0D0000}"/>
    <cellStyle name="Currency 5 5 2 5 3 2" xfId="14757" xr:uid="{E4EEC284-98BC-4A76-861D-6165D10DE4BA}"/>
    <cellStyle name="Currency 5 5 2 5 4" xfId="10539" xr:uid="{F001C471-3CBD-47B0-9FD3-4446125CE965}"/>
    <cellStyle name="Currency 5 5 2 6" xfId="2443" xr:uid="{00000000-0005-0000-0000-00004E0D0000}"/>
    <cellStyle name="Currency 5 5 2 6 2" xfId="6728" xr:uid="{00000000-0005-0000-0000-00004F0D0000}"/>
    <cellStyle name="Currency 5 5 2 6 2 2" xfId="15170" xr:uid="{EA5A488D-040F-4E28-AB33-76774316D429}"/>
    <cellStyle name="Currency 5 5 2 6 3" xfId="10952" xr:uid="{27F33ECE-5A94-49A0-B293-8248E31948A0}"/>
    <cellStyle name="Currency 5 5 2 7" xfId="2740" xr:uid="{00000000-0005-0000-0000-0000500D0000}"/>
    <cellStyle name="Currency 5 5 2 8" xfId="2821" xr:uid="{00000000-0005-0000-0000-0000510D0000}"/>
    <cellStyle name="Currency 5 5 2 8 2" xfId="7045" xr:uid="{00000000-0005-0000-0000-0000520D0000}"/>
    <cellStyle name="Currency 5 5 2 8 2 2" xfId="15487" xr:uid="{FCA7FABB-7A68-403E-AB4A-DD2EADB302B5}"/>
    <cellStyle name="Currency 5 5 2 8 3" xfId="11269" xr:uid="{C25C0763-C1A1-44C2-A528-15FBB0203BEB}"/>
    <cellStyle name="Currency 5 5 2 9" xfId="4662" xr:uid="{00000000-0005-0000-0000-0000530D0000}"/>
    <cellStyle name="Currency 5 5 2 9 2" xfId="13104" xr:uid="{C68E03E4-4EFB-4D86-BA90-B143F9FCDDB8}"/>
    <cellStyle name="Currency 5 5 3" xfId="745" xr:uid="{00000000-0005-0000-0000-0000540D0000}"/>
    <cellStyle name="Currency 5 5 3 2" xfId="2997" xr:uid="{00000000-0005-0000-0000-0000550D0000}"/>
    <cellStyle name="Currency 5 5 3 2 2" xfId="7220" xr:uid="{00000000-0005-0000-0000-0000560D0000}"/>
    <cellStyle name="Currency 5 5 3 2 2 2" xfId="15662" xr:uid="{525EB98C-41D2-4EF8-B414-5ADE076D1F72}"/>
    <cellStyle name="Currency 5 5 3 2 3" xfId="11444" xr:uid="{F9FFE48A-92FF-4594-8B17-37357368B055}"/>
    <cellStyle name="Currency 5 5 3 3" xfId="5075" xr:uid="{00000000-0005-0000-0000-0000570D0000}"/>
    <cellStyle name="Currency 5 5 3 3 2" xfId="13517" xr:uid="{C9B7C4FE-346C-492B-ACB2-66C0BBE7CC1E}"/>
    <cellStyle name="Currency 5 5 3 4" xfId="9299" xr:uid="{668BB9AD-2EA9-470E-9062-18015EFD7358}"/>
    <cellStyle name="Currency 5 5 4" xfId="1179" xr:uid="{00000000-0005-0000-0000-0000580D0000}"/>
    <cellStyle name="Currency 5 5 4 2" xfId="3410" xr:uid="{00000000-0005-0000-0000-0000590D0000}"/>
    <cellStyle name="Currency 5 5 4 2 2" xfId="7633" xr:uid="{00000000-0005-0000-0000-00005A0D0000}"/>
    <cellStyle name="Currency 5 5 4 2 2 2" xfId="16075" xr:uid="{A158AD9B-3A6E-4EF1-9F7B-8AF75A80CAE9}"/>
    <cellStyle name="Currency 5 5 4 2 3" xfId="11857" xr:uid="{B52C00E1-F45D-4D87-B92A-F04E8D5C1E46}"/>
    <cellStyle name="Currency 5 5 4 3" xfId="5488" xr:uid="{00000000-0005-0000-0000-00005B0D0000}"/>
    <cellStyle name="Currency 5 5 4 3 2" xfId="13930" xr:uid="{B3E07437-5CA9-4B5A-B263-B01726F6D84A}"/>
    <cellStyle name="Currency 5 5 4 4" xfId="9712" xr:uid="{4C61840B-E920-4C3B-BDCF-26FE01B4DF84}"/>
    <cellStyle name="Currency 5 5 5" xfId="1593" xr:uid="{00000000-0005-0000-0000-00005C0D0000}"/>
    <cellStyle name="Currency 5 5 5 2" xfId="3823" xr:uid="{00000000-0005-0000-0000-00005D0D0000}"/>
    <cellStyle name="Currency 5 5 5 2 2" xfId="8046" xr:uid="{00000000-0005-0000-0000-00005E0D0000}"/>
    <cellStyle name="Currency 5 5 5 2 2 2" xfId="16488" xr:uid="{730DAF11-FE97-457E-A444-AE5FE770948A}"/>
    <cellStyle name="Currency 5 5 5 2 3" xfId="12270" xr:uid="{64774A55-D450-4DC8-B50B-DDF0931000C6}"/>
    <cellStyle name="Currency 5 5 5 3" xfId="5901" xr:uid="{00000000-0005-0000-0000-00005F0D0000}"/>
    <cellStyle name="Currency 5 5 5 3 2" xfId="14343" xr:uid="{32CB56BA-E86B-4ADD-B213-C8D02AD3CF09}"/>
    <cellStyle name="Currency 5 5 5 4" xfId="10125" xr:uid="{9B5C3602-F56C-4179-BED5-8025129687AB}"/>
    <cellStyle name="Currency 5 5 6" xfId="2007" xr:uid="{00000000-0005-0000-0000-0000600D0000}"/>
    <cellStyle name="Currency 5 5 6 2" xfId="4236" xr:uid="{00000000-0005-0000-0000-0000610D0000}"/>
    <cellStyle name="Currency 5 5 6 2 2" xfId="8459" xr:uid="{00000000-0005-0000-0000-0000620D0000}"/>
    <cellStyle name="Currency 5 5 6 2 2 2" xfId="16901" xr:uid="{D78654CA-FE80-4C38-B792-81CB755A5D73}"/>
    <cellStyle name="Currency 5 5 6 2 3" xfId="12683" xr:uid="{35580C17-C4B5-4F99-9BD1-218C8ABE3F9B}"/>
    <cellStyle name="Currency 5 5 6 3" xfId="6314" xr:uid="{00000000-0005-0000-0000-0000630D0000}"/>
    <cellStyle name="Currency 5 5 6 3 2" xfId="14756" xr:uid="{F2EC0109-8379-4B2E-B5C4-2D6F650A5C22}"/>
    <cellStyle name="Currency 5 5 6 4" xfId="10538" xr:uid="{CC27D6ED-94E2-4F9B-ABD4-7C37A6EA8D64}"/>
    <cellStyle name="Currency 5 5 7" xfId="2442" xr:uid="{00000000-0005-0000-0000-0000640D0000}"/>
    <cellStyle name="Currency 5 5 7 2" xfId="6727" xr:uid="{00000000-0005-0000-0000-0000650D0000}"/>
    <cellStyle name="Currency 5 5 7 2 2" xfId="15169" xr:uid="{0F81376C-9DE6-41D7-AECF-BEB490F9C3F0}"/>
    <cellStyle name="Currency 5 5 7 3" xfId="10951" xr:uid="{C228621B-4672-4888-AC03-AB1476C00347}"/>
    <cellStyle name="Currency 5 5 8" xfId="2739" xr:uid="{00000000-0005-0000-0000-0000660D0000}"/>
    <cellStyle name="Currency 5 5 9" xfId="2820" xr:uid="{00000000-0005-0000-0000-0000670D0000}"/>
    <cellStyle name="Currency 5 5 9 2" xfId="7044" xr:uid="{00000000-0005-0000-0000-0000680D0000}"/>
    <cellStyle name="Currency 5 5 9 2 2" xfId="15486" xr:uid="{2C578C8A-9718-4214-BCDA-C261A635DCC8}"/>
    <cellStyle name="Currency 5 5 9 3" xfId="11268" xr:uid="{19E60F2C-7D89-4CE4-8230-A0D68BF73796}"/>
    <cellStyle name="Currency 5 6" xfId="221" xr:uid="{00000000-0005-0000-0000-0000690D0000}"/>
    <cellStyle name="Currency 5 6 10" xfId="8887" xr:uid="{A167F540-D3D6-4FB3-B080-13C6B0D7DAEF}"/>
    <cellStyle name="Currency 5 6 2" xfId="747" xr:uid="{00000000-0005-0000-0000-00006A0D0000}"/>
    <cellStyle name="Currency 5 6 2 2" xfId="2999" xr:uid="{00000000-0005-0000-0000-00006B0D0000}"/>
    <cellStyle name="Currency 5 6 2 2 2" xfId="7222" xr:uid="{00000000-0005-0000-0000-00006C0D0000}"/>
    <cellStyle name="Currency 5 6 2 2 2 2" xfId="15664" xr:uid="{FC613ABD-38EF-4682-AC1E-6C4FE090EA04}"/>
    <cellStyle name="Currency 5 6 2 2 3" xfId="11446" xr:uid="{2D09DAB9-45B3-4E42-803C-41AF37E85618}"/>
    <cellStyle name="Currency 5 6 2 3" xfId="5077" xr:uid="{00000000-0005-0000-0000-00006D0D0000}"/>
    <cellStyle name="Currency 5 6 2 3 2" xfId="13519" xr:uid="{4B5D56BE-56E1-47A0-9125-C8F13970F112}"/>
    <cellStyle name="Currency 5 6 2 4" xfId="9301" xr:uid="{696D06A1-AD44-4800-BA4C-1FA5F1BBEE96}"/>
    <cellStyle name="Currency 5 6 3" xfId="1181" xr:uid="{00000000-0005-0000-0000-00006E0D0000}"/>
    <cellStyle name="Currency 5 6 3 2" xfId="3412" xr:uid="{00000000-0005-0000-0000-00006F0D0000}"/>
    <cellStyle name="Currency 5 6 3 2 2" xfId="7635" xr:uid="{00000000-0005-0000-0000-0000700D0000}"/>
    <cellStyle name="Currency 5 6 3 2 2 2" xfId="16077" xr:uid="{F85CA3B6-36AC-4409-9892-974D23543081}"/>
    <cellStyle name="Currency 5 6 3 2 3" xfId="11859" xr:uid="{AD26C7B2-0AF5-4F19-B3E6-DF8936E1183B}"/>
    <cellStyle name="Currency 5 6 3 3" xfId="5490" xr:uid="{00000000-0005-0000-0000-0000710D0000}"/>
    <cellStyle name="Currency 5 6 3 3 2" xfId="13932" xr:uid="{B95BD67A-E787-47B9-9F3B-F4D8AE52CBA1}"/>
    <cellStyle name="Currency 5 6 3 4" xfId="9714" xr:uid="{F1B280A7-40F2-4FEC-83A2-64EA09467CBF}"/>
    <cellStyle name="Currency 5 6 4" xfId="1595" xr:uid="{00000000-0005-0000-0000-0000720D0000}"/>
    <cellStyle name="Currency 5 6 4 2" xfId="3825" xr:uid="{00000000-0005-0000-0000-0000730D0000}"/>
    <cellStyle name="Currency 5 6 4 2 2" xfId="8048" xr:uid="{00000000-0005-0000-0000-0000740D0000}"/>
    <cellStyle name="Currency 5 6 4 2 2 2" xfId="16490" xr:uid="{D73A0FEC-2A1E-4FC3-BDC0-EB0FD4A26922}"/>
    <cellStyle name="Currency 5 6 4 2 3" xfId="12272" xr:uid="{DDDB4757-A47A-41B4-88F1-B6D6A0EC096D}"/>
    <cellStyle name="Currency 5 6 4 3" xfId="5903" xr:uid="{00000000-0005-0000-0000-0000750D0000}"/>
    <cellStyle name="Currency 5 6 4 3 2" xfId="14345" xr:uid="{04B6D9F3-E2D3-4752-8560-10F245CD42A2}"/>
    <cellStyle name="Currency 5 6 4 4" xfId="10127" xr:uid="{4A86C7D1-1262-435B-9AC8-44383A7E8454}"/>
    <cellStyle name="Currency 5 6 5" xfId="2009" xr:uid="{00000000-0005-0000-0000-0000760D0000}"/>
    <cellStyle name="Currency 5 6 5 2" xfId="4238" xr:uid="{00000000-0005-0000-0000-0000770D0000}"/>
    <cellStyle name="Currency 5 6 5 2 2" xfId="8461" xr:uid="{00000000-0005-0000-0000-0000780D0000}"/>
    <cellStyle name="Currency 5 6 5 2 2 2" xfId="16903" xr:uid="{7C646A45-1A91-4078-ABAD-8616743646B4}"/>
    <cellStyle name="Currency 5 6 5 2 3" xfId="12685" xr:uid="{D65E369F-A6CE-473E-874A-78DAD05E3D62}"/>
    <cellStyle name="Currency 5 6 5 3" xfId="6316" xr:uid="{00000000-0005-0000-0000-0000790D0000}"/>
    <cellStyle name="Currency 5 6 5 3 2" xfId="14758" xr:uid="{7844425C-47D5-47A3-95EE-D40F335828EC}"/>
    <cellStyle name="Currency 5 6 5 4" xfId="10540" xr:uid="{C64935BA-2151-4763-92E5-E94D637D2960}"/>
    <cellStyle name="Currency 5 6 6" xfId="2444" xr:uid="{00000000-0005-0000-0000-00007A0D0000}"/>
    <cellStyle name="Currency 5 6 6 2" xfId="6729" xr:uid="{00000000-0005-0000-0000-00007B0D0000}"/>
    <cellStyle name="Currency 5 6 6 2 2" xfId="15171" xr:uid="{16A247EF-51B0-4416-87FF-594192089A7F}"/>
    <cellStyle name="Currency 5 6 6 3" xfId="10953" xr:uid="{F541723C-FB90-4428-908B-C21E68676A95}"/>
    <cellStyle name="Currency 5 6 7" xfId="2741" xr:uid="{00000000-0005-0000-0000-00007C0D0000}"/>
    <cellStyle name="Currency 5 6 8" xfId="2822" xr:uid="{00000000-0005-0000-0000-00007D0D0000}"/>
    <cellStyle name="Currency 5 6 8 2" xfId="7046" xr:uid="{00000000-0005-0000-0000-00007E0D0000}"/>
    <cellStyle name="Currency 5 6 8 2 2" xfId="15488" xr:uid="{D089A362-32E1-4316-BB38-6A0C2327F62B}"/>
    <cellStyle name="Currency 5 6 8 3" xfId="11270" xr:uid="{DA909801-AD86-45E5-9EE7-A0673EC08383}"/>
    <cellStyle name="Currency 5 6 9" xfId="4663" xr:uid="{00000000-0005-0000-0000-00007F0D0000}"/>
    <cellStyle name="Currency 5 6 9 2" xfId="13105" xr:uid="{7ED076CD-623E-4ADF-A5A3-D939FF77832E}"/>
    <cellStyle name="Currency 5 7" xfId="222" xr:uid="{00000000-0005-0000-0000-0000800D0000}"/>
    <cellStyle name="Currency 5 7 10" xfId="8888" xr:uid="{14D4F359-B0EE-4830-8778-34D46731EF94}"/>
    <cellStyle name="Currency 5 7 2" xfId="748" xr:uid="{00000000-0005-0000-0000-0000810D0000}"/>
    <cellStyle name="Currency 5 7 2 2" xfId="3000" xr:uid="{00000000-0005-0000-0000-0000820D0000}"/>
    <cellStyle name="Currency 5 7 2 2 2" xfId="7223" xr:uid="{00000000-0005-0000-0000-0000830D0000}"/>
    <cellStyle name="Currency 5 7 2 2 2 2" xfId="15665" xr:uid="{59A4DE60-814E-4EAD-B117-3C31C50F8A53}"/>
    <cellStyle name="Currency 5 7 2 2 3" xfId="11447" xr:uid="{6227E0D3-58FF-40A3-B9AA-1B116F78A33C}"/>
    <cellStyle name="Currency 5 7 2 3" xfId="5078" xr:uid="{00000000-0005-0000-0000-0000840D0000}"/>
    <cellStyle name="Currency 5 7 2 3 2" xfId="13520" xr:uid="{9D232D76-FC5F-4B73-85EA-96818E802E96}"/>
    <cellStyle name="Currency 5 7 2 4" xfId="9302" xr:uid="{C519CB9E-4406-4D88-8850-65993C1587D7}"/>
    <cellStyle name="Currency 5 7 3" xfId="1182" xr:uid="{00000000-0005-0000-0000-0000850D0000}"/>
    <cellStyle name="Currency 5 7 3 2" xfId="3413" xr:uid="{00000000-0005-0000-0000-0000860D0000}"/>
    <cellStyle name="Currency 5 7 3 2 2" xfId="7636" xr:uid="{00000000-0005-0000-0000-0000870D0000}"/>
    <cellStyle name="Currency 5 7 3 2 2 2" xfId="16078" xr:uid="{AB4BFE07-8A49-454D-A061-4948B29FBD06}"/>
    <cellStyle name="Currency 5 7 3 2 3" xfId="11860" xr:uid="{E99C2CDA-CB65-4998-963F-63A1F84215CA}"/>
    <cellStyle name="Currency 5 7 3 3" xfId="5491" xr:uid="{00000000-0005-0000-0000-0000880D0000}"/>
    <cellStyle name="Currency 5 7 3 3 2" xfId="13933" xr:uid="{F91B8825-36E5-483F-B24C-11914D9DB20B}"/>
    <cellStyle name="Currency 5 7 3 4" xfId="9715" xr:uid="{7AE96089-4F54-41C5-A0DE-AA5C18E24592}"/>
    <cellStyle name="Currency 5 7 4" xfId="1596" xr:uid="{00000000-0005-0000-0000-0000890D0000}"/>
    <cellStyle name="Currency 5 7 4 2" xfId="3826" xr:uid="{00000000-0005-0000-0000-00008A0D0000}"/>
    <cellStyle name="Currency 5 7 4 2 2" xfId="8049" xr:uid="{00000000-0005-0000-0000-00008B0D0000}"/>
    <cellStyle name="Currency 5 7 4 2 2 2" xfId="16491" xr:uid="{6928A737-B7A5-42F8-9082-739F3DA1DF0F}"/>
    <cellStyle name="Currency 5 7 4 2 3" xfId="12273" xr:uid="{26C3F1B9-F8F9-4334-A7A7-E6D142585B94}"/>
    <cellStyle name="Currency 5 7 4 3" xfId="5904" xr:uid="{00000000-0005-0000-0000-00008C0D0000}"/>
    <cellStyle name="Currency 5 7 4 3 2" xfId="14346" xr:uid="{82D46376-6713-490C-A779-201180018CCA}"/>
    <cellStyle name="Currency 5 7 4 4" xfId="10128" xr:uid="{45E3C8E1-C055-456D-AF1A-6E9A00E81C5A}"/>
    <cellStyle name="Currency 5 7 5" xfId="2010" xr:uid="{00000000-0005-0000-0000-00008D0D0000}"/>
    <cellStyle name="Currency 5 7 5 2" xfId="4239" xr:uid="{00000000-0005-0000-0000-00008E0D0000}"/>
    <cellStyle name="Currency 5 7 5 2 2" xfId="8462" xr:uid="{00000000-0005-0000-0000-00008F0D0000}"/>
    <cellStyle name="Currency 5 7 5 2 2 2" xfId="16904" xr:uid="{75A626CE-5299-471E-8AAE-459F54B2BFC2}"/>
    <cellStyle name="Currency 5 7 5 2 3" xfId="12686" xr:uid="{DFBFED7D-9B9B-410D-A400-734F56056412}"/>
    <cellStyle name="Currency 5 7 5 3" xfId="6317" xr:uid="{00000000-0005-0000-0000-0000900D0000}"/>
    <cellStyle name="Currency 5 7 5 3 2" xfId="14759" xr:uid="{6FAD67AF-1B8F-4D4D-AD4D-AFB05FC0E3EC}"/>
    <cellStyle name="Currency 5 7 5 4" xfId="10541" xr:uid="{51E7C840-7C77-41A8-A20B-FF0EF6BEB588}"/>
    <cellStyle name="Currency 5 7 6" xfId="2445" xr:uid="{00000000-0005-0000-0000-0000910D0000}"/>
    <cellStyle name="Currency 5 7 6 2" xfId="6730" xr:uid="{00000000-0005-0000-0000-0000920D0000}"/>
    <cellStyle name="Currency 5 7 6 2 2" xfId="15172" xr:uid="{F6ABCAF8-3AD6-44F9-BE6B-F1A02BD96973}"/>
    <cellStyle name="Currency 5 7 6 3" xfId="10954" xr:uid="{FC227B15-16CD-4D55-AF62-BE513DA35033}"/>
    <cellStyle name="Currency 5 7 7" xfId="2742" xr:uid="{00000000-0005-0000-0000-0000930D0000}"/>
    <cellStyle name="Currency 5 7 8" xfId="2823" xr:uid="{00000000-0005-0000-0000-0000940D0000}"/>
    <cellStyle name="Currency 5 7 8 2" xfId="7047" xr:uid="{00000000-0005-0000-0000-0000950D0000}"/>
    <cellStyle name="Currency 5 7 8 2 2" xfId="15489" xr:uid="{5A622665-86EC-4F3A-ADDB-2BAAA2917959}"/>
    <cellStyle name="Currency 5 7 8 3" xfId="11271" xr:uid="{2A4CBCB3-CD28-4DA2-9EE8-0E6A5DC832CF}"/>
    <cellStyle name="Currency 5 7 9" xfId="4664" xr:uid="{00000000-0005-0000-0000-0000960D0000}"/>
    <cellStyle name="Currency 5 7 9 2" xfId="13106" xr:uid="{C8E4F465-6F5E-49D7-9A43-58C3C76DD899}"/>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0 2 2" xfId="15173" xr:uid="{383C3959-F2DE-4DC7-B6F5-42C6703C7ADA}"/>
    <cellStyle name="Normal 12 10 3" xfId="10955" xr:uid="{77C19110-C509-4DA3-8E5E-A794F54727FF}"/>
    <cellStyle name="Normal 12 11" xfId="4665" xr:uid="{00000000-0005-0000-0000-0000CC0D0000}"/>
    <cellStyle name="Normal 12 11 2" xfId="13107" xr:uid="{20FA443F-F7EF-4FA5-944A-BE4D74A3EDB6}"/>
    <cellStyle name="Normal 12 12" xfId="8889" xr:uid="{152D5E64-FC85-4210-8635-436E9648F418}"/>
    <cellStyle name="Normal 12 2" xfId="260" xr:uid="{00000000-0005-0000-0000-0000CD0D0000}"/>
    <cellStyle name="Normal 12 2 10" xfId="8890" xr:uid="{FE8BEFC1-B270-4449-958B-90A2BC667288}"/>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2 2 2" xfId="15669" xr:uid="{A95BD488-6A09-4D07-875A-ECD04CC108B9}"/>
    <cellStyle name="Normal 12 2 2 2 2 2 3" xfId="11451" xr:uid="{24B4046D-1BF7-4010-A403-A8D71808DB35}"/>
    <cellStyle name="Normal 12 2 2 2 2 3" xfId="5082" xr:uid="{00000000-0005-0000-0000-0000D30D0000}"/>
    <cellStyle name="Normal 12 2 2 2 2 3 2" xfId="13524" xr:uid="{92FBB6B1-2A99-4A65-A978-8046C60FB261}"/>
    <cellStyle name="Normal 12 2 2 2 2 4" xfId="9306" xr:uid="{F40C40B5-0500-41B8-888B-08DF0A31D120}"/>
    <cellStyle name="Normal 12 2 2 2 3" xfId="1186" xr:uid="{00000000-0005-0000-0000-0000D40D0000}"/>
    <cellStyle name="Normal 12 2 2 2 3 2" xfId="3417" xr:uid="{00000000-0005-0000-0000-0000D50D0000}"/>
    <cellStyle name="Normal 12 2 2 2 3 2 2" xfId="7640" xr:uid="{00000000-0005-0000-0000-0000D60D0000}"/>
    <cellStyle name="Normal 12 2 2 2 3 2 2 2" xfId="16082" xr:uid="{79C0392A-41DA-4D44-B5E2-F3901C6D750E}"/>
    <cellStyle name="Normal 12 2 2 2 3 2 3" xfId="11864" xr:uid="{6FFC3418-D21D-4D6C-97F6-C5C95C57349B}"/>
    <cellStyle name="Normal 12 2 2 2 3 3" xfId="5495" xr:uid="{00000000-0005-0000-0000-0000D70D0000}"/>
    <cellStyle name="Normal 12 2 2 2 3 3 2" xfId="13937" xr:uid="{12390A14-7019-4DD8-A2BE-13862F8E0F22}"/>
    <cellStyle name="Normal 12 2 2 2 3 4" xfId="9719" xr:uid="{4F498335-1D80-40CE-A381-7C1C7D3D23DF}"/>
    <cellStyle name="Normal 12 2 2 2 4" xfId="1600" xr:uid="{00000000-0005-0000-0000-0000D80D0000}"/>
    <cellStyle name="Normal 12 2 2 2 4 2" xfId="3830" xr:uid="{00000000-0005-0000-0000-0000D90D0000}"/>
    <cellStyle name="Normal 12 2 2 2 4 2 2" xfId="8053" xr:uid="{00000000-0005-0000-0000-0000DA0D0000}"/>
    <cellStyle name="Normal 12 2 2 2 4 2 2 2" xfId="16495" xr:uid="{B78A95B5-5D01-4C5D-932C-2AA9D2782A04}"/>
    <cellStyle name="Normal 12 2 2 2 4 2 3" xfId="12277" xr:uid="{B81BF386-E03D-4BE0-8283-0E24F1777DF9}"/>
    <cellStyle name="Normal 12 2 2 2 4 3" xfId="5908" xr:uid="{00000000-0005-0000-0000-0000DB0D0000}"/>
    <cellStyle name="Normal 12 2 2 2 4 3 2" xfId="14350" xr:uid="{A518996D-2D72-4D9E-ADE1-5F79461536E3}"/>
    <cellStyle name="Normal 12 2 2 2 4 4" xfId="10132" xr:uid="{92C8CF77-276C-4B19-BC25-F28F62972C46}"/>
    <cellStyle name="Normal 12 2 2 2 5" xfId="2014" xr:uid="{00000000-0005-0000-0000-0000DC0D0000}"/>
    <cellStyle name="Normal 12 2 2 2 5 2" xfId="4243" xr:uid="{00000000-0005-0000-0000-0000DD0D0000}"/>
    <cellStyle name="Normal 12 2 2 2 5 2 2" xfId="8466" xr:uid="{00000000-0005-0000-0000-0000DE0D0000}"/>
    <cellStyle name="Normal 12 2 2 2 5 2 2 2" xfId="16908" xr:uid="{FCBAE2F1-98E8-459E-99D1-9E239E278B5F}"/>
    <cellStyle name="Normal 12 2 2 2 5 2 3" xfId="12690" xr:uid="{757C0651-73BC-4FA6-A547-4FB3E744329F}"/>
    <cellStyle name="Normal 12 2 2 2 5 3" xfId="6321" xr:uid="{00000000-0005-0000-0000-0000DF0D0000}"/>
    <cellStyle name="Normal 12 2 2 2 5 3 2" xfId="14763" xr:uid="{CFE45CAD-00B3-4543-A015-4B48486F4F62}"/>
    <cellStyle name="Normal 12 2 2 2 5 4" xfId="10545" xr:uid="{23303488-B17D-475A-84A9-8A7D8858094B}"/>
    <cellStyle name="Normal 12 2 2 2 6" xfId="2450" xr:uid="{00000000-0005-0000-0000-0000E00D0000}"/>
    <cellStyle name="Normal 12 2 2 2 6 2" xfId="6734" xr:uid="{00000000-0005-0000-0000-0000E10D0000}"/>
    <cellStyle name="Normal 12 2 2 2 6 2 2" xfId="15176" xr:uid="{ECAC1EE0-3D93-4DDD-A0C1-4368DEE109E6}"/>
    <cellStyle name="Normal 12 2 2 2 6 3" xfId="10958" xr:uid="{FC860723-1548-4CD0-A528-654DF2D6C11E}"/>
    <cellStyle name="Normal 12 2 2 2 7" xfId="4668" xr:uid="{00000000-0005-0000-0000-0000E20D0000}"/>
    <cellStyle name="Normal 12 2 2 2 7 2" xfId="13110" xr:uid="{3B77D9DF-CE74-42DF-947D-0C379E55D900}"/>
    <cellStyle name="Normal 12 2 2 2 8" xfId="8892" xr:uid="{62F3D6D2-657F-4B32-B7CD-2E21A5D08E8B}"/>
    <cellStyle name="Normal 12 2 2 3" xfId="762" xr:uid="{00000000-0005-0000-0000-0000E30D0000}"/>
    <cellStyle name="Normal 12 2 2 3 2" xfId="3003" xr:uid="{00000000-0005-0000-0000-0000E40D0000}"/>
    <cellStyle name="Normal 12 2 2 3 2 2" xfId="7226" xr:uid="{00000000-0005-0000-0000-0000E50D0000}"/>
    <cellStyle name="Normal 12 2 2 3 2 2 2" xfId="15668" xr:uid="{8457268C-0415-4F4D-AC66-68C4FB2DDC5B}"/>
    <cellStyle name="Normal 12 2 2 3 2 3" xfId="11450" xr:uid="{79671107-E967-4971-B3DC-3E0891811C51}"/>
    <cellStyle name="Normal 12 2 2 3 3" xfId="5081" xr:uid="{00000000-0005-0000-0000-0000E60D0000}"/>
    <cellStyle name="Normal 12 2 2 3 3 2" xfId="13523" xr:uid="{42B44B05-AF9B-477D-BA58-3FE41ABE798E}"/>
    <cellStyle name="Normal 12 2 2 3 4" xfId="9305" xr:uid="{1D6FF8A0-3AB8-4578-94C2-B29719E0232D}"/>
    <cellStyle name="Normal 12 2 2 4" xfId="1185" xr:uid="{00000000-0005-0000-0000-0000E70D0000}"/>
    <cellStyle name="Normal 12 2 2 4 2" xfId="3416" xr:uid="{00000000-0005-0000-0000-0000E80D0000}"/>
    <cellStyle name="Normal 12 2 2 4 2 2" xfId="7639" xr:uid="{00000000-0005-0000-0000-0000E90D0000}"/>
    <cellStyle name="Normal 12 2 2 4 2 2 2" xfId="16081" xr:uid="{610099D0-8948-4B77-85E7-38397CBF6FB7}"/>
    <cellStyle name="Normal 12 2 2 4 2 3" xfId="11863" xr:uid="{05CFE947-614F-493C-B067-66359F3871DE}"/>
    <cellStyle name="Normal 12 2 2 4 3" xfId="5494" xr:uid="{00000000-0005-0000-0000-0000EA0D0000}"/>
    <cellStyle name="Normal 12 2 2 4 3 2" xfId="13936" xr:uid="{4789596B-A51E-459E-B4D9-2607986CDD64}"/>
    <cellStyle name="Normal 12 2 2 4 4" xfId="9718" xr:uid="{3F44E8B5-CD8F-4CE4-99D3-2075E2E90988}"/>
    <cellStyle name="Normal 12 2 2 5" xfId="1599" xr:uid="{00000000-0005-0000-0000-0000EB0D0000}"/>
    <cellStyle name="Normal 12 2 2 5 2" xfId="3829" xr:uid="{00000000-0005-0000-0000-0000EC0D0000}"/>
    <cellStyle name="Normal 12 2 2 5 2 2" xfId="8052" xr:uid="{00000000-0005-0000-0000-0000ED0D0000}"/>
    <cellStyle name="Normal 12 2 2 5 2 2 2" xfId="16494" xr:uid="{248FD8BF-DA47-4377-8597-DF8CB589EDA2}"/>
    <cellStyle name="Normal 12 2 2 5 2 3" xfId="12276" xr:uid="{850E69DE-5DFE-43F6-8139-226BD60F6291}"/>
    <cellStyle name="Normal 12 2 2 5 3" xfId="5907" xr:uid="{00000000-0005-0000-0000-0000EE0D0000}"/>
    <cellStyle name="Normal 12 2 2 5 3 2" xfId="14349" xr:uid="{0DE454F5-6337-4867-AEB7-FC16761F24DF}"/>
    <cellStyle name="Normal 12 2 2 5 4" xfId="10131" xr:uid="{05684D29-6B75-4EB2-92A0-A5849EAF7AB7}"/>
    <cellStyle name="Normal 12 2 2 6" xfId="2013" xr:uid="{00000000-0005-0000-0000-0000EF0D0000}"/>
    <cellStyle name="Normal 12 2 2 6 2" xfId="4242" xr:uid="{00000000-0005-0000-0000-0000F00D0000}"/>
    <cellStyle name="Normal 12 2 2 6 2 2" xfId="8465" xr:uid="{00000000-0005-0000-0000-0000F10D0000}"/>
    <cellStyle name="Normal 12 2 2 6 2 2 2" xfId="16907" xr:uid="{8C8573CC-2658-46A9-8EC1-E62EB3291B23}"/>
    <cellStyle name="Normal 12 2 2 6 2 3" xfId="12689" xr:uid="{3CDB5CE0-BB80-4391-9D3F-2044C9E5132E}"/>
    <cellStyle name="Normal 12 2 2 6 3" xfId="6320" xr:uid="{00000000-0005-0000-0000-0000F20D0000}"/>
    <cellStyle name="Normal 12 2 2 6 3 2" xfId="14762" xr:uid="{356FCB64-F4EA-4E8C-84CC-6600C0290C56}"/>
    <cellStyle name="Normal 12 2 2 6 4" xfId="10544" xr:uid="{8FF0709E-75DB-4ABA-A806-4444D027435C}"/>
    <cellStyle name="Normal 12 2 2 7" xfId="2449" xr:uid="{00000000-0005-0000-0000-0000F30D0000}"/>
    <cellStyle name="Normal 12 2 2 7 2" xfId="6733" xr:uid="{00000000-0005-0000-0000-0000F40D0000}"/>
    <cellStyle name="Normal 12 2 2 7 2 2" xfId="15175" xr:uid="{247B2C95-D32E-4345-98EA-E9FD70609116}"/>
    <cellStyle name="Normal 12 2 2 7 3" xfId="10957" xr:uid="{B25F2397-406C-4945-8DC1-1D417592FAC4}"/>
    <cellStyle name="Normal 12 2 2 8" xfId="4667" xr:uid="{00000000-0005-0000-0000-0000F50D0000}"/>
    <cellStyle name="Normal 12 2 2 8 2" xfId="13109" xr:uid="{D9DF1236-A53C-40FB-ABBC-59E7B25835A8}"/>
    <cellStyle name="Normal 12 2 2 9" xfId="8891" xr:uid="{37D5CBF7-231F-4AEE-898E-8D66DB88F925}"/>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2 2 2" xfId="15670" xr:uid="{34425ECF-585D-4D23-BEAB-44E0B0FA7929}"/>
    <cellStyle name="Normal 12 2 3 2 2 3" xfId="11452" xr:uid="{0284D0AF-1182-4FD1-9212-B3D70577D244}"/>
    <cellStyle name="Normal 12 2 3 2 3" xfId="5083" xr:uid="{00000000-0005-0000-0000-0000FA0D0000}"/>
    <cellStyle name="Normal 12 2 3 2 3 2" xfId="13525" xr:uid="{923C0496-5F05-4515-A67E-1F3858B6E1A2}"/>
    <cellStyle name="Normal 12 2 3 2 4" xfId="9307" xr:uid="{0C088901-6512-457E-A3CA-B5291FB0AB3F}"/>
    <cellStyle name="Normal 12 2 3 3" xfId="1187" xr:uid="{00000000-0005-0000-0000-0000FB0D0000}"/>
    <cellStyle name="Normal 12 2 3 3 2" xfId="3418" xr:uid="{00000000-0005-0000-0000-0000FC0D0000}"/>
    <cellStyle name="Normal 12 2 3 3 2 2" xfId="7641" xr:uid="{00000000-0005-0000-0000-0000FD0D0000}"/>
    <cellStyle name="Normal 12 2 3 3 2 2 2" xfId="16083" xr:uid="{38C5B7A6-271B-4DBF-BC14-DD1A7BD9AD53}"/>
    <cellStyle name="Normal 12 2 3 3 2 3" xfId="11865" xr:uid="{6DD07900-C2F2-4828-A589-B4DEE53877AA}"/>
    <cellStyle name="Normal 12 2 3 3 3" xfId="5496" xr:uid="{00000000-0005-0000-0000-0000FE0D0000}"/>
    <cellStyle name="Normal 12 2 3 3 3 2" xfId="13938" xr:uid="{F2B757F1-3210-4024-82FA-05891F48664F}"/>
    <cellStyle name="Normal 12 2 3 3 4" xfId="9720" xr:uid="{59E641F8-9722-4138-BDFF-9BCB2476DABF}"/>
    <cellStyle name="Normal 12 2 3 4" xfId="1601" xr:uid="{00000000-0005-0000-0000-0000FF0D0000}"/>
    <cellStyle name="Normal 12 2 3 4 2" xfId="3831" xr:uid="{00000000-0005-0000-0000-0000000E0000}"/>
    <cellStyle name="Normal 12 2 3 4 2 2" xfId="8054" xr:uid="{00000000-0005-0000-0000-0000010E0000}"/>
    <cellStyle name="Normal 12 2 3 4 2 2 2" xfId="16496" xr:uid="{88A895A9-E24A-4C3B-936F-C90E26CB07E7}"/>
    <cellStyle name="Normal 12 2 3 4 2 3" xfId="12278" xr:uid="{CDFA7CAA-0246-40B0-809F-0302AE36E5DC}"/>
    <cellStyle name="Normal 12 2 3 4 3" xfId="5909" xr:uid="{00000000-0005-0000-0000-0000020E0000}"/>
    <cellStyle name="Normal 12 2 3 4 3 2" xfId="14351" xr:uid="{E52E3227-6D12-4BB0-9F9B-7C0C770C224B}"/>
    <cellStyle name="Normal 12 2 3 4 4" xfId="10133" xr:uid="{E7D4E5F1-3F7A-445F-BD6B-18F15D587C41}"/>
    <cellStyle name="Normal 12 2 3 5" xfId="2015" xr:uid="{00000000-0005-0000-0000-0000030E0000}"/>
    <cellStyle name="Normal 12 2 3 5 2" xfId="4244" xr:uid="{00000000-0005-0000-0000-0000040E0000}"/>
    <cellStyle name="Normal 12 2 3 5 2 2" xfId="8467" xr:uid="{00000000-0005-0000-0000-0000050E0000}"/>
    <cellStyle name="Normal 12 2 3 5 2 2 2" xfId="16909" xr:uid="{C862B7D0-011F-44D2-A4DF-E3B7497DBEC1}"/>
    <cellStyle name="Normal 12 2 3 5 2 3" xfId="12691" xr:uid="{D9CBE79A-A28E-49F5-B368-C3B4F0B3EB66}"/>
    <cellStyle name="Normal 12 2 3 5 3" xfId="6322" xr:uid="{00000000-0005-0000-0000-0000060E0000}"/>
    <cellStyle name="Normal 12 2 3 5 3 2" xfId="14764" xr:uid="{C252981E-6463-4DC3-A46F-E12B41B8B84B}"/>
    <cellStyle name="Normal 12 2 3 5 4" xfId="10546" xr:uid="{9164FCE4-F5E2-49FE-811D-7BA82A224377}"/>
    <cellStyle name="Normal 12 2 3 6" xfId="2451" xr:uid="{00000000-0005-0000-0000-0000070E0000}"/>
    <cellStyle name="Normal 12 2 3 6 2" xfId="6735" xr:uid="{00000000-0005-0000-0000-0000080E0000}"/>
    <cellStyle name="Normal 12 2 3 6 2 2" xfId="15177" xr:uid="{43F1033A-C922-48B1-AB9E-54D9FE6D662F}"/>
    <cellStyle name="Normal 12 2 3 6 3" xfId="10959" xr:uid="{C0DA5A66-423B-467B-BCE0-D19EE442E278}"/>
    <cellStyle name="Normal 12 2 3 7" xfId="4669" xr:uid="{00000000-0005-0000-0000-0000090E0000}"/>
    <cellStyle name="Normal 12 2 3 7 2" xfId="13111" xr:uid="{6B3A413B-9B9B-4206-8039-B8D48985B3B4}"/>
    <cellStyle name="Normal 12 2 3 8" xfId="8893" xr:uid="{ABED5B39-66B4-4C10-ABFD-065F8DDF02CD}"/>
    <cellStyle name="Normal 12 2 4" xfId="761" xr:uid="{00000000-0005-0000-0000-00000A0E0000}"/>
    <cellStyle name="Normal 12 2 4 2" xfId="3002" xr:uid="{00000000-0005-0000-0000-00000B0E0000}"/>
    <cellStyle name="Normal 12 2 4 2 2" xfId="7225" xr:uid="{00000000-0005-0000-0000-00000C0E0000}"/>
    <cellStyle name="Normal 12 2 4 2 2 2" xfId="15667" xr:uid="{BBEB3B76-3B5C-4886-B55B-78836EFEB89A}"/>
    <cellStyle name="Normal 12 2 4 2 3" xfId="11449" xr:uid="{145F91B1-91DD-48C5-ACAB-D95357480189}"/>
    <cellStyle name="Normal 12 2 4 3" xfId="5080" xr:uid="{00000000-0005-0000-0000-00000D0E0000}"/>
    <cellStyle name="Normal 12 2 4 3 2" xfId="13522" xr:uid="{3687116A-BD25-4B62-BD9D-271FEFEE2F1E}"/>
    <cellStyle name="Normal 12 2 4 4" xfId="9304" xr:uid="{2A63B8D1-FF69-4A56-B53A-23BAE78D576B}"/>
    <cellStyle name="Normal 12 2 5" xfId="1184" xr:uid="{00000000-0005-0000-0000-00000E0E0000}"/>
    <cellStyle name="Normal 12 2 5 2" xfId="3415" xr:uid="{00000000-0005-0000-0000-00000F0E0000}"/>
    <cellStyle name="Normal 12 2 5 2 2" xfId="7638" xr:uid="{00000000-0005-0000-0000-0000100E0000}"/>
    <cellStyle name="Normal 12 2 5 2 2 2" xfId="16080" xr:uid="{A90EBBF9-D07A-43BC-8F67-CA4FB93220A6}"/>
    <cellStyle name="Normal 12 2 5 2 3" xfId="11862" xr:uid="{074201A1-2FA9-4E80-A8C3-877E3DB00964}"/>
    <cellStyle name="Normal 12 2 5 3" xfId="5493" xr:uid="{00000000-0005-0000-0000-0000110E0000}"/>
    <cellStyle name="Normal 12 2 5 3 2" xfId="13935" xr:uid="{3926B602-99C1-4127-9611-48947DBCA605}"/>
    <cellStyle name="Normal 12 2 5 4" xfId="9717" xr:uid="{BD0F80FD-2CE3-4F2A-8982-29A27FABA498}"/>
    <cellStyle name="Normal 12 2 6" xfId="1598" xr:uid="{00000000-0005-0000-0000-0000120E0000}"/>
    <cellStyle name="Normal 12 2 6 2" xfId="3828" xr:uid="{00000000-0005-0000-0000-0000130E0000}"/>
    <cellStyle name="Normal 12 2 6 2 2" xfId="8051" xr:uid="{00000000-0005-0000-0000-0000140E0000}"/>
    <cellStyle name="Normal 12 2 6 2 2 2" xfId="16493" xr:uid="{507644BC-5CC2-42AD-8744-51ACC69BB909}"/>
    <cellStyle name="Normal 12 2 6 2 3" xfId="12275" xr:uid="{304606B2-303E-448D-B368-C536F05FA13D}"/>
    <cellStyle name="Normal 12 2 6 3" xfId="5906" xr:uid="{00000000-0005-0000-0000-0000150E0000}"/>
    <cellStyle name="Normal 12 2 6 3 2" xfId="14348" xr:uid="{FF4596D9-0D8C-4446-9D30-F32B98E99B03}"/>
    <cellStyle name="Normal 12 2 6 4" xfId="10130" xr:uid="{5D430E97-689E-4975-B1FF-D352B9CBA131}"/>
    <cellStyle name="Normal 12 2 7" xfId="2012" xr:uid="{00000000-0005-0000-0000-0000160E0000}"/>
    <cellStyle name="Normal 12 2 7 2" xfId="4241" xr:uid="{00000000-0005-0000-0000-0000170E0000}"/>
    <cellStyle name="Normal 12 2 7 2 2" xfId="8464" xr:uid="{00000000-0005-0000-0000-0000180E0000}"/>
    <cellStyle name="Normal 12 2 7 2 2 2" xfId="16906" xr:uid="{D68C884A-2F68-462F-B5D6-3B77094BE0A1}"/>
    <cellStyle name="Normal 12 2 7 2 3" xfId="12688" xr:uid="{986207E7-D68F-4C37-A0EC-EF026C794A65}"/>
    <cellStyle name="Normal 12 2 7 3" xfId="6319" xr:uid="{00000000-0005-0000-0000-0000190E0000}"/>
    <cellStyle name="Normal 12 2 7 3 2" xfId="14761" xr:uid="{11047D3D-AC1A-43F8-85CE-AB26A6966104}"/>
    <cellStyle name="Normal 12 2 7 4" xfId="10543" xr:uid="{30291FAF-619D-481C-8540-046F043ABB7F}"/>
    <cellStyle name="Normal 12 2 8" xfId="2448" xr:uid="{00000000-0005-0000-0000-00001A0E0000}"/>
    <cellStyle name="Normal 12 2 8 2" xfId="6732" xr:uid="{00000000-0005-0000-0000-00001B0E0000}"/>
    <cellStyle name="Normal 12 2 8 2 2" xfId="15174" xr:uid="{2CC54982-CA8B-4A99-876E-0BBC8008940C}"/>
    <cellStyle name="Normal 12 2 8 3" xfId="10956" xr:uid="{3C116E12-7692-470C-BCC0-2B697E0CFBF1}"/>
    <cellStyle name="Normal 12 2 9" xfId="4666" xr:uid="{00000000-0005-0000-0000-00001C0E0000}"/>
    <cellStyle name="Normal 12 2 9 2" xfId="13108" xr:uid="{0FC874C3-0E3B-4DDB-83D6-DD60BF6747C5}"/>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2 2 2" xfId="15672" xr:uid="{5F5C5939-A15D-4702-AA8E-D77872F67134}"/>
    <cellStyle name="Normal 12 3 2 2 2 3" xfId="11454" xr:uid="{C2750AD5-2E0B-4654-BD63-557606F1C4E8}"/>
    <cellStyle name="Normal 12 3 2 2 3" xfId="5085" xr:uid="{00000000-0005-0000-0000-0000220E0000}"/>
    <cellStyle name="Normal 12 3 2 2 3 2" xfId="13527" xr:uid="{B7DEE5FB-1332-479B-8309-2A52A8844038}"/>
    <cellStyle name="Normal 12 3 2 2 4" xfId="9309" xr:uid="{02E56500-8196-4778-A2FD-49CC14D7084D}"/>
    <cellStyle name="Normal 12 3 2 3" xfId="1189" xr:uid="{00000000-0005-0000-0000-0000230E0000}"/>
    <cellStyle name="Normal 12 3 2 3 2" xfId="3420" xr:uid="{00000000-0005-0000-0000-0000240E0000}"/>
    <cellStyle name="Normal 12 3 2 3 2 2" xfId="7643" xr:uid="{00000000-0005-0000-0000-0000250E0000}"/>
    <cellStyle name="Normal 12 3 2 3 2 2 2" xfId="16085" xr:uid="{42E6BBC0-4FBD-4262-90F8-EB5B9EC0E928}"/>
    <cellStyle name="Normal 12 3 2 3 2 3" xfId="11867" xr:uid="{858D087B-0512-4A0D-B93F-4A7A8841A435}"/>
    <cellStyle name="Normal 12 3 2 3 3" xfId="5498" xr:uid="{00000000-0005-0000-0000-0000260E0000}"/>
    <cellStyle name="Normal 12 3 2 3 3 2" xfId="13940" xr:uid="{5B5E2EA8-BE4A-4C1B-A129-DA739FBB88D9}"/>
    <cellStyle name="Normal 12 3 2 3 4" xfId="9722" xr:uid="{4CE80811-2586-48B7-830D-C40E27D638C1}"/>
    <cellStyle name="Normal 12 3 2 4" xfId="1603" xr:uid="{00000000-0005-0000-0000-0000270E0000}"/>
    <cellStyle name="Normal 12 3 2 4 2" xfId="3833" xr:uid="{00000000-0005-0000-0000-0000280E0000}"/>
    <cellStyle name="Normal 12 3 2 4 2 2" xfId="8056" xr:uid="{00000000-0005-0000-0000-0000290E0000}"/>
    <cellStyle name="Normal 12 3 2 4 2 2 2" xfId="16498" xr:uid="{2B2A472C-8985-4A4C-927A-F01104CA6D87}"/>
    <cellStyle name="Normal 12 3 2 4 2 3" xfId="12280" xr:uid="{68ABA345-E4C5-47C5-8A62-C6F8000650BC}"/>
    <cellStyle name="Normal 12 3 2 4 3" xfId="5911" xr:uid="{00000000-0005-0000-0000-00002A0E0000}"/>
    <cellStyle name="Normal 12 3 2 4 3 2" xfId="14353" xr:uid="{DA6CCF95-6BE5-4349-BF69-39ACE65A95A8}"/>
    <cellStyle name="Normal 12 3 2 4 4" xfId="10135" xr:uid="{5CB1DFEE-EF43-4137-97F7-88E3B86F9312}"/>
    <cellStyle name="Normal 12 3 2 5" xfId="2017" xr:uid="{00000000-0005-0000-0000-00002B0E0000}"/>
    <cellStyle name="Normal 12 3 2 5 2" xfId="4246" xr:uid="{00000000-0005-0000-0000-00002C0E0000}"/>
    <cellStyle name="Normal 12 3 2 5 2 2" xfId="8469" xr:uid="{00000000-0005-0000-0000-00002D0E0000}"/>
    <cellStyle name="Normal 12 3 2 5 2 2 2" xfId="16911" xr:uid="{E3E2249D-74FB-4E6F-AFC2-F23306C72FE3}"/>
    <cellStyle name="Normal 12 3 2 5 2 3" xfId="12693" xr:uid="{14E85331-932D-449A-B86F-AFE0419B5DB3}"/>
    <cellStyle name="Normal 12 3 2 5 3" xfId="6324" xr:uid="{00000000-0005-0000-0000-00002E0E0000}"/>
    <cellStyle name="Normal 12 3 2 5 3 2" xfId="14766" xr:uid="{4C7BC5E4-B72A-4C8D-B211-699579F67BE3}"/>
    <cellStyle name="Normal 12 3 2 5 4" xfId="10548" xr:uid="{2C127FA1-2FD7-4FAD-B47C-784EB1CED611}"/>
    <cellStyle name="Normal 12 3 2 6" xfId="2453" xr:uid="{00000000-0005-0000-0000-00002F0E0000}"/>
    <cellStyle name="Normal 12 3 2 6 2" xfId="6737" xr:uid="{00000000-0005-0000-0000-0000300E0000}"/>
    <cellStyle name="Normal 12 3 2 6 2 2" xfId="15179" xr:uid="{1F91AB15-63F3-433C-95E4-BC6783AD39DF}"/>
    <cellStyle name="Normal 12 3 2 6 3" xfId="10961" xr:uid="{BF2E65AD-C678-487E-9E01-13110CFCB37A}"/>
    <cellStyle name="Normal 12 3 2 7" xfId="4671" xr:uid="{00000000-0005-0000-0000-0000310E0000}"/>
    <cellStyle name="Normal 12 3 2 7 2" xfId="13113" xr:uid="{080AFF39-9009-4703-8042-44BC74A62086}"/>
    <cellStyle name="Normal 12 3 2 8" xfId="8895" xr:uid="{798B7F1A-1453-4792-9F15-998EE5999F4A}"/>
    <cellStyle name="Normal 12 3 3" xfId="765" xr:uid="{00000000-0005-0000-0000-0000320E0000}"/>
    <cellStyle name="Normal 12 3 3 2" xfId="3006" xr:uid="{00000000-0005-0000-0000-0000330E0000}"/>
    <cellStyle name="Normal 12 3 3 2 2" xfId="7229" xr:uid="{00000000-0005-0000-0000-0000340E0000}"/>
    <cellStyle name="Normal 12 3 3 2 2 2" xfId="15671" xr:uid="{31FFA9A3-70FD-44A1-A5D9-94DD12F1ADD3}"/>
    <cellStyle name="Normal 12 3 3 2 3" xfId="11453" xr:uid="{27B8A2D5-83E6-4254-8E54-ABFCEF07C8D7}"/>
    <cellStyle name="Normal 12 3 3 3" xfId="5084" xr:uid="{00000000-0005-0000-0000-0000350E0000}"/>
    <cellStyle name="Normal 12 3 3 3 2" xfId="13526" xr:uid="{FAC12807-1404-41A3-8B11-323B9D8D1F43}"/>
    <cellStyle name="Normal 12 3 3 4" xfId="9308" xr:uid="{33A82A47-BA5C-4420-9E2E-1F2E66224D1F}"/>
    <cellStyle name="Normal 12 3 4" xfId="1188" xr:uid="{00000000-0005-0000-0000-0000360E0000}"/>
    <cellStyle name="Normal 12 3 4 2" xfId="3419" xr:uid="{00000000-0005-0000-0000-0000370E0000}"/>
    <cellStyle name="Normal 12 3 4 2 2" xfId="7642" xr:uid="{00000000-0005-0000-0000-0000380E0000}"/>
    <cellStyle name="Normal 12 3 4 2 2 2" xfId="16084" xr:uid="{D467A764-DCA8-4E38-8114-BF27BCE707C7}"/>
    <cellStyle name="Normal 12 3 4 2 3" xfId="11866" xr:uid="{2CED045A-3CF8-49FA-955E-9A36EEDA05B1}"/>
    <cellStyle name="Normal 12 3 4 3" xfId="5497" xr:uid="{00000000-0005-0000-0000-0000390E0000}"/>
    <cellStyle name="Normal 12 3 4 3 2" xfId="13939" xr:uid="{BA39BB08-4C0E-4DC7-BD3A-89870F8730BF}"/>
    <cellStyle name="Normal 12 3 4 4" xfId="9721" xr:uid="{C97E50E6-CBA0-468E-B6E3-9407B6BE7969}"/>
    <cellStyle name="Normal 12 3 5" xfId="1602" xr:uid="{00000000-0005-0000-0000-00003A0E0000}"/>
    <cellStyle name="Normal 12 3 5 2" xfId="3832" xr:uid="{00000000-0005-0000-0000-00003B0E0000}"/>
    <cellStyle name="Normal 12 3 5 2 2" xfId="8055" xr:uid="{00000000-0005-0000-0000-00003C0E0000}"/>
    <cellStyle name="Normal 12 3 5 2 2 2" xfId="16497" xr:uid="{8B293C00-8E20-4F25-A0A6-BAEB47C7B19E}"/>
    <cellStyle name="Normal 12 3 5 2 3" xfId="12279" xr:uid="{B47C6D1C-C557-42D0-9329-245396A1CA09}"/>
    <cellStyle name="Normal 12 3 5 3" xfId="5910" xr:uid="{00000000-0005-0000-0000-00003D0E0000}"/>
    <cellStyle name="Normal 12 3 5 3 2" xfId="14352" xr:uid="{1D5EBDF9-6734-4B08-A5F9-C70F42B54F86}"/>
    <cellStyle name="Normal 12 3 5 4" xfId="10134" xr:uid="{B079F4A7-1330-405F-9D76-8C728E7F2ABD}"/>
    <cellStyle name="Normal 12 3 6" xfId="2016" xr:uid="{00000000-0005-0000-0000-00003E0E0000}"/>
    <cellStyle name="Normal 12 3 6 2" xfId="4245" xr:uid="{00000000-0005-0000-0000-00003F0E0000}"/>
    <cellStyle name="Normal 12 3 6 2 2" xfId="8468" xr:uid="{00000000-0005-0000-0000-0000400E0000}"/>
    <cellStyle name="Normal 12 3 6 2 2 2" xfId="16910" xr:uid="{3C615571-8001-4D0A-856C-8B2BC515A518}"/>
    <cellStyle name="Normal 12 3 6 2 3" xfId="12692" xr:uid="{95D38227-D1F5-4935-95BA-64DA43C6CA11}"/>
    <cellStyle name="Normal 12 3 6 3" xfId="6323" xr:uid="{00000000-0005-0000-0000-0000410E0000}"/>
    <cellStyle name="Normal 12 3 6 3 2" xfId="14765" xr:uid="{AE99BD61-94B9-4E0F-BA4A-974F1A3E0935}"/>
    <cellStyle name="Normal 12 3 6 4" xfId="10547" xr:uid="{ACC95BD7-F3EF-41F8-B6D4-6C11B02945D2}"/>
    <cellStyle name="Normal 12 3 7" xfId="2452" xr:uid="{00000000-0005-0000-0000-0000420E0000}"/>
    <cellStyle name="Normal 12 3 7 2" xfId="6736" xr:uid="{00000000-0005-0000-0000-0000430E0000}"/>
    <cellStyle name="Normal 12 3 7 2 2" xfId="15178" xr:uid="{C9D53C66-1741-4AC6-ACFD-421C969EB458}"/>
    <cellStyle name="Normal 12 3 7 3" xfId="10960" xr:uid="{D9E099FB-3D66-48EA-ABB2-4C10D4FDF057}"/>
    <cellStyle name="Normal 12 3 8" xfId="4670" xr:uid="{00000000-0005-0000-0000-0000440E0000}"/>
    <cellStyle name="Normal 12 3 8 2" xfId="13112" xr:uid="{681D887E-4260-469B-B16F-7077B3775E7C}"/>
    <cellStyle name="Normal 12 3 9" xfId="8894" xr:uid="{E63F634A-D224-44E3-B9DF-ABAADA31DA44}"/>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2 2 2" xfId="15673" xr:uid="{721E34BF-A2F3-48CE-A210-CA5E676CE2A4}"/>
    <cellStyle name="Normal 12 4 2 2 3" xfId="11455" xr:uid="{8EE0DC5E-8779-465A-93BB-A67740C657AC}"/>
    <cellStyle name="Normal 12 4 2 3" xfId="5086" xr:uid="{00000000-0005-0000-0000-0000490E0000}"/>
    <cellStyle name="Normal 12 4 2 3 2" xfId="13528" xr:uid="{143794C9-C56C-452B-BFC6-1AF5DF4294FD}"/>
    <cellStyle name="Normal 12 4 2 4" xfId="9310" xr:uid="{790F0774-4707-4E41-99D1-4297A0EF785B}"/>
    <cellStyle name="Normal 12 4 3" xfId="1190" xr:uid="{00000000-0005-0000-0000-00004A0E0000}"/>
    <cellStyle name="Normal 12 4 3 2" xfId="3421" xr:uid="{00000000-0005-0000-0000-00004B0E0000}"/>
    <cellStyle name="Normal 12 4 3 2 2" xfId="7644" xr:uid="{00000000-0005-0000-0000-00004C0E0000}"/>
    <cellStyle name="Normal 12 4 3 2 2 2" xfId="16086" xr:uid="{675D04A3-D3A8-469D-A8B9-1A8D4B67A557}"/>
    <cellStyle name="Normal 12 4 3 2 3" xfId="11868" xr:uid="{50322392-0C6C-4F09-8924-3B6CD568D3C9}"/>
    <cellStyle name="Normal 12 4 3 3" xfId="5499" xr:uid="{00000000-0005-0000-0000-00004D0E0000}"/>
    <cellStyle name="Normal 12 4 3 3 2" xfId="13941" xr:uid="{1320F506-C2FD-4ABA-82BF-D89E2B0A3AF2}"/>
    <cellStyle name="Normal 12 4 3 4" xfId="9723" xr:uid="{07C6C639-4DD2-4976-8913-B4D6A50EFD4F}"/>
    <cellStyle name="Normal 12 4 4" xfId="1604" xr:uid="{00000000-0005-0000-0000-00004E0E0000}"/>
    <cellStyle name="Normal 12 4 4 2" xfId="3834" xr:uid="{00000000-0005-0000-0000-00004F0E0000}"/>
    <cellStyle name="Normal 12 4 4 2 2" xfId="8057" xr:uid="{00000000-0005-0000-0000-0000500E0000}"/>
    <cellStyle name="Normal 12 4 4 2 2 2" xfId="16499" xr:uid="{89AB60C4-6E92-479D-8636-4FE7A8A7A7EF}"/>
    <cellStyle name="Normal 12 4 4 2 3" xfId="12281" xr:uid="{1B2DEE4D-2B7A-4700-895F-49C7A93B6EB2}"/>
    <cellStyle name="Normal 12 4 4 3" xfId="5912" xr:uid="{00000000-0005-0000-0000-0000510E0000}"/>
    <cellStyle name="Normal 12 4 4 3 2" xfId="14354" xr:uid="{A9647D53-DF9A-4192-908C-36F221BCD65B}"/>
    <cellStyle name="Normal 12 4 4 4" xfId="10136" xr:uid="{45211E64-0FC0-471F-A924-DAF66546C39B}"/>
    <cellStyle name="Normal 12 4 5" xfId="2018" xr:uid="{00000000-0005-0000-0000-0000520E0000}"/>
    <cellStyle name="Normal 12 4 5 2" xfId="4247" xr:uid="{00000000-0005-0000-0000-0000530E0000}"/>
    <cellStyle name="Normal 12 4 5 2 2" xfId="8470" xr:uid="{00000000-0005-0000-0000-0000540E0000}"/>
    <cellStyle name="Normal 12 4 5 2 2 2" xfId="16912" xr:uid="{B521FB4C-BABE-4127-A751-B3E9C916CEF5}"/>
    <cellStyle name="Normal 12 4 5 2 3" xfId="12694" xr:uid="{75CC4F44-C5B5-4740-AFCB-6AEF80C47222}"/>
    <cellStyle name="Normal 12 4 5 3" xfId="6325" xr:uid="{00000000-0005-0000-0000-0000550E0000}"/>
    <cellStyle name="Normal 12 4 5 3 2" xfId="14767" xr:uid="{C9817174-C6AD-4B38-BA7B-31CC28DA33C7}"/>
    <cellStyle name="Normal 12 4 5 4" xfId="10549" xr:uid="{A964B5BC-D84A-482F-AA22-3B34776879B4}"/>
    <cellStyle name="Normal 12 4 6" xfId="2454" xr:uid="{00000000-0005-0000-0000-0000560E0000}"/>
    <cellStyle name="Normal 12 4 6 2" xfId="6738" xr:uid="{00000000-0005-0000-0000-0000570E0000}"/>
    <cellStyle name="Normal 12 4 6 2 2" xfId="15180" xr:uid="{D34BE3EB-30BD-455C-8C37-214CB9AB7167}"/>
    <cellStyle name="Normal 12 4 6 3" xfId="10962" xr:uid="{4D1B0823-062B-4FC3-BE2C-2E35201705FD}"/>
    <cellStyle name="Normal 12 4 7" xfId="4672" xr:uid="{00000000-0005-0000-0000-0000580E0000}"/>
    <cellStyle name="Normal 12 4 7 2" xfId="13114" xr:uid="{25DAEACB-DF97-4E59-B236-67D0D646B29B}"/>
    <cellStyle name="Normal 12 4 8" xfId="8896" xr:uid="{92630312-AAFB-404B-8A1F-8D15DB6876EC}"/>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2 2 2" xfId="15666" xr:uid="{65E56D20-17DD-4A33-AF36-36C82F4550A8}"/>
    <cellStyle name="Normal 12 6 2 3" xfId="11448" xr:uid="{EBB1B8A8-3DC6-4C9E-B759-A83E1E45D62E}"/>
    <cellStyle name="Normal 12 6 3" xfId="5079" xr:uid="{00000000-0005-0000-0000-00005D0E0000}"/>
    <cellStyle name="Normal 12 6 3 2" xfId="13521" xr:uid="{F169CC41-EC8D-4D54-94D9-6181DD3C6BDE}"/>
    <cellStyle name="Normal 12 6 4" xfId="9303" xr:uid="{4FF01274-54B1-430D-BAC1-37204687C7F6}"/>
    <cellStyle name="Normal 12 7" xfId="1183" xr:uid="{00000000-0005-0000-0000-00005E0E0000}"/>
    <cellStyle name="Normal 12 7 2" xfId="3414" xr:uid="{00000000-0005-0000-0000-00005F0E0000}"/>
    <cellStyle name="Normal 12 7 2 2" xfId="7637" xr:uid="{00000000-0005-0000-0000-0000600E0000}"/>
    <cellStyle name="Normal 12 7 2 2 2" xfId="16079" xr:uid="{DB47B088-C3D6-4887-A990-E09AE4A261C9}"/>
    <cellStyle name="Normal 12 7 2 3" xfId="11861" xr:uid="{A0132082-E810-427D-ABA0-2F78ABE7EFEA}"/>
    <cellStyle name="Normal 12 7 3" xfId="5492" xr:uid="{00000000-0005-0000-0000-0000610E0000}"/>
    <cellStyle name="Normal 12 7 3 2" xfId="13934" xr:uid="{AFC6943C-7309-4E93-8AF6-8B8EC0A544BE}"/>
    <cellStyle name="Normal 12 7 4" xfId="9716" xr:uid="{7FC206B8-0916-4FB0-A189-3CC398ED94BB}"/>
    <cellStyle name="Normal 12 8" xfId="1597" xr:uid="{00000000-0005-0000-0000-0000620E0000}"/>
    <cellStyle name="Normal 12 8 2" xfId="3827" xr:uid="{00000000-0005-0000-0000-0000630E0000}"/>
    <cellStyle name="Normal 12 8 2 2" xfId="8050" xr:uid="{00000000-0005-0000-0000-0000640E0000}"/>
    <cellStyle name="Normal 12 8 2 2 2" xfId="16492" xr:uid="{BE50E67F-7F07-4F03-8D48-84F6E8B6ADB7}"/>
    <cellStyle name="Normal 12 8 2 3" xfId="12274" xr:uid="{EDBF92C4-04CF-4E1F-879E-1BD360568F41}"/>
    <cellStyle name="Normal 12 8 3" xfId="5905" xr:uid="{00000000-0005-0000-0000-0000650E0000}"/>
    <cellStyle name="Normal 12 8 3 2" xfId="14347" xr:uid="{557F0C71-794F-4483-9FBE-B0190CD5EFBE}"/>
    <cellStyle name="Normal 12 8 4" xfId="10129" xr:uid="{D5169575-93E6-4418-BA86-1639962D7618}"/>
    <cellStyle name="Normal 12 9" xfId="2011" xr:uid="{00000000-0005-0000-0000-0000660E0000}"/>
    <cellStyle name="Normal 12 9 2" xfId="4240" xr:uid="{00000000-0005-0000-0000-0000670E0000}"/>
    <cellStyle name="Normal 12 9 2 2" xfId="8463" xr:uid="{00000000-0005-0000-0000-0000680E0000}"/>
    <cellStyle name="Normal 12 9 2 2 2" xfId="16905" xr:uid="{F4FC1B5E-E294-4F72-BB4C-1F236DCA89E7}"/>
    <cellStyle name="Normal 12 9 2 3" xfId="12687" xr:uid="{FF1D1DF3-DB7A-4D7C-8DE1-0DDDDAC1D5DA}"/>
    <cellStyle name="Normal 12 9 3" xfId="6318" xr:uid="{00000000-0005-0000-0000-0000690E0000}"/>
    <cellStyle name="Normal 12 9 3 2" xfId="14760" xr:uid="{07A58FD4-2408-4038-9828-052DA5888097}"/>
    <cellStyle name="Normal 12 9 4" xfId="10542" xr:uid="{350435AD-8AB2-40A3-882D-B6A31FC436AC}"/>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2 2 2" xfId="15674" xr:uid="{5B43164F-6698-48A1-9AAC-4E8CFEB378D6}"/>
    <cellStyle name="Normal 14 2 2 3" xfId="11456" xr:uid="{5B6C23C9-6EB9-4B0F-9F8A-C78B8268DACC}"/>
    <cellStyle name="Normal 14 2 3" xfId="5087" xr:uid="{00000000-0005-0000-0000-0000700E0000}"/>
    <cellStyle name="Normal 14 2 3 2" xfId="13529" xr:uid="{698F7197-84D4-41E1-9F15-65931DC14962}"/>
    <cellStyle name="Normal 14 2 4" xfId="9311" xr:uid="{6C53C160-B542-4C84-A634-1A6027D1EDB5}"/>
    <cellStyle name="Normal 14 3" xfId="1191" xr:uid="{00000000-0005-0000-0000-0000710E0000}"/>
    <cellStyle name="Normal 14 3 2" xfId="3422" xr:uid="{00000000-0005-0000-0000-0000720E0000}"/>
    <cellStyle name="Normal 14 3 2 2" xfId="7645" xr:uid="{00000000-0005-0000-0000-0000730E0000}"/>
    <cellStyle name="Normal 14 3 2 2 2" xfId="16087" xr:uid="{AF3B5AE6-D179-4B12-8D57-01C18B0B62A2}"/>
    <cellStyle name="Normal 14 3 2 3" xfId="11869" xr:uid="{F8369B92-7DAD-442F-8CB0-644547191568}"/>
    <cellStyle name="Normal 14 3 3" xfId="5500" xr:uid="{00000000-0005-0000-0000-0000740E0000}"/>
    <cellStyle name="Normal 14 3 3 2" xfId="13942" xr:uid="{321C6CC2-1172-4D75-B7A0-2447011021C2}"/>
    <cellStyle name="Normal 14 3 4" xfId="9724" xr:uid="{7C092AA3-1483-42B2-9B04-9F6464FAF15A}"/>
    <cellStyle name="Normal 14 4" xfId="1605" xr:uid="{00000000-0005-0000-0000-0000750E0000}"/>
    <cellStyle name="Normal 14 4 2" xfId="3835" xr:uid="{00000000-0005-0000-0000-0000760E0000}"/>
    <cellStyle name="Normal 14 4 2 2" xfId="8058" xr:uid="{00000000-0005-0000-0000-0000770E0000}"/>
    <cellStyle name="Normal 14 4 2 2 2" xfId="16500" xr:uid="{CEACEAB6-F82D-4D08-BDF3-EB610F1CE771}"/>
    <cellStyle name="Normal 14 4 2 3" xfId="12282" xr:uid="{849AFC5C-FD26-4E4A-84C8-A2B2D7B52923}"/>
    <cellStyle name="Normal 14 4 3" xfId="5913" xr:uid="{00000000-0005-0000-0000-0000780E0000}"/>
    <cellStyle name="Normal 14 4 3 2" xfId="14355" xr:uid="{B51F55EB-B1F4-446D-87CB-B4E654341695}"/>
    <cellStyle name="Normal 14 4 4" xfId="10137" xr:uid="{0B411662-4AE8-4EDD-B54C-AE804E0C268C}"/>
    <cellStyle name="Normal 14 5" xfId="2019" xr:uid="{00000000-0005-0000-0000-0000790E0000}"/>
    <cellStyle name="Normal 14 5 2" xfId="4248" xr:uid="{00000000-0005-0000-0000-00007A0E0000}"/>
    <cellStyle name="Normal 14 5 2 2" xfId="8471" xr:uid="{00000000-0005-0000-0000-00007B0E0000}"/>
    <cellStyle name="Normal 14 5 2 2 2" xfId="16913" xr:uid="{2CF4DA15-8362-4A14-8EF8-55EEE2CEDAD3}"/>
    <cellStyle name="Normal 14 5 2 3" xfId="12695" xr:uid="{35778BB8-36C8-446C-A6D1-BCA770A9F0A1}"/>
    <cellStyle name="Normal 14 5 3" xfId="6326" xr:uid="{00000000-0005-0000-0000-00007C0E0000}"/>
    <cellStyle name="Normal 14 5 3 2" xfId="14768" xr:uid="{1771E62E-CFCB-45F2-98AA-DDA9D84EA24B}"/>
    <cellStyle name="Normal 14 5 4" xfId="10550" xr:uid="{820E8BB5-3CA9-4757-9117-19584A562BF3}"/>
    <cellStyle name="Normal 14 6" xfId="2455" xr:uid="{00000000-0005-0000-0000-00007D0E0000}"/>
    <cellStyle name="Normal 14 6 2" xfId="6739" xr:uid="{00000000-0005-0000-0000-00007E0E0000}"/>
    <cellStyle name="Normal 14 6 2 2" xfId="15181" xr:uid="{1BD88229-9CDF-4214-A969-D7717AA72AB4}"/>
    <cellStyle name="Normal 14 6 3" xfId="10963" xr:uid="{8B0399CA-5FC6-4044-81D5-94D5E6CEC48C}"/>
    <cellStyle name="Normal 14 7" xfId="4673" xr:uid="{00000000-0005-0000-0000-00007F0E0000}"/>
    <cellStyle name="Normal 14 7 2" xfId="13115" xr:uid="{A4FF3530-3149-40A1-B7DA-A67DA24DC609}"/>
    <cellStyle name="Normal 14 8" xfId="8897" xr:uid="{56298145-7B67-48DF-9BEC-8829C7B98B86}"/>
    <cellStyle name="Normal 15" xfId="4496" xr:uid="{00000000-0005-0000-0000-0000800E0000}"/>
    <cellStyle name="Normal 15 2" xfId="12941" xr:uid="{D13FE001-CAE5-4837-BF9E-FE08EB9E42BA}"/>
    <cellStyle name="Normal 16" xfId="4500" xr:uid="{00000000-0005-0000-0000-0000810E0000}"/>
    <cellStyle name="Normal 16 2" xfId="8716" xr:uid="{00000000-0005-0000-0000-0000820E0000}"/>
    <cellStyle name="Normal 16 2 2" xfId="17158" xr:uid="{21A9AF97-47D8-4194-972E-887A5BA9ECA8}"/>
    <cellStyle name="Normal 16 3" xfId="8719" xr:uid="{3DE1BEEB-61FA-4094-B10F-9E0444F68763}"/>
    <cellStyle name="Normal 16 3 2" xfId="8723" xr:uid="{FE0BC069-4698-40B2-814D-8E09719245E9}"/>
    <cellStyle name="Normal 16 3 2 2" xfId="8726" xr:uid="{D3E9609F-293A-4CFC-B194-1FF2F92D621D}"/>
    <cellStyle name="Normal 16 3 2 2 2" xfId="17167" xr:uid="{A917DDC1-01A9-415C-BF22-2DDCD80F8AB3}"/>
    <cellStyle name="Normal 16 3 2 3" xfId="17164" xr:uid="{BF0168EA-11AB-4E30-8B63-262A14CAC702}"/>
    <cellStyle name="Normal 16 3 3" xfId="17161" xr:uid="{351ED9D1-E3A8-445D-A7F0-FBE40F98B416}"/>
    <cellStyle name="Normal 16 4" xfId="12944" xr:uid="{AB40797D-65B9-4EB5-B81B-75CCFE0CB3CB}"/>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2 2 2" xfId="16914" xr:uid="{F201467F-06CF-4A4F-AD4E-2AB148D46189}"/>
    <cellStyle name="Normal 2 4 2 10 2 3" xfId="12696" xr:uid="{0C507E9C-B351-42D0-912E-3AF42D050803}"/>
    <cellStyle name="Normal 2 4 2 10 3" xfId="6327" xr:uid="{00000000-0005-0000-0000-0000910E0000}"/>
    <cellStyle name="Normal 2 4 2 10 3 2" xfId="14769" xr:uid="{0D578A20-CD30-4766-B200-DD37A916424F}"/>
    <cellStyle name="Normal 2 4 2 10 4" xfId="10551" xr:uid="{15E737B6-439C-4644-8420-06D78D80B35B}"/>
    <cellStyle name="Normal 2 4 2 11" xfId="2456" xr:uid="{00000000-0005-0000-0000-0000920E0000}"/>
    <cellStyle name="Normal 2 4 2 11 2" xfId="6740" xr:uid="{00000000-0005-0000-0000-0000930E0000}"/>
    <cellStyle name="Normal 2 4 2 11 2 2" xfId="15182" xr:uid="{4A85FACF-EED4-4E74-BE75-0E7B157F8AB9}"/>
    <cellStyle name="Normal 2 4 2 11 3" xfId="10964" xr:uid="{045515B8-6CDF-484E-A2FE-A4255D6609F8}"/>
    <cellStyle name="Normal 2 4 2 12" xfId="4674" xr:uid="{00000000-0005-0000-0000-0000940E0000}"/>
    <cellStyle name="Normal 2 4 2 12 2" xfId="13116" xr:uid="{44EF16AE-4BB7-42B7-B923-4B2C258BA224}"/>
    <cellStyle name="Normal 2 4 2 13" xfId="8898" xr:uid="{5199BD98-0C9C-4FF7-B744-EA01468F0705}"/>
    <cellStyle name="Normal 2 4 2 2" xfId="280" xr:uid="{00000000-0005-0000-0000-0000950E0000}"/>
    <cellStyle name="Normal 2 4 2 3" xfId="281" xr:uid="{00000000-0005-0000-0000-0000960E0000}"/>
    <cellStyle name="Normal 2 4 2 3 10" xfId="4675" xr:uid="{00000000-0005-0000-0000-0000970E0000}"/>
    <cellStyle name="Normal 2 4 2 3 10 2" xfId="13117" xr:uid="{A7D5F511-9D1B-4351-ABDC-AA672B4C1951}"/>
    <cellStyle name="Normal 2 4 2 3 11" xfId="8899" xr:uid="{92193463-D4DE-415D-88C2-05212C5B33DA}"/>
    <cellStyle name="Normal 2 4 2 3 2" xfId="282" xr:uid="{00000000-0005-0000-0000-0000980E0000}"/>
    <cellStyle name="Normal 2 4 2 3 2 10" xfId="8900" xr:uid="{11192D1E-D830-407A-A25F-EEBCA48B67AC}"/>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2 2 2" xfId="15679" xr:uid="{204121EA-4428-48B6-AB0A-37E373A58141}"/>
    <cellStyle name="Normal 2 4 2 3 2 2 2 2 2 3" xfId="11461" xr:uid="{CB2F81E0-2E7D-45B5-9F5C-A46E17C32A31}"/>
    <cellStyle name="Normal 2 4 2 3 2 2 2 2 3" xfId="5092" xr:uid="{00000000-0005-0000-0000-00009E0E0000}"/>
    <cellStyle name="Normal 2 4 2 3 2 2 2 2 3 2" xfId="13534" xr:uid="{432D381D-2E6C-4C2B-BA08-C118AF3BD98E}"/>
    <cellStyle name="Normal 2 4 2 3 2 2 2 2 4" xfId="9316" xr:uid="{D57E37AD-26B3-46F0-A719-E9E5B1491041}"/>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2 2 2" xfId="16092" xr:uid="{5637C216-30C2-46B6-8CFF-E3016CCF1796}"/>
    <cellStyle name="Normal 2 4 2 3 2 2 2 3 2 3" xfId="11874" xr:uid="{8E63EFBA-3BB4-4455-97E7-65D818CC9053}"/>
    <cellStyle name="Normal 2 4 2 3 2 2 2 3 3" xfId="5505" xr:uid="{00000000-0005-0000-0000-0000A20E0000}"/>
    <cellStyle name="Normal 2 4 2 3 2 2 2 3 3 2" xfId="13947" xr:uid="{EAB5D501-1C31-417D-B784-E6A402CA7552}"/>
    <cellStyle name="Normal 2 4 2 3 2 2 2 3 4" xfId="9729" xr:uid="{5DA7F8D3-59E2-463C-83D3-44248F385473}"/>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2 2 2" xfId="16505" xr:uid="{44F0EF7F-EA9E-4E9D-BDCE-102CE1314FBA}"/>
    <cellStyle name="Normal 2 4 2 3 2 2 2 4 2 3" xfId="12287" xr:uid="{FD6C096C-A6D0-4D40-A447-7AB44F8B6F75}"/>
    <cellStyle name="Normal 2 4 2 3 2 2 2 4 3" xfId="5918" xr:uid="{00000000-0005-0000-0000-0000A60E0000}"/>
    <cellStyle name="Normal 2 4 2 3 2 2 2 4 3 2" xfId="14360" xr:uid="{1B7A86F4-7B50-4673-B7B5-BB8C9619F442}"/>
    <cellStyle name="Normal 2 4 2 3 2 2 2 4 4" xfId="10142" xr:uid="{35C40BC9-A4E4-4B07-BEB0-A79845CCF3D3}"/>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2 2 2" xfId="16918" xr:uid="{A62549F7-1DE0-40DD-AD70-33A6F5AA0917}"/>
    <cellStyle name="Normal 2 4 2 3 2 2 2 5 2 3" xfId="12700" xr:uid="{63899F26-FA27-4570-A136-0684D17CA733}"/>
    <cellStyle name="Normal 2 4 2 3 2 2 2 5 3" xfId="6331" xr:uid="{00000000-0005-0000-0000-0000AA0E0000}"/>
    <cellStyle name="Normal 2 4 2 3 2 2 2 5 3 2" xfId="14773" xr:uid="{67DE44D8-3EA9-4B11-A153-BA6DD31D5739}"/>
    <cellStyle name="Normal 2 4 2 3 2 2 2 5 4" xfId="10555" xr:uid="{028F73A4-8B3E-43B0-ADA6-C3DC70FAC686}"/>
    <cellStyle name="Normal 2 4 2 3 2 2 2 6" xfId="2460" xr:uid="{00000000-0005-0000-0000-0000AB0E0000}"/>
    <cellStyle name="Normal 2 4 2 3 2 2 2 6 2" xfId="6744" xr:uid="{00000000-0005-0000-0000-0000AC0E0000}"/>
    <cellStyle name="Normal 2 4 2 3 2 2 2 6 2 2" xfId="15186" xr:uid="{25E0EC0E-7826-499D-A4D9-7C3645F38B7F}"/>
    <cellStyle name="Normal 2 4 2 3 2 2 2 6 3" xfId="10968" xr:uid="{99617BC4-6415-48FC-BA8E-3CE2E7F14D9E}"/>
    <cellStyle name="Normal 2 4 2 3 2 2 2 7" xfId="4678" xr:uid="{00000000-0005-0000-0000-0000AD0E0000}"/>
    <cellStyle name="Normal 2 4 2 3 2 2 2 7 2" xfId="13120" xr:uid="{8F7DF13E-21C6-4D60-A4CF-48C9F62FA3B0}"/>
    <cellStyle name="Normal 2 4 2 3 2 2 2 8" xfId="8902" xr:uid="{BAB16A52-80D0-4D53-BAD0-EFB57C0FA7C4}"/>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2 2 2" xfId="15678" xr:uid="{4C1D5FF7-0B50-48B8-98A9-230696E149F1}"/>
    <cellStyle name="Normal 2 4 2 3 2 2 3 2 3" xfId="11460" xr:uid="{EBBB2EC3-F6C7-443C-817B-143555C9B1C5}"/>
    <cellStyle name="Normal 2 4 2 3 2 2 3 3" xfId="5091" xr:uid="{00000000-0005-0000-0000-0000B10E0000}"/>
    <cellStyle name="Normal 2 4 2 3 2 2 3 3 2" xfId="13533" xr:uid="{CA8BED6D-71C1-4689-80B5-C39EAF3B0D22}"/>
    <cellStyle name="Normal 2 4 2 3 2 2 3 4" xfId="9315" xr:uid="{9C240781-E5AF-418A-A7E7-274A3B78F416}"/>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2 2 2" xfId="16091" xr:uid="{4E276BDA-E3B8-4907-841F-75A794E6F3E5}"/>
    <cellStyle name="Normal 2 4 2 3 2 2 4 2 3" xfId="11873" xr:uid="{F6CA582D-B4CF-434C-95AA-2997D1D67CE2}"/>
    <cellStyle name="Normal 2 4 2 3 2 2 4 3" xfId="5504" xr:uid="{00000000-0005-0000-0000-0000B50E0000}"/>
    <cellStyle name="Normal 2 4 2 3 2 2 4 3 2" xfId="13946" xr:uid="{122B4755-9B5D-4726-B6AE-0F6CE6688BCB}"/>
    <cellStyle name="Normal 2 4 2 3 2 2 4 4" xfId="9728" xr:uid="{74414E16-4E56-41C3-BF05-38EA63EEF23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2 2 2" xfId="16504" xr:uid="{9146B742-40DB-4842-843F-B8E878A0589B}"/>
    <cellStyle name="Normal 2 4 2 3 2 2 5 2 3" xfId="12286" xr:uid="{AC58A428-D099-4398-9485-BC4928CBEE89}"/>
    <cellStyle name="Normal 2 4 2 3 2 2 5 3" xfId="5917" xr:uid="{00000000-0005-0000-0000-0000B90E0000}"/>
    <cellStyle name="Normal 2 4 2 3 2 2 5 3 2" xfId="14359" xr:uid="{17B1E862-4817-477B-92C5-C41D82D54C17}"/>
    <cellStyle name="Normal 2 4 2 3 2 2 5 4" xfId="10141" xr:uid="{374F0779-DC17-4479-A311-3F4A62735EBB}"/>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2 2 2" xfId="16917" xr:uid="{197013C9-7F57-44DE-A2AC-4C13DB891680}"/>
    <cellStyle name="Normal 2 4 2 3 2 2 6 2 3" xfId="12699" xr:uid="{82BA5CC2-2FDE-40A5-A8B5-97591DE2F2F3}"/>
    <cellStyle name="Normal 2 4 2 3 2 2 6 3" xfId="6330" xr:uid="{00000000-0005-0000-0000-0000BD0E0000}"/>
    <cellStyle name="Normal 2 4 2 3 2 2 6 3 2" xfId="14772" xr:uid="{36819A9C-CF71-4E00-8767-CD9AD2011E91}"/>
    <cellStyle name="Normal 2 4 2 3 2 2 6 4" xfId="10554" xr:uid="{39AC79EE-E23C-4AF6-A2F1-857E58896388}"/>
    <cellStyle name="Normal 2 4 2 3 2 2 7" xfId="2459" xr:uid="{00000000-0005-0000-0000-0000BE0E0000}"/>
    <cellStyle name="Normal 2 4 2 3 2 2 7 2" xfId="6743" xr:uid="{00000000-0005-0000-0000-0000BF0E0000}"/>
    <cellStyle name="Normal 2 4 2 3 2 2 7 2 2" xfId="15185" xr:uid="{80AC8AE9-2631-4044-9F3A-9335AB89B567}"/>
    <cellStyle name="Normal 2 4 2 3 2 2 7 3" xfId="10967" xr:uid="{1725B9D9-21C9-4741-BB3E-C5FBE8C1E1AC}"/>
    <cellStyle name="Normal 2 4 2 3 2 2 8" xfId="4677" xr:uid="{00000000-0005-0000-0000-0000C00E0000}"/>
    <cellStyle name="Normal 2 4 2 3 2 2 8 2" xfId="13119" xr:uid="{456AF9B2-CDD5-4237-8B5D-E759157FF99F}"/>
    <cellStyle name="Normal 2 4 2 3 2 2 9" xfId="8901" xr:uid="{06DAC7FB-78CD-41C5-AFB2-36C746180793}"/>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2 2 2" xfId="15680" xr:uid="{247B650E-DBA1-4A8F-8F8B-44975642C6D6}"/>
    <cellStyle name="Normal 2 4 2 3 2 3 2 2 3" xfId="11462" xr:uid="{96265392-E794-4F88-B6CF-BE0CF0CF33AE}"/>
    <cellStyle name="Normal 2 4 2 3 2 3 2 3" xfId="5093" xr:uid="{00000000-0005-0000-0000-0000C50E0000}"/>
    <cellStyle name="Normal 2 4 2 3 2 3 2 3 2" xfId="13535" xr:uid="{4A304F01-24B5-4DC4-B3DF-2CCBF76CBDAD}"/>
    <cellStyle name="Normal 2 4 2 3 2 3 2 4" xfId="9317" xr:uid="{B98412C0-D9D1-4875-9E99-E7295DCC8316}"/>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2 2 2" xfId="16093" xr:uid="{7798F30B-7A1A-40B0-9A04-A5A528DA0253}"/>
    <cellStyle name="Normal 2 4 2 3 2 3 3 2 3" xfId="11875" xr:uid="{D85DB8F1-A99A-4C2A-B6E3-9D8C00CD54DE}"/>
    <cellStyle name="Normal 2 4 2 3 2 3 3 3" xfId="5506" xr:uid="{00000000-0005-0000-0000-0000C90E0000}"/>
    <cellStyle name="Normal 2 4 2 3 2 3 3 3 2" xfId="13948" xr:uid="{12C9A3D5-95F1-43C4-A22A-AA90434A80CE}"/>
    <cellStyle name="Normal 2 4 2 3 2 3 3 4" xfId="9730" xr:uid="{FD6B9E08-A8A1-48F1-B758-E8AF85A0363D}"/>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2 2 2" xfId="16506" xr:uid="{60304D2D-13CD-42C2-964A-CDA3EF89937E}"/>
    <cellStyle name="Normal 2 4 2 3 2 3 4 2 3" xfId="12288" xr:uid="{E59D6DEA-BAFE-4DAF-9924-D871F42A30B9}"/>
    <cellStyle name="Normal 2 4 2 3 2 3 4 3" xfId="5919" xr:uid="{00000000-0005-0000-0000-0000CD0E0000}"/>
    <cellStyle name="Normal 2 4 2 3 2 3 4 3 2" xfId="14361" xr:uid="{FB9DAD71-558B-4564-8C14-C7B7C81B6BEB}"/>
    <cellStyle name="Normal 2 4 2 3 2 3 4 4" xfId="10143" xr:uid="{F9F504BB-2BEE-41A5-9CF1-ADAF76A8B866}"/>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2 2 2" xfId="16919" xr:uid="{779677D7-545F-4BBC-B05A-75E99B8DBB82}"/>
    <cellStyle name="Normal 2 4 2 3 2 3 5 2 3" xfId="12701" xr:uid="{4CC75FE8-5D65-4523-BB6C-A1DEFE50CC62}"/>
    <cellStyle name="Normal 2 4 2 3 2 3 5 3" xfId="6332" xr:uid="{00000000-0005-0000-0000-0000D10E0000}"/>
    <cellStyle name="Normal 2 4 2 3 2 3 5 3 2" xfId="14774" xr:uid="{795E7511-4473-403D-B79B-78599C397DA0}"/>
    <cellStyle name="Normal 2 4 2 3 2 3 5 4" xfId="10556" xr:uid="{0F69418E-DC8D-4B72-9C22-141CF5476CEB}"/>
    <cellStyle name="Normal 2 4 2 3 2 3 6" xfId="2461" xr:uid="{00000000-0005-0000-0000-0000D20E0000}"/>
    <cellStyle name="Normal 2 4 2 3 2 3 6 2" xfId="6745" xr:uid="{00000000-0005-0000-0000-0000D30E0000}"/>
    <cellStyle name="Normal 2 4 2 3 2 3 6 2 2" xfId="15187" xr:uid="{27814433-F238-483C-B9D6-7760FC8D3ECC}"/>
    <cellStyle name="Normal 2 4 2 3 2 3 6 3" xfId="10969" xr:uid="{DD4B6F28-98D4-4840-8633-69ED9631BBD7}"/>
    <cellStyle name="Normal 2 4 2 3 2 3 7" xfId="4679" xr:uid="{00000000-0005-0000-0000-0000D40E0000}"/>
    <cellStyle name="Normal 2 4 2 3 2 3 7 2" xfId="13121" xr:uid="{2E2AAC98-4DBB-4A60-85E8-98043186AF53}"/>
    <cellStyle name="Normal 2 4 2 3 2 3 8" xfId="8903" xr:uid="{E0172380-982F-47DD-9355-E963A6E9AA95}"/>
    <cellStyle name="Normal 2 4 2 3 2 4" xfId="773" xr:uid="{00000000-0005-0000-0000-0000D50E0000}"/>
    <cellStyle name="Normal 2 4 2 3 2 4 2" xfId="3012" xr:uid="{00000000-0005-0000-0000-0000D60E0000}"/>
    <cellStyle name="Normal 2 4 2 3 2 4 2 2" xfId="7235" xr:uid="{00000000-0005-0000-0000-0000D70E0000}"/>
    <cellStyle name="Normal 2 4 2 3 2 4 2 2 2" xfId="15677" xr:uid="{C6A87E5C-D8F9-4672-B5DE-1403D24E76DA}"/>
    <cellStyle name="Normal 2 4 2 3 2 4 2 3" xfId="11459" xr:uid="{C835A2AF-467A-4CF9-9457-8263371D5562}"/>
    <cellStyle name="Normal 2 4 2 3 2 4 3" xfId="5090" xr:uid="{00000000-0005-0000-0000-0000D80E0000}"/>
    <cellStyle name="Normal 2 4 2 3 2 4 3 2" xfId="13532" xr:uid="{9F797A23-8921-4C81-9AF8-E1DD1DC3CA89}"/>
    <cellStyle name="Normal 2 4 2 3 2 4 4" xfId="9314" xr:uid="{15C4BDC5-FAB2-4C92-9DE0-45A8296167F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2 2 2" xfId="16090" xr:uid="{246FE70A-98DD-4F06-B6C2-1992E51E0EDA}"/>
    <cellStyle name="Normal 2 4 2 3 2 5 2 3" xfId="11872" xr:uid="{DDA60E07-0799-4419-828F-6E7B13575C9D}"/>
    <cellStyle name="Normal 2 4 2 3 2 5 3" xfId="5503" xr:uid="{00000000-0005-0000-0000-0000DC0E0000}"/>
    <cellStyle name="Normal 2 4 2 3 2 5 3 2" xfId="13945" xr:uid="{36B044B9-D07C-4C41-9049-6DB591FE500E}"/>
    <cellStyle name="Normal 2 4 2 3 2 5 4" xfId="9727" xr:uid="{B2E9EBD5-BCF7-45C8-95C5-17CB8D6B42F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2 2 2" xfId="16503" xr:uid="{252C5613-4462-4A92-93B9-EDA747DEEBE2}"/>
    <cellStyle name="Normal 2 4 2 3 2 6 2 3" xfId="12285" xr:uid="{6AB2432F-19C6-4EB5-827B-57AB22728130}"/>
    <cellStyle name="Normal 2 4 2 3 2 6 3" xfId="5916" xr:uid="{00000000-0005-0000-0000-0000E00E0000}"/>
    <cellStyle name="Normal 2 4 2 3 2 6 3 2" xfId="14358" xr:uid="{D8D67CE6-BBED-4741-9E85-362A76D0FB5F}"/>
    <cellStyle name="Normal 2 4 2 3 2 6 4" xfId="10140" xr:uid="{4CBA786B-E494-4881-A7B9-4F10221D1825}"/>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2 2 2" xfId="16916" xr:uid="{A3051728-93D8-4F5E-A447-106ECA4901A6}"/>
    <cellStyle name="Normal 2 4 2 3 2 7 2 3" xfId="12698" xr:uid="{9FCD184D-A805-430A-80C6-BF004EE0F69C}"/>
    <cellStyle name="Normal 2 4 2 3 2 7 3" xfId="6329" xr:uid="{00000000-0005-0000-0000-0000E40E0000}"/>
    <cellStyle name="Normal 2 4 2 3 2 7 3 2" xfId="14771" xr:uid="{4660BEB6-1C9D-41E0-BEDD-96786C6BBD64}"/>
    <cellStyle name="Normal 2 4 2 3 2 7 4" xfId="10553" xr:uid="{F45BF197-5C28-44FE-918A-AFDC2C5FD431}"/>
    <cellStyle name="Normal 2 4 2 3 2 8" xfId="2458" xr:uid="{00000000-0005-0000-0000-0000E50E0000}"/>
    <cellStyle name="Normal 2 4 2 3 2 8 2" xfId="6742" xr:uid="{00000000-0005-0000-0000-0000E60E0000}"/>
    <cellStyle name="Normal 2 4 2 3 2 8 2 2" xfId="15184" xr:uid="{2513B58E-26D3-4BB9-846B-6560C181ADC5}"/>
    <cellStyle name="Normal 2 4 2 3 2 8 3" xfId="10966" xr:uid="{BB19D56B-C8AC-4D29-9AB5-018B83D4FB4A}"/>
    <cellStyle name="Normal 2 4 2 3 2 9" xfId="4676" xr:uid="{00000000-0005-0000-0000-0000E70E0000}"/>
    <cellStyle name="Normal 2 4 2 3 2 9 2" xfId="13118" xr:uid="{131EACA5-E59F-4395-A209-9462900E7AFF}"/>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2 2 2" xfId="15682" xr:uid="{BE15E8A1-A2BD-42DA-A9B7-45A0929E3FDE}"/>
    <cellStyle name="Normal 2 4 2 3 3 2 2 2 3" xfId="11464" xr:uid="{9F202938-3E6D-455F-B633-5CE2981168D3}"/>
    <cellStyle name="Normal 2 4 2 3 3 2 2 3" xfId="5095" xr:uid="{00000000-0005-0000-0000-0000ED0E0000}"/>
    <cellStyle name="Normal 2 4 2 3 3 2 2 3 2" xfId="13537" xr:uid="{CB0B340D-2C5D-48C8-BE2E-F6E78B1BDB6F}"/>
    <cellStyle name="Normal 2 4 2 3 3 2 2 4" xfId="9319" xr:uid="{BB7816D4-DC35-4C89-B185-40B0A43EA874}"/>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2 2 2" xfId="16095" xr:uid="{DA35E74E-A862-4CFD-A10E-48A48A3E086F}"/>
    <cellStyle name="Normal 2 4 2 3 3 2 3 2 3" xfId="11877" xr:uid="{2B9FF252-C495-4BBA-ADCA-1A9E8C93BA2C}"/>
    <cellStyle name="Normal 2 4 2 3 3 2 3 3" xfId="5508" xr:uid="{00000000-0005-0000-0000-0000F10E0000}"/>
    <cellStyle name="Normal 2 4 2 3 3 2 3 3 2" xfId="13950" xr:uid="{7277DAD3-1E92-4B54-87AC-B958F5077652}"/>
    <cellStyle name="Normal 2 4 2 3 3 2 3 4" xfId="9732" xr:uid="{FA1566B0-DA68-4024-90DC-627A84EAAA04}"/>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2 2 2" xfId="16508" xr:uid="{9688D99B-47D2-44C7-B056-B752C21C32FC}"/>
    <cellStyle name="Normal 2 4 2 3 3 2 4 2 3" xfId="12290" xr:uid="{D8B0D514-A620-4732-9149-B0DAFA83EF86}"/>
    <cellStyle name="Normal 2 4 2 3 3 2 4 3" xfId="5921" xr:uid="{00000000-0005-0000-0000-0000F50E0000}"/>
    <cellStyle name="Normal 2 4 2 3 3 2 4 3 2" xfId="14363" xr:uid="{7DBF9BC0-B0A8-4F6C-B335-1286634DD34A}"/>
    <cellStyle name="Normal 2 4 2 3 3 2 4 4" xfId="10145" xr:uid="{60789250-CE44-4039-B3B6-108D98CD2235}"/>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2 2 2" xfId="16921" xr:uid="{AEFA7A63-DEE7-4827-9723-EFEAE60ED2A3}"/>
    <cellStyle name="Normal 2 4 2 3 3 2 5 2 3" xfId="12703" xr:uid="{B9AD923E-2E56-4B3A-8F82-F05CC8762C56}"/>
    <cellStyle name="Normal 2 4 2 3 3 2 5 3" xfId="6334" xr:uid="{00000000-0005-0000-0000-0000F90E0000}"/>
    <cellStyle name="Normal 2 4 2 3 3 2 5 3 2" xfId="14776" xr:uid="{700375DC-2A66-4A76-82A7-932E57C42ACC}"/>
    <cellStyle name="Normal 2 4 2 3 3 2 5 4" xfId="10558" xr:uid="{A6DA7B07-C181-4495-ADED-CD98DB41A443}"/>
    <cellStyle name="Normal 2 4 2 3 3 2 6" xfId="2463" xr:uid="{00000000-0005-0000-0000-0000FA0E0000}"/>
    <cellStyle name="Normal 2 4 2 3 3 2 6 2" xfId="6747" xr:uid="{00000000-0005-0000-0000-0000FB0E0000}"/>
    <cellStyle name="Normal 2 4 2 3 3 2 6 2 2" xfId="15189" xr:uid="{DEBBD6F8-95B5-45C0-99E8-F2AB06B61006}"/>
    <cellStyle name="Normal 2 4 2 3 3 2 6 3" xfId="10971" xr:uid="{183D0B5D-D7E2-4239-B37A-6D504AD8AFD5}"/>
    <cellStyle name="Normal 2 4 2 3 3 2 7" xfId="4681" xr:uid="{00000000-0005-0000-0000-0000FC0E0000}"/>
    <cellStyle name="Normal 2 4 2 3 3 2 7 2" xfId="13123" xr:uid="{63E21F34-0B0F-4D81-BDA9-98E6CCD441E8}"/>
    <cellStyle name="Normal 2 4 2 3 3 2 8" xfId="8905" xr:uid="{AB716DB1-B6B9-41EB-A4D2-0B4D93347408}"/>
    <cellStyle name="Normal 2 4 2 3 3 3" xfId="777" xr:uid="{00000000-0005-0000-0000-0000FD0E0000}"/>
    <cellStyle name="Normal 2 4 2 3 3 3 2" xfId="3016" xr:uid="{00000000-0005-0000-0000-0000FE0E0000}"/>
    <cellStyle name="Normal 2 4 2 3 3 3 2 2" xfId="7239" xr:uid="{00000000-0005-0000-0000-0000FF0E0000}"/>
    <cellStyle name="Normal 2 4 2 3 3 3 2 2 2" xfId="15681" xr:uid="{BA7EEC22-C218-4843-B452-39EEC126F51C}"/>
    <cellStyle name="Normal 2 4 2 3 3 3 2 3" xfId="11463" xr:uid="{A7500B14-95B0-4E8E-B34D-B9A742515E91}"/>
    <cellStyle name="Normal 2 4 2 3 3 3 3" xfId="5094" xr:uid="{00000000-0005-0000-0000-0000000F0000}"/>
    <cellStyle name="Normal 2 4 2 3 3 3 3 2" xfId="13536" xr:uid="{10CEC034-4813-4819-8AC9-793B0418EAF0}"/>
    <cellStyle name="Normal 2 4 2 3 3 3 4" xfId="9318" xr:uid="{6F86D785-CBB1-4F8B-80A4-19D2E6851B3C}"/>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2 2 2" xfId="16094" xr:uid="{D36A4824-28A0-4CA5-8C96-6D5F82FCE982}"/>
    <cellStyle name="Normal 2 4 2 3 3 4 2 3" xfId="11876" xr:uid="{B0B54F50-566A-4F57-B09C-71008CEEF1C6}"/>
    <cellStyle name="Normal 2 4 2 3 3 4 3" xfId="5507" xr:uid="{00000000-0005-0000-0000-0000040F0000}"/>
    <cellStyle name="Normal 2 4 2 3 3 4 3 2" xfId="13949" xr:uid="{94DFB7BD-12F3-4CFD-8E72-88B50B37B6B1}"/>
    <cellStyle name="Normal 2 4 2 3 3 4 4" xfId="9731" xr:uid="{F46BEADD-80C0-4E99-9D13-9CE819F19E6F}"/>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2 2 2" xfId="16507" xr:uid="{C0D490F5-CBBB-4FF6-91CD-AC9073B51EEE}"/>
    <cellStyle name="Normal 2 4 2 3 3 5 2 3" xfId="12289" xr:uid="{B9B29616-35BD-45FE-938D-E9922C2F2889}"/>
    <cellStyle name="Normal 2 4 2 3 3 5 3" xfId="5920" xr:uid="{00000000-0005-0000-0000-0000080F0000}"/>
    <cellStyle name="Normal 2 4 2 3 3 5 3 2" xfId="14362" xr:uid="{2DC4D54E-1869-4877-88A3-3300EC2A979C}"/>
    <cellStyle name="Normal 2 4 2 3 3 5 4" xfId="10144" xr:uid="{84D10F03-1CF3-4A6E-A019-4E582110E213}"/>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2 2 2" xfId="16920" xr:uid="{C412D934-9621-42B6-960D-74D89C65CFFF}"/>
    <cellStyle name="Normal 2 4 2 3 3 6 2 3" xfId="12702" xr:uid="{63A6DF1E-29B4-4424-B973-209AD8D3DD0F}"/>
    <cellStyle name="Normal 2 4 2 3 3 6 3" xfId="6333" xr:uid="{00000000-0005-0000-0000-00000C0F0000}"/>
    <cellStyle name="Normal 2 4 2 3 3 6 3 2" xfId="14775" xr:uid="{013554FF-83B3-4E10-80E9-9AC9946E9F8C}"/>
    <cellStyle name="Normal 2 4 2 3 3 6 4" xfId="10557" xr:uid="{E51728D8-6457-40AB-BFE8-F9A74C1368CC}"/>
    <cellStyle name="Normal 2 4 2 3 3 7" xfId="2462" xr:uid="{00000000-0005-0000-0000-00000D0F0000}"/>
    <cellStyle name="Normal 2 4 2 3 3 7 2" xfId="6746" xr:uid="{00000000-0005-0000-0000-00000E0F0000}"/>
    <cellStyle name="Normal 2 4 2 3 3 7 2 2" xfId="15188" xr:uid="{CE2315D8-A25F-4F53-A3BE-CE76815BFB81}"/>
    <cellStyle name="Normal 2 4 2 3 3 7 3" xfId="10970" xr:uid="{EC259F71-8287-4958-B159-ABEB44F83EB4}"/>
    <cellStyle name="Normal 2 4 2 3 3 8" xfId="4680" xr:uid="{00000000-0005-0000-0000-00000F0F0000}"/>
    <cellStyle name="Normal 2 4 2 3 3 8 2" xfId="13122" xr:uid="{160880F0-A72B-4CF9-841F-581B53D86A27}"/>
    <cellStyle name="Normal 2 4 2 3 3 9" xfId="8904" xr:uid="{235F4887-B09B-4969-BEC8-C733E21D19E2}"/>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2 2 2" xfId="15683" xr:uid="{0086EF03-4EE2-4A4F-8968-0A8A71421E58}"/>
    <cellStyle name="Normal 2 4 2 3 4 2 2 3" xfId="11465" xr:uid="{1BB5CF88-D07F-44B3-AFAA-11A1F0602FFC}"/>
    <cellStyle name="Normal 2 4 2 3 4 2 3" xfId="5096" xr:uid="{00000000-0005-0000-0000-0000140F0000}"/>
    <cellStyle name="Normal 2 4 2 3 4 2 3 2" xfId="13538" xr:uid="{D919A40B-7AA6-4787-9DAC-85F5F12F08CC}"/>
    <cellStyle name="Normal 2 4 2 3 4 2 4" xfId="9320" xr:uid="{74AE55DB-6E17-4F80-9EAF-F05FA8E4FF4E}"/>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2 2 2" xfId="16096" xr:uid="{88B179CB-7F00-404F-BE0D-F5B25490C11D}"/>
    <cellStyle name="Normal 2 4 2 3 4 3 2 3" xfId="11878" xr:uid="{07868080-8F9E-46E6-A5C4-4449098F217D}"/>
    <cellStyle name="Normal 2 4 2 3 4 3 3" xfId="5509" xr:uid="{00000000-0005-0000-0000-0000180F0000}"/>
    <cellStyle name="Normal 2 4 2 3 4 3 3 2" xfId="13951" xr:uid="{29E802D1-E42B-40AC-B8C3-C7140A2BD876}"/>
    <cellStyle name="Normal 2 4 2 3 4 3 4" xfId="9733" xr:uid="{4ADE6209-2E6F-4F9D-9E0D-1B849355F387}"/>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2 2 2" xfId="16509" xr:uid="{09631391-7E74-4D38-958A-7C088393C93F}"/>
    <cellStyle name="Normal 2 4 2 3 4 4 2 3" xfId="12291" xr:uid="{4CD98CCF-A379-4169-8548-432C044544BA}"/>
    <cellStyle name="Normal 2 4 2 3 4 4 3" xfId="5922" xr:uid="{00000000-0005-0000-0000-00001C0F0000}"/>
    <cellStyle name="Normal 2 4 2 3 4 4 3 2" xfId="14364" xr:uid="{30E03B61-7F86-4F35-A995-8A7B605B0817}"/>
    <cellStyle name="Normal 2 4 2 3 4 4 4" xfId="10146" xr:uid="{21D3D8B4-0EA9-4713-A5FF-5C2737C1039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2 2 2" xfId="16922" xr:uid="{A7D176BB-165D-4DC5-95C7-94B4DDF379F8}"/>
    <cellStyle name="Normal 2 4 2 3 4 5 2 3" xfId="12704" xr:uid="{2711F4FD-C796-4ED7-AEDD-72FFBD329503}"/>
    <cellStyle name="Normal 2 4 2 3 4 5 3" xfId="6335" xr:uid="{00000000-0005-0000-0000-0000200F0000}"/>
    <cellStyle name="Normal 2 4 2 3 4 5 3 2" xfId="14777" xr:uid="{0BA958E0-ADD3-43FA-A2C6-4677C34F7A10}"/>
    <cellStyle name="Normal 2 4 2 3 4 5 4" xfId="10559" xr:uid="{11CF655F-4163-433C-98BD-29AFE4AACFCA}"/>
    <cellStyle name="Normal 2 4 2 3 4 6" xfId="2464" xr:uid="{00000000-0005-0000-0000-0000210F0000}"/>
    <cellStyle name="Normal 2 4 2 3 4 6 2" xfId="6748" xr:uid="{00000000-0005-0000-0000-0000220F0000}"/>
    <cellStyle name="Normal 2 4 2 3 4 6 2 2" xfId="15190" xr:uid="{4BBBF5AD-4278-4F4A-A8A0-770A7BF7CE0C}"/>
    <cellStyle name="Normal 2 4 2 3 4 6 3" xfId="10972" xr:uid="{88817D5E-4C6B-4E65-B82A-9138A2A2C4FF}"/>
    <cellStyle name="Normal 2 4 2 3 4 7" xfId="4682" xr:uid="{00000000-0005-0000-0000-0000230F0000}"/>
    <cellStyle name="Normal 2 4 2 3 4 7 2" xfId="13124" xr:uid="{8B171B30-079F-4216-B0F0-AAA788076976}"/>
    <cellStyle name="Normal 2 4 2 3 4 8" xfId="8906" xr:uid="{98D6C6F3-8553-47C9-AD5C-0A05E0968374}"/>
    <cellStyle name="Normal 2 4 2 3 5" xfId="772" xr:uid="{00000000-0005-0000-0000-0000240F0000}"/>
    <cellStyle name="Normal 2 4 2 3 5 2" xfId="3011" xr:uid="{00000000-0005-0000-0000-0000250F0000}"/>
    <cellStyle name="Normal 2 4 2 3 5 2 2" xfId="7234" xr:uid="{00000000-0005-0000-0000-0000260F0000}"/>
    <cellStyle name="Normal 2 4 2 3 5 2 2 2" xfId="15676" xr:uid="{10BECD43-FDF1-4C80-B125-C0740F5F9B39}"/>
    <cellStyle name="Normal 2 4 2 3 5 2 3" xfId="11458" xr:uid="{E2EEE715-E7E7-41B1-A56C-F0F4468AA19E}"/>
    <cellStyle name="Normal 2 4 2 3 5 3" xfId="5089" xr:uid="{00000000-0005-0000-0000-0000270F0000}"/>
    <cellStyle name="Normal 2 4 2 3 5 3 2" xfId="13531" xr:uid="{61274F7E-BC4A-4976-AD2D-DB5811901E0F}"/>
    <cellStyle name="Normal 2 4 2 3 5 4" xfId="9313" xr:uid="{CC1944D3-4CE7-45C3-8127-D7ECF4560A60}"/>
    <cellStyle name="Normal 2 4 2 3 6" xfId="1194" xr:uid="{00000000-0005-0000-0000-0000280F0000}"/>
    <cellStyle name="Normal 2 4 2 3 6 2" xfId="3424" xr:uid="{00000000-0005-0000-0000-0000290F0000}"/>
    <cellStyle name="Normal 2 4 2 3 6 2 2" xfId="7647" xr:uid="{00000000-0005-0000-0000-00002A0F0000}"/>
    <cellStyle name="Normal 2 4 2 3 6 2 2 2" xfId="16089" xr:uid="{9B73353D-7836-40F4-A3CA-682ADE80E0AF}"/>
    <cellStyle name="Normal 2 4 2 3 6 2 3" xfId="11871" xr:uid="{121948F7-3DCE-4C63-B9CA-D3636A8C2E5A}"/>
    <cellStyle name="Normal 2 4 2 3 6 3" xfId="5502" xr:uid="{00000000-0005-0000-0000-00002B0F0000}"/>
    <cellStyle name="Normal 2 4 2 3 6 3 2" xfId="13944" xr:uid="{3602EC9B-5953-422A-872E-64FD640313EC}"/>
    <cellStyle name="Normal 2 4 2 3 6 4" xfId="9726" xr:uid="{1803AF48-443A-4C84-973B-ED13ADB9434B}"/>
    <cellStyle name="Normal 2 4 2 3 7" xfId="1607" xr:uid="{00000000-0005-0000-0000-00002C0F0000}"/>
    <cellStyle name="Normal 2 4 2 3 7 2" xfId="3837" xr:uid="{00000000-0005-0000-0000-00002D0F0000}"/>
    <cellStyle name="Normal 2 4 2 3 7 2 2" xfId="8060" xr:uid="{00000000-0005-0000-0000-00002E0F0000}"/>
    <cellStyle name="Normal 2 4 2 3 7 2 2 2" xfId="16502" xr:uid="{B1A54841-BFBA-4B1E-A5B9-9F7F357F8AFE}"/>
    <cellStyle name="Normal 2 4 2 3 7 2 3" xfId="12284" xr:uid="{4A4B210B-CD88-4697-9535-D1FB5AC380A5}"/>
    <cellStyle name="Normal 2 4 2 3 7 3" xfId="5915" xr:uid="{00000000-0005-0000-0000-00002F0F0000}"/>
    <cellStyle name="Normal 2 4 2 3 7 3 2" xfId="14357" xr:uid="{4AD6D04A-C33D-40C1-AF31-8E8E9BF3C841}"/>
    <cellStyle name="Normal 2 4 2 3 7 4" xfId="10139" xr:uid="{B912CAC5-4CE5-4ACF-A961-A2B1A9908E0E}"/>
    <cellStyle name="Normal 2 4 2 3 8" xfId="2021" xr:uid="{00000000-0005-0000-0000-0000300F0000}"/>
    <cellStyle name="Normal 2 4 2 3 8 2" xfId="4250" xr:uid="{00000000-0005-0000-0000-0000310F0000}"/>
    <cellStyle name="Normal 2 4 2 3 8 2 2" xfId="8473" xr:uid="{00000000-0005-0000-0000-0000320F0000}"/>
    <cellStyle name="Normal 2 4 2 3 8 2 2 2" xfId="16915" xr:uid="{71B149EA-5698-4CDA-B11D-91143B310DBA}"/>
    <cellStyle name="Normal 2 4 2 3 8 2 3" xfId="12697" xr:uid="{6319CE9A-3773-494F-BC5E-29EDCAF3FA01}"/>
    <cellStyle name="Normal 2 4 2 3 8 3" xfId="6328" xr:uid="{00000000-0005-0000-0000-0000330F0000}"/>
    <cellStyle name="Normal 2 4 2 3 8 3 2" xfId="14770" xr:uid="{FBEA5584-68C9-43D5-A673-3EE5209751BE}"/>
    <cellStyle name="Normal 2 4 2 3 8 4" xfId="10552" xr:uid="{789E8731-35B5-4176-BD44-1706B45C47BB}"/>
    <cellStyle name="Normal 2 4 2 3 9" xfId="2457" xr:uid="{00000000-0005-0000-0000-0000340F0000}"/>
    <cellStyle name="Normal 2 4 2 3 9 2" xfId="6741" xr:uid="{00000000-0005-0000-0000-0000350F0000}"/>
    <cellStyle name="Normal 2 4 2 3 9 2 2" xfId="15183" xr:uid="{234D7603-F219-4D33-BCE1-74570C9F0134}"/>
    <cellStyle name="Normal 2 4 2 3 9 3" xfId="10965" xr:uid="{55E2011C-21A6-4FA4-A35A-D11AF2C2CB4A}"/>
    <cellStyle name="Normal 2 4 2 4" xfId="289" xr:uid="{00000000-0005-0000-0000-0000360F0000}"/>
    <cellStyle name="Normal 2 4 2 4 10" xfId="8907" xr:uid="{ED6304D1-2E10-4BFC-9024-DC057F47149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2 2 2" xfId="15686" xr:uid="{7CE0850F-08B4-48EC-ABE3-4A5071D79C35}"/>
    <cellStyle name="Normal 2 4 2 4 2 2 2 2 3" xfId="11468" xr:uid="{D99882AD-F519-4C5C-821D-D9D2B6848FDF}"/>
    <cellStyle name="Normal 2 4 2 4 2 2 2 3" xfId="5099" xr:uid="{00000000-0005-0000-0000-00003C0F0000}"/>
    <cellStyle name="Normal 2 4 2 4 2 2 2 3 2" xfId="13541" xr:uid="{24ECE657-D120-460E-8D99-43C51E23982B}"/>
    <cellStyle name="Normal 2 4 2 4 2 2 2 4" xfId="9323" xr:uid="{900B7744-3812-4FA7-9B81-9DD969B3E1E6}"/>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2 2 2" xfId="16099" xr:uid="{C5B9A4C2-73DC-4143-9694-8AC68556ABCD}"/>
    <cellStyle name="Normal 2 4 2 4 2 2 3 2 3" xfId="11881" xr:uid="{F700E858-D70A-4209-9487-FE1A88DFB99F}"/>
    <cellStyle name="Normal 2 4 2 4 2 2 3 3" xfId="5512" xr:uid="{00000000-0005-0000-0000-0000400F0000}"/>
    <cellStyle name="Normal 2 4 2 4 2 2 3 3 2" xfId="13954" xr:uid="{74D2FAFA-62FE-496D-B6E9-2E5376F46B57}"/>
    <cellStyle name="Normal 2 4 2 4 2 2 3 4" xfId="9736" xr:uid="{E7379C97-0956-405A-8C7B-92E0B5F56E71}"/>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2 2 2" xfId="16512" xr:uid="{69C6E741-EDF8-4375-A583-69C8226BF34C}"/>
    <cellStyle name="Normal 2 4 2 4 2 2 4 2 3" xfId="12294" xr:uid="{2ACB77B1-8A69-4D4F-ACEE-8FA07AE262FA}"/>
    <cellStyle name="Normal 2 4 2 4 2 2 4 3" xfId="5925" xr:uid="{00000000-0005-0000-0000-0000440F0000}"/>
    <cellStyle name="Normal 2 4 2 4 2 2 4 3 2" xfId="14367" xr:uid="{1EFAFC84-EAB5-47A3-A5C5-29DAF2EE8F6C}"/>
    <cellStyle name="Normal 2 4 2 4 2 2 4 4" xfId="10149" xr:uid="{737E074A-D5AF-4149-94A0-E54574C2CE0A}"/>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2 2 2" xfId="16925" xr:uid="{C689AC0F-52EB-4DE1-BAB1-56B971ADB1BA}"/>
    <cellStyle name="Normal 2 4 2 4 2 2 5 2 3" xfId="12707" xr:uid="{4C24E28F-14FC-44BF-B33A-7D3BD315881D}"/>
    <cellStyle name="Normal 2 4 2 4 2 2 5 3" xfId="6338" xr:uid="{00000000-0005-0000-0000-0000480F0000}"/>
    <cellStyle name="Normal 2 4 2 4 2 2 5 3 2" xfId="14780" xr:uid="{1B2EFFCB-3BE0-48E8-A77E-77538BC213C9}"/>
    <cellStyle name="Normal 2 4 2 4 2 2 5 4" xfId="10562" xr:uid="{8BB88A4C-5911-4553-BD0A-95455610622F}"/>
    <cellStyle name="Normal 2 4 2 4 2 2 6" xfId="2467" xr:uid="{00000000-0005-0000-0000-0000490F0000}"/>
    <cellStyle name="Normal 2 4 2 4 2 2 6 2" xfId="6751" xr:uid="{00000000-0005-0000-0000-00004A0F0000}"/>
    <cellStyle name="Normal 2 4 2 4 2 2 6 2 2" xfId="15193" xr:uid="{019EF783-FD06-4714-9630-6D1AF064F259}"/>
    <cellStyle name="Normal 2 4 2 4 2 2 6 3" xfId="10975" xr:uid="{D8092278-99ED-42E0-B636-F917DC184277}"/>
    <cellStyle name="Normal 2 4 2 4 2 2 7" xfId="4685" xr:uid="{00000000-0005-0000-0000-00004B0F0000}"/>
    <cellStyle name="Normal 2 4 2 4 2 2 7 2" xfId="13127" xr:uid="{3FFF734C-F323-4709-A481-D6FA0E02B8DE}"/>
    <cellStyle name="Normal 2 4 2 4 2 2 8" xfId="8909" xr:uid="{39A7C4BC-67FA-4144-8D2F-9F96FB064626}"/>
    <cellStyle name="Normal 2 4 2 4 2 3" xfId="781" xr:uid="{00000000-0005-0000-0000-00004C0F0000}"/>
    <cellStyle name="Normal 2 4 2 4 2 3 2" xfId="3020" xr:uid="{00000000-0005-0000-0000-00004D0F0000}"/>
    <cellStyle name="Normal 2 4 2 4 2 3 2 2" xfId="7243" xr:uid="{00000000-0005-0000-0000-00004E0F0000}"/>
    <cellStyle name="Normal 2 4 2 4 2 3 2 2 2" xfId="15685" xr:uid="{6E3489DD-BE50-4E88-81A3-D08C69AF06C3}"/>
    <cellStyle name="Normal 2 4 2 4 2 3 2 3" xfId="11467" xr:uid="{6BE0727F-DE2B-4A7A-933F-519C049C6FEF}"/>
    <cellStyle name="Normal 2 4 2 4 2 3 3" xfId="5098" xr:uid="{00000000-0005-0000-0000-00004F0F0000}"/>
    <cellStyle name="Normal 2 4 2 4 2 3 3 2" xfId="13540" xr:uid="{1077EE67-3334-4245-A064-A850CC19FB6A}"/>
    <cellStyle name="Normal 2 4 2 4 2 3 4" xfId="9322" xr:uid="{11A58B41-3192-4389-B4F0-F5D32DA14DC7}"/>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2 2 2" xfId="16098" xr:uid="{BF9E07E9-C29D-4C77-8F35-9A0B60030044}"/>
    <cellStyle name="Normal 2 4 2 4 2 4 2 3" xfId="11880" xr:uid="{7D12FC53-7E6D-4046-AFE6-F1B6B079170E}"/>
    <cellStyle name="Normal 2 4 2 4 2 4 3" xfId="5511" xr:uid="{00000000-0005-0000-0000-0000530F0000}"/>
    <cellStyle name="Normal 2 4 2 4 2 4 3 2" xfId="13953" xr:uid="{4FD724EA-7A7B-4DAC-9631-4FC06EB677C4}"/>
    <cellStyle name="Normal 2 4 2 4 2 4 4" xfId="9735" xr:uid="{6DD1ACAB-A293-4F49-8FD4-25BE45652D51}"/>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2 2 2" xfId="16511" xr:uid="{954BABA6-6904-4340-A30B-0817975FCFB0}"/>
    <cellStyle name="Normal 2 4 2 4 2 5 2 3" xfId="12293" xr:uid="{9AA503C0-65AE-4F7F-BAD7-1B5636291476}"/>
    <cellStyle name="Normal 2 4 2 4 2 5 3" xfId="5924" xr:uid="{00000000-0005-0000-0000-0000570F0000}"/>
    <cellStyle name="Normal 2 4 2 4 2 5 3 2" xfId="14366" xr:uid="{58588BD4-A5FF-4593-865B-232E5654C2E3}"/>
    <cellStyle name="Normal 2 4 2 4 2 5 4" xfId="10148" xr:uid="{3E1E5652-4731-49FF-AD54-044822462A14}"/>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2 2 2" xfId="16924" xr:uid="{E9A8FEA0-44AC-45DD-AA55-4EFF3A3C6438}"/>
    <cellStyle name="Normal 2 4 2 4 2 6 2 3" xfId="12706" xr:uid="{91CA1A36-E300-40CE-A777-3406C7D88C6D}"/>
    <cellStyle name="Normal 2 4 2 4 2 6 3" xfId="6337" xr:uid="{00000000-0005-0000-0000-00005B0F0000}"/>
    <cellStyle name="Normal 2 4 2 4 2 6 3 2" xfId="14779" xr:uid="{1129D2D5-1188-4976-8EB5-BBAB5F95E478}"/>
    <cellStyle name="Normal 2 4 2 4 2 6 4" xfId="10561" xr:uid="{A77DDBEB-DF26-41CD-BE1C-181E4C763978}"/>
    <cellStyle name="Normal 2 4 2 4 2 7" xfId="2466" xr:uid="{00000000-0005-0000-0000-00005C0F0000}"/>
    <cellStyle name="Normal 2 4 2 4 2 7 2" xfId="6750" xr:uid="{00000000-0005-0000-0000-00005D0F0000}"/>
    <cellStyle name="Normal 2 4 2 4 2 7 2 2" xfId="15192" xr:uid="{91B25B7F-793B-4D38-BED3-AEEED17C7C1E}"/>
    <cellStyle name="Normal 2 4 2 4 2 7 3" xfId="10974" xr:uid="{73D6DB99-0045-47BF-BC56-C4DEF84DACAE}"/>
    <cellStyle name="Normal 2 4 2 4 2 8" xfId="4684" xr:uid="{00000000-0005-0000-0000-00005E0F0000}"/>
    <cellStyle name="Normal 2 4 2 4 2 8 2" xfId="13126" xr:uid="{A52D1DDD-ED72-42FF-8485-0D256C5CA5B8}"/>
    <cellStyle name="Normal 2 4 2 4 2 9" xfId="8908" xr:uid="{F99C4384-DC42-42FE-9300-1D9789F321C3}"/>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2 2 2" xfId="15687" xr:uid="{0E3EA0FE-39B5-4612-B4A6-B1E251FE04D9}"/>
    <cellStyle name="Normal 2 4 2 4 3 2 2 3" xfId="11469" xr:uid="{46E01854-D893-4345-9FED-11EA856DF56D}"/>
    <cellStyle name="Normal 2 4 2 4 3 2 3" xfId="5100" xr:uid="{00000000-0005-0000-0000-0000630F0000}"/>
    <cellStyle name="Normal 2 4 2 4 3 2 3 2" xfId="13542" xr:uid="{B5AA24D8-3257-4464-9C9D-19C5AFD6C025}"/>
    <cellStyle name="Normal 2 4 2 4 3 2 4" xfId="9324" xr:uid="{3F1046B7-6CB5-42B7-8809-E8891EACCCA9}"/>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2 2 2" xfId="16100" xr:uid="{DB78B9B5-A028-4FD9-BAE4-E7CBEA845F9D}"/>
    <cellStyle name="Normal 2 4 2 4 3 3 2 3" xfId="11882" xr:uid="{01839690-C640-416B-9C8C-C9B6BE9B3239}"/>
    <cellStyle name="Normal 2 4 2 4 3 3 3" xfId="5513" xr:uid="{00000000-0005-0000-0000-0000670F0000}"/>
    <cellStyle name="Normal 2 4 2 4 3 3 3 2" xfId="13955" xr:uid="{B6EFBCE8-B730-46E1-9A98-47713E96C257}"/>
    <cellStyle name="Normal 2 4 2 4 3 3 4" xfId="9737" xr:uid="{C5A9077B-3298-4A92-8135-38245568D0BE}"/>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2 2 2" xfId="16513" xr:uid="{9D0C0619-8853-4C84-8611-D9AE26B1AC43}"/>
    <cellStyle name="Normal 2 4 2 4 3 4 2 3" xfId="12295" xr:uid="{23F4FA70-B79F-42CD-A619-207CE0900EA5}"/>
    <cellStyle name="Normal 2 4 2 4 3 4 3" xfId="5926" xr:uid="{00000000-0005-0000-0000-00006B0F0000}"/>
    <cellStyle name="Normal 2 4 2 4 3 4 3 2" xfId="14368" xr:uid="{51201D69-C204-416B-B392-224B3CA52F0F}"/>
    <cellStyle name="Normal 2 4 2 4 3 4 4" xfId="10150" xr:uid="{D03A36D7-B478-4086-82A5-23DA0ABE2AC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2 2 2" xfId="16926" xr:uid="{85534D5A-7395-4F00-8458-CD5078D2B0E7}"/>
    <cellStyle name="Normal 2 4 2 4 3 5 2 3" xfId="12708" xr:uid="{568BE3A7-037C-4835-B158-C32976638329}"/>
    <cellStyle name="Normal 2 4 2 4 3 5 3" xfId="6339" xr:uid="{00000000-0005-0000-0000-00006F0F0000}"/>
    <cellStyle name="Normal 2 4 2 4 3 5 3 2" xfId="14781" xr:uid="{01EEF5B5-39FA-47DF-AA0C-2B914278ED92}"/>
    <cellStyle name="Normal 2 4 2 4 3 5 4" xfId="10563" xr:uid="{CCDD394B-2C87-4111-B7B0-7B2D1382257B}"/>
    <cellStyle name="Normal 2 4 2 4 3 6" xfId="2468" xr:uid="{00000000-0005-0000-0000-0000700F0000}"/>
    <cellStyle name="Normal 2 4 2 4 3 6 2" xfId="6752" xr:uid="{00000000-0005-0000-0000-0000710F0000}"/>
    <cellStyle name="Normal 2 4 2 4 3 6 2 2" xfId="15194" xr:uid="{67AA2B84-58FA-49FB-9F77-E53651DFCAAA}"/>
    <cellStyle name="Normal 2 4 2 4 3 6 3" xfId="10976" xr:uid="{9633827B-B6CB-43E3-B9A0-99C063ABB7CF}"/>
    <cellStyle name="Normal 2 4 2 4 3 7" xfId="4686" xr:uid="{00000000-0005-0000-0000-0000720F0000}"/>
    <cellStyle name="Normal 2 4 2 4 3 7 2" xfId="13128" xr:uid="{4580591E-8F69-4686-B859-47888E63DC67}"/>
    <cellStyle name="Normal 2 4 2 4 3 8" xfId="8910" xr:uid="{19113FDE-9D3E-4D08-8C78-7D098A208755}"/>
    <cellStyle name="Normal 2 4 2 4 4" xfId="780" xr:uid="{00000000-0005-0000-0000-0000730F0000}"/>
    <cellStyle name="Normal 2 4 2 4 4 2" xfId="3019" xr:uid="{00000000-0005-0000-0000-0000740F0000}"/>
    <cellStyle name="Normal 2 4 2 4 4 2 2" xfId="7242" xr:uid="{00000000-0005-0000-0000-0000750F0000}"/>
    <cellStyle name="Normal 2 4 2 4 4 2 2 2" xfId="15684" xr:uid="{1426AA32-E2DD-4B68-955C-A3CBA9310AC5}"/>
    <cellStyle name="Normal 2 4 2 4 4 2 3" xfId="11466" xr:uid="{1115367B-2F4A-4203-98A5-2222C3E3D1FA}"/>
    <cellStyle name="Normal 2 4 2 4 4 3" xfId="5097" xr:uid="{00000000-0005-0000-0000-0000760F0000}"/>
    <cellStyle name="Normal 2 4 2 4 4 3 2" xfId="13539" xr:uid="{542AEEDE-5440-4246-8145-59CF3820FE9E}"/>
    <cellStyle name="Normal 2 4 2 4 4 4" xfId="9321" xr:uid="{DC32B8BE-C2C4-43DB-B302-58F824747E50}"/>
    <cellStyle name="Normal 2 4 2 4 5" xfId="1202" xr:uid="{00000000-0005-0000-0000-0000770F0000}"/>
    <cellStyle name="Normal 2 4 2 4 5 2" xfId="3432" xr:uid="{00000000-0005-0000-0000-0000780F0000}"/>
    <cellStyle name="Normal 2 4 2 4 5 2 2" xfId="7655" xr:uid="{00000000-0005-0000-0000-0000790F0000}"/>
    <cellStyle name="Normal 2 4 2 4 5 2 2 2" xfId="16097" xr:uid="{659582EF-C0AC-445A-A118-7F6645D6B87B}"/>
    <cellStyle name="Normal 2 4 2 4 5 2 3" xfId="11879" xr:uid="{FA2FB78A-20D1-4374-8F66-7892A8B84FA9}"/>
    <cellStyle name="Normal 2 4 2 4 5 3" xfId="5510" xr:uid="{00000000-0005-0000-0000-00007A0F0000}"/>
    <cellStyle name="Normal 2 4 2 4 5 3 2" xfId="13952" xr:uid="{E8EE7239-251E-4454-AD59-BCF5C9DFC8F0}"/>
    <cellStyle name="Normal 2 4 2 4 5 4" xfId="9734" xr:uid="{43698EAA-6A24-47CE-8BC3-CEE5842052D3}"/>
    <cellStyle name="Normal 2 4 2 4 6" xfId="1615" xr:uid="{00000000-0005-0000-0000-00007B0F0000}"/>
    <cellStyle name="Normal 2 4 2 4 6 2" xfId="3845" xr:uid="{00000000-0005-0000-0000-00007C0F0000}"/>
    <cellStyle name="Normal 2 4 2 4 6 2 2" xfId="8068" xr:uid="{00000000-0005-0000-0000-00007D0F0000}"/>
    <cellStyle name="Normal 2 4 2 4 6 2 2 2" xfId="16510" xr:uid="{9A793BA9-C9D2-4E8F-BF4D-B44E7C7209B2}"/>
    <cellStyle name="Normal 2 4 2 4 6 2 3" xfId="12292" xr:uid="{2B6EA57A-1714-4A46-86EE-D4C7AD5E4EB0}"/>
    <cellStyle name="Normal 2 4 2 4 6 3" xfId="5923" xr:uid="{00000000-0005-0000-0000-00007E0F0000}"/>
    <cellStyle name="Normal 2 4 2 4 6 3 2" xfId="14365" xr:uid="{F12EB0A5-7317-4AA0-A085-0216BCD32CE1}"/>
    <cellStyle name="Normal 2 4 2 4 6 4" xfId="10147" xr:uid="{E59D9FDE-D55D-4F29-826E-5DD69FC60B2A}"/>
    <cellStyle name="Normal 2 4 2 4 7" xfId="2029" xr:uid="{00000000-0005-0000-0000-00007F0F0000}"/>
    <cellStyle name="Normal 2 4 2 4 7 2" xfId="4258" xr:uid="{00000000-0005-0000-0000-0000800F0000}"/>
    <cellStyle name="Normal 2 4 2 4 7 2 2" xfId="8481" xr:uid="{00000000-0005-0000-0000-0000810F0000}"/>
    <cellStyle name="Normal 2 4 2 4 7 2 2 2" xfId="16923" xr:uid="{E9031D07-141B-4B3B-84AE-230C16935F28}"/>
    <cellStyle name="Normal 2 4 2 4 7 2 3" xfId="12705" xr:uid="{2AAC0CFE-907B-45E1-A975-6C2050992C1A}"/>
    <cellStyle name="Normal 2 4 2 4 7 3" xfId="6336" xr:uid="{00000000-0005-0000-0000-0000820F0000}"/>
    <cellStyle name="Normal 2 4 2 4 7 3 2" xfId="14778" xr:uid="{2B728566-EF87-407F-99E5-A0D38AF1791D}"/>
    <cellStyle name="Normal 2 4 2 4 7 4" xfId="10560" xr:uid="{7C08EAEC-D08B-4902-B1BD-5F21497A17BF}"/>
    <cellStyle name="Normal 2 4 2 4 8" xfId="2465" xr:uid="{00000000-0005-0000-0000-0000830F0000}"/>
    <cellStyle name="Normal 2 4 2 4 8 2" xfId="6749" xr:uid="{00000000-0005-0000-0000-0000840F0000}"/>
    <cellStyle name="Normal 2 4 2 4 8 2 2" xfId="15191" xr:uid="{3718591C-ED25-4D57-B24E-05829A7F1765}"/>
    <cellStyle name="Normal 2 4 2 4 8 3" xfId="10973" xr:uid="{B1D41C61-2658-4D26-9025-734143DDEE2C}"/>
    <cellStyle name="Normal 2 4 2 4 9" xfId="4683" xr:uid="{00000000-0005-0000-0000-0000850F0000}"/>
    <cellStyle name="Normal 2 4 2 4 9 2" xfId="13125" xr:uid="{9C9C5C1D-62EF-4E1F-A63B-E7CEF610C6C4}"/>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2 2 2" xfId="15689" xr:uid="{C81A37ED-5316-45DB-96D6-7F249D9EBF39}"/>
    <cellStyle name="Normal 2 4 2 5 2 2 2 3" xfId="11471" xr:uid="{AC8607F8-71AE-4866-A25B-B11BB22E5E69}"/>
    <cellStyle name="Normal 2 4 2 5 2 2 3" xfId="5102" xr:uid="{00000000-0005-0000-0000-00008B0F0000}"/>
    <cellStyle name="Normal 2 4 2 5 2 2 3 2" xfId="13544" xr:uid="{D298C3F4-ED96-4B24-B66F-F86482F5D037}"/>
    <cellStyle name="Normal 2 4 2 5 2 2 4" xfId="9326" xr:uid="{7F572DC4-A30C-4FD1-9C51-E7B5945383A5}"/>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2 2 2" xfId="16102" xr:uid="{8432EBDF-8618-44D9-8F04-F6CF95541F58}"/>
    <cellStyle name="Normal 2 4 2 5 2 3 2 3" xfId="11884" xr:uid="{4BDF38E5-0CDF-49CF-9C80-1AA07CCE1D9E}"/>
    <cellStyle name="Normal 2 4 2 5 2 3 3" xfId="5515" xr:uid="{00000000-0005-0000-0000-00008F0F0000}"/>
    <cellStyle name="Normal 2 4 2 5 2 3 3 2" xfId="13957" xr:uid="{B68F4E39-8DC1-46C6-BACA-1D1E367FA212}"/>
    <cellStyle name="Normal 2 4 2 5 2 3 4" xfId="9739" xr:uid="{D819BBAF-3127-4C7A-93BE-82054139CF37}"/>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2 2 2" xfId="16515" xr:uid="{3522F892-DB92-41BD-8998-7943B7DD947C}"/>
    <cellStyle name="Normal 2 4 2 5 2 4 2 3" xfId="12297" xr:uid="{BD50259F-ABE6-486B-BD42-9B3760B39089}"/>
    <cellStyle name="Normal 2 4 2 5 2 4 3" xfId="5928" xr:uid="{00000000-0005-0000-0000-0000930F0000}"/>
    <cellStyle name="Normal 2 4 2 5 2 4 3 2" xfId="14370" xr:uid="{9C0F65F7-DF6A-48A9-B795-A6CB600D636D}"/>
    <cellStyle name="Normal 2 4 2 5 2 4 4" xfId="10152" xr:uid="{229738F8-6F51-4BDF-AFF2-E0DCC99E893E}"/>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2 2 2" xfId="16928" xr:uid="{A49CBA60-97CA-44F8-BEE9-F6CDB89DD55C}"/>
    <cellStyle name="Normal 2 4 2 5 2 5 2 3" xfId="12710" xr:uid="{876779F4-10EA-4DE6-BB8C-32D6707717D6}"/>
    <cellStyle name="Normal 2 4 2 5 2 5 3" xfId="6341" xr:uid="{00000000-0005-0000-0000-0000970F0000}"/>
    <cellStyle name="Normal 2 4 2 5 2 5 3 2" xfId="14783" xr:uid="{2D973E2D-01E2-4F1E-A557-1394B4695690}"/>
    <cellStyle name="Normal 2 4 2 5 2 5 4" xfId="10565" xr:uid="{C81A720F-D77A-4552-93DB-F6F00517FECD}"/>
    <cellStyle name="Normal 2 4 2 5 2 6" xfId="2470" xr:uid="{00000000-0005-0000-0000-0000980F0000}"/>
    <cellStyle name="Normal 2 4 2 5 2 6 2" xfId="6754" xr:uid="{00000000-0005-0000-0000-0000990F0000}"/>
    <cellStyle name="Normal 2 4 2 5 2 6 2 2" xfId="15196" xr:uid="{8B3A7EE1-E712-4FE7-93D7-51CBC0DBE168}"/>
    <cellStyle name="Normal 2 4 2 5 2 6 3" xfId="10978" xr:uid="{EF3CD9E0-DE24-46F5-8BBE-7DBD28C27DEA}"/>
    <cellStyle name="Normal 2 4 2 5 2 7" xfId="4688" xr:uid="{00000000-0005-0000-0000-00009A0F0000}"/>
    <cellStyle name="Normal 2 4 2 5 2 7 2" xfId="13130" xr:uid="{288930A7-1A05-428B-84A9-027F94FE7981}"/>
    <cellStyle name="Normal 2 4 2 5 2 8" xfId="8912" xr:uid="{9F2208E4-FDB2-478C-868E-081B95D44C33}"/>
    <cellStyle name="Normal 2 4 2 5 3" xfId="784" xr:uid="{00000000-0005-0000-0000-00009B0F0000}"/>
    <cellStyle name="Normal 2 4 2 5 3 2" xfId="3023" xr:uid="{00000000-0005-0000-0000-00009C0F0000}"/>
    <cellStyle name="Normal 2 4 2 5 3 2 2" xfId="7246" xr:uid="{00000000-0005-0000-0000-00009D0F0000}"/>
    <cellStyle name="Normal 2 4 2 5 3 2 2 2" xfId="15688" xr:uid="{CFAA8619-1A73-4515-AD3D-FEE2BF24A1CB}"/>
    <cellStyle name="Normal 2 4 2 5 3 2 3" xfId="11470" xr:uid="{FD03002F-CA2E-4561-B49E-FDD55833EFA5}"/>
    <cellStyle name="Normal 2 4 2 5 3 3" xfId="5101" xr:uid="{00000000-0005-0000-0000-00009E0F0000}"/>
    <cellStyle name="Normal 2 4 2 5 3 3 2" xfId="13543" xr:uid="{786BB791-7F50-4622-A52E-55C6D8703ED4}"/>
    <cellStyle name="Normal 2 4 2 5 3 4" xfId="9325" xr:uid="{C2BCCC32-26FB-449E-AB43-6750C215F64A}"/>
    <cellStyle name="Normal 2 4 2 5 4" xfId="1206" xr:uid="{00000000-0005-0000-0000-00009F0F0000}"/>
    <cellStyle name="Normal 2 4 2 5 4 2" xfId="3436" xr:uid="{00000000-0005-0000-0000-0000A00F0000}"/>
    <cellStyle name="Normal 2 4 2 5 4 2 2" xfId="7659" xr:uid="{00000000-0005-0000-0000-0000A10F0000}"/>
    <cellStyle name="Normal 2 4 2 5 4 2 2 2" xfId="16101" xr:uid="{D781CE3A-E457-459A-AC95-6F230D578097}"/>
    <cellStyle name="Normal 2 4 2 5 4 2 3" xfId="11883" xr:uid="{EE7D1AED-FCF9-4B95-8EF8-CD401E375CDF}"/>
    <cellStyle name="Normal 2 4 2 5 4 3" xfId="5514" xr:uid="{00000000-0005-0000-0000-0000A20F0000}"/>
    <cellStyle name="Normal 2 4 2 5 4 3 2" xfId="13956" xr:uid="{DDFBF144-6307-4731-B528-2D7BAC2FA4BF}"/>
    <cellStyle name="Normal 2 4 2 5 4 4" xfId="9738" xr:uid="{149036F1-AB02-47D1-9827-7AAFDE755C54}"/>
    <cellStyle name="Normal 2 4 2 5 5" xfId="1619" xr:uid="{00000000-0005-0000-0000-0000A30F0000}"/>
    <cellStyle name="Normal 2 4 2 5 5 2" xfId="3849" xr:uid="{00000000-0005-0000-0000-0000A40F0000}"/>
    <cellStyle name="Normal 2 4 2 5 5 2 2" xfId="8072" xr:uid="{00000000-0005-0000-0000-0000A50F0000}"/>
    <cellStyle name="Normal 2 4 2 5 5 2 2 2" xfId="16514" xr:uid="{12BA1C2B-7FBE-4039-B877-112EF06D9A28}"/>
    <cellStyle name="Normal 2 4 2 5 5 2 3" xfId="12296" xr:uid="{29AF4433-67A3-401E-B64D-50940FE43104}"/>
    <cellStyle name="Normal 2 4 2 5 5 3" xfId="5927" xr:uid="{00000000-0005-0000-0000-0000A60F0000}"/>
    <cellStyle name="Normal 2 4 2 5 5 3 2" xfId="14369" xr:uid="{4390DA21-77EB-45FB-BB47-AB59B0688CAF}"/>
    <cellStyle name="Normal 2 4 2 5 5 4" xfId="10151" xr:uid="{B183863A-AD66-4166-AEDB-A1B2EF9A3B18}"/>
    <cellStyle name="Normal 2 4 2 5 6" xfId="2033" xr:uid="{00000000-0005-0000-0000-0000A70F0000}"/>
    <cellStyle name="Normal 2 4 2 5 6 2" xfId="4262" xr:uid="{00000000-0005-0000-0000-0000A80F0000}"/>
    <cellStyle name="Normal 2 4 2 5 6 2 2" xfId="8485" xr:uid="{00000000-0005-0000-0000-0000A90F0000}"/>
    <cellStyle name="Normal 2 4 2 5 6 2 2 2" xfId="16927" xr:uid="{41E25696-5BF8-4D5C-9862-A5799282A858}"/>
    <cellStyle name="Normal 2 4 2 5 6 2 3" xfId="12709" xr:uid="{4DF6B341-0A34-4EA3-BA46-3CD01C8CB016}"/>
    <cellStyle name="Normal 2 4 2 5 6 3" xfId="6340" xr:uid="{00000000-0005-0000-0000-0000AA0F0000}"/>
    <cellStyle name="Normal 2 4 2 5 6 3 2" xfId="14782" xr:uid="{561B39E6-9B5D-4F53-B947-9863DA3D67B2}"/>
    <cellStyle name="Normal 2 4 2 5 6 4" xfId="10564" xr:uid="{5CB77C96-DADD-4D56-A75B-CBEFACD95267}"/>
    <cellStyle name="Normal 2 4 2 5 7" xfId="2469" xr:uid="{00000000-0005-0000-0000-0000AB0F0000}"/>
    <cellStyle name="Normal 2 4 2 5 7 2" xfId="6753" xr:uid="{00000000-0005-0000-0000-0000AC0F0000}"/>
    <cellStyle name="Normal 2 4 2 5 7 2 2" xfId="15195" xr:uid="{1C6FA6F5-A512-4A33-AF11-5C73CB35A34F}"/>
    <cellStyle name="Normal 2 4 2 5 7 3" xfId="10977" xr:uid="{2AF600A7-3FD6-4F23-8906-52E9FF67E7D6}"/>
    <cellStyle name="Normal 2 4 2 5 8" xfId="4687" xr:uid="{00000000-0005-0000-0000-0000AD0F0000}"/>
    <cellStyle name="Normal 2 4 2 5 8 2" xfId="13129" xr:uid="{04C5F8B0-B341-4E2F-ADD0-803B53F9121A}"/>
    <cellStyle name="Normal 2 4 2 5 9" xfId="8911" xr:uid="{7A1EF5B8-AE24-47BE-9141-BF7765418D39}"/>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2 2 2" xfId="15690" xr:uid="{5B2166EC-D293-48A5-83E3-04FB0B440343}"/>
    <cellStyle name="Normal 2 4 2 6 2 2 3" xfId="11472" xr:uid="{5EFF7DD1-CDB8-4035-9078-A5EE471BE049}"/>
    <cellStyle name="Normal 2 4 2 6 2 3" xfId="5103" xr:uid="{00000000-0005-0000-0000-0000B20F0000}"/>
    <cellStyle name="Normal 2 4 2 6 2 3 2" xfId="13545" xr:uid="{9FDCCCC1-7A53-4446-8D39-5F4DF8382814}"/>
    <cellStyle name="Normal 2 4 2 6 2 4" xfId="9327" xr:uid="{90DB0D46-75FF-4515-AEF7-0535E608BAB8}"/>
    <cellStyle name="Normal 2 4 2 6 3" xfId="1208" xr:uid="{00000000-0005-0000-0000-0000B30F0000}"/>
    <cellStyle name="Normal 2 4 2 6 3 2" xfId="3438" xr:uid="{00000000-0005-0000-0000-0000B40F0000}"/>
    <cellStyle name="Normal 2 4 2 6 3 2 2" xfId="7661" xr:uid="{00000000-0005-0000-0000-0000B50F0000}"/>
    <cellStyle name="Normal 2 4 2 6 3 2 2 2" xfId="16103" xr:uid="{CBD61361-C7A2-4115-B361-B233D099C337}"/>
    <cellStyle name="Normal 2 4 2 6 3 2 3" xfId="11885" xr:uid="{CB1010F3-CB9E-45C6-B301-ADB0627EF5E4}"/>
    <cellStyle name="Normal 2 4 2 6 3 3" xfId="5516" xr:uid="{00000000-0005-0000-0000-0000B60F0000}"/>
    <cellStyle name="Normal 2 4 2 6 3 3 2" xfId="13958" xr:uid="{BD60EE1E-9CBF-48AD-865E-1CFD85C026C6}"/>
    <cellStyle name="Normal 2 4 2 6 3 4" xfId="9740" xr:uid="{E5000B21-0A21-428C-9959-B8187375A3FF}"/>
    <cellStyle name="Normal 2 4 2 6 4" xfId="1621" xr:uid="{00000000-0005-0000-0000-0000B70F0000}"/>
    <cellStyle name="Normal 2 4 2 6 4 2" xfId="3851" xr:uid="{00000000-0005-0000-0000-0000B80F0000}"/>
    <cellStyle name="Normal 2 4 2 6 4 2 2" xfId="8074" xr:uid="{00000000-0005-0000-0000-0000B90F0000}"/>
    <cellStyle name="Normal 2 4 2 6 4 2 2 2" xfId="16516" xr:uid="{F8E4ECCE-1DE6-437D-9E00-DFD65F3748A5}"/>
    <cellStyle name="Normal 2 4 2 6 4 2 3" xfId="12298" xr:uid="{F906BE78-C44D-4096-AD7E-81B08227F08B}"/>
    <cellStyle name="Normal 2 4 2 6 4 3" xfId="5929" xr:uid="{00000000-0005-0000-0000-0000BA0F0000}"/>
    <cellStyle name="Normal 2 4 2 6 4 3 2" xfId="14371" xr:uid="{22B581A2-6978-4FBE-87F3-1D70E9187480}"/>
    <cellStyle name="Normal 2 4 2 6 4 4" xfId="10153" xr:uid="{F8696223-3F6E-43E3-85BB-A0B8299CB9AB}"/>
    <cellStyle name="Normal 2 4 2 6 5" xfId="2035" xr:uid="{00000000-0005-0000-0000-0000BB0F0000}"/>
    <cellStyle name="Normal 2 4 2 6 5 2" xfId="4264" xr:uid="{00000000-0005-0000-0000-0000BC0F0000}"/>
    <cellStyle name="Normal 2 4 2 6 5 2 2" xfId="8487" xr:uid="{00000000-0005-0000-0000-0000BD0F0000}"/>
    <cellStyle name="Normal 2 4 2 6 5 2 2 2" xfId="16929" xr:uid="{1D56C756-363B-4F44-A37C-B5DD4111CC57}"/>
    <cellStyle name="Normal 2 4 2 6 5 2 3" xfId="12711" xr:uid="{FE4A3EC5-691F-47CE-947C-CFD775933C6C}"/>
    <cellStyle name="Normal 2 4 2 6 5 3" xfId="6342" xr:uid="{00000000-0005-0000-0000-0000BE0F0000}"/>
    <cellStyle name="Normal 2 4 2 6 5 3 2" xfId="14784" xr:uid="{E1B05CB7-FB4C-4352-A632-80CD4FB35215}"/>
    <cellStyle name="Normal 2 4 2 6 5 4" xfId="10566" xr:uid="{7CDE7450-A8BF-4E87-98C0-6DD362AEB76A}"/>
    <cellStyle name="Normal 2 4 2 6 6" xfId="2471" xr:uid="{00000000-0005-0000-0000-0000BF0F0000}"/>
    <cellStyle name="Normal 2 4 2 6 6 2" xfId="6755" xr:uid="{00000000-0005-0000-0000-0000C00F0000}"/>
    <cellStyle name="Normal 2 4 2 6 6 2 2" xfId="15197" xr:uid="{5442E98D-DE72-4FEB-9D3D-A2A78BCB6DD6}"/>
    <cellStyle name="Normal 2 4 2 6 6 3" xfId="10979" xr:uid="{335DCE4B-D91B-4991-83CB-E59CE935A6BA}"/>
    <cellStyle name="Normal 2 4 2 6 7" xfId="4689" xr:uid="{00000000-0005-0000-0000-0000C10F0000}"/>
    <cellStyle name="Normal 2 4 2 6 7 2" xfId="13131" xr:uid="{CF207996-24A5-4E13-A197-3F7BFF039F1D}"/>
    <cellStyle name="Normal 2 4 2 6 8" xfId="8913" xr:uid="{36A6B9BE-8AA9-4B15-B1C1-008B601E9E06}"/>
    <cellStyle name="Normal 2 4 2 7" xfId="771" xr:uid="{00000000-0005-0000-0000-0000C20F0000}"/>
    <cellStyle name="Normal 2 4 2 7 2" xfId="3010" xr:uid="{00000000-0005-0000-0000-0000C30F0000}"/>
    <cellStyle name="Normal 2 4 2 7 2 2" xfId="7233" xr:uid="{00000000-0005-0000-0000-0000C40F0000}"/>
    <cellStyle name="Normal 2 4 2 7 2 2 2" xfId="15675" xr:uid="{414EB41C-95B8-4020-B01D-69376EB2D142}"/>
    <cellStyle name="Normal 2 4 2 7 2 3" xfId="11457" xr:uid="{C306D0BC-BD5A-4C12-B609-CEFDA9122732}"/>
    <cellStyle name="Normal 2 4 2 7 3" xfId="5088" xr:uid="{00000000-0005-0000-0000-0000C50F0000}"/>
    <cellStyle name="Normal 2 4 2 7 3 2" xfId="13530" xr:uid="{5EF8FBB3-20AF-4B6A-9937-CC6DF576F943}"/>
    <cellStyle name="Normal 2 4 2 7 4" xfId="9312" xr:uid="{7594666C-D19B-40D0-8248-10FF6C3885F4}"/>
    <cellStyle name="Normal 2 4 2 8" xfId="1193" xr:uid="{00000000-0005-0000-0000-0000C60F0000}"/>
    <cellStyle name="Normal 2 4 2 8 2" xfId="3423" xr:uid="{00000000-0005-0000-0000-0000C70F0000}"/>
    <cellStyle name="Normal 2 4 2 8 2 2" xfId="7646" xr:uid="{00000000-0005-0000-0000-0000C80F0000}"/>
    <cellStyle name="Normal 2 4 2 8 2 2 2" xfId="16088" xr:uid="{1845163E-DF5B-481C-9E1E-054684A537A6}"/>
    <cellStyle name="Normal 2 4 2 8 2 3" xfId="11870" xr:uid="{DA69172B-2A77-4ADF-9306-0109E7DF7022}"/>
    <cellStyle name="Normal 2 4 2 8 3" xfId="5501" xr:uid="{00000000-0005-0000-0000-0000C90F0000}"/>
    <cellStyle name="Normal 2 4 2 8 3 2" xfId="13943" xr:uid="{6613E83D-B0CF-4FD2-BF12-FFEB039F3C84}"/>
    <cellStyle name="Normal 2 4 2 8 4" xfId="9725" xr:uid="{389EC130-7B00-467E-AFC7-A50993664011}"/>
    <cellStyle name="Normal 2 4 2 9" xfId="1606" xr:uid="{00000000-0005-0000-0000-0000CA0F0000}"/>
    <cellStyle name="Normal 2 4 2 9 2" xfId="3836" xr:uid="{00000000-0005-0000-0000-0000CB0F0000}"/>
    <cellStyle name="Normal 2 4 2 9 2 2" xfId="8059" xr:uid="{00000000-0005-0000-0000-0000CC0F0000}"/>
    <cellStyle name="Normal 2 4 2 9 2 2 2" xfId="16501" xr:uid="{38F903E3-5870-42DB-8324-C51B2580C42F}"/>
    <cellStyle name="Normal 2 4 2 9 2 3" xfId="12283" xr:uid="{E83E5814-1502-40B8-8B82-858B2E64B621}"/>
    <cellStyle name="Normal 2 4 2 9 3" xfId="5914" xr:uid="{00000000-0005-0000-0000-0000CD0F0000}"/>
    <cellStyle name="Normal 2 4 2 9 3 2" xfId="14356" xr:uid="{1126B3BB-D635-4A47-A6A1-9258B80240BA}"/>
    <cellStyle name="Normal 2 4 2 9 4" xfId="10138" xr:uid="{1D6F3610-8B76-4037-AE9B-3B9FA86EA3AE}"/>
    <cellStyle name="Normal 2 4 3" xfId="296" xr:uid="{00000000-0005-0000-0000-0000CE0F0000}"/>
    <cellStyle name="Normal 2 4 3 10" xfId="8914" xr:uid="{798BE1BA-7DA3-4214-8716-45F6DDD318D8}"/>
    <cellStyle name="Normal 2 4 3 2" xfId="297" xr:uid="{00000000-0005-0000-0000-0000CF0F0000}"/>
    <cellStyle name="Normal 2 4 3 3" xfId="298" xr:uid="{00000000-0005-0000-0000-0000D00F0000}"/>
    <cellStyle name="Normal 2 4 3 3 10" xfId="8915" xr:uid="{71B28E85-48ED-426E-A015-82A32AA22FD6}"/>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2 2 2" xfId="15694" xr:uid="{0A1B6476-81BF-4493-A0D1-6A1D1E77BC63}"/>
    <cellStyle name="Normal 2 4 3 3 2 2 2 2 3" xfId="11476" xr:uid="{4B33D694-06E3-4432-B7B5-AE3E189C6C58}"/>
    <cellStyle name="Normal 2 4 3 3 2 2 2 3" xfId="5107" xr:uid="{00000000-0005-0000-0000-0000D60F0000}"/>
    <cellStyle name="Normal 2 4 3 3 2 2 2 3 2" xfId="13549" xr:uid="{0A506304-7CB9-4A87-89AE-738727214215}"/>
    <cellStyle name="Normal 2 4 3 3 2 2 2 4" xfId="9331" xr:uid="{5CF56B56-5F90-4882-B5BC-C5925896C7E7}"/>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2 2 2" xfId="16107" xr:uid="{50117D48-0959-4AE0-9935-A6E656E289BD}"/>
    <cellStyle name="Normal 2 4 3 3 2 2 3 2 3" xfId="11889" xr:uid="{021DCADC-496E-46D3-BCEF-3B6B0C953911}"/>
    <cellStyle name="Normal 2 4 3 3 2 2 3 3" xfId="5520" xr:uid="{00000000-0005-0000-0000-0000DA0F0000}"/>
    <cellStyle name="Normal 2 4 3 3 2 2 3 3 2" xfId="13962" xr:uid="{1F5A273C-3ADE-403F-86D7-FEF18234845D}"/>
    <cellStyle name="Normal 2 4 3 3 2 2 3 4" xfId="9744" xr:uid="{357299A2-63BF-494A-86BB-8F9A801F3EA6}"/>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2 2 2" xfId="16520" xr:uid="{C78628BD-89E0-47E3-B286-4182A810B5BE}"/>
    <cellStyle name="Normal 2 4 3 3 2 2 4 2 3" xfId="12302" xr:uid="{6AFC4D8A-DF5B-4A28-B70C-BABD689F64A8}"/>
    <cellStyle name="Normal 2 4 3 3 2 2 4 3" xfId="5933" xr:uid="{00000000-0005-0000-0000-0000DE0F0000}"/>
    <cellStyle name="Normal 2 4 3 3 2 2 4 3 2" xfId="14375" xr:uid="{E41AE8DB-971F-46E7-90DB-82D1D5796C03}"/>
    <cellStyle name="Normal 2 4 3 3 2 2 4 4" xfId="10157" xr:uid="{8773855F-033E-4E38-8B39-788FC43EBB2D}"/>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2 2 2" xfId="16933" xr:uid="{93E5B725-6045-4A6F-9B99-F396F2C3A7A7}"/>
    <cellStyle name="Normal 2 4 3 3 2 2 5 2 3" xfId="12715" xr:uid="{A7C22547-683C-4676-ACA8-D6FB1BE84437}"/>
    <cellStyle name="Normal 2 4 3 3 2 2 5 3" xfId="6346" xr:uid="{00000000-0005-0000-0000-0000E20F0000}"/>
    <cellStyle name="Normal 2 4 3 3 2 2 5 3 2" xfId="14788" xr:uid="{8E4A7962-CEDD-4083-9053-58D752A9EE25}"/>
    <cellStyle name="Normal 2 4 3 3 2 2 5 4" xfId="10570" xr:uid="{BB61C2A7-3182-40C4-9870-0A4F6B5DBE0B}"/>
    <cellStyle name="Normal 2 4 3 3 2 2 6" xfId="2475" xr:uid="{00000000-0005-0000-0000-0000E30F0000}"/>
    <cellStyle name="Normal 2 4 3 3 2 2 6 2" xfId="6759" xr:uid="{00000000-0005-0000-0000-0000E40F0000}"/>
    <cellStyle name="Normal 2 4 3 3 2 2 6 2 2" xfId="15201" xr:uid="{22A2E82C-43D4-4ECC-9F66-9999994973C7}"/>
    <cellStyle name="Normal 2 4 3 3 2 2 6 3" xfId="10983" xr:uid="{B0C172C8-2D18-45B5-9625-D4A8FD572A97}"/>
    <cellStyle name="Normal 2 4 3 3 2 2 7" xfId="4693" xr:uid="{00000000-0005-0000-0000-0000E50F0000}"/>
    <cellStyle name="Normal 2 4 3 3 2 2 7 2" xfId="13135" xr:uid="{D9822107-D4DD-4699-924E-007A26D80059}"/>
    <cellStyle name="Normal 2 4 3 3 2 2 8" xfId="8917" xr:uid="{B3EBD344-7F80-4B61-B334-AC44D3453FAC}"/>
    <cellStyle name="Normal 2 4 3 3 2 3" xfId="789" xr:uid="{00000000-0005-0000-0000-0000E60F0000}"/>
    <cellStyle name="Normal 2 4 3 3 2 3 2" xfId="3028" xr:uid="{00000000-0005-0000-0000-0000E70F0000}"/>
    <cellStyle name="Normal 2 4 3 3 2 3 2 2" xfId="7251" xr:uid="{00000000-0005-0000-0000-0000E80F0000}"/>
    <cellStyle name="Normal 2 4 3 3 2 3 2 2 2" xfId="15693" xr:uid="{542F78AF-D37B-4146-BBCE-02FCB854A53F}"/>
    <cellStyle name="Normal 2 4 3 3 2 3 2 3" xfId="11475" xr:uid="{7457BBE5-12E9-45CC-855F-852478AC8BD3}"/>
    <cellStyle name="Normal 2 4 3 3 2 3 3" xfId="5106" xr:uid="{00000000-0005-0000-0000-0000E90F0000}"/>
    <cellStyle name="Normal 2 4 3 3 2 3 3 2" xfId="13548" xr:uid="{E31DDE7A-5E66-402B-8F1B-DDCFFD28EFC1}"/>
    <cellStyle name="Normal 2 4 3 3 2 3 4" xfId="9330" xr:uid="{AF248B42-2281-41B1-87D0-0B0E152BAF71}"/>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2 2 2" xfId="16106" xr:uid="{3136F88B-39C0-4313-B9B3-601D0B38A7CA}"/>
    <cellStyle name="Normal 2 4 3 3 2 4 2 3" xfId="11888" xr:uid="{D111484F-721A-473A-A732-C0EDF19818E7}"/>
    <cellStyle name="Normal 2 4 3 3 2 4 3" xfId="5519" xr:uid="{00000000-0005-0000-0000-0000ED0F0000}"/>
    <cellStyle name="Normal 2 4 3 3 2 4 3 2" xfId="13961" xr:uid="{08D7C907-AC1F-4D90-B002-D7812F1A7E1A}"/>
    <cellStyle name="Normal 2 4 3 3 2 4 4" xfId="9743" xr:uid="{0C39DB4F-3BDF-4010-A5DD-F8BE333D90AE}"/>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2 2 2" xfId="16519" xr:uid="{C82E5986-E2BB-4AD2-8364-A59868EB9224}"/>
    <cellStyle name="Normal 2 4 3 3 2 5 2 3" xfId="12301" xr:uid="{30EC93B9-6BAA-4EDA-A575-E50E2444746D}"/>
    <cellStyle name="Normal 2 4 3 3 2 5 3" xfId="5932" xr:uid="{00000000-0005-0000-0000-0000F10F0000}"/>
    <cellStyle name="Normal 2 4 3 3 2 5 3 2" xfId="14374" xr:uid="{90395242-65AA-4C95-89AB-8AB67A0B11CF}"/>
    <cellStyle name="Normal 2 4 3 3 2 5 4" xfId="10156" xr:uid="{D69FE6EA-C047-43F0-92F9-F4D3AFFF6C0E}"/>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2 2 2" xfId="16932" xr:uid="{84DB3186-D600-4BA2-A175-27ADCBFC266E}"/>
    <cellStyle name="Normal 2 4 3 3 2 6 2 3" xfId="12714" xr:uid="{2ED278CB-8143-43EF-BF91-903CA086B8AC}"/>
    <cellStyle name="Normal 2 4 3 3 2 6 3" xfId="6345" xr:uid="{00000000-0005-0000-0000-0000F50F0000}"/>
    <cellStyle name="Normal 2 4 3 3 2 6 3 2" xfId="14787" xr:uid="{029BF85F-31FF-45F4-B1FB-41CB4F6D684A}"/>
    <cellStyle name="Normal 2 4 3 3 2 6 4" xfId="10569" xr:uid="{2EC88C22-48A2-4217-AD08-786CF0005E0B}"/>
    <cellStyle name="Normal 2 4 3 3 2 7" xfId="2474" xr:uid="{00000000-0005-0000-0000-0000F60F0000}"/>
    <cellStyle name="Normal 2 4 3 3 2 7 2" xfId="6758" xr:uid="{00000000-0005-0000-0000-0000F70F0000}"/>
    <cellStyle name="Normal 2 4 3 3 2 7 2 2" xfId="15200" xr:uid="{8545CE75-A72A-415B-8216-888AC5091EAE}"/>
    <cellStyle name="Normal 2 4 3 3 2 7 3" xfId="10982" xr:uid="{EC73072A-393D-4B12-815A-6081A0EC54B2}"/>
    <cellStyle name="Normal 2 4 3 3 2 8" xfId="4692" xr:uid="{00000000-0005-0000-0000-0000F80F0000}"/>
    <cellStyle name="Normal 2 4 3 3 2 8 2" xfId="13134" xr:uid="{AFF50794-F2AD-4BAD-805A-2B7A5B1DF42B}"/>
    <cellStyle name="Normal 2 4 3 3 2 9" xfId="8916" xr:uid="{C617C677-086D-475B-AD92-43BF4697F371}"/>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2 2 2" xfId="15695" xr:uid="{0F579CC3-BEFE-4D50-97C5-E10CC3E2BBA2}"/>
    <cellStyle name="Normal 2 4 3 3 3 2 2 3" xfId="11477" xr:uid="{335D31E5-27BC-4497-A572-15C2DE860B59}"/>
    <cellStyle name="Normal 2 4 3 3 3 2 3" xfId="5108" xr:uid="{00000000-0005-0000-0000-0000FD0F0000}"/>
    <cellStyle name="Normal 2 4 3 3 3 2 3 2" xfId="13550" xr:uid="{D1D6D704-4068-4E84-B8A4-3686470A4A2B}"/>
    <cellStyle name="Normal 2 4 3 3 3 2 4" xfId="9332" xr:uid="{60D4524A-F16B-4F03-AFED-B8D58CF782DD}"/>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2 2 2" xfId="16108" xr:uid="{A0141A8E-9398-4D68-8B09-40551B55A75C}"/>
    <cellStyle name="Normal 2 4 3 3 3 3 2 3" xfId="11890" xr:uid="{A48ADC26-5132-454D-B82A-8C2A56DF90D5}"/>
    <cellStyle name="Normal 2 4 3 3 3 3 3" xfId="5521" xr:uid="{00000000-0005-0000-0000-000001100000}"/>
    <cellStyle name="Normal 2 4 3 3 3 3 3 2" xfId="13963" xr:uid="{BEB4BBDF-07DB-404E-8A53-A26E87CAE487}"/>
    <cellStyle name="Normal 2 4 3 3 3 3 4" xfId="9745" xr:uid="{4D89D29E-1F0D-45B5-B6BF-FA4D1D96A0A5}"/>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2 2 2" xfId="16521" xr:uid="{92022FE4-A55C-41B5-9852-1DFAD09AEEEE}"/>
    <cellStyle name="Normal 2 4 3 3 3 4 2 3" xfId="12303" xr:uid="{35662412-BCC5-43D4-B289-B8C162FF3B16}"/>
    <cellStyle name="Normal 2 4 3 3 3 4 3" xfId="5934" xr:uid="{00000000-0005-0000-0000-000005100000}"/>
    <cellStyle name="Normal 2 4 3 3 3 4 3 2" xfId="14376" xr:uid="{022D53FB-9A92-4760-AC68-27E4E68EFC61}"/>
    <cellStyle name="Normal 2 4 3 3 3 4 4" xfId="10158" xr:uid="{B6175794-035F-412E-9609-B2CE14526B2C}"/>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2 2 2" xfId="16934" xr:uid="{868F24E3-08A1-4411-80D1-7B65B7ED6EC6}"/>
    <cellStyle name="Normal 2 4 3 3 3 5 2 3" xfId="12716" xr:uid="{A538B7E0-1671-4179-A630-614C6CCEBA1F}"/>
    <cellStyle name="Normal 2 4 3 3 3 5 3" xfId="6347" xr:uid="{00000000-0005-0000-0000-000009100000}"/>
    <cellStyle name="Normal 2 4 3 3 3 5 3 2" xfId="14789" xr:uid="{B485D7FA-9C98-4DF5-AD8E-98B03EA510FB}"/>
    <cellStyle name="Normal 2 4 3 3 3 5 4" xfId="10571" xr:uid="{5C48B986-9B98-49AD-95B6-6FC4DDDD185E}"/>
    <cellStyle name="Normal 2 4 3 3 3 6" xfId="2476" xr:uid="{00000000-0005-0000-0000-00000A100000}"/>
    <cellStyle name="Normal 2 4 3 3 3 6 2" xfId="6760" xr:uid="{00000000-0005-0000-0000-00000B100000}"/>
    <cellStyle name="Normal 2 4 3 3 3 6 2 2" xfId="15202" xr:uid="{751E71F4-834B-4296-8DAC-CA92DA73FF14}"/>
    <cellStyle name="Normal 2 4 3 3 3 6 3" xfId="10984" xr:uid="{46348118-5BC2-4782-A0A4-973D1733FDCB}"/>
    <cellStyle name="Normal 2 4 3 3 3 7" xfId="4694" xr:uid="{00000000-0005-0000-0000-00000C100000}"/>
    <cellStyle name="Normal 2 4 3 3 3 7 2" xfId="13136" xr:uid="{1A9E948A-C0DA-499A-B063-786A52C16388}"/>
    <cellStyle name="Normal 2 4 3 3 3 8" xfId="8918" xr:uid="{AC918D30-3669-40EF-BEB3-909ADB7DC3C5}"/>
    <cellStyle name="Normal 2 4 3 3 4" xfId="788" xr:uid="{00000000-0005-0000-0000-00000D100000}"/>
    <cellStyle name="Normal 2 4 3 3 4 2" xfId="3027" xr:uid="{00000000-0005-0000-0000-00000E100000}"/>
    <cellStyle name="Normal 2 4 3 3 4 2 2" xfId="7250" xr:uid="{00000000-0005-0000-0000-00000F100000}"/>
    <cellStyle name="Normal 2 4 3 3 4 2 2 2" xfId="15692" xr:uid="{92E33CFD-0E83-4F20-8B33-E22EE7ADAABB}"/>
    <cellStyle name="Normal 2 4 3 3 4 2 3" xfId="11474" xr:uid="{FDFFD086-B8D0-4ADB-8ED4-1064144A6934}"/>
    <cellStyle name="Normal 2 4 3 3 4 3" xfId="5105" xr:uid="{00000000-0005-0000-0000-000010100000}"/>
    <cellStyle name="Normal 2 4 3 3 4 3 2" xfId="13547" xr:uid="{83BF6573-EDA6-497C-8EAA-6572B012163D}"/>
    <cellStyle name="Normal 2 4 3 3 4 4" xfId="9329" xr:uid="{874AD9E5-49AA-4F17-96B5-13EE1387FFF5}"/>
    <cellStyle name="Normal 2 4 3 3 5" xfId="1210" xr:uid="{00000000-0005-0000-0000-000011100000}"/>
    <cellStyle name="Normal 2 4 3 3 5 2" xfId="3440" xr:uid="{00000000-0005-0000-0000-000012100000}"/>
    <cellStyle name="Normal 2 4 3 3 5 2 2" xfId="7663" xr:uid="{00000000-0005-0000-0000-000013100000}"/>
    <cellStyle name="Normal 2 4 3 3 5 2 2 2" xfId="16105" xr:uid="{BA86C154-E489-4BBB-8BDD-FCDC0AB20C68}"/>
    <cellStyle name="Normal 2 4 3 3 5 2 3" xfId="11887" xr:uid="{503C37BF-A797-4309-8340-59BCF43ABE2D}"/>
    <cellStyle name="Normal 2 4 3 3 5 3" xfId="5518" xr:uid="{00000000-0005-0000-0000-000014100000}"/>
    <cellStyle name="Normal 2 4 3 3 5 3 2" xfId="13960" xr:uid="{02E85874-C942-41EB-BE65-3686CB4A9360}"/>
    <cellStyle name="Normal 2 4 3 3 5 4" xfId="9742" xr:uid="{8E635A5F-F7EF-4C1E-970E-3FBB4D9AF7D8}"/>
    <cellStyle name="Normal 2 4 3 3 6" xfId="1623" xr:uid="{00000000-0005-0000-0000-000015100000}"/>
    <cellStyle name="Normal 2 4 3 3 6 2" xfId="3853" xr:uid="{00000000-0005-0000-0000-000016100000}"/>
    <cellStyle name="Normal 2 4 3 3 6 2 2" xfId="8076" xr:uid="{00000000-0005-0000-0000-000017100000}"/>
    <cellStyle name="Normal 2 4 3 3 6 2 2 2" xfId="16518" xr:uid="{F095B36D-77B8-475D-89CA-99ACE0834314}"/>
    <cellStyle name="Normal 2 4 3 3 6 2 3" xfId="12300" xr:uid="{28100807-C2FD-4688-B6D5-2F8D5A95ACD4}"/>
    <cellStyle name="Normal 2 4 3 3 6 3" xfId="5931" xr:uid="{00000000-0005-0000-0000-000018100000}"/>
    <cellStyle name="Normal 2 4 3 3 6 3 2" xfId="14373" xr:uid="{FC0F777F-517D-44E1-B4F8-126CA6990057}"/>
    <cellStyle name="Normal 2 4 3 3 6 4" xfId="10155" xr:uid="{76C79C2C-A52D-4E61-B275-A315FDEBC81B}"/>
    <cellStyle name="Normal 2 4 3 3 7" xfId="2037" xr:uid="{00000000-0005-0000-0000-000019100000}"/>
    <cellStyle name="Normal 2 4 3 3 7 2" xfId="4266" xr:uid="{00000000-0005-0000-0000-00001A100000}"/>
    <cellStyle name="Normal 2 4 3 3 7 2 2" xfId="8489" xr:uid="{00000000-0005-0000-0000-00001B100000}"/>
    <cellStyle name="Normal 2 4 3 3 7 2 2 2" xfId="16931" xr:uid="{3BFCAB1D-8D38-4487-B269-A5592878E560}"/>
    <cellStyle name="Normal 2 4 3 3 7 2 3" xfId="12713" xr:uid="{885D839A-79A4-42C4-A543-050F358B9E8B}"/>
    <cellStyle name="Normal 2 4 3 3 7 3" xfId="6344" xr:uid="{00000000-0005-0000-0000-00001C100000}"/>
    <cellStyle name="Normal 2 4 3 3 7 3 2" xfId="14786" xr:uid="{21181ABA-3C9F-4F53-9C5D-9CD2D7734AD6}"/>
    <cellStyle name="Normal 2 4 3 3 7 4" xfId="10568" xr:uid="{641FB7A9-C779-409B-A20B-C627EDB1E085}"/>
    <cellStyle name="Normal 2 4 3 3 8" xfId="2473" xr:uid="{00000000-0005-0000-0000-00001D100000}"/>
    <cellStyle name="Normal 2 4 3 3 8 2" xfId="6757" xr:uid="{00000000-0005-0000-0000-00001E100000}"/>
    <cellStyle name="Normal 2 4 3 3 8 2 2" xfId="15199" xr:uid="{770BCA3B-8921-4311-927D-BD91BF0E5AAE}"/>
    <cellStyle name="Normal 2 4 3 3 8 3" xfId="10981" xr:uid="{25C412E8-8735-4C27-BA46-786B9C5E8DD5}"/>
    <cellStyle name="Normal 2 4 3 3 9" xfId="4691" xr:uid="{00000000-0005-0000-0000-00001F100000}"/>
    <cellStyle name="Normal 2 4 3 3 9 2" xfId="13133" xr:uid="{C75FDE67-5C70-4C01-B9C0-57274CB80815}"/>
    <cellStyle name="Normal 2 4 3 4" xfId="787" xr:uid="{00000000-0005-0000-0000-000020100000}"/>
    <cellStyle name="Normal 2 4 3 4 2" xfId="3026" xr:uid="{00000000-0005-0000-0000-000021100000}"/>
    <cellStyle name="Normal 2 4 3 4 2 2" xfId="7249" xr:uid="{00000000-0005-0000-0000-000022100000}"/>
    <cellStyle name="Normal 2 4 3 4 2 2 2" xfId="15691" xr:uid="{67A4E4E5-DDD3-44B5-B11C-AD210D71A045}"/>
    <cellStyle name="Normal 2 4 3 4 2 3" xfId="11473" xr:uid="{00210B87-A8FA-4B88-971C-BEF303D76EB1}"/>
    <cellStyle name="Normal 2 4 3 4 3" xfId="5104" xr:uid="{00000000-0005-0000-0000-000023100000}"/>
    <cellStyle name="Normal 2 4 3 4 3 2" xfId="13546" xr:uid="{2C6D05D8-2A04-4758-9037-BCD7AD1CAA3D}"/>
    <cellStyle name="Normal 2 4 3 4 4" xfId="9328" xr:uid="{2E2346CA-E82A-4E43-95AE-2FEA93270A48}"/>
    <cellStyle name="Normal 2 4 3 5" xfId="1209" xr:uid="{00000000-0005-0000-0000-000024100000}"/>
    <cellStyle name="Normal 2 4 3 5 2" xfId="3439" xr:uid="{00000000-0005-0000-0000-000025100000}"/>
    <cellStyle name="Normal 2 4 3 5 2 2" xfId="7662" xr:uid="{00000000-0005-0000-0000-000026100000}"/>
    <cellStyle name="Normal 2 4 3 5 2 2 2" xfId="16104" xr:uid="{EE44201F-3247-44A4-8419-0B18ABB0B562}"/>
    <cellStyle name="Normal 2 4 3 5 2 3" xfId="11886" xr:uid="{5A7CD0C3-3CE1-4135-944A-E235ADD9EE27}"/>
    <cellStyle name="Normal 2 4 3 5 3" xfId="5517" xr:uid="{00000000-0005-0000-0000-000027100000}"/>
    <cellStyle name="Normal 2 4 3 5 3 2" xfId="13959" xr:uid="{FFE59368-0641-4953-87B5-A8C1FB7D35BC}"/>
    <cellStyle name="Normal 2 4 3 5 4" xfId="9741" xr:uid="{F999651F-CCD3-4906-AD36-C0DB42EB0618}"/>
    <cellStyle name="Normal 2 4 3 6" xfId="1622" xr:uid="{00000000-0005-0000-0000-000028100000}"/>
    <cellStyle name="Normal 2 4 3 6 2" xfId="3852" xr:uid="{00000000-0005-0000-0000-000029100000}"/>
    <cellStyle name="Normal 2 4 3 6 2 2" xfId="8075" xr:uid="{00000000-0005-0000-0000-00002A100000}"/>
    <cellStyle name="Normal 2 4 3 6 2 2 2" xfId="16517" xr:uid="{2B83809F-0398-418C-97DE-306AA605324B}"/>
    <cellStyle name="Normal 2 4 3 6 2 3" xfId="12299" xr:uid="{88E02214-5E84-45D6-9274-6880606C8860}"/>
    <cellStyle name="Normal 2 4 3 6 3" xfId="5930" xr:uid="{00000000-0005-0000-0000-00002B100000}"/>
    <cellStyle name="Normal 2 4 3 6 3 2" xfId="14372" xr:uid="{953E7B90-55F2-4CC9-BCB6-BDEECBD42943}"/>
    <cellStyle name="Normal 2 4 3 6 4" xfId="10154" xr:uid="{B7CB25F3-5DD4-40A3-9E9A-AA4D502ACA83}"/>
    <cellStyle name="Normal 2 4 3 7" xfId="2036" xr:uid="{00000000-0005-0000-0000-00002C100000}"/>
    <cellStyle name="Normal 2 4 3 7 2" xfId="4265" xr:uid="{00000000-0005-0000-0000-00002D100000}"/>
    <cellStyle name="Normal 2 4 3 7 2 2" xfId="8488" xr:uid="{00000000-0005-0000-0000-00002E100000}"/>
    <cellStyle name="Normal 2 4 3 7 2 2 2" xfId="16930" xr:uid="{39A7E103-C5EA-464B-BA91-1C38B06DCC2F}"/>
    <cellStyle name="Normal 2 4 3 7 2 3" xfId="12712" xr:uid="{B584BC09-D58C-4EED-883F-AC45992A8ECB}"/>
    <cellStyle name="Normal 2 4 3 7 3" xfId="6343" xr:uid="{00000000-0005-0000-0000-00002F100000}"/>
    <cellStyle name="Normal 2 4 3 7 3 2" xfId="14785" xr:uid="{3984BE06-5F78-4B0C-9BC6-9374C123C1DC}"/>
    <cellStyle name="Normal 2 4 3 7 4" xfId="10567" xr:uid="{0F110BD0-45A5-4F84-8B76-4CD9599EBF51}"/>
    <cellStyle name="Normal 2 4 3 8" xfId="2472" xr:uid="{00000000-0005-0000-0000-000030100000}"/>
    <cellStyle name="Normal 2 4 3 8 2" xfId="6756" xr:uid="{00000000-0005-0000-0000-000031100000}"/>
    <cellStyle name="Normal 2 4 3 8 2 2" xfId="15198" xr:uid="{9EFCD336-72ED-4D90-9F4E-7B10E30FBF65}"/>
    <cellStyle name="Normal 2 4 3 8 3" xfId="10980" xr:uid="{32EC6516-AA84-4434-81E2-8F9A078184E0}"/>
    <cellStyle name="Normal 2 4 3 9" xfId="4690" xr:uid="{00000000-0005-0000-0000-000032100000}"/>
    <cellStyle name="Normal 2 4 3 9 2" xfId="13132" xr:uid="{28177CFF-C48A-493C-AED3-BCFDB95604D8}"/>
    <cellStyle name="Normal 2 4 4" xfId="302" xr:uid="{00000000-0005-0000-0000-000033100000}"/>
    <cellStyle name="Normal 2 4 5" xfId="303" xr:uid="{00000000-0005-0000-0000-000034100000}"/>
    <cellStyle name="Normal 2 4 5 10" xfId="4695" xr:uid="{00000000-0005-0000-0000-000035100000}"/>
    <cellStyle name="Normal 2 4 5 10 2" xfId="13137" xr:uid="{5B93D094-8EB2-445C-B77D-19F41347D323}"/>
    <cellStyle name="Normal 2 4 5 11" xfId="8919" xr:uid="{01F707DF-46C2-4503-8806-8EB97C553D9D}"/>
    <cellStyle name="Normal 2 4 5 2" xfId="304" xr:uid="{00000000-0005-0000-0000-000036100000}"/>
    <cellStyle name="Normal 2 4 5 2 10" xfId="8920" xr:uid="{A9341E7C-A59C-4F7A-B47D-67429E689F1B}"/>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2 2 2" xfId="15699" xr:uid="{D7B23EA4-F6E2-42CA-BAF3-926289B12761}"/>
    <cellStyle name="Normal 2 4 5 2 2 2 2 2 3" xfId="11481" xr:uid="{E2CA2C30-E851-4854-B279-DBE7C044724C}"/>
    <cellStyle name="Normal 2 4 5 2 2 2 2 3" xfId="5112" xr:uid="{00000000-0005-0000-0000-00003C100000}"/>
    <cellStyle name="Normal 2 4 5 2 2 2 2 3 2" xfId="13554" xr:uid="{5FCB6570-09F3-434B-A1F9-8A2328F44B09}"/>
    <cellStyle name="Normal 2 4 5 2 2 2 2 4" xfId="9336" xr:uid="{5BC45C37-A0C0-47BE-B5CF-CC129A8DDC01}"/>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2 2 2" xfId="16112" xr:uid="{78C12634-2822-42DC-B369-87D598F5F56E}"/>
    <cellStyle name="Normal 2 4 5 2 2 2 3 2 3" xfId="11894" xr:uid="{E8B5D4A3-8E53-4E49-BBCC-F91B2EB80AB1}"/>
    <cellStyle name="Normal 2 4 5 2 2 2 3 3" xfId="5525" xr:uid="{00000000-0005-0000-0000-000040100000}"/>
    <cellStyle name="Normal 2 4 5 2 2 2 3 3 2" xfId="13967" xr:uid="{F4A85A27-C784-4BDE-9A85-57CAAB3C161E}"/>
    <cellStyle name="Normal 2 4 5 2 2 2 3 4" xfId="9749" xr:uid="{E150BB4B-088E-42D9-A441-3E4EDD9621A3}"/>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2 2 2" xfId="16525" xr:uid="{B9EC6090-1E14-4F3A-9145-116AD1E18D33}"/>
    <cellStyle name="Normal 2 4 5 2 2 2 4 2 3" xfId="12307" xr:uid="{3D7F92B0-ABA7-4A28-9DA4-4FF8E3A123A6}"/>
    <cellStyle name="Normal 2 4 5 2 2 2 4 3" xfId="5938" xr:uid="{00000000-0005-0000-0000-000044100000}"/>
    <cellStyle name="Normal 2 4 5 2 2 2 4 3 2" xfId="14380" xr:uid="{4BA6C872-CDC7-4912-9281-8519354AC1FA}"/>
    <cellStyle name="Normal 2 4 5 2 2 2 4 4" xfId="10162" xr:uid="{6873BDAD-E9D6-44B9-8148-2183B928883C}"/>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2 2 2" xfId="16938" xr:uid="{BC3D9509-F593-4C4B-BBA2-B6B91CEC23E2}"/>
    <cellStyle name="Normal 2 4 5 2 2 2 5 2 3" xfId="12720" xr:uid="{D10BF0A9-AE83-45BA-B609-801B91629132}"/>
    <cellStyle name="Normal 2 4 5 2 2 2 5 3" xfId="6351" xr:uid="{00000000-0005-0000-0000-000048100000}"/>
    <cellStyle name="Normal 2 4 5 2 2 2 5 3 2" xfId="14793" xr:uid="{3AB2BFBB-6828-43FF-A6E2-F70F988A3227}"/>
    <cellStyle name="Normal 2 4 5 2 2 2 5 4" xfId="10575" xr:uid="{CE3CE9D2-0F1D-4F19-85CC-4A130926F5C1}"/>
    <cellStyle name="Normal 2 4 5 2 2 2 6" xfId="2480" xr:uid="{00000000-0005-0000-0000-000049100000}"/>
    <cellStyle name="Normal 2 4 5 2 2 2 6 2" xfId="6764" xr:uid="{00000000-0005-0000-0000-00004A100000}"/>
    <cellStyle name="Normal 2 4 5 2 2 2 6 2 2" xfId="15206" xr:uid="{665DD939-17FA-4D4B-B8CB-8379FD23B833}"/>
    <cellStyle name="Normal 2 4 5 2 2 2 6 3" xfId="10988" xr:uid="{1B19C81F-69EC-4A92-A803-98AEA16739E1}"/>
    <cellStyle name="Normal 2 4 5 2 2 2 7" xfId="4698" xr:uid="{00000000-0005-0000-0000-00004B100000}"/>
    <cellStyle name="Normal 2 4 5 2 2 2 7 2" xfId="13140" xr:uid="{105FBCFC-F996-4236-BA58-B9886A2B687D}"/>
    <cellStyle name="Normal 2 4 5 2 2 2 8" xfId="8922" xr:uid="{DFD8CCB5-A7BC-44BE-A4EB-6ED3AE5A2DD4}"/>
    <cellStyle name="Normal 2 4 5 2 2 3" xfId="794" xr:uid="{00000000-0005-0000-0000-00004C100000}"/>
    <cellStyle name="Normal 2 4 5 2 2 3 2" xfId="3033" xr:uid="{00000000-0005-0000-0000-00004D100000}"/>
    <cellStyle name="Normal 2 4 5 2 2 3 2 2" xfId="7256" xr:uid="{00000000-0005-0000-0000-00004E100000}"/>
    <cellStyle name="Normal 2 4 5 2 2 3 2 2 2" xfId="15698" xr:uid="{4791A7DF-97B5-4A27-AF0A-0DF584AA9020}"/>
    <cellStyle name="Normal 2 4 5 2 2 3 2 3" xfId="11480" xr:uid="{B75D8B1E-2B1A-4A5D-9525-A05BC2E18573}"/>
    <cellStyle name="Normal 2 4 5 2 2 3 3" xfId="5111" xr:uid="{00000000-0005-0000-0000-00004F100000}"/>
    <cellStyle name="Normal 2 4 5 2 2 3 3 2" xfId="13553" xr:uid="{45B9F252-F53A-41EE-9ADD-51281CC67493}"/>
    <cellStyle name="Normal 2 4 5 2 2 3 4" xfId="9335" xr:uid="{697E5CD1-CA61-41BA-A5D4-CDE912176EFF}"/>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2 2 2" xfId="16111" xr:uid="{ACF52AAF-E85F-402F-97C8-92B99C8674B8}"/>
    <cellStyle name="Normal 2 4 5 2 2 4 2 3" xfId="11893" xr:uid="{C35CF945-BDBE-4D04-9941-2D916B0519D6}"/>
    <cellStyle name="Normal 2 4 5 2 2 4 3" xfId="5524" xr:uid="{00000000-0005-0000-0000-000053100000}"/>
    <cellStyle name="Normal 2 4 5 2 2 4 3 2" xfId="13966" xr:uid="{A57DFDC4-8A2C-4C5C-8197-971745703D50}"/>
    <cellStyle name="Normal 2 4 5 2 2 4 4" xfId="9748" xr:uid="{73A98100-3D8A-409D-9864-8D7081843274}"/>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2 2 2" xfId="16524" xr:uid="{B79BAE74-3121-43C9-A32F-7818D7B03A1A}"/>
    <cellStyle name="Normal 2 4 5 2 2 5 2 3" xfId="12306" xr:uid="{89DED314-465E-4565-AF00-CAFDCCF5B85D}"/>
    <cellStyle name="Normal 2 4 5 2 2 5 3" xfId="5937" xr:uid="{00000000-0005-0000-0000-000057100000}"/>
    <cellStyle name="Normal 2 4 5 2 2 5 3 2" xfId="14379" xr:uid="{C4A70360-7690-4DE9-A201-9F654D7BA85D}"/>
    <cellStyle name="Normal 2 4 5 2 2 5 4" xfId="10161" xr:uid="{21AAFBA4-C5D8-48D2-8BDB-3006AEA05887}"/>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2 2 2" xfId="16937" xr:uid="{623E4AD7-3E06-4646-90BF-FAAB0D08F474}"/>
    <cellStyle name="Normal 2 4 5 2 2 6 2 3" xfId="12719" xr:uid="{05105FAE-AC7F-43C6-9E4F-5E6EAD5310C5}"/>
    <cellStyle name="Normal 2 4 5 2 2 6 3" xfId="6350" xr:uid="{00000000-0005-0000-0000-00005B100000}"/>
    <cellStyle name="Normal 2 4 5 2 2 6 3 2" xfId="14792" xr:uid="{FEE83CFD-7253-4345-92CF-FAAE9F0A2077}"/>
    <cellStyle name="Normal 2 4 5 2 2 6 4" xfId="10574" xr:uid="{D44AA105-7347-491A-8819-2E870E443DF0}"/>
    <cellStyle name="Normal 2 4 5 2 2 7" xfId="2479" xr:uid="{00000000-0005-0000-0000-00005C100000}"/>
    <cellStyle name="Normal 2 4 5 2 2 7 2" xfId="6763" xr:uid="{00000000-0005-0000-0000-00005D100000}"/>
    <cellStyle name="Normal 2 4 5 2 2 7 2 2" xfId="15205" xr:uid="{9087E6B7-24B0-4C47-BC88-7675039957E6}"/>
    <cellStyle name="Normal 2 4 5 2 2 7 3" xfId="10987" xr:uid="{26F9540C-EF1A-4B9D-9DB6-8E3838204DE8}"/>
    <cellStyle name="Normal 2 4 5 2 2 8" xfId="4697" xr:uid="{00000000-0005-0000-0000-00005E100000}"/>
    <cellStyle name="Normal 2 4 5 2 2 8 2" xfId="13139" xr:uid="{8928B376-C35C-4E98-BA16-3C1055489D8C}"/>
    <cellStyle name="Normal 2 4 5 2 2 9" xfId="8921" xr:uid="{A26DEE93-EAED-4657-B8C4-FED3F2A7E889}"/>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2 2 2" xfId="15700" xr:uid="{03079B53-4430-4EA2-B3CB-DE4453CD63D4}"/>
    <cellStyle name="Normal 2 4 5 2 3 2 2 3" xfId="11482" xr:uid="{870D694B-8285-4429-A988-4FE0AD9421DA}"/>
    <cellStyle name="Normal 2 4 5 2 3 2 3" xfId="5113" xr:uid="{00000000-0005-0000-0000-000063100000}"/>
    <cellStyle name="Normal 2 4 5 2 3 2 3 2" xfId="13555" xr:uid="{39F5C17E-338A-46E6-A977-40170DAFABD4}"/>
    <cellStyle name="Normal 2 4 5 2 3 2 4" xfId="9337" xr:uid="{192C93ED-59FD-4BD1-A8C3-7627CF6EEC84}"/>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2 2 2" xfId="16113" xr:uid="{C9AE9F52-889B-43A2-802A-4F7FBABB6845}"/>
    <cellStyle name="Normal 2 4 5 2 3 3 2 3" xfId="11895" xr:uid="{A1771782-9DAA-482D-AB7C-5E690917E182}"/>
    <cellStyle name="Normal 2 4 5 2 3 3 3" xfId="5526" xr:uid="{00000000-0005-0000-0000-000067100000}"/>
    <cellStyle name="Normal 2 4 5 2 3 3 3 2" xfId="13968" xr:uid="{CF8461F7-9BCD-4710-A7BA-DC8DA755564E}"/>
    <cellStyle name="Normal 2 4 5 2 3 3 4" xfId="9750" xr:uid="{B606ECC4-A825-42A7-BE4F-B581FEB09D17}"/>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2 2 2" xfId="16526" xr:uid="{8357EAD9-6E60-436B-9385-E04B6EF3C61C}"/>
    <cellStyle name="Normal 2 4 5 2 3 4 2 3" xfId="12308" xr:uid="{BDF721B2-D2A2-472B-86A8-A1E9D365FBBC}"/>
    <cellStyle name="Normal 2 4 5 2 3 4 3" xfId="5939" xr:uid="{00000000-0005-0000-0000-00006B100000}"/>
    <cellStyle name="Normal 2 4 5 2 3 4 3 2" xfId="14381" xr:uid="{54CA165A-1B63-4C25-8145-16DE7AE802F2}"/>
    <cellStyle name="Normal 2 4 5 2 3 4 4" xfId="10163" xr:uid="{2333C6F7-091C-4184-B66A-B7384AEBC33F}"/>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2 2 2" xfId="16939" xr:uid="{54C585E4-2822-4594-B7B4-8AA56E7B8C32}"/>
    <cellStyle name="Normal 2 4 5 2 3 5 2 3" xfId="12721" xr:uid="{351D5C46-4B51-4ACF-8AFF-E113C17EE457}"/>
    <cellStyle name="Normal 2 4 5 2 3 5 3" xfId="6352" xr:uid="{00000000-0005-0000-0000-00006F100000}"/>
    <cellStyle name="Normal 2 4 5 2 3 5 3 2" xfId="14794" xr:uid="{D84D52B2-0B51-4789-9FAB-35F076CCE2A6}"/>
    <cellStyle name="Normal 2 4 5 2 3 5 4" xfId="10576" xr:uid="{B987FE65-F530-4EC2-962B-588C06938C26}"/>
    <cellStyle name="Normal 2 4 5 2 3 6" xfId="2481" xr:uid="{00000000-0005-0000-0000-000070100000}"/>
    <cellStyle name="Normal 2 4 5 2 3 6 2" xfId="6765" xr:uid="{00000000-0005-0000-0000-000071100000}"/>
    <cellStyle name="Normal 2 4 5 2 3 6 2 2" xfId="15207" xr:uid="{423EEE8E-C687-408A-80BF-685C420C4C23}"/>
    <cellStyle name="Normal 2 4 5 2 3 6 3" xfId="10989" xr:uid="{0929B355-3FF4-4C21-92BD-E903A02B2297}"/>
    <cellStyle name="Normal 2 4 5 2 3 7" xfId="4699" xr:uid="{00000000-0005-0000-0000-000072100000}"/>
    <cellStyle name="Normal 2 4 5 2 3 7 2" xfId="13141" xr:uid="{46AA5F67-7011-4668-8959-93DCE85BF352}"/>
    <cellStyle name="Normal 2 4 5 2 3 8" xfId="8923" xr:uid="{178875C3-5AE8-446E-89DC-9729FBB0151B}"/>
    <cellStyle name="Normal 2 4 5 2 4" xfId="793" xr:uid="{00000000-0005-0000-0000-000073100000}"/>
    <cellStyle name="Normal 2 4 5 2 4 2" xfId="3032" xr:uid="{00000000-0005-0000-0000-000074100000}"/>
    <cellStyle name="Normal 2 4 5 2 4 2 2" xfId="7255" xr:uid="{00000000-0005-0000-0000-000075100000}"/>
    <cellStyle name="Normal 2 4 5 2 4 2 2 2" xfId="15697" xr:uid="{3DB11CC1-8F2C-48CC-A5B1-B2E80C2D5218}"/>
    <cellStyle name="Normal 2 4 5 2 4 2 3" xfId="11479" xr:uid="{69D635BB-64CE-4624-A00C-5A3847CABD0E}"/>
    <cellStyle name="Normal 2 4 5 2 4 3" xfId="5110" xr:uid="{00000000-0005-0000-0000-000076100000}"/>
    <cellStyle name="Normal 2 4 5 2 4 3 2" xfId="13552" xr:uid="{D4779965-027A-4B57-8C02-778F8AA2E000}"/>
    <cellStyle name="Normal 2 4 5 2 4 4" xfId="9334" xr:uid="{69F04309-DA57-402E-AC0A-05BDA28876D8}"/>
    <cellStyle name="Normal 2 4 5 2 5" xfId="1215" xr:uid="{00000000-0005-0000-0000-000077100000}"/>
    <cellStyle name="Normal 2 4 5 2 5 2" xfId="3445" xr:uid="{00000000-0005-0000-0000-000078100000}"/>
    <cellStyle name="Normal 2 4 5 2 5 2 2" xfId="7668" xr:uid="{00000000-0005-0000-0000-000079100000}"/>
    <cellStyle name="Normal 2 4 5 2 5 2 2 2" xfId="16110" xr:uid="{1F11ECD2-B621-429D-8E2B-43E09378DB9B}"/>
    <cellStyle name="Normal 2 4 5 2 5 2 3" xfId="11892" xr:uid="{E06842F0-8CD8-4E21-9747-0FFFE5C811EC}"/>
    <cellStyle name="Normal 2 4 5 2 5 3" xfId="5523" xr:uid="{00000000-0005-0000-0000-00007A100000}"/>
    <cellStyle name="Normal 2 4 5 2 5 3 2" xfId="13965" xr:uid="{27C99663-8144-4D67-BD64-F3CFAF2DD05C}"/>
    <cellStyle name="Normal 2 4 5 2 5 4" xfId="9747" xr:uid="{04934481-F261-47E6-8755-77FF379E576D}"/>
    <cellStyle name="Normal 2 4 5 2 6" xfId="1628" xr:uid="{00000000-0005-0000-0000-00007B100000}"/>
    <cellStyle name="Normal 2 4 5 2 6 2" xfId="3858" xr:uid="{00000000-0005-0000-0000-00007C100000}"/>
    <cellStyle name="Normal 2 4 5 2 6 2 2" xfId="8081" xr:uid="{00000000-0005-0000-0000-00007D100000}"/>
    <cellStyle name="Normal 2 4 5 2 6 2 2 2" xfId="16523" xr:uid="{F0ED2370-F52E-4C9C-9486-80092FE7FCD3}"/>
    <cellStyle name="Normal 2 4 5 2 6 2 3" xfId="12305" xr:uid="{ED017BC9-3D0E-4CF8-B5DF-16BB3D1A7AB7}"/>
    <cellStyle name="Normal 2 4 5 2 6 3" xfId="5936" xr:uid="{00000000-0005-0000-0000-00007E100000}"/>
    <cellStyle name="Normal 2 4 5 2 6 3 2" xfId="14378" xr:uid="{CE8212A2-9A20-4A54-AA6A-948FB07BBEC6}"/>
    <cellStyle name="Normal 2 4 5 2 6 4" xfId="10160" xr:uid="{C1E95ABB-C44C-4B4F-891E-C6AFBCC2BF47}"/>
    <cellStyle name="Normal 2 4 5 2 7" xfId="2042" xr:uid="{00000000-0005-0000-0000-00007F100000}"/>
    <cellStyle name="Normal 2 4 5 2 7 2" xfId="4271" xr:uid="{00000000-0005-0000-0000-000080100000}"/>
    <cellStyle name="Normal 2 4 5 2 7 2 2" xfId="8494" xr:uid="{00000000-0005-0000-0000-000081100000}"/>
    <cellStyle name="Normal 2 4 5 2 7 2 2 2" xfId="16936" xr:uid="{206B6710-4B9A-4DDF-B7B4-3F82D2FE9AEA}"/>
    <cellStyle name="Normal 2 4 5 2 7 2 3" xfId="12718" xr:uid="{9DF0AD22-89D2-47FE-A43D-31909A160B2B}"/>
    <cellStyle name="Normal 2 4 5 2 7 3" xfId="6349" xr:uid="{00000000-0005-0000-0000-000082100000}"/>
    <cellStyle name="Normal 2 4 5 2 7 3 2" xfId="14791" xr:uid="{26563FEB-039E-4A93-9AA4-2E9B6E7C4919}"/>
    <cellStyle name="Normal 2 4 5 2 7 4" xfId="10573" xr:uid="{476AB2D0-711A-4015-B6DB-E3D06CCB692A}"/>
    <cellStyle name="Normal 2 4 5 2 8" xfId="2478" xr:uid="{00000000-0005-0000-0000-000083100000}"/>
    <cellStyle name="Normal 2 4 5 2 8 2" xfId="6762" xr:uid="{00000000-0005-0000-0000-000084100000}"/>
    <cellStyle name="Normal 2 4 5 2 8 2 2" xfId="15204" xr:uid="{2C599A76-55DE-45A8-8AA1-4117CC7CA01A}"/>
    <cellStyle name="Normal 2 4 5 2 8 3" xfId="10986" xr:uid="{0105605F-FCAD-4790-BCB7-23C84205866B}"/>
    <cellStyle name="Normal 2 4 5 2 9" xfId="4696" xr:uid="{00000000-0005-0000-0000-000085100000}"/>
    <cellStyle name="Normal 2 4 5 2 9 2" xfId="13138" xr:uid="{F51CBA1A-5A8D-4C9F-A97B-09C1F9FBA96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2 2 2" xfId="15702" xr:uid="{66EBF121-4A8C-43E0-9062-61C0C6522EC9}"/>
    <cellStyle name="Normal 2 4 5 3 2 2 2 3" xfId="11484" xr:uid="{26C945DC-34D0-4F50-9EB5-C16248E97CB6}"/>
    <cellStyle name="Normal 2 4 5 3 2 2 3" xfId="5115" xr:uid="{00000000-0005-0000-0000-00008B100000}"/>
    <cellStyle name="Normal 2 4 5 3 2 2 3 2" xfId="13557" xr:uid="{78E0AD66-D87C-446C-8606-6A3E983E8B6A}"/>
    <cellStyle name="Normal 2 4 5 3 2 2 4" xfId="9339" xr:uid="{29832C2B-301E-4193-B952-CCC7F2F988D1}"/>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2 2 2" xfId="16115" xr:uid="{432F2B27-0CD3-4022-8C6A-ED16E23DB526}"/>
    <cellStyle name="Normal 2 4 5 3 2 3 2 3" xfId="11897" xr:uid="{6AAE011A-3E17-41E0-8BB9-D802D5ECBA4D}"/>
    <cellStyle name="Normal 2 4 5 3 2 3 3" xfId="5528" xr:uid="{00000000-0005-0000-0000-00008F100000}"/>
    <cellStyle name="Normal 2 4 5 3 2 3 3 2" xfId="13970" xr:uid="{DFFEC7F3-154D-4414-8C5C-EBE75C7B5AD8}"/>
    <cellStyle name="Normal 2 4 5 3 2 3 4" xfId="9752" xr:uid="{0632329E-8FF4-4E5B-B950-5C2073AC4A11}"/>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2 2 2" xfId="16528" xr:uid="{CEF38E0A-5FD3-4079-80E1-EC05A47DE6FB}"/>
    <cellStyle name="Normal 2 4 5 3 2 4 2 3" xfId="12310" xr:uid="{3100DC3C-1A2F-4000-BCB5-A3641398A1FD}"/>
    <cellStyle name="Normal 2 4 5 3 2 4 3" xfId="5941" xr:uid="{00000000-0005-0000-0000-000093100000}"/>
    <cellStyle name="Normal 2 4 5 3 2 4 3 2" xfId="14383" xr:uid="{F21991E8-1C71-4D3A-8203-43B7522F0F2E}"/>
    <cellStyle name="Normal 2 4 5 3 2 4 4" xfId="10165" xr:uid="{F24082F3-849A-4F74-818F-079AD30F98DA}"/>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2 2 2" xfId="16941" xr:uid="{F20CCC7A-5C78-47F2-B32C-B6DFE551BFF2}"/>
    <cellStyle name="Normal 2 4 5 3 2 5 2 3" xfId="12723" xr:uid="{40C068A6-4D7D-4699-920C-D223FB95A468}"/>
    <cellStyle name="Normal 2 4 5 3 2 5 3" xfId="6354" xr:uid="{00000000-0005-0000-0000-000097100000}"/>
    <cellStyle name="Normal 2 4 5 3 2 5 3 2" xfId="14796" xr:uid="{9057D05C-5EDD-4EFE-999D-019351926621}"/>
    <cellStyle name="Normal 2 4 5 3 2 5 4" xfId="10578" xr:uid="{884FBD1E-4DA6-4A1E-9868-4F866E07FEEC}"/>
    <cellStyle name="Normal 2 4 5 3 2 6" xfId="2483" xr:uid="{00000000-0005-0000-0000-000098100000}"/>
    <cellStyle name="Normal 2 4 5 3 2 6 2" xfId="6767" xr:uid="{00000000-0005-0000-0000-000099100000}"/>
    <cellStyle name="Normal 2 4 5 3 2 6 2 2" xfId="15209" xr:uid="{1B69E2FB-8DF0-47FA-AB5B-0CA28FC73797}"/>
    <cellStyle name="Normal 2 4 5 3 2 6 3" xfId="10991" xr:uid="{D4F782D4-C98C-4767-BED0-086D9A5CFC51}"/>
    <cellStyle name="Normal 2 4 5 3 2 7" xfId="4701" xr:uid="{00000000-0005-0000-0000-00009A100000}"/>
    <cellStyle name="Normal 2 4 5 3 2 7 2" xfId="13143" xr:uid="{B0007185-12C0-4DA8-A438-B73E992B7085}"/>
    <cellStyle name="Normal 2 4 5 3 2 8" xfId="8925" xr:uid="{1301E4A4-D2D9-436A-BC67-E7C316961059}"/>
    <cellStyle name="Normal 2 4 5 3 3" xfId="797" xr:uid="{00000000-0005-0000-0000-00009B100000}"/>
    <cellStyle name="Normal 2 4 5 3 3 2" xfId="3036" xr:uid="{00000000-0005-0000-0000-00009C100000}"/>
    <cellStyle name="Normal 2 4 5 3 3 2 2" xfId="7259" xr:uid="{00000000-0005-0000-0000-00009D100000}"/>
    <cellStyle name="Normal 2 4 5 3 3 2 2 2" xfId="15701" xr:uid="{903D54E2-A26A-4585-BEC4-7D1865BCBEE3}"/>
    <cellStyle name="Normal 2 4 5 3 3 2 3" xfId="11483" xr:uid="{F8CF60CC-4433-4299-9576-5733306953B0}"/>
    <cellStyle name="Normal 2 4 5 3 3 3" xfId="5114" xr:uid="{00000000-0005-0000-0000-00009E100000}"/>
    <cellStyle name="Normal 2 4 5 3 3 3 2" xfId="13556" xr:uid="{8B0D4229-5B89-4E61-B028-080B925F3D51}"/>
    <cellStyle name="Normal 2 4 5 3 3 4" xfId="9338" xr:uid="{7410BFD0-FB55-487C-B821-AE257F632D46}"/>
    <cellStyle name="Normal 2 4 5 3 4" xfId="1219" xr:uid="{00000000-0005-0000-0000-00009F100000}"/>
    <cellStyle name="Normal 2 4 5 3 4 2" xfId="3449" xr:uid="{00000000-0005-0000-0000-0000A0100000}"/>
    <cellStyle name="Normal 2 4 5 3 4 2 2" xfId="7672" xr:uid="{00000000-0005-0000-0000-0000A1100000}"/>
    <cellStyle name="Normal 2 4 5 3 4 2 2 2" xfId="16114" xr:uid="{E87C7767-A402-40E3-A3D3-10213DA88637}"/>
    <cellStyle name="Normal 2 4 5 3 4 2 3" xfId="11896" xr:uid="{19E68F16-4DAC-4BD1-9F92-CC757EC19C3C}"/>
    <cellStyle name="Normal 2 4 5 3 4 3" xfId="5527" xr:uid="{00000000-0005-0000-0000-0000A2100000}"/>
    <cellStyle name="Normal 2 4 5 3 4 3 2" xfId="13969" xr:uid="{BA6CCC31-9EA5-4C23-BEAF-2BDFD7F9CC24}"/>
    <cellStyle name="Normal 2 4 5 3 4 4" xfId="9751" xr:uid="{F5626D85-19F4-4F6C-BD8B-0A40493D02CF}"/>
    <cellStyle name="Normal 2 4 5 3 5" xfId="1632" xr:uid="{00000000-0005-0000-0000-0000A3100000}"/>
    <cellStyle name="Normal 2 4 5 3 5 2" xfId="3862" xr:uid="{00000000-0005-0000-0000-0000A4100000}"/>
    <cellStyle name="Normal 2 4 5 3 5 2 2" xfId="8085" xr:uid="{00000000-0005-0000-0000-0000A5100000}"/>
    <cellStyle name="Normal 2 4 5 3 5 2 2 2" xfId="16527" xr:uid="{E1743617-AC22-4D6B-9CE3-2ACD49D749AC}"/>
    <cellStyle name="Normal 2 4 5 3 5 2 3" xfId="12309" xr:uid="{59873867-2D6A-4B25-A17B-8AF00C2071F0}"/>
    <cellStyle name="Normal 2 4 5 3 5 3" xfId="5940" xr:uid="{00000000-0005-0000-0000-0000A6100000}"/>
    <cellStyle name="Normal 2 4 5 3 5 3 2" xfId="14382" xr:uid="{9298F519-89E0-452B-BC2E-1E8B5A7B9510}"/>
    <cellStyle name="Normal 2 4 5 3 5 4" xfId="10164" xr:uid="{A7330FEE-FE6B-49B7-B4C1-89174C9894EF}"/>
    <cellStyle name="Normal 2 4 5 3 6" xfId="2046" xr:uid="{00000000-0005-0000-0000-0000A7100000}"/>
    <cellStyle name="Normal 2 4 5 3 6 2" xfId="4275" xr:uid="{00000000-0005-0000-0000-0000A8100000}"/>
    <cellStyle name="Normal 2 4 5 3 6 2 2" xfId="8498" xr:uid="{00000000-0005-0000-0000-0000A9100000}"/>
    <cellStyle name="Normal 2 4 5 3 6 2 2 2" xfId="16940" xr:uid="{E17D2F60-51D9-4F6A-BA39-D499344FBF5F}"/>
    <cellStyle name="Normal 2 4 5 3 6 2 3" xfId="12722" xr:uid="{C30B5B36-15FE-4D44-BE18-87529EEE9953}"/>
    <cellStyle name="Normal 2 4 5 3 6 3" xfId="6353" xr:uid="{00000000-0005-0000-0000-0000AA100000}"/>
    <cellStyle name="Normal 2 4 5 3 6 3 2" xfId="14795" xr:uid="{401F3878-CAB0-4729-9CFC-22EF759274F0}"/>
    <cellStyle name="Normal 2 4 5 3 6 4" xfId="10577" xr:uid="{BCDC1101-FB36-4C9D-AA32-909C47DCCA23}"/>
    <cellStyle name="Normal 2 4 5 3 7" xfId="2482" xr:uid="{00000000-0005-0000-0000-0000AB100000}"/>
    <cellStyle name="Normal 2 4 5 3 7 2" xfId="6766" xr:uid="{00000000-0005-0000-0000-0000AC100000}"/>
    <cellStyle name="Normal 2 4 5 3 7 2 2" xfId="15208" xr:uid="{026A2EF4-25B0-4165-BFFC-EE5EE09FC4F4}"/>
    <cellStyle name="Normal 2 4 5 3 7 3" xfId="10990" xr:uid="{5EA4E39D-29F4-4BD2-8387-01D00C3AE62F}"/>
    <cellStyle name="Normal 2 4 5 3 8" xfId="4700" xr:uid="{00000000-0005-0000-0000-0000AD100000}"/>
    <cellStyle name="Normal 2 4 5 3 8 2" xfId="13142" xr:uid="{333A748A-1E9A-4729-B360-180A970FEBF7}"/>
    <cellStyle name="Normal 2 4 5 3 9" xfId="8924" xr:uid="{8B5045AF-F7C9-4885-B2CB-D168C5A13005}"/>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2 2 2" xfId="15703" xr:uid="{40F92692-BF6D-4288-ABC1-1C986A747816}"/>
    <cellStyle name="Normal 2 4 5 4 2 2 3" xfId="11485" xr:uid="{BA06F33C-A9F2-4D68-A78D-9C6909A5A930}"/>
    <cellStyle name="Normal 2 4 5 4 2 3" xfId="5116" xr:uid="{00000000-0005-0000-0000-0000B2100000}"/>
    <cellStyle name="Normal 2 4 5 4 2 3 2" xfId="13558" xr:uid="{461B1DF4-8527-4ACD-B4C5-C0191ADB64CB}"/>
    <cellStyle name="Normal 2 4 5 4 2 4" xfId="9340" xr:uid="{D060E362-B84D-44C0-BF38-29B05EB5CA85}"/>
    <cellStyle name="Normal 2 4 5 4 3" xfId="1221" xr:uid="{00000000-0005-0000-0000-0000B3100000}"/>
    <cellStyle name="Normal 2 4 5 4 3 2" xfId="3451" xr:uid="{00000000-0005-0000-0000-0000B4100000}"/>
    <cellStyle name="Normal 2 4 5 4 3 2 2" xfId="7674" xr:uid="{00000000-0005-0000-0000-0000B5100000}"/>
    <cellStyle name="Normal 2 4 5 4 3 2 2 2" xfId="16116" xr:uid="{9DDB8A82-EB41-4BFD-BDD9-5EB2A02DA6C1}"/>
    <cellStyle name="Normal 2 4 5 4 3 2 3" xfId="11898" xr:uid="{59313AD5-51B5-4661-B4AC-C4A7E3A64D37}"/>
    <cellStyle name="Normal 2 4 5 4 3 3" xfId="5529" xr:uid="{00000000-0005-0000-0000-0000B6100000}"/>
    <cellStyle name="Normal 2 4 5 4 3 3 2" xfId="13971" xr:uid="{FB31967F-DDF4-4EC7-B9B1-298C4213F154}"/>
    <cellStyle name="Normal 2 4 5 4 3 4" xfId="9753" xr:uid="{2CD13BA3-80F2-4C6E-A084-2220513E0423}"/>
    <cellStyle name="Normal 2 4 5 4 4" xfId="1634" xr:uid="{00000000-0005-0000-0000-0000B7100000}"/>
    <cellStyle name="Normal 2 4 5 4 4 2" xfId="3864" xr:uid="{00000000-0005-0000-0000-0000B8100000}"/>
    <cellStyle name="Normal 2 4 5 4 4 2 2" xfId="8087" xr:uid="{00000000-0005-0000-0000-0000B9100000}"/>
    <cellStyle name="Normal 2 4 5 4 4 2 2 2" xfId="16529" xr:uid="{9EAA95EA-7D51-46AB-9C3B-99B36D8D1FCE}"/>
    <cellStyle name="Normal 2 4 5 4 4 2 3" xfId="12311" xr:uid="{393E9E1B-ACED-47A0-AEF8-029CD06B6A91}"/>
    <cellStyle name="Normal 2 4 5 4 4 3" xfId="5942" xr:uid="{00000000-0005-0000-0000-0000BA100000}"/>
    <cellStyle name="Normal 2 4 5 4 4 3 2" xfId="14384" xr:uid="{9AF72F5A-C72F-479A-A27A-8887ABBF6856}"/>
    <cellStyle name="Normal 2 4 5 4 4 4" xfId="10166" xr:uid="{28DE6324-19B2-4A8C-8C79-19A602F6710A}"/>
    <cellStyle name="Normal 2 4 5 4 5" xfId="2048" xr:uid="{00000000-0005-0000-0000-0000BB100000}"/>
    <cellStyle name="Normal 2 4 5 4 5 2" xfId="4277" xr:uid="{00000000-0005-0000-0000-0000BC100000}"/>
    <cellStyle name="Normal 2 4 5 4 5 2 2" xfId="8500" xr:uid="{00000000-0005-0000-0000-0000BD100000}"/>
    <cellStyle name="Normal 2 4 5 4 5 2 2 2" xfId="16942" xr:uid="{8701DC80-4F07-45C3-852D-89D7990CC996}"/>
    <cellStyle name="Normal 2 4 5 4 5 2 3" xfId="12724" xr:uid="{9886DCAA-2583-4D80-B61B-22BC58EB16DE}"/>
    <cellStyle name="Normal 2 4 5 4 5 3" xfId="6355" xr:uid="{00000000-0005-0000-0000-0000BE100000}"/>
    <cellStyle name="Normal 2 4 5 4 5 3 2" xfId="14797" xr:uid="{A27C7FEC-05A2-4594-98E5-FDB222E6525D}"/>
    <cellStyle name="Normal 2 4 5 4 5 4" xfId="10579" xr:uid="{BABF154E-2548-414E-B932-2463CA286093}"/>
    <cellStyle name="Normal 2 4 5 4 6" xfId="2484" xr:uid="{00000000-0005-0000-0000-0000BF100000}"/>
    <cellStyle name="Normal 2 4 5 4 6 2" xfId="6768" xr:uid="{00000000-0005-0000-0000-0000C0100000}"/>
    <cellStyle name="Normal 2 4 5 4 6 2 2" xfId="15210" xr:uid="{878EF8A5-6006-495E-BB5C-1247D5EB0165}"/>
    <cellStyle name="Normal 2 4 5 4 6 3" xfId="10992" xr:uid="{9C87B800-77A8-43B4-AA31-6D5EF42F51DB}"/>
    <cellStyle name="Normal 2 4 5 4 7" xfId="4702" xr:uid="{00000000-0005-0000-0000-0000C1100000}"/>
    <cellStyle name="Normal 2 4 5 4 7 2" xfId="13144" xr:uid="{B65C0AD1-5E0A-42FB-9771-9264A4EEEC5A}"/>
    <cellStyle name="Normal 2 4 5 4 8" xfId="8926" xr:uid="{2BB453FB-F80C-4269-B8BC-9DE652CD921E}"/>
    <cellStyle name="Normal 2 4 5 5" xfId="792" xr:uid="{00000000-0005-0000-0000-0000C2100000}"/>
    <cellStyle name="Normal 2 4 5 5 2" xfId="3031" xr:uid="{00000000-0005-0000-0000-0000C3100000}"/>
    <cellStyle name="Normal 2 4 5 5 2 2" xfId="7254" xr:uid="{00000000-0005-0000-0000-0000C4100000}"/>
    <cellStyle name="Normal 2 4 5 5 2 2 2" xfId="15696" xr:uid="{F60C71F9-E9A2-4633-9A8A-FB43E71B5CB4}"/>
    <cellStyle name="Normal 2 4 5 5 2 3" xfId="11478" xr:uid="{5FC5CC0D-33EE-4C6B-964C-405597A54C7A}"/>
    <cellStyle name="Normal 2 4 5 5 3" xfId="5109" xr:uid="{00000000-0005-0000-0000-0000C5100000}"/>
    <cellStyle name="Normal 2 4 5 5 3 2" xfId="13551" xr:uid="{2FFA73EB-3CC5-4600-B8B8-BAFD05539A9D}"/>
    <cellStyle name="Normal 2 4 5 5 4" xfId="9333" xr:uid="{9F296302-8C5C-4BB3-B3FC-5C5C804893B8}"/>
    <cellStyle name="Normal 2 4 5 6" xfId="1214" xr:uid="{00000000-0005-0000-0000-0000C6100000}"/>
    <cellStyle name="Normal 2 4 5 6 2" xfId="3444" xr:uid="{00000000-0005-0000-0000-0000C7100000}"/>
    <cellStyle name="Normal 2 4 5 6 2 2" xfId="7667" xr:uid="{00000000-0005-0000-0000-0000C8100000}"/>
    <cellStyle name="Normal 2 4 5 6 2 2 2" xfId="16109" xr:uid="{7214C407-20F4-4620-A20D-B027F3A7B586}"/>
    <cellStyle name="Normal 2 4 5 6 2 3" xfId="11891" xr:uid="{B732039F-CDE8-4C95-8890-101B95910B31}"/>
    <cellStyle name="Normal 2 4 5 6 3" xfId="5522" xr:uid="{00000000-0005-0000-0000-0000C9100000}"/>
    <cellStyle name="Normal 2 4 5 6 3 2" xfId="13964" xr:uid="{3CFD00E7-965D-479B-A393-51FF5748885B}"/>
    <cellStyle name="Normal 2 4 5 6 4" xfId="9746" xr:uid="{E5A24AFB-2A09-4330-AF33-6247131873E4}"/>
    <cellStyle name="Normal 2 4 5 7" xfId="1627" xr:uid="{00000000-0005-0000-0000-0000CA100000}"/>
    <cellStyle name="Normal 2 4 5 7 2" xfId="3857" xr:uid="{00000000-0005-0000-0000-0000CB100000}"/>
    <cellStyle name="Normal 2 4 5 7 2 2" xfId="8080" xr:uid="{00000000-0005-0000-0000-0000CC100000}"/>
    <cellStyle name="Normal 2 4 5 7 2 2 2" xfId="16522" xr:uid="{C0443495-9AF3-4E5A-B2D0-9D6C8D47B802}"/>
    <cellStyle name="Normal 2 4 5 7 2 3" xfId="12304" xr:uid="{7FF3F2F1-643D-4DC4-AA0F-C20243AE0253}"/>
    <cellStyle name="Normal 2 4 5 7 3" xfId="5935" xr:uid="{00000000-0005-0000-0000-0000CD100000}"/>
    <cellStyle name="Normal 2 4 5 7 3 2" xfId="14377" xr:uid="{3ED4F2AF-4860-4159-8833-F5F5410071F2}"/>
    <cellStyle name="Normal 2 4 5 7 4" xfId="10159" xr:uid="{5CFBA6F1-DEC3-46FE-9991-8AE03E0B5FA4}"/>
    <cellStyle name="Normal 2 4 5 8" xfId="2041" xr:uid="{00000000-0005-0000-0000-0000CE100000}"/>
    <cellStyle name="Normal 2 4 5 8 2" xfId="4270" xr:uid="{00000000-0005-0000-0000-0000CF100000}"/>
    <cellStyle name="Normal 2 4 5 8 2 2" xfId="8493" xr:uid="{00000000-0005-0000-0000-0000D0100000}"/>
    <cellStyle name="Normal 2 4 5 8 2 2 2" xfId="16935" xr:uid="{F0FFDA4F-5006-473B-A8AF-59A7E2504E46}"/>
    <cellStyle name="Normal 2 4 5 8 2 3" xfId="12717" xr:uid="{7F3B7566-5EE1-460F-A8E7-046B4FB56710}"/>
    <cellStyle name="Normal 2 4 5 8 3" xfId="6348" xr:uid="{00000000-0005-0000-0000-0000D1100000}"/>
    <cellStyle name="Normal 2 4 5 8 3 2" xfId="14790" xr:uid="{3978087A-D566-4C60-8AAF-A3F2F0CA56E8}"/>
    <cellStyle name="Normal 2 4 5 8 4" xfId="10572" xr:uid="{076E1E94-445A-47A4-BA78-651F3945D2CF}"/>
    <cellStyle name="Normal 2 4 5 9" xfId="2477" xr:uid="{00000000-0005-0000-0000-0000D2100000}"/>
    <cellStyle name="Normal 2 4 5 9 2" xfId="6761" xr:uid="{00000000-0005-0000-0000-0000D3100000}"/>
    <cellStyle name="Normal 2 4 5 9 2 2" xfId="15203" xr:uid="{D83E5341-F3C5-497F-83E8-D148B2BD6623}"/>
    <cellStyle name="Normal 2 4 5 9 3" xfId="10985" xr:uid="{2C009BBA-C75E-4609-B88D-4A6D24734AE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2 2 2" xfId="15705" xr:uid="{46D8692C-CDFA-4F61-A5F0-C62BD6B9BA1A}"/>
    <cellStyle name="Normal 2 4 7 2 2 2 3" xfId="11487" xr:uid="{F75F1F47-C370-4F3C-A860-8E62515FFDB2}"/>
    <cellStyle name="Normal 2 4 7 2 2 3" xfId="5118" xr:uid="{00000000-0005-0000-0000-0000DA100000}"/>
    <cellStyle name="Normal 2 4 7 2 2 3 2" xfId="13560" xr:uid="{1A83022B-E5F2-4AFB-8BE8-8E5FF4985057}"/>
    <cellStyle name="Normal 2 4 7 2 2 4" xfId="9342" xr:uid="{AFDE2E2C-1A72-4DA6-B725-648A95C7338D}"/>
    <cellStyle name="Normal 2 4 7 2 3" xfId="1223" xr:uid="{00000000-0005-0000-0000-0000DB100000}"/>
    <cellStyle name="Normal 2 4 7 2 3 2" xfId="3453" xr:uid="{00000000-0005-0000-0000-0000DC100000}"/>
    <cellStyle name="Normal 2 4 7 2 3 2 2" xfId="7676" xr:uid="{00000000-0005-0000-0000-0000DD100000}"/>
    <cellStyle name="Normal 2 4 7 2 3 2 2 2" xfId="16118" xr:uid="{969C9B59-98B5-489E-B3F6-6E1834C1C2B9}"/>
    <cellStyle name="Normal 2 4 7 2 3 2 3" xfId="11900" xr:uid="{1B4E2A6D-E4C8-4A1D-8D59-E6172CBD3138}"/>
    <cellStyle name="Normal 2 4 7 2 3 3" xfId="5531" xr:uid="{00000000-0005-0000-0000-0000DE100000}"/>
    <cellStyle name="Normal 2 4 7 2 3 3 2" xfId="13973" xr:uid="{B49EABDC-BD8B-48A0-B13B-8950632D7C8D}"/>
    <cellStyle name="Normal 2 4 7 2 3 4" xfId="9755" xr:uid="{A9B39286-0D31-4613-B25D-464D26EABE43}"/>
    <cellStyle name="Normal 2 4 7 2 4" xfId="1636" xr:uid="{00000000-0005-0000-0000-0000DF100000}"/>
    <cellStyle name="Normal 2 4 7 2 4 2" xfId="3866" xr:uid="{00000000-0005-0000-0000-0000E0100000}"/>
    <cellStyle name="Normal 2 4 7 2 4 2 2" xfId="8089" xr:uid="{00000000-0005-0000-0000-0000E1100000}"/>
    <cellStyle name="Normal 2 4 7 2 4 2 2 2" xfId="16531" xr:uid="{6D3E87F9-E426-45F1-8500-103F00ED765D}"/>
    <cellStyle name="Normal 2 4 7 2 4 2 3" xfId="12313" xr:uid="{2B131456-6C84-4971-B741-2F79C24B6C06}"/>
    <cellStyle name="Normal 2 4 7 2 4 3" xfId="5944" xr:uid="{00000000-0005-0000-0000-0000E2100000}"/>
    <cellStyle name="Normal 2 4 7 2 4 3 2" xfId="14386" xr:uid="{0C28129F-1EE6-45F0-97E5-27877BF02BBE}"/>
    <cellStyle name="Normal 2 4 7 2 4 4" xfId="10168" xr:uid="{8C2B7188-DCA7-4C11-8C48-663B5B9720C7}"/>
    <cellStyle name="Normal 2 4 7 2 5" xfId="2050" xr:uid="{00000000-0005-0000-0000-0000E3100000}"/>
    <cellStyle name="Normal 2 4 7 2 5 2" xfId="4279" xr:uid="{00000000-0005-0000-0000-0000E4100000}"/>
    <cellStyle name="Normal 2 4 7 2 5 2 2" xfId="8502" xr:uid="{00000000-0005-0000-0000-0000E5100000}"/>
    <cellStyle name="Normal 2 4 7 2 5 2 2 2" xfId="16944" xr:uid="{BCEDC564-F656-4862-855E-943649993933}"/>
    <cellStyle name="Normal 2 4 7 2 5 2 3" xfId="12726" xr:uid="{2CCB16CF-1AE4-4B79-A56B-EFEB134839CA}"/>
    <cellStyle name="Normal 2 4 7 2 5 3" xfId="6357" xr:uid="{00000000-0005-0000-0000-0000E6100000}"/>
    <cellStyle name="Normal 2 4 7 2 5 3 2" xfId="14799" xr:uid="{1651CA53-C446-4E20-B542-FFEC59852CC7}"/>
    <cellStyle name="Normal 2 4 7 2 5 4" xfId="10581" xr:uid="{AAE10292-96D3-4913-B043-CCDD6D4A7E2E}"/>
    <cellStyle name="Normal 2 4 7 2 6" xfId="2486" xr:uid="{00000000-0005-0000-0000-0000E7100000}"/>
    <cellStyle name="Normal 2 4 7 2 6 2" xfId="6770" xr:uid="{00000000-0005-0000-0000-0000E8100000}"/>
    <cellStyle name="Normal 2 4 7 2 6 2 2" xfId="15212" xr:uid="{99D53C64-AF20-4C94-809F-85CC6ADCE375}"/>
    <cellStyle name="Normal 2 4 7 2 6 3" xfId="10994" xr:uid="{6430A629-F86D-493B-97BB-BDDB15D36341}"/>
    <cellStyle name="Normal 2 4 7 2 7" xfId="4704" xr:uid="{00000000-0005-0000-0000-0000E9100000}"/>
    <cellStyle name="Normal 2 4 7 2 7 2" xfId="13146" xr:uid="{DE76E04B-005A-413E-9BE0-FF4C2AD8BE56}"/>
    <cellStyle name="Normal 2 4 7 2 8" xfId="8928" xr:uid="{A245F2A3-4A27-48FC-ABB1-BFA972664757}"/>
    <cellStyle name="Normal 2 4 7 3" xfId="800" xr:uid="{00000000-0005-0000-0000-0000EA100000}"/>
    <cellStyle name="Normal 2 4 7 3 2" xfId="3039" xr:uid="{00000000-0005-0000-0000-0000EB100000}"/>
    <cellStyle name="Normal 2 4 7 3 2 2" xfId="7262" xr:uid="{00000000-0005-0000-0000-0000EC100000}"/>
    <cellStyle name="Normal 2 4 7 3 2 2 2" xfId="15704" xr:uid="{367E374C-7D64-404A-A594-21E08AF66D7D}"/>
    <cellStyle name="Normal 2 4 7 3 2 3" xfId="11486" xr:uid="{B32277E5-6024-4CD3-8A90-A1EC97252BC6}"/>
    <cellStyle name="Normal 2 4 7 3 3" xfId="5117" xr:uid="{00000000-0005-0000-0000-0000ED100000}"/>
    <cellStyle name="Normal 2 4 7 3 3 2" xfId="13559" xr:uid="{96A4C87B-0893-4AB2-A20F-BE9BA83C870A}"/>
    <cellStyle name="Normal 2 4 7 3 4" xfId="9341" xr:uid="{442FA665-81AD-4BF5-B5D2-894D8FAF7370}"/>
    <cellStyle name="Normal 2 4 7 4" xfId="1222" xr:uid="{00000000-0005-0000-0000-0000EE100000}"/>
    <cellStyle name="Normal 2 4 7 4 2" xfId="3452" xr:uid="{00000000-0005-0000-0000-0000EF100000}"/>
    <cellStyle name="Normal 2 4 7 4 2 2" xfId="7675" xr:uid="{00000000-0005-0000-0000-0000F0100000}"/>
    <cellStyle name="Normal 2 4 7 4 2 2 2" xfId="16117" xr:uid="{F7F28CA9-A863-4C6E-87A6-C89D5E52DD64}"/>
    <cellStyle name="Normal 2 4 7 4 2 3" xfId="11899" xr:uid="{0CF098A3-E0A1-4B3D-B1C0-F25E795954D5}"/>
    <cellStyle name="Normal 2 4 7 4 3" xfId="5530" xr:uid="{00000000-0005-0000-0000-0000F1100000}"/>
    <cellStyle name="Normal 2 4 7 4 3 2" xfId="13972" xr:uid="{9B608DE0-0392-4789-8943-4E105A8FD3CF}"/>
    <cellStyle name="Normal 2 4 7 4 4" xfId="9754" xr:uid="{DC6F190A-6232-4D6A-80BC-848E0ADA8A5C}"/>
    <cellStyle name="Normal 2 4 7 5" xfId="1635" xr:uid="{00000000-0005-0000-0000-0000F2100000}"/>
    <cellStyle name="Normal 2 4 7 5 2" xfId="3865" xr:uid="{00000000-0005-0000-0000-0000F3100000}"/>
    <cellStyle name="Normal 2 4 7 5 2 2" xfId="8088" xr:uid="{00000000-0005-0000-0000-0000F4100000}"/>
    <cellStyle name="Normal 2 4 7 5 2 2 2" xfId="16530" xr:uid="{62BCE01B-5CD1-48C0-B8CA-63E0C5B57AA2}"/>
    <cellStyle name="Normal 2 4 7 5 2 3" xfId="12312" xr:uid="{5D2A1A68-081C-499B-92EF-B903FC24A73B}"/>
    <cellStyle name="Normal 2 4 7 5 3" xfId="5943" xr:uid="{00000000-0005-0000-0000-0000F5100000}"/>
    <cellStyle name="Normal 2 4 7 5 3 2" xfId="14385" xr:uid="{73C5EA83-0390-4826-87BD-8DF487603E86}"/>
    <cellStyle name="Normal 2 4 7 5 4" xfId="10167" xr:uid="{C0D3E141-AA66-40AC-97C8-915EA9603143}"/>
    <cellStyle name="Normal 2 4 7 6" xfId="2049" xr:uid="{00000000-0005-0000-0000-0000F6100000}"/>
    <cellStyle name="Normal 2 4 7 6 2" xfId="4278" xr:uid="{00000000-0005-0000-0000-0000F7100000}"/>
    <cellStyle name="Normal 2 4 7 6 2 2" xfId="8501" xr:uid="{00000000-0005-0000-0000-0000F8100000}"/>
    <cellStyle name="Normal 2 4 7 6 2 2 2" xfId="16943" xr:uid="{FD06077E-A2EE-4EA8-B489-B031B16FE223}"/>
    <cellStyle name="Normal 2 4 7 6 2 3" xfId="12725" xr:uid="{A2FC79F4-D512-4F38-B622-64B5BE7931B2}"/>
    <cellStyle name="Normal 2 4 7 6 3" xfId="6356" xr:uid="{00000000-0005-0000-0000-0000F9100000}"/>
    <cellStyle name="Normal 2 4 7 6 3 2" xfId="14798" xr:uid="{55D8F279-61B5-4CCA-971B-235C837937FA}"/>
    <cellStyle name="Normal 2 4 7 6 4" xfId="10580" xr:uid="{ADFCFA50-9BEB-446E-A1D0-1A158EFF17BA}"/>
    <cellStyle name="Normal 2 4 7 7" xfId="2485" xr:uid="{00000000-0005-0000-0000-0000FA100000}"/>
    <cellStyle name="Normal 2 4 7 7 2" xfId="6769" xr:uid="{00000000-0005-0000-0000-0000FB100000}"/>
    <cellStyle name="Normal 2 4 7 7 2 2" xfId="15211" xr:uid="{5806E520-08B4-4BE5-B7C1-00D5F2DB65F8}"/>
    <cellStyle name="Normal 2 4 7 7 3" xfId="10993" xr:uid="{A6CBAE9D-3CC7-4AF8-BBD4-436E5AB5914E}"/>
    <cellStyle name="Normal 2 4 7 8" xfId="4703" xr:uid="{00000000-0005-0000-0000-0000FC100000}"/>
    <cellStyle name="Normal 2 4 7 8 2" xfId="13145" xr:uid="{CCC5B835-D712-45D1-BD81-10CDC0D10709}"/>
    <cellStyle name="Normal 2 4 7 9" xfId="8927" xr:uid="{97E48E1D-1583-4817-9288-F4D9B4ECF1B1}"/>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2 2 2" xfId="15706" xr:uid="{B31E2E8F-DE7C-46C9-90BB-F9568398FC56}"/>
    <cellStyle name="Normal 2 4 8 2 2 3" xfId="11488" xr:uid="{4C11A8D4-CA7D-45FC-B4F8-D81A4CDFFA75}"/>
    <cellStyle name="Normal 2 4 8 2 3" xfId="5119" xr:uid="{00000000-0005-0000-0000-000001110000}"/>
    <cellStyle name="Normal 2 4 8 2 3 2" xfId="13561" xr:uid="{7394C300-8977-4D3A-996E-CBCF4C6B2C9B}"/>
    <cellStyle name="Normal 2 4 8 2 4" xfId="9343" xr:uid="{0A3965C5-983F-44AB-B0AA-B84DF7D7D1D6}"/>
    <cellStyle name="Normal 2 4 8 3" xfId="1224" xr:uid="{00000000-0005-0000-0000-000002110000}"/>
    <cellStyle name="Normal 2 4 8 3 2" xfId="3454" xr:uid="{00000000-0005-0000-0000-000003110000}"/>
    <cellStyle name="Normal 2 4 8 3 2 2" xfId="7677" xr:uid="{00000000-0005-0000-0000-000004110000}"/>
    <cellStyle name="Normal 2 4 8 3 2 2 2" xfId="16119" xr:uid="{49C3EDA0-A844-4232-8DA1-F71ADF016666}"/>
    <cellStyle name="Normal 2 4 8 3 2 3" xfId="11901" xr:uid="{7BDAE501-D862-4184-A174-11E2FE158AF0}"/>
    <cellStyle name="Normal 2 4 8 3 3" xfId="5532" xr:uid="{00000000-0005-0000-0000-000005110000}"/>
    <cellStyle name="Normal 2 4 8 3 3 2" xfId="13974" xr:uid="{AE1DEF89-F75A-44C8-A0C2-7246CF7738E0}"/>
    <cellStyle name="Normal 2 4 8 3 4" xfId="9756" xr:uid="{CB1DC285-8B92-49E4-A8E8-7FBCC2A247D4}"/>
    <cellStyle name="Normal 2 4 8 4" xfId="1637" xr:uid="{00000000-0005-0000-0000-000006110000}"/>
    <cellStyle name="Normal 2 4 8 4 2" xfId="3867" xr:uid="{00000000-0005-0000-0000-000007110000}"/>
    <cellStyle name="Normal 2 4 8 4 2 2" xfId="8090" xr:uid="{00000000-0005-0000-0000-000008110000}"/>
    <cellStyle name="Normal 2 4 8 4 2 2 2" xfId="16532" xr:uid="{5E5E1D1C-6116-4FCF-B093-EE37466F0938}"/>
    <cellStyle name="Normal 2 4 8 4 2 3" xfId="12314" xr:uid="{ADA3C8C5-BB0B-48C5-9497-85F3F7275EC8}"/>
    <cellStyle name="Normal 2 4 8 4 3" xfId="5945" xr:uid="{00000000-0005-0000-0000-000009110000}"/>
    <cellStyle name="Normal 2 4 8 4 3 2" xfId="14387" xr:uid="{9DA2A20B-D07A-48B7-AA13-18C4B475C121}"/>
    <cellStyle name="Normal 2 4 8 4 4" xfId="10169" xr:uid="{7B14216D-49FF-4A53-9F44-43EB0023F07D}"/>
    <cellStyle name="Normal 2 4 8 5" xfId="2051" xr:uid="{00000000-0005-0000-0000-00000A110000}"/>
    <cellStyle name="Normal 2 4 8 5 2" xfId="4280" xr:uid="{00000000-0005-0000-0000-00000B110000}"/>
    <cellStyle name="Normal 2 4 8 5 2 2" xfId="8503" xr:uid="{00000000-0005-0000-0000-00000C110000}"/>
    <cellStyle name="Normal 2 4 8 5 2 2 2" xfId="16945" xr:uid="{D7A1CDC3-8DA7-4390-B845-A6C35B561D75}"/>
    <cellStyle name="Normal 2 4 8 5 2 3" xfId="12727" xr:uid="{2B51EFE1-E161-4805-AF3D-BA45A56D2AE7}"/>
    <cellStyle name="Normal 2 4 8 5 3" xfId="6358" xr:uid="{00000000-0005-0000-0000-00000D110000}"/>
    <cellStyle name="Normal 2 4 8 5 3 2" xfId="14800" xr:uid="{04467390-257F-4D1E-8FF4-041B0C8D12D1}"/>
    <cellStyle name="Normal 2 4 8 5 4" xfId="10582" xr:uid="{48EA7705-5C8B-488C-85A8-4A06E83A85DC}"/>
    <cellStyle name="Normal 2 4 8 6" xfId="2487" xr:uid="{00000000-0005-0000-0000-00000E110000}"/>
    <cellStyle name="Normal 2 4 8 6 2" xfId="6771" xr:uid="{00000000-0005-0000-0000-00000F110000}"/>
    <cellStyle name="Normal 2 4 8 6 2 2" xfId="15213" xr:uid="{4F0FF28F-A786-49F9-BA79-91D8F225168F}"/>
    <cellStyle name="Normal 2 4 8 6 3" xfId="10995" xr:uid="{6FDF25C5-2C71-451A-95E7-E4A54711EE9D}"/>
    <cellStyle name="Normal 2 4 8 7" xfId="4705" xr:uid="{00000000-0005-0000-0000-000010110000}"/>
    <cellStyle name="Normal 2 4 8 7 2" xfId="13147" xr:uid="{A032A0C9-B203-4C2D-8603-5E6AE51C47C1}"/>
    <cellStyle name="Normal 2 4 8 8" xfId="8929" xr:uid="{11786382-DC4F-4EC7-ACA8-9A32264F9BC3}"/>
    <cellStyle name="Normal 2 5" xfId="315" xr:uid="{00000000-0005-0000-0000-000011110000}"/>
    <cellStyle name="Normal 2 5 10" xfId="4706" xr:uid="{00000000-0005-0000-0000-000012110000}"/>
    <cellStyle name="Normal 2 5 10 2" xfId="13148" xr:uid="{EE5BE371-95D3-4298-BB53-B06567C70D85}"/>
    <cellStyle name="Normal 2 5 11" xfId="8930" xr:uid="{39910BE8-9C81-4093-95B4-2C1399A32215}"/>
    <cellStyle name="Normal 2 5 2" xfId="316" xr:uid="{00000000-0005-0000-0000-000013110000}"/>
    <cellStyle name="Normal 2 5 3" xfId="317" xr:uid="{00000000-0005-0000-0000-000014110000}"/>
    <cellStyle name="Normal 2 5 4" xfId="318" xr:uid="{00000000-0005-0000-0000-000015110000}"/>
    <cellStyle name="Normal 2 5 4 10" xfId="8931" xr:uid="{98B6472B-0D44-44E2-92FC-E342906B797D}"/>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2 2 2" xfId="15710" xr:uid="{23605754-0D3A-4656-8366-1305E04E0325}"/>
    <cellStyle name="Normal 2 5 4 2 2 2 2 3" xfId="11492" xr:uid="{F4560425-69C9-4554-B8E9-835C11B0BF98}"/>
    <cellStyle name="Normal 2 5 4 2 2 2 3" xfId="5123" xr:uid="{00000000-0005-0000-0000-00001B110000}"/>
    <cellStyle name="Normal 2 5 4 2 2 2 3 2" xfId="13565" xr:uid="{8562297F-FB11-439B-8460-CEE09E83231B}"/>
    <cellStyle name="Normal 2 5 4 2 2 2 4" xfId="9347" xr:uid="{F6B4959B-E920-49D8-B651-B43CDD0973E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2 2 2" xfId="16123" xr:uid="{503793CC-BDE8-45F1-8D9A-A854EAD97B93}"/>
    <cellStyle name="Normal 2 5 4 2 2 3 2 3" xfId="11905" xr:uid="{58A87FFA-2B36-4558-B20E-8E76C311EA82}"/>
    <cellStyle name="Normal 2 5 4 2 2 3 3" xfId="5536" xr:uid="{00000000-0005-0000-0000-00001F110000}"/>
    <cellStyle name="Normal 2 5 4 2 2 3 3 2" xfId="13978" xr:uid="{42FFEA55-6F76-4886-B3B9-A6FB76DBA289}"/>
    <cellStyle name="Normal 2 5 4 2 2 3 4" xfId="9760" xr:uid="{662ADBC8-E118-436F-8FD8-AE962072DBD3}"/>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2 2 2" xfId="16536" xr:uid="{1849B88D-0A49-4EBC-8444-FD54BA373D1D}"/>
    <cellStyle name="Normal 2 5 4 2 2 4 2 3" xfId="12318" xr:uid="{DC6AECE0-AA81-4DA0-88CA-03F32D5FF34F}"/>
    <cellStyle name="Normal 2 5 4 2 2 4 3" xfId="5949" xr:uid="{00000000-0005-0000-0000-000023110000}"/>
    <cellStyle name="Normal 2 5 4 2 2 4 3 2" xfId="14391" xr:uid="{911CDBB1-4D1F-4A61-972A-362B05E23126}"/>
    <cellStyle name="Normal 2 5 4 2 2 4 4" xfId="10173" xr:uid="{BF3954C0-D141-47A3-A989-D142D7E1292A}"/>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2 2 2" xfId="16949" xr:uid="{AD649D03-E299-4103-9BF9-28C520DD6B39}"/>
    <cellStyle name="Normal 2 5 4 2 2 5 2 3" xfId="12731" xr:uid="{9FBCF55A-BA9D-4A8F-AE56-4E9709F898F8}"/>
    <cellStyle name="Normal 2 5 4 2 2 5 3" xfId="6362" xr:uid="{00000000-0005-0000-0000-000027110000}"/>
    <cellStyle name="Normal 2 5 4 2 2 5 3 2" xfId="14804" xr:uid="{88EECCE2-F62C-40F8-9152-115FDE503238}"/>
    <cellStyle name="Normal 2 5 4 2 2 5 4" xfId="10586" xr:uid="{7D2224A8-8182-4242-8DA8-84A97C84CBA6}"/>
    <cellStyle name="Normal 2 5 4 2 2 6" xfId="2491" xr:uid="{00000000-0005-0000-0000-000028110000}"/>
    <cellStyle name="Normal 2 5 4 2 2 6 2" xfId="6775" xr:uid="{00000000-0005-0000-0000-000029110000}"/>
    <cellStyle name="Normal 2 5 4 2 2 6 2 2" xfId="15217" xr:uid="{AFA62410-9E0E-4703-8B3C-43C4667AD17F}"/>
    <cellStyle name="Normal 2 5 4 2 2 6 3" xfId="10999" xr:uid="{582E0C90-261C-4ED9-86F2-038AE735B0A6}"/>
    <cellStyle name="Normal 2 5 4 2 2 7" xfId="4709" xr:uid="{00000000-0005-0000-0000-00002A110000}"/>
    <cellStyle name="Normal 2 5 4 2 2 7 2" xfId="13151" xr:uid="{5B6D956F-5EA0-4672-90D6-C2560D1D7C4F}"/>
    <cellStyle name="Normal 2 5 4 2 2 8" xfId="8933" xr:uid="{F9A3F6A5-D36A-4320-AFCD-C3507035ED83}"/>
    <cellStyle name="Normal 2 5 4 2 3" xfId="805" xr:uid="{00000000-0005-0000-0000-00002B110000}"/>
    <cellStyle name="Normal 2 5 4 2 3 2" xfId="3044" xr:uid="{00000000-0005-0000-0000-00002C110000}"/>
    <cellStyle name="Normal 2 5 4 2 3 2 2" xfId="7267" xr:uid="{00000000-0005-0000-0000-00002D110000}"/>
    <cellStyle name="Normal 2 5 4 2 3 2 2 2" xfId="15709" xr:uid="{5C4F026B-BFE5-440F-8E33-5A28FFB2AC38}"/>
    <cellStyle name="Normal 2 5 4 2 3 2 3" xfId="11491" xr:uid="{2EC3FA1E-A89C-4937-B4B7-8D89A69FC421}"/>
    <cellStyle name="Normal 2 5 4 2 3 3" xfId="5122" xr:uid="{00000000-0005-0000-0000-00002E110000}"/>
    <cellStyle name="Normal 2 5 4 2 3 3 2" xfId="13564" xr:uid="{C33F827E-DDF9-4351-A419-04225AA4B1EF}"/>
    <cellStyle name="Normal 2 5 4 2 3 4" xfId="9346" xr:uid="{3DDA5766-9823-4AD7-962E-577B96847E2D}"/>
    <cellStyle name="Normal 2 5 4 2 4" xfId="1227" xr:uid="{00000000-0005-0000-0000-00002F110000}"/>
    <cellStyle name="Normal 2 5 4 2 4 2" xfId="3457" xr:uid="{00000000-0005-0000-0000-000030110000}"/>
    <cellStyle name="Normal 2 5 4 2 4 2 2" xfId="7680" xr:uid="{00000000-0005-0000-0000-000031110000}"/>
    <cellStyle name="Normal 2 5 4 2 4 2 2 2" xfId="16122" xr:uid="{4EDEDC0D-E6BC-48D7-A089-F50FFE51A195}"/>
    <cellStyle name="Normal 2 5 4 2 4 2 3" xfId="11904" xr:uid="{809704CD-D78E-4237-A554-3D96AAF4CE0B}"/>
    <cellStyle name="Normal 2 5 4 2 4 3" xfId="5535" xr:uid="{00000000-0005-0000-0000-000032110000}"/>
    <cellStyle name="Normal 2 5 4 2 4 3 2" xfId="13977" xr:uid="{C74642BB-6633-43F6-B4F5-80CB9909CDA7}"/>
    <cellStyle name="Normal 2 5 4 2 4 4" xfId="9759" xr:uid="{D2CD097A-378E-42BA-9811-03D307621568}"/>
    <cellStyle name="Normal 2 5 4 2 5" xfId="1640" xr:uid="{00000000-0005-0000-0000-000033110000}"/>
    <cellStyle name="Normal 2 5 4 2 5 2" xfId="3870" xr:uid="{00000000-0005-0000-0000-000034110000}"/>
    <cellStyle name="Normal 2 5 4 2 5 2 2" xfId="8093" xr:uid="{00000000-0005-0000-0000-000035110000}"/>
    <cellStyle name="Normal 2 5 4 2 5 2 2 2" xfId="16535" xr:uid="{129CB9AB-C685-409C-A1A2-EC0379EDE188}"/>
    <cellStyle name="Normal 2 5 4 2 5 2 3" xfId="12317" xr:uid="{78F102E6-B8D1-4DF5-A7D0-C5BBBF6BD8F3}"/>
    <cellStyle name="Normal 2 5 4 2 5 3" xfId="5948" xr:uid="{00000000-0005-0000-0000-000036110000}"/>
    <cellStyle name="Normal 2 5 4 2 5 3 2" xfId="14390" xr:uid="{69E63731-61C2-45FE-94D1-48D6B79F61DC}"/>
    <cellStyle name="Normal 2 5 4 2 5 4" xfId="10172" xr:uid="{F22723B5-BB63-4C10-B3E6-162F24B3E470}"/>
    <cellStyle name="Normal 2 5 4 2 6" xfId="2054" xr:uid="{00000000-0005-0000-0000-000037110000}"/>
    <cellStyle name="Normal 2 5 4 2 6 2" xfId="4283" xr:uid="{00000000-0005-0000-0000-000038110000}"/>
    <cellStyle name="Normal 2 5 4 2 6 2 2" xfId="8506" xr:uid="{00000000-0005-0000-0000-000039110000}"/>
    <cellStyle name="Normal 2 5 4 2 6 2 2 2" xfId="16948" xr:uid="{9DF35B18-28CC-4092-B467-4CADC1C402C0}"/>
    <cellStyle name="Normal 2 5 4 2 6 2 3" xfId="12730" xr:uid="{BAD1D9E8-DB86-43F9-B4DE-3F67E74B958C}"/>
    <cellStyle name="Normal 2 5 4 2 6 3" xfId="6361" xr:uid="{00000000-0005-0000-0000-00003A110000}"/>
    <cellStyle name="Normal 2 5 4 2 6 3 2" xfId="14803" xr:uid="{F5E6564C-58F7-4F3F-B5C6-8A2613115F3E}"/>
    <cellStyle name="Normal 2 5 4 2 6 4" xfId="10585" xr:uid="{357D728E-6984-4ADE-B327-95147C04CCB1}"/>
    <cellStyle name="Normal 2 5 4 2 7" xfId="2490" xr:uid="{00000000-0005-0000-0000-00003B110000}"/>
    <cellStyle name="Normal 2 5 4 2 7 2" xfId="6774" xr:uid="{00000000-0005-0000-0000-00003C110000}"/>
    <cellStyle name="Normal 2 5 4 2 7 2 2" xfId="15216" xr:uid="{2EE013CE-21C7-45AB-94C4-11DBE7CA0D3D}"/>
    <cellStyle name="Normal 2 5 4 2 7 3" xfId="10998" xr:uid="{C2E22C57-81F8-45AF-A396-12C20FE28ABB}"/>
    <cellStyle name="Normal 2 5 4 2 8" xfId="4708" xr:uid="{00000000-0005-0000-0000-00003D110000}"/>
    <cellStyle name="Normal 2 5 4 2 8 2" xfId="13150" xr:uid="{2F6315FB-D6E4-4F61-A01A-26B10204D7CF}"/>
    <cellStyle name="Normal 2 5 4 2 9" xfId="8932" xr:uid="{EB2BBC6E-CDDE-4C2E-848C-E83588A26957}"/>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2 2 2" xfId="15711" xr:uid="{E4DE4958-9B62-43C6-AD89-1B9983FA83A2}"/>
    <cellStyle name="Normal 2 5 4 3 2 2 3" xfId="11493" xr:uid="{C72863E9-5268-4D22-87FB-24E61FAE1A57}"/>
    <cellStyle name="Normal 2 5 4 3 2 3" xfId="5124" xr:uid="{00000000-0005-0000-0000-000042110000}"/>
    <cellStyle name="Normal 2 5 4 3 2 3 2" xfId="13566" xr:uid="{688C477A-ED37-4F98-814B-AFE9A8F6C9F3}"/>
    <cellStyle name="Normal 2 5 4 3 2 4" xfId="9348" xr:uid="{65152F75-EB5E-4264-9912-1123BCB0D13C}"/>
    <cellStyle name="Normal 2 5 4 3 3" xfId="1229" xr:uid="{00000000-0005-0000-0000-000043110000}"/>
    <cellStyle name="Normal 2 5 4 3 3 2" xfId="3459" xr:uid="{00000000-0005-0000-0000-000044110000}"/>
    <cellStyle name="Normal 2 5 4 3 3 2 2" xfId="7682" xr:uid="{00000000-0005-0000-0000-000045110000}"/>
    <cellStyle name="Normal 2 5 4 3 3 2 2 2" xfId="16124" xr:uid="{4CC4FC6C-392C-495B-AE1F-FADCDCAF4361}"/>
    <cellStyle name="Normal 2 5 4 3 3 2 3" xfId="11906" xr:uid="{4BEDF325-0CAA-47E6-BDE7-E304BA763CAE}"/>
    <cellStyle name="Normal 2 5 4 3 3 3" xfId="5537" xr:uid="{00000000-0005-0000-0000-000046110000}"/>
    <cellStyle name="Normal 2 5 4 3 3 3 2" xfId="13979" xr:uid="{90624985-DC0F-4BFE-B6AA-DF994DF77E17}"/>
    <cellStyle name="Normal 2 5 4 3 3 4" xfId="9761" xr:uid="{C31F23E3-F486-4D2F-9E71-87F8932E753C}"/>
    <cellStyle name="Normal 2 5 4 3 4" xfId="1642" xr:uid="{00000000-0005-0000-0000-000047110000}"/>
    <cellStyle name="Normal 2 5 4 3 4 2" xfId="3872" xr:uid="{00000000-0005-0000-0000-000048110000}"/>
    <cellStyle name="Normal 2 5 4 3 4 2 2" xfId="8095" xr:uid="{00000000-0005-0000-0000-000049110000}"/>
    <cellStyle name="Normal 2 5 4 3 4 2 2 2" xfId="16537" xr:uid="{3C7251F4-5335-48E8-B13B-B38BF3315EC0}"/>
    <cellStyle name="Normal 2 5 4 3 4 2 3" xfId="12319" xr:uid="{62EC483B-1510-4F0A-849F-2F87AA709B5C}"/>
    <cellStyle name="Normal 2 5 4 3 4 3" xfId="5950" xr:uid="{00000000-0005-0000-0000-00004A110000}"/>
    <cellStyle name="Normal 2 5 4 3 4 3 2" xfId="14392" xr:uid="{984BA514-5EA6-46ED-AC6F-F0BBF0CE27CD}"/>
    <cellStyle name="Normal 2 5 4 3 4 4" xfId="10174" xr:uid="{E5E98661-8702-4659-8734-1F0984755165}"/>
    <cellStyle name="Normal 2 5 4 3 5" xfId="2056" xr:uid="{00000000-0005-0000-0000-00004B110000}"/>
    <cellStyle name="Normal 2 5 4 3 5 2" xfId="4285" xr:uid="{00000000-0005-0000-0000-00004C110000}"/>
    <cellStyle name="Normal 2 5 4 3 5 2 2" xfId="8508" xr:uid="{00000000-0005-0000-0000-00004D110000}"/>
    <cellStyle name="Normal 2 5 4 3 5 2 2 2" xfId="16950" xr:uid="{1E334DCE-8EE0-44D8-9FD5-025D43C634AE}"/>
    <cellStyle name="Normal 2 5 4 3 5 2 3" xfId="12732" xr:uid="{28AEF838-38BF-4D4B-A27B-C3FF8B429517}"/>
    <cellStyle name="Normal 2 5 4 3 5 3" xfId="6363" xr:uid="{00000000-0005-0000-0000-00004E110000}"/>
    <cellStyle name="Normal 2 5 4 3 5 3 2" xfId="14805" xr:uid="{C4DEAF07-BA6D-47FE-B88A-5CE4C99BC9E2}"/>
    <cellStyle name="Normal 2 5 4 3 5 4" xfId="10587" xr:uid="{6787E865-2CCF-475D-B8CF-58DCC9420CBE}"/>
    <cellStyle name="Normal 2 5 4 3 6" xfId="2492" xr:uid="{00000000-0005-0000-0000-00004F110000}"/>
    <cellStyle name="Normal 2 5 4 3 6 2" xfId="6776" xr:uid="{00000000-0005-0000-0000-000050110000}"/>
    <cellStyle name="Normal 2 5 4 3 6 2 2" xfId="15218" xr:uid="{DA31E739-7CDC-41F8-82DB-4CB3EA26A745}"/>
    <cellStyle name="Normal 2 5 4 3 6 3" xfId="11000" xr:uid="{6C5B4A02-D253-4617-9D91-9F3E9C39A9F7}"/>
    <cellStyle name="Normal 2 5 4 3 7" xfId="4710" xr:uid="{00000000-0005-0000-0000-000051110000}"/>
    <cellStyle name="Normal 2 5 4 3 7 2" xfId="13152" xr:uid="{6A11B58B-BC69-4E76-A2B2-48BA9975328C}"/>
    <cellStyle name="Normal 2 5 4 3 8" xfId="8934" xr:uid="{B03AC9F2-3754-4E1D-ADC2-DCA8D0F9664E}"/>
    <cellStyle name="Normal 2 5 4 4" xfId="804" xr:uid="{00000000-0005-0000-0000-000052110000}"/>
    <cellStyle name="Normal 2 5 4 4 2" xfId="3043" xr:uid="{00000000-0005-0000-0000-000053110000}"/>
    <cellStyle name="Normal 2 5 4 4 2 2" xfId="7266" xr:uid="{00000000-0005-0000-0000-000054110000}"/>
    <cellStyle name="Normal 2 5 4 4 2 2 2" xfId="15708" xr:uid="{DD0BDC39-88D3-4A2F-8C63-9FEE73F5E57D}"/>
    <cellStyle name="Normal 2 5 4 4 2 3" xfId="11490" xr:uid="{C5F0EE4B-CF1D-46E1-ABAA-E79938F6C34B}"/>
    <cellStyle name="Normal 2 5 4 4 3" xfId="5121" xr:uid="{00000000-0005-0000-0000-000055110000}"/>
    <cellStyle name="Normal 2 5 4 4 3 2" xfId="13563" xr:uid="{1A38FEDF-D603-43B5-9510-17E0307CE08F}"/>
    <cellStyle name="Normal 2 5 4 4 4" xfId="9345" xr:uid="{8BB1C549-B37D-4364-BAA6-6E355615F17C}"/>
    <cellStyle name="Normal 2 5 4 5" xfId="1226" xr:uid="{00000000-0005-0000-0000-000056110000}"/>
    <cellStyle name="Normal 2 5 4 5 2" xfId="3456" xr:uid="{00000000-0005-0000-0000-000057110000}"/>
    <cellStyle name="Normal 2 5 4 5 2 2" xfId="7679" xr:uid="{00000000-0005-0000-0000-000058110000}"/>
    <cellStyle name="Normal 2 5 4 5 2 2 2" xfId="16121" xr:uid="{EDEC4479-FAF5-4F7C-ABE2-67A7AAAF9D31}"/>
    <cellStyle name="Normal 2 5 4 5 2 3" xfId="11903" xr:uid="{E9E6AA0C-6130-4F68-A328-26AACC797572}"/>
    <cellStyle name="Normal 2 5 4 5 3" xfId="5534" xr:uid="{00000000-0005-0000-0000-000059110000}"/>
    <cellStyle name="Normal 2 5 4 5 3 2" xfId="13976" xr:uid="{C2849495-62B6-4F73-8212-35FEC53ECEFB}"/>
    <cellStyle name="Normal 2 5 4 5 4" xfId="9758" xr:uid="{6CFED8AC-7F4C-4E03-843F-1EB4A0A55E17}"/>
    <cellStyle name="Normal 2 5 4 6" xfId="1639" xr:uid="{00000000-0005-0000-0000-00005A110000}"/>
    <cellStyle name="Normal 2 5 4 6 2" xfId="3869" xr:uid="{00000000-0005-0000-0000-00005B110000}"/>
    <cellStyle name="Normal 2 5 4 6 2 2" xfId="8092" xr:uid="{00000000-0005-0000-0000-00005C110000}"/>
    <cellStyle name="Normal 2 5 4 6 2 2 2" xfId="16534" xr:uid="{A575ED95-ED20-4C63-BE95-2121D9975FD5}"/>
    <cellStyle name="Normal 2 5 4 6 2 3" xfId="12316" xr:uid="{22C176FC-9A9E-460F-A5CE-29FA646E37D0}"/>
    <cellStyle name="Normal 2 5 4 6 3" xfId="5947" xr:uid="{00000000-0005-0000-0000-00005D110000}"/>
    <cellStyle name="Normal 2 5 4 6 3 2" xfId="14389" xr:uid="{ACD4AE7A-5226-42E1-AA2C-BB856E56057C}"/>
    <cellStyle name="Normal 2 5 4 6 4" xfId="10171" xr:uid="{546703AD-4FD3-454D-BCF8-1EFA5F0EE4EC}"/>
    <cellStyle name="Normal 2 5 4 7" xfId="2053" xr:uid="{00000000-0005-0000-0000-00005E110000}"/>
    <cellStyle name="Normal 2 5 4 7 2" xfId="4282" xr:uid="{00000000-0005-0000-0000-00005F110000}"/>
    <cellStyle name="Normal 2 5 4 7 2 2" xfId="8505" xr:uid="{00000000-0005-0000-0000-000060110000}"/>
    <cellStyle name="Normal 2 5 4 7 2 2 2" xfId="16947" xr:uid="{F1A7BAA1-166D-4FF0-AB16-8BC6956CB04A}"/>
    <cellStyle name="Normal 2 5 4 7 2 3" xfId="12729" xr:uid="{4EC16EA3-09C8-46B5-801C-23B5B970CAC2}"/>
    <cellStyle name="Normal 2 5 4 7 3" xfId="6360" xr:uid="{00000000-0005-0000-0000-000061110000}"/>
    <cellStyle name="Normal 2 5 4 7 3 2" xfId="14802" xr:uid="{98D801E8-DA69-4460-931E-887DFFD08598}"/>
    <cellStyle name="Normal 2 5 4 7 4" xfId="10584" xr:uid="{A17B32F8-47B3-40AE-8AE3-C39FA1DC3038}"/>
    <cellStyle name="Normal 2 5 4 8" xfId="2489" xr:uid="{00000000-0005-0000-0000-000062110000}"/>
    <cellStyle name="Normal 2 5 4 8 2" xfId="6773" xr:uid="{00000000-0005-0000-0000-000063110000}"/>
    <cellStyle name="Normal 2 5 4 8 2 2" xfId="15215" xr:uid="{9E27D316-8917-4D56-8512-26DB471CE619}"/>
    <cellStyle name="Normal 2 5 4 8 3" xfId="10997" xr:uid="{CDB45427-BBC6-490F-9C1F-0CE909A4CE9D}"/>
    <cellStyle name="Normal 2 5 4 9" xfId="4707" xr:uid="{00000000-0005-0000-0000-000064110000}"/>
    <cellStyle name="Normal 2 5 4 9 2" xfId="13149" xr:uid="{4FAB94BE-7648-41B6-B3D3-8CF6BEF7A28A}"/>
    <cellStyle name="Normal 2 5 5" xfId="803" xr:uid="{00000000-0005-0000-0000-000065110000}"/>
    <cellStyle name="Normal 2 5 5 2" xfId="3042" xr:uid="{00000000-0005-0000-0000-000066110000}"/>
    <cellStyle name="Normal 2 5 5 2 2" xfId="7265" xr:uid="{00000000-0005-0000-0000-000067110000}"/>
    <cellStyle name="Normal 2 5 5 2 2 2" xfId="15707" xr:uid="{518A2CB2-EAA9-4E65-AE31-E66A4B4255F2}"/>
    <cellStyle name="Normal 2 5 5 2 3" xfId="11489" xr:uid="{9182ADDF-8D9B-4164-9DCA-34EF9E86C7ED}"/>
    <cellStyle name="Normal 2 5 5 3" xfId="5120" xr:uid="{00000000-0005-0000-0000-000068110000}"/>
    <cellStyle name="Normal 2 5 5 3 2" xfId="13562" xr:uid="{D85A963B-98F5-4DE3-A74D-1A3FCCC0C2BC}"/>
    <cellStyle name="Normal 2 5 5 4" xfId="9344" xr:uid="{83932C51-8C01-4D5A-B66E-6A80C04FADDC}"/>
    <cellStyle name="Normal 2 5 6" xfId="1225" xr:uid="{00000000-0005-0000-0000-000069110000}"/>
    <cellStyle name="Normal 2 5 6 2" xfId="3455" xr:uid="{00000000-0005-0000-0000-00006A110000}"/>
    <cellStyle name="Normal 2 5 6 2 2" xfId="7678" xr:uid="{00000000-0005-0000-0000-00006B110000}"/>
    <cellStyle name="Normal 2 5 6 2 2 2" xfId="16120" xr:uid="{5E42540D-DFAF-4361-A742-27849719653C}"/>
    <cellStyle name="Normal 2 5 6 2 3" xfId="11902" xr:uid="{9F12D8FC-C15F-4095-B8DD-E2AA111F7530}"/>
    <cellStyle name="Normal 2 5 6 3" xfId="5533" xr:uid="{00000000-0005-0000-0000-00006C110000}"/>
    <cellStyle name="Normal 2 5 6 3 2" xfId="13975" xr:uid="{D588ACA4-9296-4F6C-A635-DB66861B6DA5}"/>
    <cellStyle name="Normal 2 5 6 4" xfId="9757" xr:uid="{FC60FC9C-6107-4959-B941-848AC326B9EE}"/>
    <cellStyle name="Normal 2 5 7" xfId="1638" xr:uid="{00000000-0005-0000-0000-00006D110000}"/>
    <cellStyle name="Normal 2 5 7 2" xfId="3868" xr:uid="{00000000-0005-0000-0000-00006E110000}"/>
    <cellStyle name="Normal 2 5 7 2 2" xfId="8091" xr:uid="{00000000-0005-0000-0000-00006F110000}"/>
    <cellStyle name="Normal 2 5 7 2 2 2" xfId="16533" xr:uid="{AF20067F-B197-4841-A00A-9E6FEEC807EF}"/>
    <cellStyle name="Normal 2 5 7 2 3" xfId="12315" xr:uid="{E449BADA-659D-4389-8DF3-9340F04C4028}"/>
    <cellStyle name="Normal 2 5 7 3" xfId="5946" xr:uid="{00000000-0005-0000-0000-000070110000}"/>
    <cellStyle name="Normal 2 5 7 3 2" xfId="14388" xr:uid="{A86A025B-CEB6-4470-9231-F4BEA7E16D09}"/>
    <cellStyle name="Normal 2 5 7 4" xfId="10170" xr:uid="{27BAE7BA-44C7-4CC2-9E47-81CBC98392F9}"/>
    <cellStyle name="Normal 2 5 8" xfId="2052" xr:uid="{00000000-0005-0000-0000-000071110000}"/>
    <cellStyle name="Normal 2 5 8 2" xfId="4281" xr:uid="{00000000-0005-0000-0000-000072110000}"/>
    <cellStyle name="Normal 2 5 8 2 2" xfId="8504" xr:uid="{00000000-0005-0000-0000-000073110000}"/>
    <cellStyle name="Normal 2 5 8 2 2 2" xfId="16946" xr:uid="{34FBDB5B-7146-45E3-AA33-0A0351233C8D}"/>
    <cellStyle name="Normal 2 5 8 2 3" xfId="12728" xr:uid="{C8768669-0AA0-40E5-87BD-B0CA80B3FA07}"/>
    <cellStyle name="Normal 2 5 8 3" xfId="6359" xr:uid="{00000000-0005-0000-0000-000074110000}"/>
    <cellStyle name="Normal 2 5 8 3 2" xfId="14801" xr:uid="{8F572110-4569-43B5-9836-20203A842BD1}"/>
    <cellStyle name="Normal 2 5 8 4" xfId="10583" xr:uid="{D0B38618-03E6-4F06-A17C-2B6D6DCFEE9B}"/>
    <cellStyle name="Normal 2 5 9" xfId="2488" xr:uid="{00000000-0005-0000-0000-000075110000}"/>
    <cellStyle name="Normal 2 5 9 2" xfId="6772" xr:uid="{00000000-0005-0000-0000-000076110000}"/>
    <cellStyle name="Normal 2 5 9 2 2" xfId="15214" xr:uid="{8F0EA7A9-E047-4206-AA35-A6B8D2E55DAD}"/>
    <cellStyle name="Normal 2 5 9 3" xfId="10996" xr:uid="{475BE031-9594-4281-A8F6-63A660404C91}"/>
    <cellStyle name="Normal 2 6" xfId="322" xr:uid="{00000000-0005-0000-0000-000077110000}"/>
    <cellStyle name="Normal 2 7" xfId="769" xr:uid="{00000000-0005-0000-0000-000078110000}"/>
    <cellStyle name="Normal 2 8" xfId="4495" xr:uid="{00000000-0005-0000-0000-000079110000}"/>
    <cellStyle name="Normal 2 8 2" xfId="12940" xr:uid="{282621EB-B892-49BC-B2E7-194A118BC0C1}"/>
    <cellStyle name="Normal 3" xfId="323" xr:uid="{00000000-0005-0000-0000-00007A110000}"/>
    <cellStyle name="Normal 3 2" xfId="324" xr:uid="{00000000-0005-0000-0000-00007B110000}"/>
    <cellStyle name="Normal 3 2 10" xfId="8935" xr:uid="{8A02B428-55EE-4ADE-9336-9F3D3E530860}"/>
    <cellStyle name="Normal 3 2 2" xfId="325" xr:uid="{00000000-0005-0000-0000-00007C110000}"/>
    <cellStyle name="Normal 3 2 2 2" xfId="810" xr:uid="{00000000-0005-0000-0000-00007D110000}"/>
    <cellStyle name="Normal 3 2 3" xfId="326" xr:uid="{00000000-0005-0000-0000-00007E110000}"/>
    <cellStyle name="Normal 3 2 3 10" xfId="8936" xr:uid="{E74FD53F-FBB2-414B-B63B-8885A4BFE9D1}"/>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2 2 2" xfId="15715" xr:uid="{4D464191-E196-4451-B781-BF35A534A64D}"/>
    <cellStyle name="Normal 3 2 3 2 2 2 2 3" xfId="11497" xr:uid="{AF564AAF-24DF-47B1-8730-0502A645BF26}"/>
    <cellStyle name="Normal 3 2 3 2 2 2 3" xfId="5128" xr:uid="{00000000-0005-0000-0000-000084110000}"/>
    <cellStyle name="Normal 3 2 3 2 2 2 3 2" xfId="13570" xr:uid="{BAA30D8A-DE08-45E3-B8B4-FF2C1391C58D}"/>
    <cellStyle name="Normal 3 2 3 2 2 2 4" xfId="9352" xr:uid="{6BB42DD3-7EC6-4E3E-B084-98EE05D71F9B}"/>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2 2 2" xfId="16128" xr:uid="{5EBEB962-27D6-4A97-ABFF-B25A4B335611}"/>
    <cellStyle name="Normal 3 2 3 2 2 3 2 3" xfId="11910" xr:uid="{68744CA4-5CF7-4BEF-986C-9A4DC2357985}"/>
    <cellStyle name="Normal 3 2 3 2 2 3 3" xfId="5541" xr:uid="{00000000-0005-0000-0000-000088110000}"/>
    <cellStyle name="Normal 3 2 3 2 2 3 3 2" xfId="13983" xr:uid="{B5A6606C-4C03-4B62-A123-D2CEBEE581FF}"/>
    <cellStyle name="Normal 3 2 3 2 2 3 4" xfId="9765" xr:uid="{B6B05C5B-E5A4-4676-B7BA-86A11ACF9161}"/>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2 2 2" xfId="16541" xr:uid="{85099EAA-11EA-45DD-AFB4-43041B94B062}"/>
    <cellStyle name="Normal 3 2 3 2 2 4 2 3" xfId="12323" xr:uid="{F55CC6C5-92C9-4E86-9B76-662930F892A6}"/>
    <cellStyle name="Normal 3 2 3 2 2 4 3" xfId="5954" xr:uid="{00000000-0005-0000-0000-00008C110000}"/>
    <cellStyle name="Normal 3 2 3 2 2 4 3 2" xfId="14396" xr:uid="{4B191A83-C12B-4A08-ACFB-AD337AA31E86}"/>
    <cellStyle name="Normal 3 2 3 2 2 4 4" xfId="10178" xr:uid="{BB8A5FB8-4B83-45A5-8820-080CAD20807C}"/>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2 2 2" xfId="16954" xr:uid="{03A10374-EBF1-46F8-8219-84BFAC7DA98E}"/>
    <cellStyle name="Normal 3 2 3 2 2 5 2 3" xfId="12736" xr:uid="{DFC75316-7374-4F95-9FAF-C88116A9EAE9}"/>
    <cellStyle name="Normal 3 2 3 2 2 5 3" xfId="6367" xr:uid="{00000000-0005-0000-0000-000090110000}"/>
    <cellStyle name="Normal 3 2 3 2 2 5 3 2" xfId="14809" xr:uid="{F7502FE7-7A69-45C6-A43F-24B3FB274E81}"/>
    <cellStyle name="Normal 3 2 3 2 2 5 4" xfId="10591" xr:uid="{1337F075-1780-42EA-9E3B-A89DBEB63A75}"/>
    <cellStyle name="Normal 3 2 3 2 2 6" xfId="2496" xr:uid="{00000000-0005-0000-0000-000091110000}"/>
    <cellStyle name="Normal 3 2 3 2 2 6 2" xfId="6780" xr:uid="{00000000-0005-0000-0000-000092110000}"/>
    <cellStyle name="Normal 3 2 3 2 2 6 2 2" xfId="15222" xr:uid="{87B9529A-EE28-4577-9B93-20D3F9F4D379}"/>
    <cellStyle name="Normal 3 2 3 2 2 6 3" xfId="11004" xr:uid="{9BF820F1-94A3-400C-92FF-6255F4AE79CA}"/>
    <cellStyle name="Normal 3 2 3 2 2 7" xfId="4714" xr:uid="{00000000-0005-0000-0000-000093110000}"/>
    <cellStyle name="Normal 3 2 3 2 2 7 2" xfId="13156" xr:uid="{464F22FF-FDEF-4CCE-BD23-5FAE5E1E70D9}"/>
    <cellStyle name="Normal 3 2 3 2 2 8" xfId="8938" xr:uid="{1E7DAC1A-B312-4927-9B3D-CDE2531D3274}"/>
    <cellStyle name="Normal 3 2 3 2 3" xfId="812" xr:uid="{00000000-0005-0000-0000-000094110000}"/>
    <cellStyle name="Normal 3 2 3 2 3 2" xfId="3049" xr:uid="{00000000-0005-0000-0000-000095110000}"/>
    <cellStyle name="Normal 3 2 3 2 3 2 2" xfId="7272" xr:uid="{00000000-0005-0000-0000-000096110000}"/>
    <cellStyle name="Normal 3 2 3 2 3 2 2 2" xfId="15714" xr:uid="{3E435A44-0AA2-4FE1-9902-B0E671C5BC97}"/>
    <cellStyle name="Normal 3 2 3 2 3 2 3" xfId="11496" xr:uid="{D01CE85E-3B61-48AC-BE24-3E504341D76A}"/>
    <cellStyle name="Normal 3 2 3 2 3 3" xfId="5127" xr:uid="{00000000-0005-0000-0000-000097110000}"/>
    <cellStyle name="Normal 3 2 3 2 3 3 2" xfId="13569" xr:uid="{8D631920-A79F-48D9-A7E0-65E620631623}"/>
    <cellStyle name="Normal 3 2 3 2 3 4" xfId="9351" xr:uid="{BFB69AC0-4229-47FE-B5F4-B6FF4335926E}"/>
    <cellStyle name="Normal 3 2 3 2 4" xfId="1232" xr:uid="{00000000-0005-0000-0000-000098110000}"/>
    <cellStyle name="Normal 3 2 3 2 4 2" xfId="3462" xr:uid="{00000000-0005-0000-0000-000099110000}"/>
    <cellStyle name="Normal 3 2 3 2 4 2 2" xfId="7685" xr:uid="{00000000-0005-0000-0000-00009A110000}"/>
    <cellStyle name="Normal 3 2 3 2 4 2 2 2" xfId="16127" xr:uid="{0026CD6B-4A8A-455E-A672-EE1A12D9AED7}"/>
    <cellStyle name="Normal 3 2 3 2 4 2 3" xfId="11909" xr:uid="{8C01B5B3-D4DB-4F47-82A2-334D50E73089}"/>
    <cellStyle name="Normal 3 2 3 2 4 3" xfId="5540" xr:uid="{00000000-0005-0000-0000-00009B110000}"/>
    <cellStyle name="Normal 3 2 3 2 4 3 2" xfId="13982" xr:uid="{9428241F-1B24-40BD-9141-62BB4D61C750}"/>
    <cellStyle name="Normal 3 2 3 2 4 4" xfId="9764" xr:uid="{AD338E1F-348B-47CB-9D65-452852D83A1B}"/>
    <cellStyle name="Normal 3 2 3 2 5" xfId="1645" xr:uid="{00000000-0005-0000-0000-00009C110000}"/>
    <cellStyle name="Normal 3 2 3 2 5 2" xfId="3875" xr:uid="{00000000-0005-0000-0000-00009D110000}"/>
    <cellStyle name="Normal 3 2 3 2 5 2 2" xfId="8098" xr:uid="{00000000-0005-0000-0000-00009E110000}"/>
    <cellStyle name="Normal 3 2 3 2 5 2 2 2" xfId="16540" xr:uid="{3945A06E-8141-444C-A850-A9BB48E583CB}"/>
    <cellStyle name="Normal 3 2 3 2 5 2 3" xfId="12322" xr:uid="{5C09110A-F848-4B80-ABD4-10DD3C5BB64B}"/>
    <cellStyle name="Normal 3 2 3 2 5 3" xfId="5953" xr:uid="{00000000-0005-0000-0000-00009F110000}"/>
    <cellStyle name="Normal 3 2 3 2 5 3 2" xfId="14395" xr:uid="{B4BD6080-182D-4972-A81E-F6918C17F979}"/>
    <cellStyle name="Normal 3 2 3 2 5 4" xfId="10177" xr:uid="{14056E51-0CB8-4B98-900F-CBC745D08A58}"/>
    <cellStyle name="Normal 3 2 3 2 6" xfId="2059" xr:uid="{00000000-0005-0000-0000-0000A0110000}"/>
    <cellStyle name="Normal 3 2 3 2 6 2" xfId="4288" xr:uid="{00000000-0005-0000-0000-0000A1110000}"/>
    <cellStyle name="Normal 3 2 3 2 6 2 2" xfId="8511" xr:uid="{00000000-0005-0000-0000-0000A2110000}"/>
    <cellStyle name="Normal 3 2 3 2 6 2 2 2" xfId="16953" xr:uid="{B0FF4270-D3F1-41CB-BEEF-AFA85F88D5B6}"/>
    <cellStyle name="Normal 3 2 3 2 6 2 3" xfId="12735" xr:uid="{A10DF21A-A4AB-4DD7-A668-0032CB621828}"/>
    <cellStyle name="Normal 3 2 3 2 6 3" xfId="6366" xr:uid="{00000000-0005-0000-0000-0000A3110000}"/>
    <cellStyle name="Normal 3 2 3 2 6 3 2" xfId="14808" xr:uid="{47C01AF7-2D1F-483C-8ED2-67FDA4A6DA9F}"/>
    <cellStyle name="Normal 3 2 3 2 6 4" xfId="10590" xr:uid="{15CC366C-BCEE-4CE7-8076-41FB590D3FBC}"/>
    <cellStyle name="Normal 3 2 3 2 7" xfId="2495" xr:uid="{00000000-0005-0000-0000-0000A4110000}"/>
    <cellStyle name="Normal 3 2 3 2 7 2" xfId="6779" xr:uid="{00000000-0005-0000-0000-0000A5110000}"/>
    <cellStyle name="Normal 3 2 3 2 7 2 2" xfId="15221" xr:uid="{B44A2324-498A-4D2D-B52C-1280AB5D6324}"/>
    <cellStyle name="Normal 3 2 3 2 7 3" xfId="11003" xr:uid="{C41426C8-960B-41ED-964B-7C91F372598C}"/>
    <cellStyle name="Normal 3 2 3 2 8" xfId="4713" xr:uid="{00000000-0005-0000-0000-0000A6110000}"/>
    <cellStyle name="Normal 3 2 3 2 8 2" xfId="13155" xr:uid="{6AD5C95E-C0A5-4D43-9FF4-7B5E19A87AB9}"/>
    <cellStyle name="Normal 3 2 3 2 9" xfId="8937" xr:uid="{0F9887AF-8736-403B-BD66-F776C6034512}"/>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2 2 2" xfId="15716" xr:uid="{3BEFC527-C762-476F-BAF3-DD9341CD15C1}"/>
    <cellStyle name="Normal 3 2 3 3 2 2 3" xfId="11498" xr:uid="{467C2C7D-E38F-4BB1-BD36-CE4E5A9489A7}"/>
    <cellStyle name="Normal 3 2 3 3 2 3" xfId="5129" xr:uid="{00000000-0005-0000-0000-0000AB110000}"/>
    <cellStyle name="Normal 3 2 3 3 2 3 2" xfId="13571" xr:uid="{F3AB967B-8974-452C-AB6F-EF6BA9EEBA38}"/>
    <cellStyle name="Normal 3 2 3 3 2 4" xfId="9353" xr:uid="{6B321B37-B427-4E4F-B2B9-D760974DE784}"/>
    <cellStyle name="Normal 3 2 3 3 3" xfId="1234" xr:uid="{00000000-0005-0000-0000-0000AC110000}"/>
    <cellStyle name="Normal 3 2 3 3 3 2" xfId="3464" xr:uid="{00000000-0005-0000-0000-0000AD110000}"/>
    <cellStyle name="Normal 3 2 3 3 3 2 2" xfId="7687" xr:uid="{00000000-0005-0000-0000-0000AE110000}"/>
    <cellStyle name="Normal 3 2 3 3 3 2 2 2" xfId="16129" xr:uid="{0F27B6F0-AD34-4815-903F-B64A15470BAA}"/>
    <cellStyle name="Normal 3 2 3 3 3 2 3" xfId="11911" xr:uid="{5C040BAC-CF15-4C84-820F-E516D3F3053B}"/>
    <cellStyle name="Normal 3 2 3 3 3 3" xfId="5542" xr:uid="{00000000-0005-0000-0000-0000AF110000}"/>
    <cellStyle name="Normal 3 2 3 3 3 3 2" xfId="13984" xr:uid="{F6EFD725-1774-4244-A159-EF2B7BC04221}"/>
    <cellStyle name="Normal 3 2 3 3 3 4" xfId="9766" xr:uid="{123DB3EA-B230-4A96-A1B9-8A798E3D7605}"/>
    <cellStyle name="Normal 3 2 3 3 4" xfId="1647" xr:uid="{00000000-0005-0000-0000-0000B0110000}"/>
    <cellStyle name="Normal 3 2 3 3 4 2" xfId="3877" xr:uid="{00000000-0005-0000-0000-0000B1110000}"/>
    <cellStyle name="Normal 3 2 3 3 4 2 2" xfId="8100" xr:uid="{00000000-0005-0000-0000-0000B2110000}"/>
    <cellStyle name="Normal 3 2 3 3 4 2 2 2" xfId="16542" xr:uid="{B0B6435C-2466-4CCD-B2BD-6A03BFDD6424}"/>
    <cellStyle name="Normal 3 2 3 3 4 2 3" xfId="12324" xr:uid="{7C565363-8FB4-4E22-9032-66E527D0A154}"/>
    <cellStyle name="Normal 3 2 3 3 4 3" xfId="5955" xr:uid="{00000000-0005-0000-0000-0000B3110000}"/>
    <cellStyle name="Normal 3 2 3 3 4 3 2" xfId="14397" xr:uid="{2AF3E7D8-EBD2-4F9D-ADAC-444400561C96}"/>
    <cellStyle name="Normal 3 2 3 3 4 4" xfId="10179" xr:uid="{3368FCA0-7724-4F19-9122-8A4D00FA511B}"/>
    <cellStyle name="Normal 3 2 3 3 5" xfId="2061" xr:uid="{00000000-0005-0000-0000-0000B4110000}"/>
    <cellStyle name="Normal 3 2 3 3 5 2" xfId="4290" xr:uid="{00000000-0005-0000-0000-0000B5110000}"/>
    <cellStyle name="Normal 3 2 3 3 5 2 2" xfId="8513" xr:uid="{00000000-0005-0000-0000-0000B6110000}"/>
    <cellStyle name="Normal 3 2 3 3 5 2 2 2" xfId="16955" xr:uid="{0A092C56-EA06-497D-864A-F8AAA78D675F}"/>
    <cellStyle name="Normal 3 2 3 3 5 2 3" xfId="12737" xr:uid="{C3096568-83F9-4190-95A4-A0D76B0CAB99}"/>
    <cellStyle name="Normal 3 2 3 3 5 3" xfId="6368" xr:uid="{00000000-0005-0000-0000-0000B7110000}"/>
    <cellStyle name="Normal 3 2 3 3 5 3 2" xfId="14810" xr:uid="{5EF86401-9CD4-4C27-8D1C-F17D32995399}"/>
    <cellStyle name="Normal 3 2 3 3 5 4" xfId="10592" xr:uid="{C85AB5AC-1196-4ED9-B3BB-9E3E6D73AB77}"/>
    <cellStyle name="Normal 3 2 3 3 6" xfId="2497" xr:uid="{00000000-0005-0000-0000-0000B8110000}"/>
    <cellStyle name="Normal 3 2 3 3 6 2" xfId="6781" xr:uid="{00000000-0005-0000-0000-0000B9110000}"/>
    <cellStyle name="Normal 3 2 3 3 6 2 2" xfId="15223" xr:uid="{5E9B285B-E9B5-4D57-8F4F-B980F6878041}"/>
    <cellStyle name="Normal 3 2 3 3 6 3" xfId="11005" xr:uid="{3F12BE32-2AFC-480E-B80C-1B576FFDC793}"/>
    <cellStyle name="Normal 3 2 3 3 7" xfId="4715" xr:uid="{00000000-0005-0000-0000-0000BA110000}"/>
    <cellStyle name="Normal 3 2 3 3 7 2" xfId="13157" xr:uid="{65299039-5C16-4201-9424-6DF148F35C66}"/>
    <cellStyle name="Normal 3 2 3 3 8" xfId="8939" xr:uid="{6B4A1054-8E0A-4EF8-B5FE-80137D15ECFC}"/>
    <cellStyle name="Normal 3 2 3 4" xfId="811" xr:uid="{00000000-0005-0000-0000-0000BB110000}"/>
    <cellStyle name="Normal 3 2 3 4 2" xfId="3048" xr:uid="{00000000-0005-0000-0000-0000BC110000}"/>
    <cellStyle name="Normal 3 2 3 4 2 2" xfId="7271" xr:uid="{00000000-0005-0000-0000-0000BD110000}"/>
    <cellStyle name="Normal 3 2 3 4 2 2 2" xfId="15713" xr:uid="{C307E765-91A3-4004-B089-FB40BF9A66A9}"/>
    <cellStyle name="Normal 3 2 3 4 2 3" xfId="11495" xr:uid="{E2730227-78FE-4B61-846D-18B3A63B3028}"/>
    <cellStyle name="Normal 3 2 3 4 3" xfId="5126" xr:uid="{00000000-0005-0000-0000-0000BE110000}"/>
    <cellStyle name="Normal 3 2 3 4 3 2" xfId="13568" xr:uid="{92A3EC25-E6CE-4575-8E23-DD5A377D6D8F}"/>
    <cellStyle name="Normal 3 2 3 4 4" xfId="9350" xr:uid="{E9001115-1DF7-434B-BB19-05945F2E0AAC}"/>
    <cellStyle name="Normal 3 2 3 5" xfId="1231" xr:uid="{00000000-0005-0000-0000-0000BF110000}"/>
    <cellStyle name="Normal 3 2 3 5 2" xfId="3461" xr:uid="{00000000-0005-0000-0000-0000C0110000}"/>
    <cellStyle name="Normal 3 2 3 5 2 2" xfId="7684" xr:uid="{00000000-0005-0000-0000-0000C1110000}"/>
    <cellStyle name="Normal 3 2 3 5 2 2 2" xfId="16126" xr:uid="{BEC36B7D-224C-4EE7-92B5-674E3CF96E58}"/>
    <cellStyle name="Normal 3 2 3 5 2 3" xfId="11908" xr:uid="{BECBE689-76E9-4C89-A96C-0A75A510E181}"/>
    <cellStyle name="Normal 3 2 3 5 3" xfId="5539" xr:uid="{00000000-0005-0000-0000-0000C2110000}"/>
    <cellStyle name="Normal 3 2 3 5 3 2" xfId="13981" xr:uid="{2A7277F1-AC80-4BD7-8D9C-6060A361625A}"/>
    <cellStyle name="Normal 3 2 3 5 4" xfId="9763" xr:uid="{8CE43B49-D7BA-4E10-9272-407B6F035644}"/>
    <cellStyle name="Normal 3 2 3 6" xfId="1644" xr:uid="{00000000-0005-0000-0000-0000C3110000}"/>
    <cellStyle name="Normal 3 2 3 6 2" xfId="3874" xr:uid="{00000000-0005-0000-0000-0000C4110000}"/>
    <cellStyle name="Normal 3 2 3 6 2 2" xfId="8097" xr:uid="{00000000-0005-0000-0000-0000C5110000}"/>
    <cellStyle name="Normal 3 2 3 6 2 2 2" xfId="16539" xr:uid="{AE78F12D-DCC5-4972-A38F-2C7AA42D0CB0}"/>
    <cellStyle name="Normal 3 2 3 6 2 3" xfId="12321" xr:uid="{65237B4E-7F7D-4C43-9338-DFC980F2953B}"/>
    <cellStyle name="Normal 3 2 3 6 3" xfId="5952" xr:uid="{00000000-0005-0000-0000-0000C6110000}"/>
    <cellStyle name="Normal 3 2 3 6 3 2" xfId="14394" xr:uid="{EB849F3C-488E-4CB1-B25A-B7EDF6AC2A6F}"/>
    <cellStyle name="Normal 3 2 3 6 4" xfId="10176" xr:uid="{7F1155A1-0DB6-42F7-B0AD-F69F933A3794}"/>
    <cellStyle name="Normal 3 2 3 7" xfId="2058" xr:uid="{00000000-0005-0000-0000-0000C7110000}"/>
    <cellStyle name="Normal 3 2 3 7 2" xfId="4287" xr:uid="{00000000-0005-0000-0000-0000C8110000}"/>
    <cellStyle name="Normal 3 2 3 7 2 2" xfId="8510" xr:uid="{00000000-0005-0000-0000-0000C9110000}"/>
    <cellStyle name="Normal 3 2 3 7 2 2 2" xfId="16952" xr:uid="{196BD30B-6BD0-4174-BD24-508D840FC647}"/>
    <cellStyle name="Normal 3 2 3 7 2 3" xfId="12734" xr:uid="{87F0EC76-E136-4318-B1C8-E117F7588D5A}"/>
    <cellStyle name="Normal 3 2 3 7 3" xfId="6365" xr:uid="{00000000-0005-0000-0000-0000CA110000}"/>
    <cellStyle name="Normal 3 2 3 7 3 2" xfId="14807" xr:uid="{660A8583-3087-4003-B6AA-1E38949ECC73}"/>
    <cellStyle name="Normal 3 2 3 7 4" xfId="10589" xr:uid="{41E3D7E4-0F55-406F-8EDC-8A110359B45D}"/>
    <cellStyle name="Normal 3 2 3 8" xfId="2494" xr:uid="{00000000-0005-0000-0000-0000CB110000}"/>
    <cellStyle name="Normal 3 2 3 8 2" xfId="6778" xr:uid="{00000000-0005-0000-0000-0000CC110000}"/>
    <cellStyle name="Normal 3 2 3 8 2 2" xfId="15220" xr:uid="{8F823A0D-6CCC-4FC7-A834-756D0685C718}"/>
    <cellStyle name="Normal 3 2 3 8 3" xfId="11002" xr:uid="{5D2FFE09-5015-4895-8E21-11F26D5BF7DE}"/>
    <cellStyle name="Normal 3 2 3 9" xfId="4712" xr:uid="{00000000-0005-0000-0000-0000CD110000}"/>
    <cellStyle name="Normal 3 2 3 9 2" xfId="13154" xr:uid="{51210BFB-0920-47A9-8A03-13A8299CC010}"/>
    <cellStyle name="Normal 3 2 4" xfId="809" xr:uid="{00000000-0005-0000-0000-0000CE110000}"/>
    <cellStyle name="Normal 3 2 4 2" xfId="3047" xr:uid="{00000000-0005-0000-0000-0000CF110000}"/>
    <cellStyle name="Normal 3 2 4 2 2" xfId="7270" xr:uid="{00000000-0005-0000-0000-0000D0110000}"/>
    <cellStyle name="Normal 3 2 4 2 2 2" xfId="15712" xr:uid="{D7AC364B-2C01-485D-9FE9-49506DA0CC35}"/>
    <cellStyle name="Normal 3 2 4 2 3" xfId="11494" xr:uid="{4B7C8145-C3CB-45D4-A235-B8B7E28E4F81}"/>
    <cellStyle name="Normal 3 2 4 3" xfId="5125" xr:uid="{00000000-0005-0000-0000-0000D1110000}"/>
    <cellStyle name="Normal 3 2 4 3 2" xfId="13567" xr:uid="{CE9AB01C-9CFE-42C1-AF0B-AB18FBDB25D2}"/>
    <cellStyle name="Normal 3 2 4 4" xfId="9349" xr:uid="{325BC53B-4F9B-4706-86B1-52F222989313}"/>
    <cellStyle name="Normal 3 2 5" xfId="1230" xr:uid="{00000000-0005-0000-0000-0000D2110000}"/>
    <cellStyle name="Normal 3 2 5 2" xfId="3460" xr:uid="{00000000-0005-0000-0000-0000D3110000}"/>
    <cellStyle name="Normal 3 2 5 2 2" xfId="7683" xr:uid="{00000000-0005-0000-0000-0000D4110000}"/>
    <cellStyle name="Normal 3 2 5 2 2 2" xfId="16125" xr:uid="{704BE65C-9589-43BC-8FCE-BA2AEF4F6C1D}"/>
    <cellStyle name="Normal 3 2 5 2 3" xfId="11907" xr:uid="{674E6E05-257B-4FD7-8680-934896EF0129}"/>
    <cellStyle name="Normal 3 2 5 3" xfId="5538" xr:uid="{00000000-0005-0000-0000-0000D5110000}"/>
    <cellStyle name="Normal 3 2 5 3 2" xfId="13980" xr:uid="{3CBB6F32-DF33-49D7-A0F9-99BC2C1D4413}"/>
    <cellStyle name="Normal 3 2 5 4" xfId="9762" xr:uid="{B3A04CC5-893A-4217-9FC5-AFC2BD9E20E3}"/>
    <cellStyle name="Normal 3 2 6" xfId="1643" xr:uid="{00000000-0005-0000-0000-0000D6110000}"/>
    <cellStyle name="Normal 3 2 6 2" xfId="3873" xr:uid="{00000000-0005-0000-0000-0000D7110000}"/>
    <cellStyle name="Normal 3 2 6 2 2" xfId="8096" xr:uid="{00000000-0005-0000-0000-0000D8110000}"/>
    <cellStyle name="Normal 3 2 6 2 2 2" xfId="16538" xr:uid="{110297C0-7737-418D-8F3E-5B28239BC25F}"/>
    <cellStyle name="Normal 3 2 6 2 3" xfId="12320" xr:uid="{38811056-EBC3-4B3D-AFA8-D3B6596286F2}"/>
    <cellStyle name="Normal 3 2 6 3" xfId="5951" xr:uid="{00000000-0005-0000-0000-0000D9110000}"/>
    <cellStyle name="Normal 3 2 6 3 2" xfId="14393" xr:uid="{3B70A06D-E472-415C-917D-714AACC74529}"/>
    <cellStyle name="Normal 3 2 6 4" xfId="10175" xr:uid="{27912DFF-751E-4058-A759-C6F090D3E372}"/>
    <cellStyle name="Normal 3 2 7" xfId="2057" xr:uid="{00000000-0005-0000-0000-0000DA110000}"/>
    <cellStyle name="Normal 3 2 7 2" xfId="4286" xr:uid="{00000000-0005-0000-0000-0000DB110000}"/>
    <cellStyle name="Normal 3 2 7 2 2" xfId="8509" xr:uid="{00000000-0005-0000-0000-0000DC110000}"/>
    <cellStyle name="Normal 3 2 7 2 2 2" xfId="16951" xr:uid="{ED8C7AC0-C41F-47D4-83FA-89A69A64C83C}"/>
    <cellStyle name="Normal 3 2 7 2 3" xfId="12733" xr:uid="{56968B5A-D617-40AC-A08C-3B5C1570409C}"/>
    <cellStyle name="Normal 3 2 7 3" xfId="6364" xr:uid="{00000000-0005-0000-0000-0000DD110000}"/>
    <cellStyle name="Normal 3 2 7 3 2" xfId="14806" xr:uid="{09FB3365-FFF0-493D-8D91-EAB3B52DABC0}"/>
    <cellStyle name="Normal 3 2 7 4" xfId="10588" xr:uid="{2F107CD5-264D-477C-A2B0-80DFD8622E27}"/>
    <cellStyle name="Normal 3 2 8" xfId="2493" xr:uid="{00000000-0005-0000-0000-0000DE110000}"/>
    <cellStyle name="Normal 3 2 8 2" xfId="6777" xr:uid="{00000000-0005-0000-0000-0000DF110000}"/>
    <cellStyle name="Normal 3 2 8 2 2" xfId="15219" xr:uid="{34835D82-EF42-416C-B550-A31791102155}"/>
    <cellStyle name="Normal 3 2 8 3" xfId="11001" xr:uid="{6ECAE879-1FDA-477A-88AA-16BFE5936AA7}"/>
    <cellStyle name="Normal 3 2 9" xfId="4711" xr:uid="{00000000-0005-0000-0000-0000E0110000}"/>
    <cellStyle name="Normal 3 2 9 2" xfId="13153" xr:uid="{2041BE46-634D-420F-9508-A6FAFBC038F2}"/>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10" xfId="8940" xr:uid="{A840089E-9E67-4523-BF32-0FB941D499C3}"/>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2 2 2" xfId="16956" xr:uid="{E90A8162-6EAB-428B-9C26-9D9818A476EC}"/>
    <cellStyle name="Normal 4 2 2 10 2 3" xfId="12738" xr:uid="{94928D9B-8861-40EC-BF60-D136D0A47665}"/>
    <cellStyle name="Normal 4 2 2 10 3" xfId="6369" xr:uid="{00000000-0005-0000-0000-0000ED110000}"/>
    <cellStyle name="Normal 4 2 2 10 3 2" xfId="14811" xr:uid="{C1575F5A-E146-4718-85DE-41A9FA6E34E5}"/>
    <cellStyle name="Normal 4 2 2 10 4" xfId="10593" xr:uid="{8214F6D2-5D57-4A0D-89F8-6AFEC3FD9557}"/>
    <cellStyle name="Normal 4 2 2 11" xfId="2498" xr:uid="{00000000-0005-0000-0000-0000EE110000}"/>
    <cellStyle name="Normal 4 2 2 11 2" xfId="6782" xr:uid="{00000000-0005-0000-0000-0000EF110000}"/>
    <cellStyle name="Normal 4 2 2 11 2 2" xfId="15224" xr:uid="{CEFFBFCC-2A5D-425E-A5D5-3C0775C891EB}"/>
    <cellStyle name="Normal 4 2 2 11 3" xfId="11006" xr:uid="{C16BB817-880A-4521-A4BD-69EECAF8BCF7}"/>
    <cellStyle name="Normal 4 2 2 12" xfId="4717" xr:uid="{00000000-0005-0000-0000-0000F0110000}"/>
    <cellStyle name="Normal 4 2 2 12 2" xfId="13159" xr:uid="{6DBEBF09-4532-4A46-B8DE-B91909E0E930}"/>
    <cellStyle name="Normal 4 2 2 13" xfId="8941" xr:uid="{28CE237F-D865-4675-8758-E70D0DCAB725}"/>
    <cellStyle name="Normal 4 2 2 2" xfId="338" xr:uid="{00000000-0005-0000-0000-0000F1110000}"/>
    <cellStyle name="Normal 4 2 2 3" xfId="339" xr:uid="{00000000-0005-0000-0000-0000F2110000}"/>
    <cellStyle name="Normal 4 2 2 3 10" xfId="4718" xr:uid="{00000000-0005-0000-0000-0000F3110000}"/>
    <cellStyle name="Normal 4 2 2 3 10 2" xfId="13160" xr:uid="{CF0591A6-1D55-410B-AC70-92DA8BB6472F}"/>
    <cellStyle name="Normal 4 2 2 3 11" xfId="8942" xr:uid="{E9E1313E-30B2-43F9-8DA7-D03C22B86346}"/>
    <cellStyle name="Normal 4 2 2 3 2" xfId="340" xr:uid="{00000000-0005-0000-0000-0000F4110000}"/>
    <cellStyle name="Normal 4 2 2 3 2 10" xfId="8943" xr:uid="{1FF623B6-504C-40D8-9557-283144240905}"/>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2 2 2" xfId="15721" xr:uid="{901535EF-D3EF-422C-A073-D3261148FA34}"/>
    <cellStyle name="Normal 4 2 2 3 2 2 2 2 2 3" xfId="11503" xr:uid="{CDA9AF09-E96D-4286-A5DE-CCEC343914CA}"/>
    <cellStyle name="Normal 4 2 2 3 2 2 2 2 3" xfId="5134" xr:uid="{00000000-0005-0000-0000-0000FA110000}"/>
    <cellStyle name="Normal 4 2 2 3 2 2 2 2 3 2" xfId="13576" xr:uid="{902DE6FB-274C-49C9-99C4-457B23544634}"/>
    <cellStyle name="Normal 4 2 2 3 2 2 2 2 4" xfId="9358" xr:uid="{69E09016-2457-4488-9E90-9550FD832BE2}"/>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2 2 2" xfId="16134" xr:uid="{F41BD441-3088-407D-A8E8-3F4533AD3977}"/>
    <cellStyle name="Normal 4 2 2 3 2 2 2 3 2 3" xfId="11916" xr:uid="{0B9077E6-B717-4594-89DA-522319DE4551}"/>
    <cellStyle name="Normal 4 2 2 3 2 2 2 3 3" xfId="5547" xr:uid="{00000000-0005-0000-0000-0000FE110000}"/>
    <cellStyle name="Normal 4 2 2 3 2 2 2 3 3 2" xfId="13989" xr:uid="{668E67F3-C40F-4176-81D1-1ECCE2E8B247}"/>
    <cellStyle name="Normal 4 2 2 3 2 2 2 3 4" xfId="9771" xr:uid="{1CEE6758-8A3F-4378-BE21-4843B0F622FC}"/>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2 2 2" xfId="16547" xr:uid="{67933B63-DAA2-49C2-996E-A5D24CCA8CC0}"/>
    <cellStyle name="Normal 4 2 2 3 2 2 2 4 2 3" xfId="12329" xr:uid="{798EA09B-A8A2-4F62-8EE1-7FE04E5ABD1D}"/>
    <cellStyle name="Normal 4 2 2 3 2 2 2 4 3" xfId="5960" xr:uid="{00000000-0005-0000-0000-000002120000}"/>
    <cellStyle name="Normal 4 2 2 3 2 2 2 4 3 2" xfId="14402" xr:uid="{1743687E-8E6B-41E1-819C-191022F0E71B}"/>
    <cellStyle name="Normal 4 2 2 3 2 2 2 4 4" xfId="10184" xr:uid="{43FF144A-18DE-48CB-9B3C-1D4C08A22623}"/>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2 2 2" xfId="16960" xr:uid="{6D7A3B68-2A08-4056-930F-B5A88CDB35B1}"/>
    <cellStyle name="Normal 4 2 2 3 2 2 2 5 2 3" xfId="12742" xr:uid="{16CE2B9A-074B-4B9B-A91E-151D776CAFBE}"/>
    <cellStyle name="Normal 4 2 2 3 2 2 2 5 3" xfId="6373" xr:uid="{00000000-0005-0000-0000-000006120000}"/>
    <cellStyle name="Normal 4 2 2 3 2 2 2 5 3 2" xfId="14815" xr:uid="{C08B3F80-A3E1-4CE6-8E1E-4E5335998482}"/>
    <cellStyle name="Normal 4 2 2 3 2 2 2 5 4" xfId="10597" xr:uid="{5822599A-886D-4B01-9340-8428001FDC47}"/>
    <cellStyle name="Normal 4 2 2 3 2 2 2 6" xfId="2502" xr:uid="{00000000-0005-0000-0000-000007120000}"/>
    <cellStyle name="Normal 4 2 2 3 2 2 2 6 2" xfId="6786" xr:uid="{00000000-0005-0000-0000-000008120000}"/>
    <cellStyle name="Normal 4 2 2 3 2 2 2 6 2 2" xfId="15228" xr:uid="{376E2E12-C2AF-462C-8CD8-B8AEDBABCBDB}"/>
    <cellStyle name="Normal 4 2 2 3 2 2 2 6 3" xfId="11010" xr:uid="{945281AB-889F-41A8-A45D-985B52798E60}"/>
    <cellStyle name="Normal 4 2 2 3 2 2 2 7" xfId="4721" xr:uid="{00000000-0005-0000-0000-000009120000}"/>
    <cellStyle name="Normal 4 2 2 3 2 2 2 7 2" xfId="13163" xr:uid="{BB3CACEE-40CD-4849-BC67-A1C462B2DC2A}"/>
    <cellStyle name="Normal 4 2 2 3 2 2 2 8" xfId="8945" xr:uid="{95F90F13-D76D-4870-BFA5-D2D3A5934C74}"/>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2 2 2" xfId="15720" xr:uid="{EB60E0D5-BA3B-4FDB-B4A3-A5AE13F5C986}"/>
    <cellStyle name="Normal 4 2 2 3 2 2 3 2 3" xfId="11502" xr:uid="{30CE999A-BE40-4ECC-B32A-1AF58196E193}"/>
    <cellStyle name="Normal 4 2 2 3 2 2 3 3" xfId="5133" xr:uid="{00000000-0005-0000-0000-00000D120000}"/>
    <cellStyle name="Normal 4 2 2 3 2 2 3 3 2" xfId="13575" xr:uid="{B502570B-510A-476F-B098-14E739083323}"/>
    <cellStyle name="Normal 4 2 2 3 2 2 3 4" xfId="9357" xr:uid="{7927C57E-13C7-4545-98FF-5FAE1E6BB03D}"/>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2 2 2" xfId="16133" xr:uid="{E1F9FBB0-7441-44B2-BFC1-48A73DF6452D}"/>
    <cellStyle name="Normal 4 2 2 3 2 2 4 2 3" xfId="11915" xr:uid="{10C1C4FD-71B0-4217-B3F7-D7CF705113E6}"/>
    <cellStyle name="Normal 4 2 2 3 2 2 4 3" xfId="5546" xr:uid="{00000000-0005-0000-0000-000011120000}"/>
    <cellStyle name="Normal 4 2 2 3 2 2 4 3 2" xfId="13988" xr:uid="{1BFF43F0-AFD2-42BB-B28B-DCCD5EB22B1A}"/>
    <cellStyle name="Normal 4 2 2 3 2 2 4 4" xfId="9770" xr:uid="{E33F9822-B127-41AC-B2E8-A38BEAD0FB16}"/>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2 2 2" xfId="16546" xr:uid="{3E5D828A-BB31-400D-8150-26B38F7C20D0}"/>
    <cellStyle name="Normal 4 2 2 3 2 2 5 2 3" xfId="12328" xr:uid="{DB61443F-52E0-448B-9199-6864B1AC3EE6}"/>
    <cellStyle name="Normal 4 2 2 3 2 2 5 3" xfId="5959" xr:uid="{00000000-0005-0000-0000-000015120000}"/>
    <cellStyle name="Normal 4 2 2 3 2 2 5 3 2" xfId="14401" xr:uid="{F7354E83-A392-4C9B-B1F9-D64FC55E95AB}"/>
    <cellStyle name="Normal 4 2 2 3 2 2 5 4" xfId="10183" xr:uid="{8E1366FE-9B7E-4997-BF49-F12BA8DB2A8E}"/>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2 2 2" xfId="16959" xr:uid="{1E00ED48-A965-41C6-B0A6-B14F89AD6E86}"/>
    <cellStyle name="Normal 4 2 2 3 2 2 6 2 3" xfId="12741" xr:uid="{157BAFA8-B539-43F2-812C-6032D543359F}"/>
    <cellStyle name="Normal 4 2 2 3 2 2 6 3" xfId="6372" xr:uid="{00000000-0005-0000-0000-000019120000}"/>
    <cellStyle name="Normal 4 2 2 3 2 2 6 3 2" xfId="14814" xr:uid="{396A408A-00DA-4111-8714-00331EA43964}"/>
    <cellStyle name="Normal 4 2 2 3 2 2 6 4" xfId="10596" xr:uid="{C8033515-1B1E-450E-84F2-17AFBA08FE05}"/>
    <cellStyle name="Normal 4 2 2 3 2 2 7" xfId="2501" xr:uid="{00000000-0005-0000-0000-00001A120000}"/>
    <cellStyle name="Normal 4 2 2 3 2 2 7 2" xfId="6785" xr:uid="{00000000-0005-0000-0000-00001B120000}"/>
    <cellStyle name="Normal 4 2 2 3 2 2 7 2 2" xfId="15227" xr:uid="{CC420A88-C06D-4764-9D5F-CC67ACAB417E}"/>
    <cellStyle name="Normal 4 2 2 3 2 2 7 3" xfId="11009" xr:uid="{5562ACCA-4236-45D2-B9CF-D44C609CF3BA}"/>
    <cellStyle name="Normal 4 2 2 3 2 2 8" xfId="4720" xr:uid="{00000000-0005-0000-0000-00001C120000}"/>
    <cellStyle name="Normal 4 2 2 3 2 2 8 2" xfId="13162" xr:uid="{F56E606E-647B-4F4B-A3A8-32A0D43FA9ED}"/>
    <cellStyle name="Normal 4 2 2 3 2 2 9" xfId="8944" xr:uid="{922C6A29-32C6-4475-B7D6-B9C292037E74}"/>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2 2 2" xfId="15722" xr:uid="{98FE4140-6ECD-485A-92AB-96905BA9EFC4}"/>
    <cellStyle name="Normal 4 2 2 3 2 3 2 2 3" xfId="11504" xr:uid="{7044D6BA-7573-430A-93D5-1CED67B6BD14}"/>
    <cellStyle name="Normal 4 2 2 3 2 3 2 3" xfId="5135" xr:uid="{00000000-0005-0000-0000-000021120000}"/>
    <cellStyle name="Normal 4 2 2 3 2 3 2 3 2" xfId="13577" xr:uid="{4A20FC89-457F-4518-B3C0-C8D904D3EBDF}"/>
    <cellStyle name="Normal 4 2 2 3 2 3 2 4" xfId="9359" xr:uid="{2FF53633-8A96-4ADF-8B23-EB124793F1FC}"/>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2 2 2" xfId="16135" xr:uid="{A91F2892-53F3-4870-809A-5A075AD96790}"/>
    <cellStyle name="Normal 4 2 2 3 2 3 3 2 3" xfId="11917" xr:uid="{705C95F8-4D25-4A22-A340-A3CD9A302825}"/>
    <cellStyle name="Normal 4 2 2 3 2 3 3 3" xfId="5548" xr:uid="{00000000-0005-0000-0000-000025120000}"/>
    <cellStyle name="Normal 4 2 2 3 2 3 3 3 2" xfId="13990" xr:uid="{23677FDC-A315-49C4-ACFD-23BB3206864A}"/>
    <cellStyle name="Normal 4 2 2 3 2 3 3 4" xfId="9772" xr:uid="{5D403092-B148-4114-828E-ACCB75C23F12}"/>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2 2 2" xfId="16548" xr:uid="{73367D88-242B-4AAF-BBB3-88C4CDF1833B}"/>
    <cellStyle name="Normal 4 2 2 3 2 3 4 2 3" xfId="12330" xr:uid="{8D2F4A65-6384-4304-86F8-4F9B55D8D62D}"/>
    <cellStyle name="Normal 4 2 2 3 2 3 4 3" xfId="5961" xr:uid="{00000000-0005-0000-0000-000029120000}"/>
    <cellStyle name="Normal 4 2 2 3 2 3 4 3 2" xfId="14403" xr:uid="{C2AB09CE-5133-456F-9C3E-D5DA9E61BB89}"/>
    <cellStyle name="Normal 4 2 2 3 2 3 4 4" xfId="10185" xr:uid="{58A04334-E832-4E2B-A448-75052CE9E2CA}"/>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2 2 2" xfId="16961" xr:uid="{FCA549E4-B4B9-4E21-B2F8-6885A7293D9A}"/>
    <cellStyle name="Normal 4 2 2 3 2 3 5 2 3" xfId="12743" xr:uid="{42742B6F-A838-4426-B65B-0AADFB5982A9}"/>
    <cellStyle name="Normal 4 2 2 3 2 3 5 3" xfId="6374" xr:uid="{00000000-0005-0000-0000-00002D120000}"/>
    <cellStyle name="Normal 4 2 2 3 2 3 5 3 2" xfId="14816" xr:uid="{C3F40AFB-7460-48B0-A71A-3E3065FBCFE0}"/>
    <cellStyle name="Normal 4 2 2 3 2 3 5 4" xfId="10598" xr:uid="{DA4CE855-721C-48CC-BACC-2F911457CE64}"/>
    <cellStyle name="Normal 4 2 2 3 2 3 6" xfId="2503" xr:uid="{00000000-0005-0000-0000-00002E120000}"/>
    <cellStyle name="Normal 4 2 2 3 2 3 6 2" xfId="6787" xr:uid="{00000000-0005-0000-0000-00002F120000}"/>
    <cellStyle name="Normal 4 2 2 3 2 3 6 2 2" xfId="15229" xr:uid="{F4690996-CEEB-4E55-8DC1-FDE32AE31EE6}"/>
    <cellStyle name="Normal 4 2 2 3 2 3 6 3" xfId="11011" xr:uid="{13D1B355-77D1-4589-AAA7-70BC8B754130}"/>
    <cellStyle name="Normal 4 2 2 3 2 3 7" xfId="4722" xr:uid="{00000000-0005-0000-0000-000030120000}"/>
    <cellStyle name="Normal 4 2 2 3 2 3 7 2" xfId="13164" xr:uid="{4297FC16-FF43-4D83-91F3-9B36A9959CF0}"/>
    <cellStyle name="Normal 4 2 2 3 2 3 8" xfId="8946" xr:uid="{9A9FA880-35CA-4824-A1C4-DB13F537CEDE}"/>
    <cellStyle name="Normal 4 2 2 3 2 4" xfId="817" xr:uid="{00000000-0005-0000-0000-000031120000}"/>
    <cellStyle name="Normal 4 2 2 3 2 4 2" xfId="3054" xr:uid="{00000000-0005-0000-0000-000032120000}"/>
    <cellStyle name="Normal 4 2 2 3 2 4 2 2" xfId="7277" xr:uid="{00000000-0005-0000-0000-000033120000}"/>
    <cellStyle name="Normal 4 2 2 3 2 4 2 2 2" xfId="15719" xr:uid="{6CDD0DA3-2216-466E-8B4D-959E64E2F986}"/>
    <cellStyle name="Normal 4 2 2 3 2 4 2 3" xfId="11501" xr:uid="{996782A6-8067-4777-964E-AFC0904D2038}"/>
    <cellStyle name="Normal 4 2 2 3 2 4 3" xfId="5132" xr:uid="{00000000-0005-0000-0000-000034120000}"/>
    <cellStyle name="Normal 4 2 2 3 2 4 3 2" xfId="13574" xr:uid="{1C44DB05-368B-4EC5-836D-2BE9DEA4FCE1}"/>
    <cellStyle name="Normal 4 2 2 3 2 4 4" xfId="9356" xr:uid="{0E662746-C55D-4CA4-80C0-DAAA4FD12569}"/>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2 2 2" xfId="16132" xr:uid="{E4C822DF-A1D1-442C-813C-059FE4303E40}"/>
    <cellStyle name="Normal 4 2 2 3 2 5 2 3" xfId="11914" xr:uid="{5282F21C-0B83-4789-B572-C987A7FFE38E}"/>
    <cellStyle name="Normal 4 2 2 3 2 5 3" xfId="5545" xr:uid="{00000000-0005-0000-0000-000038120000}"/>
    <cellStyle name="Normal 4 2 2 3 2 5 3 2" xfId="13987" xr:uid="{32AD4D5B-98A7-44B2-9F23-5E1F0F5EA1B4}"/>
    <cellStyle name="Normal 4 2 2 3 2 5 4" xfId="9769" xr:uid="{B696017F-5C86-41A2-B0CD-A19928B7BE9E}"/>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2 2 2" xfId="16545" xr:uid="{52FFCA61-D737-4E9D-BBAF-20D22AE1F923}"/>
    <cellStyle name="Normal 4 2 2 3 2 6 2 3" xfId="12327" xr:uid="{99A635C0-CCD2-4C5F-BF30-DD46E9490E46}"/>
    <cellStyle name="Normal 4 2 2 3 2 6 3" xfId="5958" xr:uid="{00000000-0005-0000-0000-00003C120000}"/>
    <cellStyle name="Normal 4 2 2 3 2 6 3 2" xfId="14400" xr:uid="{BC5CB8A7-A129-403E-B6D3-AAA97244A0A5}"/>
    <cellStyle name="Normal 4 2 2 3 2 6 4" xfId="10182" xr:uid="{32E8810F-E780-443C-8C99-16D6CE3A0AA9}"/>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2 2 2" xfId="16958" xr:uid="{92BE1C33-E200-41A9-8DC1-138344E3A2AC}"/>
    <cellStyle name="Normal 4 2 2 3 2 7 2 3" xfId="12740" xr:uid="{B1631E73-998D-4529-B2BD-5A10F080D479}"/>
    <cellStyle name="Normal 4 2 2 3 2 7 3" xfId="6371" xr:uid="{00000000-0005-0000-0000-000040120000}"/>
    <cellStyle name="Normal 4 2 2 3 2 7 3 2" xfId="14813" xr:uid="{4676C4CD-37F5-442F-8EE3-B3FF394740E6}"/>
    <cellStyle name="Normal 4 2 2 3 2 7 4" xfId="10595" xr:uid="{29B2D88F-C4F4-49A2-A417-F48D94A8089E}"/>
    <cellStyle name="Normal 4 2 2 3 2 8" xfId="2500" xr:uid="{00000000-0005-0000-0000-000041120000}"/>
    <cellStyle name="Normal 4 2 2 3 2 8 2" xfId="6784" xr:uid="{00000000-0005-0000-0000-000042120000}"/>
    <cellStyle name="Normal 4 2 2 3 2 8 2 2" xfId="15226" xr:uid="{0337D211-6376-4244-A945-35466013588E}"/>
    <cellStyle name="Normal 4 2 2 3 2 8 3" xfId="11008" xr:uid="{FE141BEC-8DB9-41D0-AB37-50DE370D9B18}"/>
    <cellStyle name="Normal 4 2 2 3 2 9" xfId="4719" xr:uid="{00000000-0005-0000-0000-000043120000}"/>
    <cellStyle name="Normal 4 2 2 3 2 9 2" xfId="13161" xr:uid="{8795E595-DCB0-4CF6-A2F9-1829EBC94879}"/>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2 2 2" xfId="15724" xr:uid="{4B49922E-AD60-4376-A5A5-70F2C02DF56A}"/>
    <cellStyle name="Normal 4 2 2 3 3 2 2 2 3" xfId="11506" xr:uid="{50EAE6E9-A373-4335-A2B4-C965C86C4B09}"/>
    <cellStyle name="Normal 4 2 2 3 3 2 2 3" xfId="5137" xr:uid="{00000000-0005-0000-0000-000049120000}"/>
    <cellStyle name="Normal 4 2 2 3 3 2 2 3 2" xfId="13579" xr:uid="{55E017E2-2784-438E-97F9-790BE57DDE7C}"/>
    <cellStyle name="Normal 4 2 2 3 3 2 2 4" xfId="9361" xr:uid="{EE6984E4-DB96-4FBB-8E09-E2A45E862B08}"/>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2 2 2" xfId="16137" xr:uid="{1C303611-2A5C-4CD6-9A04-41805A238BEC}"/>
    <cellStyle name="Normal 4 2 2 3 3 2 3 2 3" xfId="11919" xr:uid="{5F93D234-C1A1-4785-B9D2-C0A3249AA626}"/>
    <cellStyle name="Normal 4 2 2 3 3 2 3 3" xfId="5550" xr:uid="{00000000-0005-0000-0000-00004D120000}"/>
    <cellStyle name="Normal 4 2 2 3 3 2 3 3 2" xfId="13992" xr:uid="{EBA6BD41-5F58-4DDD-9A91-BD6B9DDEE2BB}"/>
    <cellStyle name="Normal 4 2 2 3 3 2 3 4" xfId="9774" xr:uid="{04AB625C-3CE7-4CB0-A2B2-9C2DDCCCF855}"/>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2 2 2" xfId="16550" xr:uid="{9589FA94-62A0-4710-A6EF-6C14650CC05E}"/>
    <cellStyle name="Normal 4 2 2 3 3 2 4 2 3" xfId="12332" xr:uid="{223EADFB-235F-40C1-A965-94280C231CC8}"/>
    <cellStyle name="Normal 4 2 2 3 3 2 4 3" xfId="5963" xr:uid="{00000000-0005-0000-0000-000051120000}"/>
    <cellStyle name="Normal 4 2 2 3 3 2 4 3 2" xfId="14405" xr:uid="{466A9BED-FCD4-4AF1-A329-45291E5F7C79}"/>
    <cellStyle name="Normal 4 2 2 3 3 2 4 4" xfId="10187" xr:uid="{98FBF378-32AB-4F39-9007-65FBF6745655}"/>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2 2 2" xfId="16963" xr:uid="{28284E5F-E956-424C-B1A2-6D1919E02C3E}"/>
    <cellStyle name="Normal 4 2 2 3 3 2 5 2 3" xfId="12745" xr:uid="{03F6FD9F-F5BE-4EC2-B2D4-1C1DCBEE555A}"/>
    <cellStyle name="Normal 4 2 2 3 3 2 5 3" xfId="6376" xr:uid="{00000000-0005-0000-0000-000055120000}"/>
    <cellStyle name="Normal 4 2 2 3 3 2 5 3 2" xfId="14818" xr:uid="{A7C94A96-485B-4379-80C8-FEE3F7A1F3FA}"/>
    <cellStyle name="Normal 4 2 2 3 3 2 5 4" xfId="10600" xr:uid="{F06E749C-2BA3-40DE-8BFE-8C7CD3A78E0B}"/>
    <cellStyle name="Normal 4 2 2 3 3 2 6" xfId="2505" xr:uid="{00000000-0005-0000-0000-000056120000}"/>
    <cellStyle name="Normal 4 2 2 3 3 2 6 2" xfId="6789" xr:uid="{00000000-0005-0000-0000-000057120000}"/>
    <cellStyle name="Normal 4 2 2 3 3 2 6 2 2" xfId="15231" xr:uid="{F75F4E70-2CE6-49FF-825D-98EC0D2025EE}"/>
    <cellStyle name="Normal 4 2 2 3 3 2 6 3" xfId="11013" xr:uid="{3261D66C-8B72-47B7-B182-DDACCE00DB2C}"/>
    <cellStyle name="Normal 4 2 2 3 3 2 7" xfId="4724" xr:uid="{00000000-0005-0000-0000-000058120000}"/>
    <cellStyle name="Normal 4 2 2 3 3 2 7 2" xfId="13166" xr:uid="{CE4BA876-D15F-44DE-8882-EFF946FC9573}"/>
    <cellStyle name="Normal 4 2 2 3 3 2 8" xfId="8948" xr:uid="{E6255E88-7960-4AA0-8AE6-F4E2BA8ED74A}"/>
    <cellStyle name="Normal 4 2 2 3 3 3" xfId="821" xr:uid="{00000000-0005-0000-0000-000059120000}"/>
    <cellStyle name="Normal 4 2 2 3 3 3 2" xfId="3058" xr:uid="{00000000-0005-0000-0000-00005A120000}"/>
    <cellStyle name="Normal 4 2 2 3 3 3 2 2" xfId="7281" xr:uid="{00000000-0005-0000-0000-00005B120000}"/>
    <cellStyle name="Normal 4 2 2 3 3 3 2 2 2" xfId="15723" xr:uid="{41DBED06-9E48-42F0-963E-EB3E300C15CD}"/>
    <cellStyle name="Normal 4 2 2 3 3 3 2 3" xfId="11505" xr:uid="{4E976E2B-C327-4486-B9A1-931E76C43D22}"/>
    <cellStyle name="Normal 4 2 2 3 3 3 3" xfId="5136" xr:uid="{00000000-0005-0000-0000-00005C120000}"/>
    <cellStyle name="Normal 4 2 2 3 3 3 3 2" xfId="13578" xr:uid="{B4C6740E-7D1B-4F26-8EF1-607322CE9AE8}"/>
    <cellStyle name="Normal 4 2 2 3 3 3 4" xfId="9360" xr:uid="{6D4920C9-833D-4662-8E1F-44FAB0C9C4D7}"/>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2 2 2" xfId="16136" xr:uid="{297AAD9C-F14A-4667-8263-D4071AF62832}"/>
    <cellStyle name="Normal 4 2 2 3 3 4 2 3" xfId="11918" xr:uid="{0CCF6103-251F-4407-8ED4-15BDF1720F85}"/>
    <cellStyle name="Normal 4 2 2 3 3 4 3" xfId="5549" xr:uid="{00000000-0005-0000-0000-000060120000}"/>
    <cellStyle name="Normal 4 2 2 3 3 4 3 2" xfId="13991" xr:uid="{5976694C-14A1-4571-A233-92DD0D07FF2A}"/>
    <cellStyle name="Normal 4 2 2 3 3 4 4" xfId="9773" xr:uid="{AD0C136C-E465-40E2-B530-7A4F071C0827}"/>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2 2 2" xfId="16549" xr:uid="{6B866B06-9889-4FEB-9A58-ACAB65AC5A32}"/>
    <cellStyle name="Normal 4 2 2 3 3 5 2 3" xfId="12331" xr:uid="{DC6490E3-DB3C-4F66-AEF6-048F4C0746AB}"/>
    <cellStyle name="Normal 4 2 2 3 3 5 3" xfId="5962" xr:uid="{00000000-0005-0000-0000-000064120000}"/>
    <cellStyle name="Normal 4 2 2 3 3 5 3 2" xfId="14404" xr:uid="{5EB5C6D2-46C8-46BC-8421-B451D4CE12D9}"/>
    <cellStyle name="Normal 4 2 2 3 3 5 4" xfId="10186" xr:uid="{D73970A8-A4E4-418B-9F4B-010D5B80CE13}"/>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2 2 2" xfId="16962" xr:uid="{11C61A57-4141-46B6-9F7B-31774D429B8E}"/>
    <cellStyle name="Normal 4 2 2 3 3 6 2 3" xfId="12744" xr:uid="{641D8BA2-35D4-4FB3-BF4F-D0F44934BA43}"/>
    <cellStyle name="Normal 4 2 2 3 3 6 3" xfId="6375" xr:uid="{00000000-0005-0000-0000-000068120000}"/>
    <cellStyle name="Normal 4 2 2 3 3 6 3 2" xfId="14817" xr:uid="{3E0CC249-46CB-4A15-80A9-90DE091000AE}"/>
    <cellStyle name="Normal 4 2 2 3 3 6 4" xfId="10599" xr:uid="{7887F0C9-BDE7-471C-860D-7AA0826D7301}"/>
    <cellStyle name="Normal 4 2 2 3 3 7" xfId="2504" xr:uid="{00000000-0005-0000-0000-000069120000}"/>
    <cellStyle name="Normal 4 2 2 3 3 7 2" xfId="6788" xr:uid="{00000000-0005-0000-0000-00006A120000}"/>
    <cellStyle name="Normal 4 2 2 3 3 7 2 2" xfId="15230" xr:uid="{B993061C-9D6C-4B4C-B6D7-E5C7E68EB939}"/>
    <cellStyle name="Normal 4 2 2 3 3 7 3" xfId="11012" xr:uid="{674FF384-65B2-4C91-B773-C3E24B7DECDB}"/>
    <cellStyle name="Normal 4 2 2 3 3 8" xfId="4723" xr:uid="{00000000-0005-0000-0000-00006B120000}"/>
    <cellStyle name="Normal 4 2 2 3 3 8 2" xfId="13165" xr:uid="{73E2CDEE-DC8A-487D-8E8D-9B026F7FB964}"/>
    <cellStyle name="Normal 4 2 2 3 3 9" xfId="8947" xr:uid="{358C27B1-5C39-4673-ACF0-C64BCEE31A7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2 2 2" xfId="15725" xr:uid="{9735B623-8733-49BB-83BB-04FED68B8D1D}"/>
    <cellStyle name="Normal 4 2 2 3 4 2 2 3" xfId="11507" xr:uid="{B2C733C3-8DB7-4813-894B-F868619E9A8D}"/>
    <cellStyle name="Normal 4 2 2 3 4 2 3" xfId="5138" xr:uid="{00000000-0005-0000-0000-000070120000}"/>
    <cellStyle name="Normal 4 2 2 3 4 2 3 2" xfId="13580" xr:uid="{FD23C3FB-916A-43EE-9D89-542170F5D651}"/>
    <cellStyle name="Normal 4 2 2 3 4 2 4" xfId="9362" xr:uid="{AEBAFCB0-46A6-4B5F-A725-F6911676930C}"/>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2 2 2" xfId="16138" xr:uid="{315A8B2C-7B85-4E8F-BEC3-2F648A7BA02D}"/>
    <cellStyle name="Normal 4 2 2 3 4 3 2 3" xfId="11920" xr:uid="{52C989B2-AC26-477D-BB7D-F0061C3B56AB}"/>
    <cellStyle name="Normal 4 2 2 3 4 3 3" xfId="5551" xr:uid="{00000000-0005-0000-0000-000074120000}"/>
    <cellStyle name="Normal 4 2 2 3 4 3 3 2" xfId="13993" xr:uid="{77999D95-3230-425F-995F-E4D0D50E5A6F}"/>
    <cellStyle name="Normal 4 2 2 3 4 3 4" xfId="9775" xr:uid="{AE1B5B08-200D-463B-81BB-32347486AE76}"/>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2 2 2" xfId="16551" xr:uid="{6E96DE13-880D-4F29-B3BC-BCB98061123A}"/>
    <cellStyle name="Normal 4 2 2 3 4 4 2 3" xfId="12333" xr:uid="{CC47EEFA-73A7-4826-87DF-01A9D4642DC7}"/>
    <cellStyle name="Normal 4 2 2 3 4 4 3" xfId="5964" xr:uid="{00000000-0005-0000-0000-000078120000}"/>
    <cellStyle name="Normal 4 2 2 3 4 4 3 2" xfId="14406" xr:uid="{D4AB1B8B-1B47-41D7-A45A-FC1145029B45}"/>
    <cellStyle name="Normal 4 2 2 3 4 4 4" xfId="10188" xr:uid="{CA5976CC-C551-4874-96B9-E54E97C8AAD3}"/>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2 2 2" xfId="16964" xr:uid="{BD97A587-2822-4C30-961A-825C462189F0}"/>
    <cellStyle name="Normal 4 2 2 3 4 5 2 3" xfId="12746" xr:uid="{ED9A4710-4461-4834-9106-FDE45FE72AC9}"/>
    <cellStyle name="Normal 4 2 2 3 4 5 3" xfId="6377" xr:uid="{00000000-0005-0000-0000-00007C120000}"/>
    <cellStyle name="Normal 4 2 2 3 4 5 3 2" xfId="14819" xr:uid="{74D67A44-F0BB-4C71-88BE-B3FB5D60BE53}"/>
    <cellStyle name="Normal 4 2 2 3 4 5 4" xfId="10601" xr:uid="{8BB2B6D2-AFEB-4FE2-8C35-04C2181A5833}"/>
    <cellStyle name="Normal 4 2 2 3 4 6" xfId="2506" xr:uid="{00000000-0005-0000-0000-00007D120000}"/>
    <cellStyle name="Normal 4 2 2 3 4 6 2" xfId="6790" xr:uid="{00000000-0005-0000-0000-00007E120000}"/>
    <cellStyle name="Normal 4 2 2 3 4 6 2 2" xfId="15232" xr:uid="{6ACB45F1-EC1A-43CE-8411-7DD47DAB1BDF}"/>
    <cellStyle name="Normal 4 2 2 3 4 6 3" xfId="11014" xr:uid="{9C7DB281-6F2D-47B1-A164-79E9102D6B69}"/>
    <cellStyle name="Normal 4 2 2 3 4 7" xfId="4725" xr:uid="{00000000-0005-0000-0000-00007F120000}"/>
    <cellStyle name="Normal 4 2 2 3 4 7 2" xfId="13167" xr:uid="{C034B569-2C0F-4D54-9FFF-B4E6E8EC406D}"/>
    <cellStyle name="Normal 4 2 2 3 4 8" xfId="8949" xr:uid="{D7CCB167-3F8A-40EF-83E1-5B49B1632099}"/>
    <cellStyle name="Normal 4 2 2 3 5" xfId="816" xr:uid="{00000000-0005-0000-0000-000080120000}"/>
    <cellStyle name="Normal 4 2 2 3 5 2" xfId="3053" xr:uid="{00000000-0005-0000-0000-000081120000}"/>
    <cellStyle name="Normal 4 2 2 3 5 2 2" xfId="7276" xr:uid="{00000000-0005-0000-0000-000082120000}"/>
    <cellStyle name="Normal 4 2 2 3 5 2 2 2" xfId="15718" xr:uid="{171F8A05-2DB3-42C4-918F-74B24B7DDD80}"/>
    <cellStyle name="Normal 4 2 2 3 5 2 3" xfId="11500" xr:uid="{6F16B84C-98DB-4688-95C7-0CD2CCAB1D49}"/>
    <cellStyle name="Normal 4 2 2 3 5 3" xfId="5131" xr:uid="{00000000-0005-0000-0000-000083120000}"/>
    <cellStyle name="Normal 4 2 2 3 5 3 2" xfId="13573" xr:uid="{5CD1EC50-8AB0-4C02-B6E3-05075FE9BC09}"/>
    <cellStyle name="Normal 4 2 2 3 5 4" xfId="9355" xr:uid="{2F929A55-D4EF-475C-8CE7-BDDEE159D369}"/>
    <cellStyle name="Normal 4 2 2 3 6" xfId="1236" xr:uid="{00000000-0005-0000-0000-000084120000}"/>
    <cellStyle name="Normal 4 2 2 3 6 2" xfId="3466" xr:uid="{00000000-0005-0000-0000-000085120000}"/>
    <cellStyle name="Normal 4 2 2 3 6 2 2" xfId="7689" xr:uid="{00000000-0005-0000-0000-000086120000}"/>
    <cellStyle name="Normal 4 2 2 3 6 2 2 2" xfId="16131" xr:uid="{C3E96916-700D-4D0D-8FA7-382C3086A5E7}"/>
    <cellStyle name="Normal 4 2 2 3 6 2 3" xfId="11913" xr:uid="{6E323B80-810A-4E15-8B75-9F51E1D9CD22}"/>
    <cellStyle name="Normal 4 2 2 3 6 3" xfId="5544" xr:uid="{00000000-0005-0000-0000-000087120000}"/>
    <cellStyle name="Normal 4 2 2 3 6 3 2" xfId="13986" xr:uid="{5D508FDE-AFD5-4BB9-A741-A15D965A1366}"/>
    <cellStyle name="Normal 4 2 2 3 6 4" xfId="9768" xr:uid="{9E511DA6-CF9F-4181-9E7C-BB1B497C9C37}"/>
    <cellStyle name="Normal 4 2 2 3 7" xfId="1649" xr:uid="{00000000-0005-0000-0000-000088120000}"/>
    <cellStyle name="Normal 4 2 2 3 7 2" xfId="3879" xr:uid="{00000000-0005-0000-0000-000089120000}"/>
    <cellStyle name="Normal 4 2 2 3 7 2 2" xfId="8102" xr:uid="{00000000-0005-0000-0000-00008A120000}"/>
    <cellStyle name="Normal 4 2 2 3 7 2 2 2" xfId="16544" xr:uid="{3E4CDA3B-90A6-41DD-AE32-DCD259216BBA}"/>
    <cellStyle name="Normal 4 2 2 3 7 2 3" xfId="12326" xr:uid="{A25D698C-3466-47B8-83B2-A6D2BD254AD7}"/>
    <cellStyle name="Normal 4 2 2 3 7 3" xfId="5957" xr:uid="{00000000-0005-0000-0000-00008B120000}"/>
    <cellStyle name="Normal 4 2 2 3 7 3 2" xfId="14399" xr:uid="{694F8E74-8C4D-4FE3-8DD4-D4CA855B56E4}"/>
    <cellStyle name="Normal 4 2 2 3 7 4" xfId="10181" xr:uid="{0EAE2EF1-7D3F-46CE-9F75-74D23F9178AB}"/>
    <cellStyle name="Normal 4 2 2 3 8" xfId="2063" xr:uid="{00000000-0005-0000-0000-00008C120000}"/>
    <cellStyle name="Normal 4 2 2 3 8 2" xfId="4292" xr:uid="{00000000-0005-0000-0000-00008D120000}"/>
    <cellStyle name="Normal 4 2 2 3 8 2 2" xfId="8515" xr:uid="{00000000-0005-0000-0000-00008E120000}"/>
    <cellStyle name="Normal 4 2 2 3 8 2 2 2" xfId="16957" xr:uid="{EA1F4625-527D-4E9C-BCF8-4BB200BEC630}"/>
    <cellStyle name="Normal 4 2 2 3 8 2 3" xfId="12739" xr:uid="{C93FCE4B-F156-4F90-922D-928987F79F0F}"/>
    <cellStyle name="Normal 4 2 2 3 8 3" xfId="6370" xr:uid="{00000000-0005-0000-0000-00008F120000}"/>
    <cellStyle name="Normal 4 2 2 3 8 3 2" xfId="14812" xr:uid="{F2FCF081-01F6-466F-94E8-568437F11571}"/>
    <cellStyle name="Normal 4 2 2 3 8 4" xfId="10594" xr:uid="{225E5E20-ED51-485E-9CA7-3110E429C634}"/>
    <cellStyle name="Normal 4 2 2 3 9" xfId="2499" xr:uid="{00000000-0005-0000-0000-000090120000}"/>
    <cellStyle name="Normal 4 2 2 3 9 2" xfId="6783" xr:uid="{00000000-0005-0000-0000-000091120000}"/>
    <cellStyle name="Normal 4 2 2 3 9 2 2" xfId="15225" xr:uid="{ACCA158E-F43F-4302-8C02-F14CF384B6A1}"/>
    <cellStyle name="Normal 4 2 2 3 9 3" xfId="11007" xr:uid="{2DBD69F9-DAF9-456C-836A-50BBAEC86FE5}"/>
    <cellStyle name="Normal 4 2 2 4" xfId="347" xr:uid="{00000000-0005-0000-0000-000092120000}"/>
    <cellStyle name="Normal 4 2 2 4 10" xfId="8950" xr:uid="{12946015-7D6F-4780-A115-AD28F0F65926}"/>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2 2 2" xfId="15728" xr:uid="{D09FB4A4-C9C3-4E5F-A504-6E26ACE503F1}"/>
    <cellStyle name="Normal 4 2 2 4 2 2 2 2 3" xfId="11510" xr:uid="{9D3A1915-2F8E-4773-B2DB-1C6B234DEF5A}"/>
    <cellStyle name="Normal 4 2 2 4 2 2 2 3" xfId="5141" xr:uid="{00000000-0005-0000-0000-000098120000}"/>
    <cellStyle name="Normal 4 2 2 4 2 2 2 3 2" xfId="13583" xr:uid="{F4F47919-F74E-4AE8-9DA5-50C1B20026FD}"/>
    <cellStyle name="Normal 4 2 2 4 2 2 2 4" xfId="9365" xr:uid="{F9FE264C-262C-4F88-8741-0E20C39EF1D2}"/>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2 2 2" xfId="16141" xr:uid="{5B0A571A-C2C6-4680-916B-CBEBD7563017}"/>
    <cellStyle name="Normal 4 2 2 4 2 2 3 2 3" xfId="11923" xr:uid="{0B302DF2-FD4E-4F12-AC4E-C3ECC39EF96F}"/>
    <cellStyle name="Normal 4 2 2 4 2 2 3 3" xfId="5554" xr:uid="{00000000-0005-0000-0000-00009C120000}"/>
    <cellStyle name="Normal 4 2 2 4 2 2 3 3 2" xfId="13996" xr:uid="{96443C8E-0785-4260-8D95-3D1DB8E48CB6}"/>
    <cellStyle name="Normal 4 2 2 4 2 2 3 4" xfId="9778" xr:uid="{A2F8D2F0-5AEA-481B-9BEB-0C6BD28E90B8}"/>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2 2 2" xfId="16554" xr:uid="{0F756E2B-8D5A-456C-8A61-009450307296}"/>
    <cellStyle name="Normal 4 2 2 4 2 2 4 2 3" xfId="12336" xr:uid="{2E4D1277-5086-4E53-AE34-84BDB7305535}"/>
    <cellStyle name="Normal 4 2 2 4 2 2 4 3" xfId="5967" xr:uid="{00000000-0005-0000-0000-0000A0120000}"/>
    <cellStyle name="Normal 4 2 2 4 2 2 4 3 2" xfId="14409" xr:uid="{7DD3E109-585C-4DD8-A624-A62356EC6D30}"/>
    <cellStyle name="Normal 4 2 2 4 2 2 4 4" xfId="10191" xr:uid="{691ED79F-D0B8-42F6-AA69-01F4ABEC758B}"/>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2 2 2" xfId="16967" xr:uid="{32DC02E2-BFD5-40A9-950A-8C772812FFBE}"/>
    <cellStyle name="Normal 4 2 2 4 2 2 5 2 3" xfId="12749" xr:uid="{D701D0B7-B145-4723-8457-1CC6B52A2206}"/>
    <cellStyle name="Normal 4 2 2 4 2 2 5 3" xfId="6380" xr:uid="{00000000-0005-0000-0000-0000A4120000}"/>
    <cellStyle name="Normal 4 2 2 4 2 2 5 3 2" xfId="14822" xr:uid="{32798B4B-1A5F-4408-976E-DD4835E0ED70}"/>
    <cellStyle name="Normal 4 2 2 4 2 2 5 4" xfId="10604" xr:uid="{24E89CDF-440E-4A22-9A77-526A3EEA7889}"/>
    <cellStyle name="Normal 4 2 2 4 2 2 6" xfId="2509" xr:uid="{00000000-0005-0000-0000-0000A5120000}"/>
    <cellStyle name="Normal 4 2 2 4 2 2 6 2" xfId="6793" xr:uid="{00000000-0005-0000-0000-0000A6120000}"/>
    <cellStyle name="Normal 4 2 2 4 2 2 6 2 2" xfId="15235" xr:uid="{B1963889-17DF-4D2B-8DD5-4C6017A5284B}"/>
    <cellStyle name="Normal 4 2 2 4 2 2 6 3" xfId="11017" xr:uid="{E188F59F-6733-4723-A331-5C6913DB5EE4}"/>
    <cellStyle name="Normal 4 2 2 4 2 2 7" xfId="4728" xr:uid="{00000000-0005-0000-0000-0000A7120000}"/>
    <cellStyle name="Normal 4 2 2 4 2 2 7 2" xfId="13170" xr:uid="{0216A34E-2931-4CAA-95F4-E2FD631DA1BD}"/>
    <cellStyle name="Normal 4 2 2 4 2 2 8" xfId="8952" xr:uid="{6F571994-134F-444D-B525-B2FC4A6A8FC5}"/>
    <cellStyle name="Normal 4 2 2 4 2 3" xfId="825" xr:uid="{00000000-0005-0000-0000-0000A8120000}"/>
    <cellStyle name="Normal 4 2 2 4 2 3 2" xfId="3062" xr:uid="{00000000-0005-0000-0000-0000A9120000}"/>
    <cellStyle name="Normal 4 2 2 4 2 3 2 2" xfId="7285" xr:uid="{00000000-0005-0000-0000-0000AA120000}"/>
    <cellStyle name="Normal 4 2 2 4 2 3 2 2 2" xfId="15727" xr:uid="{AFF06151-55D7-4909-86CE-13CF5BABCF43}"/>
    <cellStyle name="Normal 4 2 2 4 2 3 2 3" xfId="11509" xr:uid="{4B96B698-8C69-4937-B6B5-8F4797B2BECE}"/>
    <cellStyle name="Normal 4 2 2 4 2 3 3" xfId="5140" xr:uid="{00000000-0005-0000-0000-0000AB120000}"/>
    <cellStyle name="Normal 4 2 2 4 2 3 3 2" xfId="13582" xr:uid="{3699CE6F-DF19-4231-B943-FEF4E8C594A9}"/>
    <cellStyle name="Normal 4 2 2 4 2 3 4" xfId="9364" xr:uid="{5F0FC6D5-B466-4167-B6DC-5A959D044CF1}"/>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2 2 2" xfId="16140" xr:uid="{4E720B0C-BEBC-40AB-B2F7-DB4E20146E10}"/>
    <cellStyle name="Normal 4 2 2 4 2 4 2 3" xfId="11922" xr:uid="{E1B7E16B-835B-4C7C-B8B4-7276C78CF3F9}"/>
    <cellStyle name="Normal 4 2 2 4 2 4 3" xfId="5553" xr:uid="{00000000-0005-0000-0000-0000AF120000}"/>
    <cellStyle name="Normal 4 2 2 4 2 4 3 2" xfId="13995" xr:uid="{DD54D4F9-A050-4285-AB1E-C56448D76C43}"/>
    <cellStyle name="Normal 4 2 2 4 2 4 4" xfId="9777" xr:uid="{D8935F70-34C4-4FD2-BA7A-2F3F9DE5F099}"/>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2 2 2" xfId="16553" xr:uid="{A3194F46-C54F-432F-8E2E-5B1076D7BE41}"/>
    <cellStyle name="Normal 4 2 2 4 2 5 2 3" xfId="12335" xr:uid="{B6E0FEBF-7987-4ECB-B0AC-3EB8AEF8D23C}"/>
    <cellStyle name="Normal 4 2 2 4 2 5 3" xfId="5966" xr:uid="{00000000-0005-0000-0000-0000B3120000}"/>
    <cellStyle name="Normal 4 2 2 4 2 5 3 2" xfId="14408" xr:uid="{581C2A16-F63C-4406-8922-36AA32AFCFF3}"/>
    <cellStyle name="Normal 4 2 2 4 2 5 4" xfId="10190" xr:uid="{D188FDBC-05AB-4C8C-BEB0-BC4BB79F3DF6}"/>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2 2 2" xfId="16966" xr:uid="{106CEAE6-CA71-41EA-93A9-8F6CF2358A14}"/>
    <cellStyle name="Normal 4 2 2 4 2 6 2 3" xfId="12748" xr:uid="{AF28B43E-9B28-4641-B52D-75D444182C92}"/>
    <cellStyle name="Normal 4 2 2 4 2 6 3" xfId="6379" xr:uid="{00000000-0005-0000-0000-0000B7120000}"/>
    <cellStyle name="Normal 4 2 2 4 2 6 3 2" xfId="14821" xr:uid="{49795392-62D0-4F44-8F0E-0B112185594B}"/>
    <cellStyle name="Normal 4 2 2 4 2 6 4" xfId="10603" xr:uid="{DDB2A832-C51A-40C7-BFB1-699A067E3455}"/>
    <cellStyle name="Normal 4 2 2 4 2 7" xfId="2508" xr:uid="{00000000-0005-0000-0000-0000B8120000}"/>
    <cellStyle name="Normal 4 2 2 4 2 7 2" xfId="6792" xr:uid="{00000000-0005-0000-0000-0000B9120000}"/>
    <cellStyle name="Normal 4 2 2 4 2 7 2 2" xfId="15234" xr:uid="{2AF52B94-31FD-47F0-A947-D830E9825766}"/>
    <cellStyle name="Normal 4 2 2 4 2 7 3" xfId="11016" xr:uid="{D4B0BDDE-FB57-4075-9631-51A8739919EC}"/>
    <cellStyle name="Normal 4 2 2 4 2 8" xfId="4727" xr:uid="{00000000-0005-0000-0000-0000BA120000}"/>
    <cellStyle name="Normal 4 2 2 4 2 8 2" xfId="13169" xr:uid="{B8F4477A-38CE-45E1-9A18-5011A4FB155E}"/>
    <cellStyle name="Normal 4 2 2 4 2 9" xfId="8951" xr:uid="{5BA6292B-24C0-4414-B26B-C3928CE5A64D}"/>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2 2 2" xfId="15729" xr:uid="{D7260B8F-D9F6-4F01-B15E-40D6CE863E25}"/>
    <cellStyle name="Normal 4 2 2 4 3 2 2 3" xfId="11511" xr:uid="{8CB79750-B078-49FE-AA0F-D593102B814D}"/>
    <cellStyle name="Normal 4 2 2 4 3 2 3" xfId="5142" xr:uid="{00000000-0005-0000-0000-0000BF120000}"/>
    <cellStyle name="Normal 4 2 2 4 3 2 3 2" xfId="13584" xr:uid="{24596D0E-74A1-48A9-9077-92FAD58E9243}"/>
    <cellStyle name="Normal 4 2 2 4 3 2 4" xfId="9366" xr:uid="{05FC9970-2515-4639-92DA-E90DA48F95AD}"/>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2 2 2" xfId="16142" xr:uid="{63C3FBBC-9F52-4901-B4D4-042BC022E5EA}"/>
    <cellStyle name="Normal 4 2 2 4 3 3 2 3" xfId="11924" xr:uid="{1311A741-1A12-49C1-BF82-8F793E4C563F}"/>
    <cellStyle name="Normal 4 2 2 4 3 3 3" xfId="5555" xr:uid="{00000000-0005-0000-0000-0000C3120000}"/>
    <cellStyle name="Normal 4 2 2 4 3 3 3 2" xfId="13997" xr:uid="{D643D994-0E85-4F4E-8918-5C48EC6050F9}"/>
    <cellStyle name="Normal 4 2 2 4 3 3 4" xfId="9779" xr:uid="{4D196F83-F273-4BEE-8336-A3A4E2939D0D}"/>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2 2 2" xfId="16555" xr:uid="{A32D4AFE-BC3E-4C60-AF57-E63BBBD87F96}"/>
    <cellStyle name="Normal 4 2 2 4 3 4 2 3" xfId="12337" xr:uid="{9E64BAD9-8D0C-42C5-86B4-5EB25150B208}"/>
    <cellStyle name="Normal 4 2 2 4 3 4 3" xfId="5968" xr:uid="{00000000-0005-0000-0000-0000C7120000}"/>
    <cellStyle name="Normal 4 2 2 4 3 4 3 2" xfId="14410" xr:uid="{58E8F27C-FAF6-4AEB-B514-CE6607DC03DD}"/>
    <cellStyle name="Normal 4 2 2 4 3 4 4" xfId="10192" xr:uid="{6FC0E0D4-4A72-41C5-8282-302EC7DB6E09}"/>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2 2 2" xfId="16968" xr:uid="{685FF3B0-E2FB-467B-AADB-9A6711C33D21}"/>
    <cellStyle name="Normal 4 2 2 4 3 5 2 3" xfId="12750" xr:uid="{0CC19266-F9D4-455C-B457-7599FBAD8790}"/>
    <cellStyle name="Normal 4 2 2 4 3 5 3" xfId="6381" xr:uid="{00000000-0005-0000-0000-0000CB120000}"/>
    <cellStyle name="Normal 4 2 2 4 3 5 3 2" xfId="14823" xr:uid="{0FD7609D-BAB6-45B6-8D0E-0536C99EE9AB}"/>
    <cellStyle name="Normal 4 2 2 4 3 5 4" xfId="10605" xr:uid="{E84F303A-A976-4AB1-AD19-2EF93F0228BD}"/>
    <cellStyle name="Normal 4 2 2 4 3 6" xfId="2510" xr:uid="{00000000-0005-0000-0000-0000CC120000}"/>
    <cellStyle name="Normal 4 2 2 4 3 6 2" xfId="6794" xr:uid="{00000000-0005-0000-0000-0000CD120000}"/>
    <cellStyle name="Normal 4 2 2 4 3 6 2 2" xfId="15236" xr:uid="{10A7211B-520A-4BE8-9322-6D2CB5E584AB}"/>
    <cellStyle name="Normal 4 2 2 4 3 6 3" xfId="11018" xr:uid="{AB602EB6-508A-4E31-A791-E1292D67971D}"/>
    <cellStyle name="Normal 4 2 2 4 3 7" xfId="4729" xr:uid="{00000000-0005-0000-0000-0000CE120000}"/>
    <cellStyle name="Normal 4 2 2 4 3 7 2" xfId="13171" xr:uid="{D71CEECD-E2C2-4B99-8688-E72F156DFF7A}"/>
    <cellStyle name="Normal 4 2 2 4 3 8" xfId="8953" xr:uid="{61D0A224-0979-4B6B-94F3-86058E6A28B7}"/>
    <cellStyle name="Normal 4 2 2 4 4" xfId="824" xr:uid="{00000000-0005-0000-0000-0000CF120000}"/>
    <cellStyle name="Normal 4 2 2 4 4 2" xfId="3061" xr:uid="{00000000-0005-0000-0000-0000D0120000}"/>
    <cellStyle name="Normal 4 2 2 4 4 2 2" xfId="7284" xr:uid="{00000000-0005-0000-0000-0000D1120000}"/>
    <cellStyle name="Normal 4 2 2 4 4 2 2 2" xfId="15726" xr:uid="{2BEB3A08-2AFC-40DF-8BEC-AB577BF8DE8B}"/>
    <cellStyle name="Normal 4 2 2 4 4 2 3" xfId="11508" xr:uid="{B22CAB9D-09FB-4BEF-BDC9-8BAD1404C94F}"/>
    <cellStyle name="Normal 4 2 2 4 4 3" xfId="5139" xr:uid="{00000000-0005-0000-0000-0000D2120000}"/>
    <cellStyle name="Normal 4 2 2 4 4 3 2" xfId="13581" xr:uid="{279A53EB-4DA5-4EB1-90AD-542355473E1B}"/>
    <cellStyle name="Normal 4 2 2 4 4 4" xfId="9363" xr:uid="{47890C9C-9E6F-4D29-A1AA-2319FDA98024}"/>
    <cellStyle name="Normal 4 2 2 4 5" xfId="1244" xr:uid="{00000000-0005-0000-0000-0000D3120000}"/>
    <cellStyle name="Normal 4 2 2 4 5 2" xfId="3474" xr:uid="{00000000-0005-0000-0000-0000D4120000}"/>
    <cellStyle name="Normal 4 2 2 4 5 2 2" xfId="7697" xr:uid="{00000000-0005-0000-0000-0000D5120000}"/>
    <cellStyle name="Normal 4 2 2 4 5 2 2 2" xfId="16139" xr:uid="{F7A4BE25-0BFC-4361-BDE4-4ADA5BACF248}"/>
    <cellStyle name="Normal 4 2 2 4 5 2 3" xfId="11921" xr:uid="{F933BE98-EAF4-47F4-8DF5-684AEF2A3161}"/>
    <cellStyle name="Normal 4 2 2 4 5 3" xfId="5552" xr:uid="{00000000-0005-0000-0000-0000D6120000}"/>
    <cellStyle name="Normal 4 2 2 4 5 3 2" xfId="13994" xr:uid="{08879EFA-7BBD-414E-B0B0-4CCA3FF22700}"/>
    <cellStyle name="Normal 4 2 2 4 5 4" xfId="9776" xr:uid="{DC2E9C46-91DB-412A-8BAE-07FCA6C33661}"/>
    <cellStyle name="Normal 4 2 2 4 6" xfId="1657" xr:uid="{00000000-0005-0000-0000-0000D7120000}"/>
    <cellStyle name="Normal 4 2 2 4 6 2" xfId="3887" xr:uid="{00000000-0005-0000-0000-0000D8120000}"/>
    <cellStyle name="Normal 4 2 2 4 6 2 2" xfId="8110" xr:uid="{00000000-0005-0000-0000-0000D9120000}"/>
    <cellStyle name="Normal 4 2 2 4 6 2 2 2" xfId="16552" xr:uid="{5FE8BDB7-9595-4B87-BC18-0E6DEF085F81}"/>
    <cellStyle name="Normal 4 2 2 4 6 2 3" xfId="12334" xr:uid="{5853DBEF-3D69-40B5-8E84-FCC547FB3F83}"/>
    <cellStyle name="Normal 4 2 2 4 6 3" xfId="5965" xr:uid="{00000000-0005-0000-0000-0000DA120000}"/>
    <cellStyle name="Normal 4 2 2 4 6 3 2" xfId="14407" xr:uid="{4D33BF2C-00C0-4372-B5EB-E00B066269DA}"/>
    <cellStyle name="Normal 4 2 2 4 6 4" xfId="10189" xr:uid="{06CE516E-CA92-41F2-9117-64A10BE260F7}"/>
    <cellStyle name="Normal 4 2 2 4 7" xfId="2071" xr:uid="{00000000-0005-0000-0000-0000DB120000}"/>
    <cellStyle name="Normal 4 2 2 4 7 2" xfId="4300" xr:uid="{00000000-0005-0000-0000-0000DC120000}"/>
    <cellStyle name="Normal 4 2 2 4 7 2 2" xfId="8523" xr:uid="{00000000-0005-0000-0000-0000DD120000}"/>
    <cellStyle name="Normal 4 2 2 4 7 2 2 2" xfId="16965" xr:uid="{00F72B53-53E3-4A85-9251-2C6246A87465}"/>
    <cellStyle name="Normal 4 2 2 4 7 2 3" xfId="12747" xr:uid="{51AFE13B-45A0-491E-8AA9-78D466F66B10}"/>
    <cellStyle name="Normal 4 2 2 4 7 3" xfId="6378" xr:uid="{00000000-0005-0000-0000-0000DE120000}"/>
    <cellStyle name="Normal 4 2 2 4 7 3 2" xfId="14820" xr:uid="{65A3F4FE-D961-4F6F-848E-0A23BF688465}"/>
    <cellStyle name="Normal 4 2 2 4 7 4" xfId="10602" xr:uid="{7447ABBE-70BA-45AB-AE99-CA3471E318AF}"/>
    <cellStyle name="Normal 4 2 2 4 8" xfId="2507" xr:uid="{00000000-0005-0000-0000-0000DF120000}"/>
    <cellStyle name="Normal 4 2 2 4 8 2" xfId="6791" xr:uid="{00000000-0005-0000-0000-0000E0120000}"/>
    <cellStyle name="Normal 4 2 2 4 8 2 2" xfId="15233" xr:uid="{25D751CA-9FE6-44B0-BC07-E9A47747788C}"/>
    <cellStyle name="Normal 4 2 2 4 8 3" xfId="11015" xr:uid="{920C7D75-0D27-4EEA-B720-FB9211F9AEF1}"/>
    <cellStyle name="Normal 4 2 2 4 9" xfId="4726" xr:uid="{00000000-0005-0000-0000-0000E1120000}"/>
    <cellStyle name="Normal 4 2 2 4 9 2" xfId="13168" xr:uid="{31F1DB67-3687-4A58-B6EF-226C1B20768A}"/>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2 2 2" xfId="15731" xr:uid="{C70320B3-118C-4051-9C45-FE075D702D62}"/>
    <cellStyle name="Normal 4 2 2 5 2 2 2 3" xfId="11513" xr:uid="{3FBA6ADF-7235-48C5-A25A-EF82668029F0}"/>
    <cellStyle name="Normal 4 2 2 5 2 2 3" xfId="5144" xr:uid="{00000000-0005-0000-0000-0000E7120000}"/>
    <cellStyle name="Normal 4 2 2 5 2 2 3 2" xfId="13586" xr:uid="{5090D256-DF3D-4E20-87C4-F11549BE3BBB}"/>
    <cellStyle name="Normal 4 2 2 5 2 2 4" xfId="9368" xr:uid="{862CEAB3-479B-4CFB-9DB2-EBB7D2555128}"/>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2 2 2" xfId="16144" xr:uid="{C98D96F6-DB92-4D49-9D74-0060C2581937}"/>
    <cellStyle name="Normal 4 2 2 5 2 3 2 3" xfId="11926" xr:uid="{E2724944-7925-41A7-A18E-7C70D0CE2723}"/>
    <cellStyle name="Normal 4 2 2 5 2 3 3" xfId="5557" xr:uid="{00000000-0005-0000-0000-0000EB120000}"/>
    <cellStyle name="Normal 4 2 2 5 2 3 3 2" xfId="13999" xr:uid="{D8C89A96-B9F5-4ECC-9CCF-6F6F91009034}"/>
    <cellStyle name="Normal 4 2 2 5 2 3 4" xfId="9781" xr:uid="{95B0FA1C-4023-411B-BD27-47088C685AA8}"/>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2 2 2" xfId="16557" xr:uid="{B6817374-EF73-4ECA-B8DD-192ABD5A473E}"/>
    <cellStyle name="Normal 4 2 2 5 2 4 2 3" xfId="12339" xr:uid="{50FDBCF0-914A-4AF3-824B-3304755D9F23}"/>
    <cellStyle name="Normal 4 2 2 5 2 4 3" xfId="5970" xr:uid="{00000000-0005-0000-0000-0000EF120000}"/>
    <cellStyle name="Normal 4 2 2 5 2 4 3 2" xfId="14412" xr:uid="{E30A6F27-F0EE-4340-A38C-7975862ABA6C}"/>
    <cellStyle name="Normal 4 2 2 5 2 4 4" xfId="10194" xr:uid="{FE220539-B04A-478B-A1AA-ED455FF41227}"/>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2 2 2" xfId="16970" xr:uid="{6D46ADF1-4BEA-4E32-A881-FE2EC7B0901F}"/>
    <cellStyle name="Normal 4 2 2 5 2 5 2 3" xfId="12752" xr:uid="{66B4B34A-5463-4994-A68C-32C87B615670}"/>
    <cellStyle name="Normal 4 2 2 5 2 5 3" xfId="6383" xr:uid="{00000000-0005-0000-0000-0000F3120000}"/>
    <cellStyle name="Normal 4 2 2 5 2 5 3 2" xfId="14825" xr:uid="{9B86261D-EE6F-4C2A-8FE7-CAF2038A9832}"/>
    <cellStyle name="Normal 4 2 2 5 2 5 4" xfId="10607" xr:uid="{1D91B119-7FBA-4CB0-94C6-061E005C21EF}"/>
    <cellStyle name="Normal 4 2 2 5 2 6" xfId="2512" xr:uid="{00000000-0005-0000-0000-0000F4120000}"/>
    <cellStyle name="Normal 4 2 2 5 2 6 2" xfId="6796" xr:uid="{00000000-0005-0000-0000-0000F5120000}"/>
    <cellStyle name="Normal 4 2 2 5 2 6 2 2" xfId="15238" xr:uid="{8C905DD3-B8FA-4548-A8FA-943FD210A8B0}"/>
    <cellStyle name="Normal 4 2 2 5 2 6 3" xfId="11020" xr:uid="{600D641A-D732-4B5A-B3CC-DEFD4A9B51CB}"/>
    <cellStyle name="Normal 4 2 2 5 2 7" xfId="4731" xr:uid="{00000000-0005-0000-0000-0000F6120000}"/>
    <cellStyle name="Normal 4 2 2 5 2 7 2" xfId="13173" xr:uid="{D41E87FD-138D-484B-BEAF-2AEDD2183813}"/>
    <cellStyle name="Normal 4 2 2 5 2 8" xfId="8955" xr:uid="{523456D5-7F20-4F7F-AFF6-2E207475D803}"/>
    <cellStyle name="Normal 4 2 2 5 3" xfId="828" xr:uid="{00000000-0005-0000-0000-0000F7120000}"/>
    <cellStyle name="Normal 4 2 2 5 3 2" xfId="3065" xr:uid="{00000000-0005-0000-0000-0000F8120000}"/>
    <cellStyle name="Normal 4 2 2 5 3 2 2" xfId="7288" xr:uid="{00000000-0005-0000-0000-0000F9120000}"/>
    <cellStyle name="Normal 4 2 2 5 3 2 2 2" xfId="15730" xr:uid="{3032DD3A-23EA-4FD5-9503-EFCE0BB1A7D0}"/>
    <cellStyle name="Normal 4 2 2 5 3 2 3" xfId="11512" xr:uid="{E9FB6C67-D9BB-4E1A-85C6-B77BAE74C319}"/>
    <cellStyle name="Normal 4 2 2 5 3 3" xfId="5143" xr:uid="{00000000-0005-0000-0000-0000FA120000}"/>
    <cellStyle name="Normal 4 2 2 5 3 3 2" xfId="13585" xr:uid="{5FEB871C-C7CE-4648-B664-BDE51145A3B4}"/>
    <cellStyle name="Normal 4 2 2 5 3 4" xfId="9367" xr:uid="{B4F109CE-592B-488D-B644-360FA836CF37}"/>
    <cellStyle name="Normal 4 2 2 5 4" xfId="1248" xr:uid="{00000000-0005-0000-0000-0000FB120000}"/>
    <cellStyle name="Normal 4 2 2 5 4 2" xfId="3478" xr:uid="{00000000-0005-0000-0000-0000FC120000}"/>
    <cellStyle name="Normal 4 2 2 5 4 2 2" xfId="7701" xr:uid="{00000000-0005-0000-0000-0000FD120000}"/>
    <cellStyle name="Normal 4 2 2 5 4 2 2 2" xfId="16143" xr:uid="{2C519460-8F7B-4D31-A0F4-CB36983ECDD5}"/>
    <cellStyle name="Normal 4 2 2 5 4 2 3" xfId="11925" xr:uid="{924294DF-DED6-4EE4-8F30-5F71B3ABA423}"/>
    <cellStyle name="Normal 4 2 2 5 4 3" xfId="5556" xr:uid="{00000000-0005-0000-0000-0000FE120000}"/>
    <cellStyle name="Normal 4 2 2 5 4 3 2" xfId="13998" xr:uid="{8F8E5E70-1190-4DA5-8F37-E05AE24B164E}"/>
    <cellStyle name="Normal 4 2 2 5 4 4" xfId="9780" xr:uid="{0016E6C5-7342-47DC-B344-FCE74A5DF33C}"/>
    <cellStyle name="Normal 4 2 2 5 5" xfId="1661" xr:uid="{00000000-0005-0000-0000-0000FF120000}"/>
    <cellStyle name="Normal 4 2 2 5 5 2" xfId="3891" xr:uid="{00000000-0005-0000-0000-000000130000}"/>
    <cellStyle name="Normal 4 2 2 5 5 2 2" xfId="8114" xr:uid="{00000000-0005-0000-0000-000001130000}"/>
    <cellStyle name="Normal 4 2 2 5 5 2 2 2" xfId="16556" xr:uid="{9EFE20E9-5FF8-4573-AF69-CE868EFECA4C}"/>
    <cellStyle name="Normal 4 2 2 5 5 2 3" xfId="12338" xr:uid="{D2192779-BF39-46AF-B85D-A552B1D82194}"/>
    <cellStyle name="Normal 4 2 2 5 5 3" xfId="5969" xr:uid="{00000000-0005-0000-0000-000002130000}"/>
    <cellStyle name="Normal 4 2 2 5 5 3 2" xfId="14411" xr:uid="{D834FA5F-31AA-46A1-B867-F920714D218B}"/>
    <cellStyle name="Normal 4 2 2 5 5 4" xfId="10193" xr:uid="{0E89818C-B2C1-477B-AB96-E6410044E280}"/>
    <cellStyle name="Normal 4 2 2 5 6" xfId="2075" xr:uid="{00000000-0005-0000-0000-000003130000}"/>
    <cellStyle name="Normal 4 2 2 5 6 2" xfId="4304" xr:uid="{00000000-0005-0000-0000-000004130000}"/>
    <cellStyle name="Normal 4 2 2 5 6 2 2" xfId="8527" xr:uid="{00000000-0005-0000-0000-000005130000}"/>
    <cellStyle name="Normal 4 2 2 5 6 2 2 2" xfId="16969" xr:uid="{3CD180A5-84B1-4F1F-AF15-55348EEE31AA}"/>
    <cellStyle name="Normal 4 2 2 5 6 2 3" xfId="12751" xr:uid="{BB883F0C-8E85-4BCB-BE8B-D9A67EF69502}"/>
    <cellStyle name="Normal 4 2 2 5 6 3" xfId="6382" xr:uid="{00000000-0005-0000-0000-000006130000}"/>
    <cellStyle name="Normal 4 2 2 5 6 3 2" xfId="14824" xr:uid="{242D8C4B-6504-41B8-812B-32ACB8CEFDF5}"/>
    <cellStyle name="Normal 4 2 2 5 6 4" xfId="10606" xr:uid="{77F36900-60A2-4F16-83CF-EAFB6BED8FE9}"/>
    <cellStyle name="Normal 4 2 2 5 7" xfId="2511" xr:uid="{00000000-0005-0000-0000-000007130000}"/>
    <cellStyle name="Normal 4 2 2 5 7 2" xfId="6795" xr:uid="{00000000-0005-0000-0000-000008130000}"/>
    <cellStyle name="Normal 4 2 2 5 7 2 2" xfId="15237" xr:uid="{DBB25A14-B16E-44CC-8947-F30CF56F60BE}"/>
    <cellStyle name="Normal 4 2 2 5 7 3" xfId="11019" xr:uid="{AF501BE4-84C0-4235-9444-DE7D72E47176}"/>
    <cellStyle name="Normal 4 2 2 5 8" xfId="4730" xr:uid="{00000000-0005-0000-0000-000009130000}"/>
    <cellStyle name="Normal 4 2 2 5 8 2" xfId="13172" xr:uid="{8E507A46-3660-4CD5-A933-2644EB122242}"/>
    <cellStyle name="Normal 4 2 2 5 9" xfId="8954" xr:uid="{AF9D04E4-2DB1-4CB4-8568-64BB0A679236}"/>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2 2 2" xfId="15732" xr:uid="{C6CE5035-81AA-42C2-A558-83AEC78DCAF0}"/>
    <cellStyle name="Normal 4 2 2 6 2 2 3" xfId="11514" xr:uid="{10CE5054-52FC-4BDA-97CD-8A19069EC2E3}"/>
    <cellStyle name="Normal 4 2 2 6 2 3" xfId="5145" xr:uid="{00000000-0005-0000-0000-00000E130000}"/>
    <cellStyle name="Normal 4 2 2 6 2 3 2" xfId="13587" xr:uid="{55001993-6228-4826-BBED-E252C89D6745}"/>
    <cellStyle name="Normal 4 2 2 6 2 4" xfId="9369" xr:uid="{4E9E4CF8-37A9-4871-970A-C449180C5274}"/>
    <cellStyle name="Normal 4 2 2 6 3" xfId="1250" xr:uid="{00000000-0005-0000-0000-00000F130000}"/>
    <cellStyle name="Normal 4 2 2 6 3 2" xfId="3480" xr:uid="{00000000-0005-0000-0000-000010130000}"/>
    <cellStyle name="Normal 4 2 2 6 3 2 2" xfId="7703" xr:uid="{00000000-0005-0000-0000-000011130000}"/>
    <cellStyle name="Normal 4 2 2 6 3 2 2 2" xfId="16145" xr:uid="{E3B4EF8B-83D5-4BE7-8831-DE4ECD7A40A9}"/>
    <cellStyle name="Normal 4 2 2 6 3 2 3" xfId="11927" xr:uid="{2FC42CBF-EA1A-4113-853A-A3D60EF57D21}"/>
    <cellStyle name="Normal 4 2 2 6 3 3" xfId="5558" xr:uid="{00000000-0005-0000-0000-000012130000}"/>
    <cellStyle name="Normal 4 2 2 6 3 3 2" xfId="14000" xr:uid="{5E3034A1-5087-4979-9127-11144FDDA27B}"/>
    <cellStyle name="Normal 4 2 2 6 3 4" xfId="9782" xr:uid="{1A8C8B36-C8CA-4E6B-A51B-FD4F4E427D8C}"/>
    <cellStyle name="Normal 4 2 2 6 4" xfId="1663" xr:uid="{00000000-0005-0000-0000-000013130000}"/>
    <cellStyle name="Normal 4 2 2 6 4 2" xfId="3893" xr:uid="{00000000-0005-0000-0000-000014130000}"/>
    <cellStyle name="Normal 4 2 2 6 4 2 2" xfId="8116" xr:uid="{00000000-0005-0000-0000-000015130000}"/>
    <cellStyle name="Normal 4 2 2 6 4 2 2 2" xfId="16558" xr:uid="{6CAAA643-F8C8-43FB-8B9F-409594D80A29}"/>
    <cellStyle name="Normal 4 2 2 6 4 2 3" xfId="12340" xr:uid="{39E37EBD-5251-4BF5-A631-6B51469B5C01}"/>
    <cellStyle name="Normal 4 2 2 6 4 3" xfId="5971" xr:uid="{00000000-0005-0000-0000-000016130000}"/>
    <cellStyle name="Normal 4 2 2 6 4 3 2" xfId="14413" xr:uid="{90F69730-D8D8-4381-96D9-9AB7AEF3A06E}"/>
    <cellStyle name="Normal 4 2 2 6 4 4" xfId="10195" xr:uid="{AC38095B-F8AB-43F5-94BC-E71C44BA88E8}"/>
    <cellStyle name="Normal 4 2 2 6 5" xfId="2077" xr:uid="{00000000-0005-0000-0000-000017130000}"/>
    <cellStyle name="Normal 4 2 2 6 5 2" xfId="4306" xr:uid="{00000000-0005-0000-0000-000018130000}"/>
    <cellStyle name="Normal 4 2 2 6 5 2 2" xfId="8529" xr:uid="{00000000-0005-0000-0000-000019130000}"/>
    <cellStyle name="Normal 4 2 2 6 5 2 2 2" xfId="16971" xr:uid="{4A6E63D7-2EB1-49D2-9BE3-59558B32953B}"/>
    <cellStyle name="Normal 4 2 2 6 5 2 3" xfId="12753" xr:uid="{D7B1F430-A375-449F-8F6D-4536FFC8A33D}"/>
    <cellStyle name="Normal 4 2 2 6 5 3" xfId="6384" xr:uid="{00000000-0005-0000-0000-00001A130000}"/>
    <cellStyle name="Normal 4 2 2 6 5 3 2" xfId="14826" xr:uid="{22D3DB1D-435C-4776-9008-BA6E3228737C}"/>
    <cellStyle name="Normal 4 2 2 6 5 4" xfId="10608" xr:uid="{262F500B-C398-449E-A348-CD97CA7ABAFE}"/>
    <cellStyle name="Normal 4 2 2 6 6" xfId="2513" xr:uid="{00000000-0005-0000-0000-00001B130000}"/>
    <cellStyle name="Normal 4 2 2 6 6 2" xfId="6797" xr:uid="{00000000-0005-0000-0000-00001C130000}"/>
    <cellStyle name="Normal 4 2 2 6 6 2 2" xfId="15239" xr:uid="{8A414D14-BCA3-49B8-864D-EF8923F03483}"/>
    <cellStyle name="Normal 4 2 2 6 6 3" xfId="11021" xr:uid="{EFD41636-E13F-41FE-AE94-308322E1B533}"/>
    <cellStyle name="Normal 4 2 2 6 7" xfId="4732" xr:uid="{00000000-0005-0000-0000-00001D130000}"/>
    <cellStyle name="Normal 4 2 2 6 7 2" xfId="13174" xr:uid="{D6387185-C1B6-4577-BA47-D22D2A58D32A}"/>
    <cellStyle name="Normal 4 2 2 6 8" xfId="8956" xr:uid="{BF9A94E6-30CC-46D5-BC5D-E5453DBDDCC1}"/>
    <cellStyle name="Normal 4 2 2 7" xfId="815" xr:uid="{00000000-0005-0000-0000-00001E130000}"/>
    <cellStyle name="Normal 4 2 2 7 2" xfId="3052" xr:uid="{00000000-0005-0000-0000-00001F130000}"/>
    <cellStyle name="Normal 4 2 2 7 2 2" xfId="7275" xr:uid="{00000000-0005-0000-0000-000020130000}"/>
    <cellStyle name="Normal 4 2 2 7 2 2 2" xfId="15717" xr:uid="{40DEF3E0-D04C-47F4-8B41-BB2E6A90C3DC}"/>
    <cellStyle name="Normal 4 2 2 7 2 3" xfId="11499" xr:uid="{930B6F55-1B45-4CC9-A8D6-9E4046983621}"/>
    <cellStyle name="Normal 4 2 2 7 3" xfId="5130" xr:uid="{00000000-0005-0000-0000-000021130000}"/>
    <cellStyle name="Normal 4 2 2 7 3 2" xfId="13572" xr:uid="{D805C1B1-A194-4CB6-AFD7-9BE025F876C0}"/>
    <cellStyle name="Normal 4 2 2 7 4" xfId="9354" xr:uid="{00488152-4671-44F5-8497-9CEA8F91A560}"/>
    <cellStyle name="Normal 4 2 2 8" xfId="1235" xr:uid="{00000000-0005-0000-0000-000022130000}"/>
    <cellStyle name="Normal 4 2 2 8 2" xfId="3465" xr:uid="{00000000-0005-0000-0000-000023130000}"/>
    <cellStyle name="Normal 4 2 2 8 2 2" xfId="7688" xr:uid="{00000000-0005-0000-0000-000024130000}"/>
    <cellStyle name="Normal 4 2 2 8 2 2 2" xfId="16130" xr:uid="{FD8C5FF8-81C5-4F39-8819-02CF111157E0}"/>
    <cellStyle name="Normal 4 2 2 8 2 3" xfId="11912" xr:uid="{5DAF5BA0-A619-4742-84E9-4E0F677272AE}"/>
    <cellStyle name="Normal 4 2 2 8 3" xfId="5543" xr:uid="{00000000-0005-0000-0000-000025130000}"/>
    <cellStyle name="Normal 4 2 2 8 3 2" xfId="13985" xr:uid="{83EADEC6-39CE-491F-9916-4D88BD469521}"/>
    <cellStyle name="Normal 4 2 2 8 4" xfId="9767" xr:uid="{5ACB44D9-F524-4CAC-8495-58FB5C619E5D}"/>
    <cellStyle name="Normal 4 2 2 9" xfId="1648" xr:uid="{00000000-0005-0000-0000-000026130000}"/>
    <cellStyle name="Normal 4 2 2 9 2" xfId="3878" xr:uid="{00000000-0005-0000-0000-000027130000}"/>
    <cellStyle name="Normal 4 2 2 9 2 2" xfId="8101" xr:uid="{00000000-0005-0000-0000-000028130000}"/>
    <cellStyle name="Normal 4 2 2 9 2 2 2" xfId="16543" xr:uid="{08297488-7507-4B3D-AE13-5B57A6FFEBD9}"/>
    <cellStyle name="Normal 4 2 2 9 2 3" xfId="12325" xr:uid="{75AA5975-3086-421A-A18D-AA1EC1FAEB5A}"/>
    <cellStyle name="Normal 4 2 2 9 3" xfId="5956" xr:uid="{00000000-0005-0000-0000-000029130000}"/>
    <cellStyle name="Normal 4 2 2 9 3 2" xfId="14398" xr:uid="{E8DB0BD7-A70F-4BC7-994F-D7B1087154C1}"/>
    <cellStyle name="Normal 4 2 2 9 4" xfId="10180" xr:uid="{B8106637-79C7-4A4C-90DA-F375CF9EF69F}"/>
    <cellStyle name="Normal 4 2 3" xfId="354" xr:uid="{00000000-0005-0000-0000-00002A130000}"/>
    <cellStyle name="Normal 4 2 4" xfId="355" xr:uid="{00000000-0005-0000-0000-00002B130000}"/>
    <cellStyle name="Normal 4 2 4 10" xfId="4733" xr:uid="{00000000-0005-0000-0000-00002C130000}"/>
    <cellStyle name="Normal 4 2 4 10 2" xfId="13175" xr:uid="{BA760AB2-8376-440D-8651-FD415647C8D8}"/>
    <cellStyle name="Normal 4 2 4 11" xfId="8957" xr:uid="{DD859ADB-E446-4B8E-BAC1-7BE8BED0C61C}"/>
    <cellStyle name="Normal 4 2 4 2" xfId="356" xr:uid="{00000000-0005-0000-0000-00002D130000}"/>
    <cellStyle name="Normal 4 2 4 2 10" xfId="8958" xr:uid="{CA2FF8D2-0186-49C3-B11C-7E5B805519D9}"/>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2 2 2" xfId="15736" xr:uid="{B5D991B1-110C-416E-B33E-B0663F72FEA1}"/>
    <cellStyle name="Normal 4 2 4 2 2 2 2 2 3" xfId="11518" xr:uid="{6AB94988-7110-48B5-8959-F10BACF543CB}"/>
    <cellStyle name="Normal 4 2 4 2 2 2 2 3" xfId="5149" xr:uid="{00000000-0005-0000-0000-000033130000}"/>
    <cellStyle name="Normal 4 2 4 2 2 2 2 3 2" xfId="13591" xr:uid="{5CA8770E-2FB6-4A24-AB05-B639896B0B87}"/>
    <cellStyle name="Normal 4 2 4 2 2 2 2 4" xfId="9373" xr:uid="{E32B810E-E464-47EC-996C-0D0F4862D2F9}"/>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2 2 2" xfId="16149" xr:uid="{2B7DC857-F177-454B-BCD1-219F63D29483}"/>
    <cellStyle name="Normal 4 2 4 2 2 2 3 2 3" xfId="11931" xr:uid="{32D2431D-D4E7-437F-8C21-039E36FB444D}"/>
    <cellStyle name="Normal 4 2 4 2 2 2 3 3" xfId="5562" xr:uid="{00000000-0005-0000-0000-000037130000}"/>
    <cellStyle name="Normal 4 2 4 2 2 2 3 3 2" xfId="14004" xr:uid="{CBE5813D-63D6-40C1-BF01-6A55A6B28961}"/>
    <cellStyle name="Normal 4 2 4 2 2 2 3 4" xfId="9786" xr:uid="{2F90F23C-47F8-4154-8975-B7042472DBF7}"/>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2 2 2" xfId="16562" xr:uid="{9C2A5AE8-6D5B-4C8C-8CE3-657FA239B51D}"/>
    <cellStyle name="Normal 4 2 4 2 2 2 4 2 3" xfId="12344" xr:uid="{4F15EA49-533D-42F7-80E3-DCDD92C0090E}"/>
    <cellStyle name="Normal 4 2 4 2 2 2 4 3" xfId="5975" xr:uid="{00000000-0005-0000-0000-00003B130000}"/>
    <cellStyle name="Normal 4 2 4 2 2 2 4 3 2" xfId="14417" xr:uid="{4CA3CD3C-FFD2-438F-AC20-23D5D39E2790}"/>
    <cellStyle name="Normal 4 2 4 2 2 2 4 4" xfId="10199" xr:uid="{FD3EC1B6-9457-44D0-8024-C9B3BACDE18F}"/>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2 2 2" xfId="16975" xr:uid="{2D45DC30-B2E8-4398-AC77-786BD9536F94}"/>
    <cellStyle name="Normal 4 2 4 2 2 2 5 2 3" xfId="12757" xr:uid="{60B2A058-1DE9-4018-A567-9BDBC2B5D702}"/>
    <cellStyle name="Normal 4 2 4 2 2 2 5 3" xfId="6388" xr:uid="{00000000-0005-0000-0000-00003F130000}"/>
    <cellStyle name="Normal 4 2 4 2 2 2 5 3 2" xfId="14830" xr:uid="{C52C3490-8199-4EF5-A3E5-DEB1FB03A919}"/>
    <cellStyle name="Normal 4 2 4 2 2 2 5 4" xfId="10612" xr:uid="{92361841-A0B6-479D-8FC5-E5B0A7111E70}"/>
    <cellStyle name="Normal 4 2 4 2 2 2 6" xfId="2517" xr:uid="{00000000-0005-0000-0000-000040130000}"/>
    <cellStyle name="Normal 4 2 4 2 2 2 6 2" xfId="6801" xr:uid="{00000000-0005-0000-0000-000041130000}"/>
    <cellStyle name="Normal 4 2 4 2 2 2 6 2 2" xfId="15243" xr:uid="{9AF9019E-08A0-41C2-BB13-D25E353FF2D4}"/>
    <cellStyle name="Normal 4 2 4 2 2 2 6 3" xfId="11025" xr:uid="{953514E7-BA70-4C4B-AEF8-235E970D4217}"/>
    <cellStyle name="Normal 4 2 4 2 2 2 7" xfId="4736" xr:uid="{00000000-0005-0000-0000-000042130000}"/>
    <cellStyle name="Normal 4 2 4 2 2 2 7 2" xfId="13178" xr:uid="{A9998A1F-3508-4D5D-B2B1-70BB460939D0}"/>
    <cellStyle name="Normal 4 2 4 2 2 2 8" xfId="8960" xr:uid="{BFA8867A-971D-4105-9A44-AFECC21E6AB2}"/>
    <cellStyle name="Normal 4 2 4 2 2 3" xfId="833" xr:uid="{00000000-0005-0000-0000-000043130000}"/>
    <cellStyle name="Normal 4 2 4 2 2 3 2" xfId="3070" xr:uid="{00000000-0005-0000-0000-000044130000}"/>
    <cellStyle name="Normal 4 2 4 2 2 3 2 2" xfId="7293" xr:uid="{00000000-0005-0000-0000-000045130000}"/>
    <cellStyle name="Normal 4 2 4 2 2 3 2 2 2" xfId="15735" xr:uid="{E90CEDBE-5C29-4647-AC7E-7AA0B0C449D9}"/>
    <cellStyle name="Normal 4 2 4 2 2 3 2 3" xfId="11517" xr:uid="{9EFD4FAC-F3A9-471E-9C7C-7D671EB14A53}"/>
    <cellStyle name="Normal 4 2 4 2 2 3 3" xfId="5148" xr:uid="{00000000-0005-0000-0000-000046130000}"/>
    <cellStyle name="Normal 4 2 4 2 2 3 3 2" xfId="13590" xr:uid="{16980D67-C6D3-4E1E-BC3A-A096C26F809B}"/>
    <cellStyle name="Normal 4 2 4 2 2 3 4" xfId="9372" xr:uid="{38E0523F-2BD2-42F9-AC71-C5EAE0C6D303}"/>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2 2 2" xfId="16148" xr:uid="{E308A5C0-B1EE-4A3B-A9AC-29182DF23E78}"/>
    <cellStyle name="Normal 4 2 4 2 2 4 2 3" xfId="11930" xr:uid="{FBB02F1D-80B5-4264-BDDD-0AC10FBE01D5}"/>
    <cellStyle name="Normal 4 2 4 2 2 4 3" xfId="5561" xr:uid="{00000000-0005-0000-0000-00004A130000}"/>
    <cellStyle name="Normal 4 2 4 2 2 4 3 2" xfId="14003" xr:uid="{6C189E3D-5C8E-4FA6-B796-1BD80E7F1862}"/>
    <cellStyle name="Normal 4 2 4 2 2 4 4" xfId="9785" xr:uid="{5E13DE7C-16E0-4E4F-B90E-403BED34D672}"/>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2 2 2" xfId="16561" xr:uid="{0933B316-010C-4C0B-A20D-AA0B592BB19C}"/>
    <cellStyle name="Normal 4 2 4 2 2 5 2 3" xfId="12343" xr:uid="{07683C5A-77A7-44E3-80AC-42A5D24559BC}"/>
    <cellStyle name="Normal 4 2 4 2 2 5 3" xfId="5974" xr:uid="{00000000-0005-0000-0000-00004E130000}"/>
    <cellStyle name="Normal 4 2 4 2 2 5 3 2" xfId="14416" xr:uid="{748BECEE-5453-4547-9926-CBC0BBBD2360}"/>
    <cellStyle name="Normal 4 2 4 2 2 5 4" xfId="10198" xr:uid="{092F930E-FE8F-4848-A3F6-39977C7777DB}"/>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2 2 2" xfId="16974" xr:uid="{A23A9A5B-27EF-444F-9475-BAE28D51EA4E}"/>
    <cellStyle name="Normal 4 2 4 2 2 6 2 3" xfId="12756" xr:uid="{C818EEBB-7765-410A-A045-DD14A9A37088}"/>
    <cellStyle name="Normal 4 2 4 2 2 6 3" xfId="6387" xr:uid="{00000000-0005-0000-0000-000052130000}"/>
    <cellStyle name="Normal 4 2 4 2 2 6 3 2" xfId="14829" xr:uid="{60C7FEC2-E5C4-4C4D-B517-90C392A5EA22}"/>
    <cellStyle name="Normal 4 2 4 2 2 6 4" xfId="10611" xr:uid="{12E4BAA0-B53B-4B7B-8DA3-CCD0A38D4516}"/>
    <cellStyle name="Normal 4 2 4 2 2 7" xfId="2516" xr:uid="{00000000-0005-0000-0000-000053130000}"/>
    <cellStyle name="Normal 4 2 4 2 2 7 2" xfId="6800" xr:uid="{00000000-0005-0000-0000-000054130000}"/>
    <cellStyle name="Normal 4 2 4 2 2 7 2 2" xfId="15242" xr:uid="{9CCA2FD3-24DF-46D4-A4B4-B2B2CAE0DCA5}"/>
    <cellStyle name="Normal 4 2 4 2 2 7 3" xfId="11024" xr:uid="{9D683183-3B22-4D22-9555-1DF3A0C4218D}"/>
    <cellStyle name="Normal 4 2 4 2 2 8" xfId="4735" xr:uid="{00000000-0005-0000-0000-000055130000}"/>
    <cellStyle name="Normal 4 2 4 2 2 8 2" xfId="13177" xr:uid="{5FF23247-893D-4D7D-A54F-A24C848F6AD3}"/>
    <cellStyle name="Normal 4 2 4 2 2 9" xfId="8959" xr:uid="{34ED08F8-D2C3-472E-866A-EC4B473EC7B6}"/>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2 2 2" xfId="15737" xr:uid="{F7DBDF78-011D-4562-9CD0-BF3C54ADE245}"/>
    <cellStyle name="Normal 4 2 4 2 3 2 2 3" xfId="11519" xr:uid="{CE1E8A0D-C58E-4DB6-A6AC-455938773F8F}"/>
    <cellStyle name="Normal 4 2 4 2 3 2 3" xfId="5150" xr:uid="{00000000-0005-0000-0000-00005A130000}"/>
    <cellStyle name="Normal 4 2 4 2 3 2 3 2" xfId="13592" xr:uid="{DA424383-3873-4FD6-A340-F0846B8A9B75}"/>
    <cellStyle name="Normal 4 2 4 2 3 2 4" xfId="9374" xr:uid="{51AA15C2-7500-4549-BE16-1FB13E784B7D}"/>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2 2 2" xfId="16150" xr:uid="{438F185A-18BF-4D4C-A182-976902B857DA}"/>
    <cellStyle name="Normal 4 2 4 2 3 3 2 3" xfId="11932" xr:uid="{945267E4-ACE3-4180-9129-DD20792603F3}"/>
    <cellStyle name="Normal 4 2 4 2 3 3 3" xfId="5563" xr:uid="{00000000-0005-0000-0000-00005E130000}"/>
    <cellStyle name="Normal 4 2 4 2 3 3 3 2" xfId="14005" xr:uid="{8B82A745-FE80-42DA-95D8-B63D17DEC2DF}"/>
    <cellStyle name="Normal 4 2 4 2 3 3 4" xfId="9787" xr:uid="{297927A2-F2F0-4DA7-936F-D7283BF2B7ED}"/>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2 2 2" xfId="16563" xr:uid="{DDB5D776-0410-40E9-AAA4-F6F0C9AD9BAE}"/>
    <cellStyle name="Normal 4 2 4 2 3 4 2 3" xfId="12345" xr:uid="{7BBCBE58-26BF-4198-87CF-9E6AC1EA2EE6}"/>
    <cellStyle name="Normal 4 2 4 2 3 4 3" xfId="5976" xr:uid="{00000000-0005-0000-0000-000062130000}"/>
    <cellStyle name="Normal 4 2 4 2 3 4 3 2" xfId="14418" xr:uid="{9A6E780E-4EF7-49D7-97A6-32C482AC95EB}"/>
    <cellStyle name="Normal 4 2 4 2 3 4 4" xfId="10200" xr:uid="{EBE2BC0D-7AB1-48E3-BD8F-17B649807DE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2 2 2" xfId="16976" xr:uid="{4BEB8C9B-3F00-447F-94A7-BF6515248938}"/>
    <cellStyle name="Normal 4 2 4 2 3 5 2 3" xfId="12758" xr:uid="{9C3D4ACB-3CD5-400F-830E-52C3D1DFA6E9}"/>
    <cellStyle name="Normal 4 2 4 2 3 5 3" xfId="6389" xr:uid="{00000000-0005-0000-0000-000066130000}"/>
    <cellStyle name="Normal 4 2 4 2 3 5 3 2" xfId="14831" xr:uid="{FBD17F62-E6E6-44E4-8471-95F6D9F3FA3F}"/>
    <cellStyle name="Normal 4 2 4 2 3 5 4" xfId="10613" xr:uid="{2CF38751-1167-49DE-8671-3587D46105FF}"/>
    <cellStyle name="Normal 4 2 4 2 3 6" xfId="2518" xr:uid="{00000000-0005-0000-0000-000067130000}"/>
    <cellStyle name="Normal 4 2 4 2 3 6 2" xfId="6802" xr:uid="{00000000-0005-0000-0000-000068130000}"/>
    <cellStyle name="Normal 4 2 4 2 3 6 2 2" xfId="15244" xr:uid="{E9727A39-B52A-4F7D-A7A0-B763DD5FE9E5}"/>
    <cellStyle name="Normal 4 2 4 2 3 6 3" xfId="11026" xr:uid="{E5838051-C8C8-482B-8F21-04DD774C9A07}"/>
    <cellStyle name="Normal 4 2 4 2 3 7" xfId="4737" xr:uid="{00000000-0005-0000-0000-000069130000}"/>
    <cellStyle name="Normal 4 2 4 2 3 7 2" xfId="13179" xr:uid="{656C51E4-6B7E-481C-ABB6-9864B5809CCF}"/>
    <cellStyle name="Normal 4 2 4 2 3 8" xfId="8961" xr:uid="{27A3A7E3-66A8-492D-A54D-7B830B3DDFAD}"/>
    <cellStyle name="Normal 4 2 4 2 4" xfId="832" xr:uid="{00000000-0005-0000-0000-00006A130000}"/>
    <cellStyle name="Normal 4 2 4 2 4 2" xfId="3069" xr:uid="{00000000-0005-0000-0000-00006B130000}"/>
    <cellStyle name="Normal 4 2 4 2 4 2 2" xfId="7292" xr:uid="{00000000-0005-0000-0000-00006C130000}"/>
    <cellStyle name="Normal 4 2 4 2 4 2 2 2" xfId="15734" xr:uid="{B1EE27E6-96DA-42F2-B5C4-78361C3719D5}"/>
    <cellStyle name="Normal 4 2 4 2 4 2 3" xfId="11516" xr:uid="{8E600A12-F2A8-4479-831D-DEAAA7E2EF4F}"/>
    <cellStyle name="Normal 4 2 4 2 4 3" xfId="5147" xr:uid="{00000000-0005-0000-0000-00006D130000}"/>
    <cellStyle name="Normal 4 2 4 2 4 3 2" xfId="13589" xr:uid="{789506B3-0F0C-45FC-A739-057BC3236C63}"/>
    <cellStyle name="Normal 4 2 4 2 4 4" xfId="9371" xr:uid="{979EBE3A-5EDC-4EE8-843A-7DADF557629F}"/>
    <cellStyle name="Normal 4 2 4 2 5" xfId="1252" xr:uid="{00000000-0005-0000-0000-00006E130000}"/>
    <cellStyle name="Normal 4 2 4 2 5 2" xfId="3482" xr:uid="{00000000-0005-0000-0000-00006F130000}"/>
    <cellStyle name="Normal 4 2 4 2 5 2 2" xfId="7705" xr:uid="{00000000-0005-0000-0000-000070130000}"/>
    <cellStyle name="Normal 4 2 4 2 5 2 2 2" xfId="16147" xr:uid="{19121E49-C5E1-4332-BC10-0B1A18D04D58}"/>
    <cellStyle name="Normal 4 2 4 2 5 2 3" xfId="11929" xr:uid="{122D2E31-48C0-418F-9935-7896E98DDC9A}"/>
    <cellStyle name="Normal 4 2 4 2 5 3" xfId="5560" xr:uid="{00000000-0005-0000-0000-000071130000}"/>
    <cellStyle name="Normal 4 2 4 2 5 3 2" xfId="14002" xr:uid="{2B041E16-4F53-4623-9FE4-30C064E39C66}"/>
    <cellStyle name="Normal 4 2 4 2 5 4" xfId="9784" xr:uid="{EBFDB8E9-8136-48F7-9AD1-44C07B971ABC}"/>
    <cellStyle name="Normal 4 2 4 2 6" xfId="1665" xr:uid="{00000000-0005-0000-0000-000072130000}"/>
    <cellStyle name="Normal 4 2 4 2 6 2" xfId="3895" xr:uid="{00000000-0005-0000-0000-000073130000}"/>
    <cellStyle name="Normal 4 2 4 2 6 2 2" xfId="8118" xr:uid="{00000000-0005-0000-0000-000074130000}"/>
    <cellStyle name="Normal 4 2 4 2 6 2 2 2" xfId="16560" xr:uid="{B350323B-CB33-4067-B826-1DDDB21F7AE2}"/>
    <cellStyle name="Normal 4 2 4 2 6 2 3" xfId="12342" xr:uid="{10EC3311-4420-4F57-BB68-BCC7BBE416A1}"/>
    <cellStyle name="Normal 4 2 4 2 6 3" xfId="5973" xr:uid="{00000000-0005-0000-0000-000075130000}"/>
    <cellStyle name="Normal 4 2 4 2 6 3 2" xfId="14415" xr:uid="{337BB027-BAF9-4C9C-8486-CDD10327E5AA}"/>
    <cellStyle name="Normal 4 2 4 2 6 4" xfId="10197" xr:uid="{6C6D6D7B-CD70-4EBA-BE27-77AE6B4D3611}"/>
    <cellStyle name="Normal 4 2 4 2 7" xfId="2079" xr:uid="{00000000-0005-0000-0000-000076130000}"/>
    <cellStyle name="Normal 4 2 4 2 7 2" xfId="4308" xr:uid="{00000000-0005-0000-0000-000077130000}"/>
    <cellStyle name="Normal 4 2 4 2 7 2 2" xfId="8531" xr:uid="{00000000-0005-0000-0000-000078130000}"/>
    <cellStyle name="Normal 4 2 4 2 7 2 2 2" xfId="16973" xr:uid="{56B06578-328D-45EA-A084-2D5C9D1CD15E}"/>
    <cellStyle name="Normal 4 2 4 2 7 2 3" xfId="12755" xr:uid="{ACA5D0EB-E2C8-475E-9F0F-ED3E5A0E6978}"/>
    <cellStyle name="Normal 4 2 4 2 7 3" xfId="6386" xr:uid="{00000000-0005-0000-0000-000079130000}"/>
    <cellStyle name="Normal 4 2 4 2 7 3 2" xfId="14828" xr:uid="{C2CC1A88-1C56-4719-8ABB-87610BB39D9E}"/>
    <cellStyle name="Normal 4 2 4 2 7 4" xfId="10610" xr:uid="{056EC79B-0735-4439-8053-604CCA9DB173}"/>
    <cellStyle name="Normal 4 2 4 2 8" xfId="2515" xr:uid="{00000000-0005-0000-0000-00007A130000}"/>
    <cellStyle name="Normal 4 2 4 2 8 2" xfId="6799" xr:uid="{00000000-0005-0000-0000-00007B130000}"/>
    <cellStyle name="Normal 4 2 4 2 8 2 2" xfId="15241" xr:uid="{C4A080E1-2BE6-49AD-BA97-AFAA37DF8749}"/>
    <cellStyle name="Normal 4 2 4 2 8 3" xfId="11023" xr:uid="{99E1036B-F314-43DF-9805-D50ACF584F85}"/>
    <cellStyle name="Normal 4 2 4 2 9" xfId="4734" xr:uid="{00000000-0005-0000-0000-00007C130000}"/>
    <cellStyle name="Normal 4 2 4 2 9 2" xfId="13176" xr:uid="{E2715375-4A5F-45F9-8A37-8CC26B8A6F1F}"/>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2 2 2" xfId="15739" xr:uid="{9D58B8FD-0A54-4C59-BF83-9CAC93EEB4A1}"/>
    <cellStyle name="Normal 4 2 4 3 2 2 2 3" xfId="11521" xr:uid="{695BC790-DDA0-4649-8B0D-5730567842A2}"/>
    <cellStyle name="Normal 4 2 4 3 2 2 3" xfId="5152" xr:uid="{00000000-0005-0000-0000-000082130000}"/>
    <cellStyle name="Normal 4 2 4 3 2 2 3 2" xfId="13594" xr:uid="{9C3D9096-3D3D-478A-A242-6B52AAFE685E}"/>
    <cellStyle name="Normal 4 2 4 3 2 2 4" xfId="9376" xr:uid="{55D1030A-DC43-41FB-9999-B68381A83547}"/>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2 2 2" xfId="16152" xr:uid="{82705D5C-C061-4C44-A871-97FC88EB139D}"/>
    <cellStyle name="Normal 4 2 4 3 2 3 2 3" xfId="11934" xr:uid="{1DB5641F-9FAF-4BBB-99DE-24C6452DC017}"/>
    <cellStyle name="Normal 4 2 4 3 2 3 3" xfId="5565" xr:uid="{00000000-0005-0000-0000-000086130000}"/>
    <cellStyle name="Normal 4 2 4 3 2 3 3 2" xfId="14007" xr:uid="{C041E285-0B9B-4037-897E-B12B7A3979F0}"/>
    <cellStyle name="Normal 4 2 4 3 2 3 4" xfId="9789" xr:uid="{C95D792E-9E27-4C15-A40D-0CC39D8E1805}"/>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2 2 2" xfId="16565" xr:uid="{439B39FE-5FFC-4C0C-9820-D9D44BE0F7B2}"/>
    <cellStyle name="Normal 4 2 4 3 2 4 2 3" xfId="12347" xr:uid="{9D3F6A4F-6D57-45D0-B102-77B5DA5951B5}"/>
    <cellStyle name="Normal 4 2 4 3 2 4 3" xfId="5978" xr:uid="{00000000-0005-0000-0000-00008A130000}"/>
    <cellStyle name="Normal 4 2 4 3 2 4 3 2" xfId="14420" xr:uid="{9B800BD6-FB48-4163-9D13-393C0B0FDF1E}"/>
    <cellStyle name="Normal 4 2 4 3 2 4 4" xfId="10202" xr:uid="{E71AB873-3844-4489-AA33-95CD7A10D16A}"/>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2 2 2" xfId="16978" xr:uid="{8F20B8D4-A0AE-4345-B2C2-FEA983B3B6FF}"/>
    <cellStyle name="Normal 4 2 4 3 2 5 2 3" xfId="12760" xr:uid="{EC593F4B-8F25-4A9A-912E-12096644BDEF}"/>
    <cellStyle name="Normal 4 2 4 3 2 5 3" xfId="6391" xr:uid="{00000000-0005-0000-0000-00008E130000}"/>
    <cellStyle name="Normal 4 2 4 3 2 5 3 2" xfId="14833" xr:uid="{3958AF3D-28D8-4BA5-AB3C-DB445298B4E0}"/>
    <cellStyle name="Normal 4 2 4 3 2 5 4" xfId="10615" xr:uid="{1264192B-6288-4A91-B5E4-3AE8CC8AE1AA}"/>
    <cellStyle name="Normal 4 2 4 3 2 6" xfId="2520" xr:uid="{00000000-0005-0000-0000-00008F130000}"/>
    <cellStyle name="Normal 4 2 4 3 2 6 2" xfId="6804" xr:uid="{00000000-0005-0000-0000-000090130000}"/>
    <cellStyle name="Normal 4 2 4 3 2 6 2 2" xfId="15246" xr:uid="{140058E4-1ADA-4769-8740-283B5CE98C8C}"/>
    <cellStyle name="Normal 4 2 4 3 2 6 3" xfId="11028" xr:uid="{6D1ED204-15C6-414D-8AE4-AE01CBCE4DCD}"/>
    <cellStyle name="Normal 4 2 4 3 2 7" xfId="4739" xr:uid="{00000000-0005-0000-0000-000091130000}"/>
    <cellStyle name="Normal 4 2 4 3 2 7 2" xfId="13181" xr:uid="{6492AE17-3E9C-49F6-AA37-EA8D19B71347}"/>
    <cellStyle name="Normal 4 2 4 3 2 8" xfId="8963" xr:uid="{A9504E4E-056A-466C-9B6B-D68FB75A207E}"/>
    <cellStyle name="Normal 4 2 4 3 3" xfId="836" xr:uid="{00000000-0005-0000-0000-000092130000}"/>
    <cellStyle name="Normal 4 2 4 3 3 2" xfId="3073" xr:uid="{00000000-0005-0000-0000-000093130000}"/>
    <cellStyle name="Normal 4 2 4 3 3 2 2" xfId="7296" xr:uid="{00000000-0005-0000-0000-000094130000}"/>
    <cellStyle name="Normal 4 2 4 3 3 2 2 2" xfId="15738" xr:uid="{D5112515-AB84-4EF5-8CFF-B0ADA449C92A}"/>
    <cellStyle name="Normal 4 2 4 3 3 2 3" xfId="11520" xr:uid="{ED5EE262-7C83-4456-A328-400383ED621F}"/>
    <cellStyle name="Normal 4 2 4 3 3 3" xfId="5151" xr:uid="{00000000-0005-0000-0000-000095130000}"/>
    <cellStyle name="Normal 4 2 4 3 3 3 2" xfId="13593" xr:uid="{7E6835C1-A5D6-4E7B-95D0-162FEC4FE68E}"/>
    <cellStyle name="Normal 4 2 4 3 3 4" xfId="9375" xr:uid="{EE1F899B-60E9-4593-9DA0-B5B1C030A392}"/>
    <cellStyle name="Normal 4 2 4 3 4" xfId="1256" xr:uid="{00000000-0005-0000-0000-000096130000}"/>
    <cellStyle name="Normal 4 2 4 3 4 2" xfId="3486" xr:uid="{00000000-0005-0000-0000-000097130000}"/>
    <cellStyle name="Normal 4 2 4 3 4 2 2" xfId="7709" xr:uid="{00000000-0005-0000-0000-000098130000}"/>
    <cellStyle name="Normal 4 2 4 3 4 2 2 2" xfId="16151" xr:uid="{14774DE1-282E-403A-85FC-22F58C00477C}"/>
    <cellStyle name="Normal 4 2 4 3 4 2 3" xfId="11933" xr:uid="{079618DF-57D3-41CA-BDC5-A885846C7D62}"/>
    <cellStyle name="Normal 4 2 4 3 4 3" xfId="5564" xr:uid="{00000000-0005-0000-0000-000099130000}"/>
    <cellStyle name="Normal 4 2 4 3 4 3 2" xfId="14006" xr:uid="{162DDC97-2C48-4F40-B75B-DAB6DCB187A5}"/>
    <cellStyle name="Normal 4 2 4 3 4 4" xfId="9788" xr:uid="{AC84CA46-7043-49CC-8E1B-5424D053FC8B}"/>
    <cellStyle name="Normal 4 2 4 3 5" xfId="1669" xr:uid="{00000000-0005-0000-0000-00009A130000}"/>
    <cellStyle name="Normal 4 2 4 3 5 2" xfId="3899" xr:uid="{00000000-0005-0000-0000-00009B130000}"/>
    <cellStyle name="Normal 4 2 4 3 5 2 2" xfId="8122" xr:uid="{00000000-0005-0000-0000-00009C130000}"/>
    <cellStyle name="Normal 4 2 4 3 5 2 2 2" xfId="16564" xr:uid="{9E9ECD88-983A-43D0-B80B-7BDD3F3ED041}"/>
    <cellStyle name="Normal 4 2 4 3 5 2 3" xfId="12346" xr:uid="{3E30BB26-1918-45AC-9D8E-7A0DB3BD23D1}"/>
    <cellStyle name="Normal 4 2 4 3 5 3" xfId="5977" xr:uid="{00000000-0005-0000-0000-00009D130000}"/>
    <cellStyle name="Normal 4 2 4 3 5 3 2" xfId="14419" xr:uid="{E4E6CE1B-3634-4771-9A01-6594DFFA9196}"/>
    <cellStyle name="Normal 4 2 4 3 5 4" xfId="10201" xr:uid="{EC8831DC-E888-4A6E-ADED-60C2885E1013}"/>
    <cellStyle name="Normal 4 2 4 3 6" xfId="2083" xr:uid="{00000000-0005-0000-0000-00009E130000}"/>
    <cellStyle name="Normal 4 2 4 3 6 2" xfId="4312" xr:uid="{00000000-0005-0000-0000-00009F130000}"/>
    <cellStyle name="Normal 4 2 4 3 6 2 2" xfId="8535" xr:uid="{00000000-0005-0000-0000-0000A0130000}"/>
    <cellStyle name="Normal 4 2 4 3 6 2 2 2" xfId="16977" xr:uid="{1191582C-07D6-4F69-8D1D-CF7DCB5F7897}"/>
    <cellStyle name="Normal 4 2 4 3 6 2 3" xfId="12759" xr:uid="{F6068FB3-A8BB-40EE-907B-5BA19A0D84FC}"/>
    <cellStyle name="Normal 4 2 4 3 6 3" xfId="6390" xr:uid="{00000000-0005-0000-0000-0000A1130000}"/>
    <cellStyle name="Normal 4 2 4 3 6 3 2" xfId="14832" xr:uid="{05DCF6F0-20EF-4494-9937-F4F5F3C6D492}"/>
    <cellStyle name="Normal 4 2 4 3 6 4" xfId="10614" xr:uid="{9B9339DF-F7C3-4DF2-8B8B-2A3CD69F709E}"/>
    <cellStyle name="Normal 4 2 4 3 7" xfId="2519" xr:uid="{00000000-0005-0000-0000-0000A2130000}"/>
    <cellStyle name="Normal 4 2 4 3 7 2" xfId="6803" xr:uid="{00000000-0005-0000-0000-0000A3130000}"/>
    <cellStyle name="Normal 4 2 4 3 7 2 2" xfId="15245" xr:uid="{3976DD52-A01C-4939-9692-4A7F63665B32}"/>
    <cellStyle name="Normal 4 2 4 3 7 3" xfId="11027" xr:uid="{EB7B9B44-DEB9-4C8A-9322-D90503F54198}"/>
    <cellStyle name="Normal 4 2 4 3 8" xfId="4738" xr:uid="{00000000-0005-0000-0000-0000A4130000}"/>
    <cellStyle name="Normal 4 2 4 3 8 2" xfId="13180" xr:uid="{8D8CA017-0434-4976-8727-B63806275D7E}"/>
    <cellStyle name="Normal 4 2 4 3 9" xfId="8962" xr:uid="{E3379715-C6B6-4CFC-B3EE-B53E0484BE75}"/>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2 2 2" xfId="15740" xr:uid="{D3347E1D-9807-433C-A736-B08C5E0BA855}"/>
    <cellStyle name="Normal 4 2 4 4 2 2 3" xfId="11522" xr:uid="{81813BD4-C5AB-44E4-A1DF-440CE1AF2ECB}"/>
    <cellStyle name="Normal 4 2 4 4 2 3" xfId="5153" xr:uid="{00000000-0005-0000-0000-0000A9130000}"/>
    <cellStyle name="Normal 4 2 4 4 2 3 2" xfId="13595" xr:uid="{1E58531E-FD70-49F9-94F3-F0F008D76F14}"/>
    <cellStyle name="Normal 4 2 4 4 2 4" xfId="9377" xr:uid="{69BC3910-0555-4761-921E-27A277775F70}"/>
    <cellStyle name="Normal 4 2 4 4 3" xfId="1258" xr:uid="{00000000-0005-0000-0000-0000AA130000}"/>
    <cellStyle name="Normal 4 2 4 4 3 2" xfId="3488" xr:uid="{00000000-0005-0000-0000-0000AB130000}"/>
    <cellStyle name="Normal 4 2 4 4 3 2 2" xfId="7711" xr:uid="{00000000-0005-0000-0000-0000AC130000}"/>
    <cellStyle name="Normal 4 2 4 4 3 2 2 2" xfId="16153" xr:uid="{9668929B-E6FE-4CB0-ADA0-398CF6131E13}"/>
    <cellStyle name="Normal 4 2 4 4 3 2 3" xfId="11935" xr:uid="{75731E02-1F86-4E26-A73B-3896698E70A3}"/>
    <cellStyle name="Normal 4 2 4 4 3 3" xfId="5566" xr:uid="{00000000-0005-0000-0000-0000AD130000}"/>
    <cellStyle name="Normal 4 2 4 4 3 3 2" xfId="14008" xr:uid="{528F69AD-90EC-4A89-9E8D-9A9BA07FFCCA}"/>
    <cellStyle name="Normal 4 2 4 4 3 4" xfId="9790" xr:uid="{71D31C8B-42E0-4BFE-9BAB-69B251206AA4}"/>
    <cellStyle name="Normal 4 2 4 4 4" xfId="1671" xr:uid="{00000000-0005-0000-0000-0000AE130000}"/>
    <cellStyle name="Normal 4 2 4 4 4 2" xfId="3901" xr:uid="{00000000-0005-0000-0000-0000AF130000}"/>
    <cellStyle name="Normal 4 2 4 4 4 2 2" xfId="8124" xr:uid="{00000000-0005-0000-0000-0000B0130000}"/>
    <cellStyle name="Normal 4 2 4 4 4 2 2 2" xfId="16566" xr:uid="{2EAE0B44-21D7-4D4C-BB05-F573E2365EEB}"/>
    <cellStyle name="Normal 4 2 4 4 4 2 3" xfId="12348" xr:uid="{C822EDF1-4052-4040-A87A-DA5D8797D5CB}"/>
    <cellStyle name="Normal 4 2 4 4 4 3" xfId="5979" xr:uid="{00000000-0005-0000-0000-0000B1130000}"/>
    <cellStyle name="Normal 4 2 4 4 4 3 2" xfId="14421" xr:uid="{DF2ED76B-43BE-4DF7-9744-B09F16C14D62}"/>
    <cellStyle name="Normal 4 2 4 4 4 4" xfId="10203" xr:uid="{A98C30EA-6A01-4454-AFD0-6DB141DD6589}"/>
    <cellStyle name="Normal 4 2 4 4 5" xfId="2085" xr:uid="{00000000-0005-0000-0000-0000B2130000}"/>
    <cellStyle name="Normal 4 2 4 4 5 2" xfId="4314" xr:uid="{00000000-0005-0000-0000-0000B3130000}"/>
    <cellStyle name="Normal 4 2 4 4 5 2 2" xfId="8537" xr:uid="{00000000-0005-0000-0000-0000B4130000}"/>
    <cellStyle name="Normal 4 2 4 4 5 2 2 2" xfId="16979" xr:uid="{3272C84E-1977-4AEB-A054-27806210EF34}"/>
    <cellStyle name="Normal 4 2 4 4 5 2 3" xfId="12761" xr:uid="{9C47E200-AD0C-41A5-A190-F91FB06D04E1}"/>
    <cellStyle name="Normal 4 2 4 4 5 3" xfId="6392" xr:uid="{00000000-0005-0000-0000-0000B5130000}"/>
    <cellStyle name="Normal 4 2 4 4 5 3 2" xfId="14834" xr:uid="{5EB65DD6-D2C4-4946-BB38-0DC93DA55953}"/>
    <cellStyle name="Normal 4 2 4 4 5 4" xfId="10616" xr:uid="{DD03A1F8-BE59-49E2-8BC3-9E057D84D8B0}"/>
    <cellStyle name="Normal 4 2 4 4 6" xfId="2521" xr:uid="{00000000-0005-0000-0000-0000B6130000}"/>
    <cellStyle name="Normal 4 2 4 4 6 2" xfId="6805" xr:uid="{00000000-0005-0000-0000-0000B7130000}"/>
    <cellStyle name="Normal 4 2 4 4 6 2 2" xfId="15247" xr:uid="{E13D443F-942D-4DAD-AC14-CA694552C154}"/>
    <cellStyle name="Normal 4 2 4 4 6 3" xfId="11029" xr:uid="{583329EA-6B9B-40DA-A5D9-DE4D8F5E22B2}"/>
    <cellStyle name="Normal 4 2 4 4 7" xfId="4740" xr:uid="{00000000-0005-0000-0000-0000B8130000}"/>
    <cellStyle name="Normal 4 2 4 4 7 2" xfId="13182" xr:uid="{9EE0540B-338D-4617-8A3B-43BA448EF16A}"/>
    <cellStyle name="Normal 4 2 4 4 8" xfId="8964" xr:uid="{7870F83F-FE00-4306-B207-DAAF72FD0052}"/>
    <cellStyle name="Normal 4 2 4 5" xfId="831" xr:uid="{00000000-0005-0000-0000-0000B9130000}"/>
    <cellStyle name="Normal 4 2 4 5 2" xfId="3068" xr:uid="{00000000-0005-0000-0000-0000BA130000}"/>
    <cellStyle name="Normal 4 2 4 5 2 2" xfId="7291" xr:uid="{00000000-0005-0000-0000-0000BB130000}"/>
    <cellStyle name="Normal 4 2 4 5 2 2 2" xfId="15733" xr:uid="{6477CA05-3127-471A-A8B8-2C3E2BA28D5B}"/>
    <cellStyle name="Normal 4 2 4 5 2 3" xfId="11515" xr:uid="{51971631-E549-447A-827D-8C0DBD2757E7}"/>
    <cellStyle name="Normal 4 2 4 5 3" xfId="5146" xr:uid="{00000000-0005-0000-0000-0000BC130000}"/>
    <cellStyle name="Normal 4 2 4 5 3 2" xfId="13588" xr:uid="{6A4252DD-73AF-473A-99DB-DAAF0D7D169F}"/>
    <cellStyle name="Normal 4 2 4 5 4" xfId="9370" xr:uid="{0B8065C0-0DCC-4079-ACAF-CCA5F7549125}"/>
    <cellStyle name="Normal 4 2 4 6" xfId="1251" xr:uid="{00000000-0005-0000-0000-0000BD130000}"/>
    <cellStyle name="Normal 4 2 4 6 2" xfId="3481" xr:uid="{00000000-0005-0000-0000-0000BE130000}"/>
    <cellStyle name="Normal 4 2 4 6 2 2" xfId="7704" xr:uid="{00000000-0005-0000-0000-0000BF130000}"/>
    <cellStyle name="Normal 4 2 4 6 2 2 2" xfId="16146" xr:uid="{0DC6FFAE-D325-429E-A1C0-F3F8403FC1F0}"/>
    <cellStyle name="Normal 4 2 4 6 2 3" xfId="11928" xr:uid="{67A19C50-86D2-49D8-A4F8-4D5C6DA28CFF}"/>
    <cellStyle name="Normal 4 2 4 6 3" xfId="5559" xr:uid="{00000000-0005-0000-0000-0000C0130000}"/>
    <cellStyle name="Normal 4 2 4 6 3 2" xfId="14001" xr:uid="{B2B4A36B-1F48-4C41-B7F7-5BFE4150C384}"/>
    <cellStyle name="Normal 4 2 4 6 4" xfId="9783" xr:uid="{490EE965-1DE2-4954-A39A-5C6E975011CF}"/>
    <cellStyle name="Normal 4 2 4 7" xfId="1664" xr:uid="{00000000-0005-0000-0000-0000C1130000}"/>
    <cellStyle name="Normal 4 2 4 7 2" xfId="3894" xr:uid="{00000000-0005-0000-0000-0000C2130000}"/>
    <cellStyle name="Normal 4 2 4 7 2 2" xfId="8117" xr:uid="{00000000-0005-0000-0000-0000C3130000}"/>
    <cellStyle name="Normal 4 2 4 7 2 2 2" xfId="16559" xr:uid="{332C888F-C56A-458A-8093-6EC34D0D22AF}"/>
    <cellStyle name="Normal 4 2 4 7 2 3" xfId="12341" xr:uid="{4A9721D9-5971-44EE-970B-49687D3A77BB}"/>
    <cellStyle name="Normal 4 2 4 7 3" xfId="5972" xr:uid="{00000000-0005-0000-0000-0000C4130000}"/>
    <cellStyle name="Normal 4 2 4 7 3 2" xfId="14414" xr:uid="{A6BB818E-084E-4090-88DC-02347089E120}"/>
    <cellStyle name="Normal 4 2 4 7 4" xfId="10196" xr:uid="{11829EA0-00C5-42ED-B6D1-F4A8154C5D70}"/>
    <cellStyle name="Normal 4 2 4 8" xfId="2078" xr:uid="{00000000-0005-0000-0000-0000C5130000}"/>
    <cellStyle name="Normal 4 2 4 8 2" xfId="4307" xr:uid="{00000000-0005-0000-0000-0000C6130000}"/>
    <cellStyle name="Normal 4 2 4 8 2 2" xfId="8530" xr:uid="{00000000-0005-0000-0000-0000C7130000}"/>
    <cellStyle name="Normal 4 2 4 8 2 2 2" xfId="16972" xr:uid="{B086D9A9-F6C1-4D6E-A641-399F12B886DD}"/>
    <cellStyle name="Normal 4 2 4 8 2 3" xfId="12754" xr:uid="{96AF1EC3-E422-46A6-BEA6-58B0529B9B3F}"/>
    <cellStyle name="Normal 4 2 4 8 3" xfId="6385" xr:uid="{00000000-0005-0000-0000-0000C8130000}"/>
    <cellStyle name="Normal 4 2 4 8 3 2" xfId="14827" xr:uid="{95606AF2-795E-431C-A0B0-7E5972BE001E}"/>
    <cellStyle name="Normal 4 2 4 8 4" xfId="10609" xr:uid="{FCD9F81D-F3E6-495B-9A55-522BDAECBC58}"/>
    <cellStyle name="Normal 4 2 4 9" xfId="2514" xr:uid="{00000000-0005-0000-0000-0000C9130000}"/>
    <cellStyle name="Normal 4 2 4 9 2" xfId="6798" xr:uid="{00000000-0005-0000-0000-0000CA130000}"/>
    <cellStyle name="Normal 4 2 4 9 2 2" xfId="15240" xr:uid="{C2E642B8-83EF-4F9B-B647-A7E3C2CA4252}"/>
    <cellStyle name="Normal 4 2 4 9 3" xfId="11022" xr:uid="{03056CCA-5309-43C2-BCB9-C3E207353F89}"/>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2 2 2" xfId="15742" xr:uid="{BEC6FF84-6AB3-4796-928E-84776BC3B18A}"/>
    <cellStyle name="Normal 4 2 5 2 2 2 3" xfId="11524" xr:uid="{61406BD6-73C0-4E35-B9DB-86051592953F}"/>
    <cellStyle name="Normal 4 2 5 2 2 3" xfId="5155" xr:uid="{00000000-0005-0000-0000-0000D0130000}"/>
    <cellStyle name="Normal 4 2 5 2 2 3 2" xfId="13597" xr:uid="{989164D9-1E05-43D9-A4C7-0193159445F5}"/>
    <cellStyle name="Normal 4 2 5 2 2 4" xfId="9379" xr:uid="{F5A61F91-7D51-4D38-B119-CFD4CABD36E6}"/>
    <cellStyle name="Normal 4 2 5 2 3" xfId="1260" xr:uid="{00000000-0005-0000-0000-0000D1130000}"/>
    <cellStyle name="Normal 4 2 5 2 3 2" xfId="3490" xr:uid="{00000000-0005-0000-0000-0000D2130000}"/>
    <cellStyle name="Normal 4 2 5 2 3 2 2" xfId="7713" xr:uid="{00000000-0005-0000-0000-0000D3130000}"/>
    <cellStyle name="Normal 4 2 5 2 3 2 2 2" xfId="16155" xr:uid="{ED609140-C43F-448E-8656-9716218F34AE}"/>
    <cellStyle name="Normal 4 2 5 2 3 2 3" xfId="11937" xr:uid="{AF6A548F-DCE7-4C52-A717-6F7372A561D5}"/>
    <cellStyle name="Normal 4 2 5 2 3 3" xfId="5568" xr:uid="{00000000-0005-0000-0000-0000D4130000}"/>
    <cellStyle name="Normal 4 2 5 2 3 3 2" xfId="14010" xr:uid="{DA7CA1A7-E622-47C2-A66E-28F5A445DF64}"/>
    <cellStyle name="Normal 4 2 5 2 3 4" xfId="9792" xr:uid="{68139C44-FB6A-4BA5-82DA-13DC0E765FD9}"/>
    <cellStyle name="Normal 4 2 5 2 4" xfId="1673" xr:uid="{00000000-0005-0000-0000-0000D5130000}"/>
    <cellStyle name="Normal 4 2 5 2 4 2" xfId="3903" xr:uid="{00000000-0005-0000-0000-0000D6130000}"/>
    <cellStyle name="Normal 4 2 5 2 4 2 2" xfId="8126" xr:uid="{00000000-0005-0000-0000-0000D7130000}"/>
    <cellStyle name="Normal 4 2 5 2 4 2 2 2" xfId="16568" xr:uid="{5C324416-232C-489B-9891-9E7ADF3B4199}"/>
    <cellStyle name="Normal 4 2 5 2 4 2 3" xfId="12350" xr:uid="{83106B53-CF8E-4E7F-8DE9-2E83D72D4529}"/>
    <cellStyle name="Normal 4 2 5 2 4 3" xfId="5981" xr:uid="{00000000-0005-0000-0000-0000D8130000}"/>
    <cellStyle name="Normal 4 2 5 2 4 3 2" xfId="14423" xr:uid="{47D2425C-406A-470E-A38A-7FFDC186E0C0}"/>
    <cellStyle name="Normal 4 2 5 2 4 4" xfId="10205" xr:uid="{76780011-FA0B-4A9F-B57D-0E2D1DF15A3F}"/>
    <cellStyle name="Normal 4 2 5 2 5" xfId="2087" xr:uid="{00000000-0005-0000-0000-0000D9130000}"/>
    <cellStyle name="Normal 4 2 5 2 5 2" xfId="4316" xr:uid="{00000000-0005-0000-0000-0000DA130000}"/>
    <cellStyle name="Normal 4 2 5 2 5 2 2" xfId="8539" xr:uid="{00000000-0005-0000-0000-0000DB130000}"/>
    <cellStyle name="Normal 4 2 5 2 5 2 2 2" xfId="16981" xr:uid="{84B2CF1B-7788-4F58-83A6-212AA53B1734}"/>
    <cellStyle name="Normal 4 2 5 2 5 2 3" xfId="12763" xr:uid="{1249C85C-1C36-40A7-AD6C-265BAC133D65}"/>
    <cellStyle name="Normal 4 2 5 2 5 3" xfId="6394" xr:uid="{00000000-0005-0000-0000-0000DC130000}"/>
    <cellStyle name="Normal 4 2 5 2 5 3 2" xfId="14836" xr:uid="{73AFE6A0-113A-44CE-A702-52AC8CF3ADC6}"/>
    <cellStyle name="Normal 4 2 5 2 5 4" xfId="10618" xr:uid="{E88FC003-B4ED-4BE6-9134-588CF700751F}"/>
    <cellStyle name="Normal 4 2 5 2 6" xfId="2523" xr:uid="{00000000-0005-0000-0000-0000DD130000}"/>
    <cellStyle name="Normal 4 2 5 2 6 2" xfId="6807" xr:uid="{00000000-0005-0000-0000-0000DE130000}"/>
    <cellStyle name="Normal 4 2 5 2 6 2 2" xfId="15249" xr:uid="{ACF8758B-FADB-410C-A68E-DB291E647C3D}"/>
    <cellStyle name="Normal 4 2 5 2 6 3" xfId="11031" xr:uid="{E09F206D-2DFA-4BB8-BE95-9C417A2B150C}"/>
    <cellStyle name="Normal 4 2 5 2 7" xfId="4742" xr:uid="{00000000-0005-0000-0000-0000DF130000}"/>
    <cellStyle name="Normal 4 2 5 2 7 2" xfId="13184" xr:uid="{D38738A5-F41E-465F-87D0-9133523F7301}"/>
    <cellStyle name="Normal 4 2 5 2 8" xfId="8966" xr:uid="{BBBA233E-AA4A-4FC2-8E1F-3AC917503730}"/>
    <cellStyle name="Normal 4 2 5 3" xfId="839" xr:uid="{00000000-0005-0000-0000-0000E0130000}"/>
    <cellStyle name="Normal 4 2 5 3 2" xfId="3076" xr:uid="{00000000-0005-0000-0000-0000E1130000}"/>
    <cellStyle name="Normal 4 2 5 3 2 2" xfId="7299" xr:uid="{00000000-0005-0000-0000-0000E2130000}"/>
    <cellStyle name="Normal 4 2 5 3 2 2 2" xfId="15741" xr:uid="{B5A94F5B-913D-449A-9FB2-29553F526725}"/>
    <cellStyle name="Normal 4 2 5 3 2 3" xfId="11523" xr:uid="{F3532AEE-5F0D-4583-BAF2-5244346C9A07}"/>
    <cellStyle name="Normal 4 2 5 3 3" xfId="5154" xr:uid="{00000000-0005-0000-0000-0000E3130000}"/>
    <cellStyle name="Normal 4 2 5 3 3 2" xfId="13596" xr:uid="{D1790D1A-EFFD-4373-9F82-28AD0C8CB82A}"/>
    <cellStyle name="Normal 4 2 5 3 4" xfId="9378" xr:uid="{43101E48-B1F9-4C3C-A64B-778E963B8CF0}"/>
    <cellStyle name="Normal 4 2 5 4" xfId="1259" xr:uid="{00000000-0005-0000-0000-0000E4130000}"/>
    <cellStyle name="Normal 4 2 5 4 2" xfId="3489" xr:uid="{00000000-0005-0000-0000-0000E5130000}"/>
    <cellStyle name="Normal 4 2 5 4 2 2" xfId="7712" xr:uid="{00000000-0005-0000-0000-0000E6130000}"/>
    <cellStyle name="Normal 4 2 5 4 2 2 2" xfId="16154" xr:uid="{902FC200-3A8E-4BD5-92EE-4297F0E1CF06}"/>
    <cellStyle name="Normal 4 2 5 4 2 3" xfId="11936" xr:uid="{444D8B75-CC47-4931-8F88-8FAB25BD8F37}"/>
    <cellStyle name="Normal 4 2 5 4 3" xfId="5567" xr:uid="{00000000-0005-0000-0000-0000E7130000}"/>
    <cellStyle name="Normal 4 2 5 4 3 2" xfId="14009" xr:uid="{3AAA9238-6F10-4CEB-8524-C1A131598227}"/>
    <cellStyle name="Normal 4 2 5 4 4" xfId="9791" xr:uid="{76CA245E-DBF4-41F1-8175-DE783849F6BF}"/>
    <cellStyle name="Normal 4 2 5 5" xfId="1672" xr:uid="{00000000-0005-0000-0000-0000E8130000}"/>
    <cellStyle name="Normal 4 2 5 5 2" xfId="3902" xr:uid="{00000000-0005-0000-0000-0000E9130000}"/>
    <cellStyle name="Normal 4 2 5 5 2 2" xfId="8125" xr:uid="{00000000-0005-0000-0000-0000EA130000}"/>
    <cellStyle name="Normal 4 2 5 5 2 2 2" xfId="16567" xr:uid="{E0AD8686-E5DD-43AB-A9E6-163A54D6DE61}"/>
    <cellStyle name="Normal 4 2 5 5 2 3" xfId="12349" xr:uid="{52AC98EE-D35C-4166-BAD2-7044211945F7}"/>
    <cellStyle name="Normal 4 2 5 5 3" xfId="5980" xr:uid="{00000000-0005-0000-0000-0000EB130000}"/>
    <cellStyle name="Normal 4 2 5 5 3 2" xfId="14422" xr:uid="{D4A90BEA-1744-4A2A-B6F2-6205BB0A783B}"/>
    <cellStyle name="Normal 4 2 5 5 4" xfId="10204" xr:uid="{85689F6A-F3DC-4C9E-88C0-F290F33410B0}"/>
    <cellStyle name="Normal 4 2 5 6" xfId="2086" xr:uid="{00000000-0005-0000-0000-0000EC130000}"/>
    <cellStyle name="Normal 4 2 5 6 2" xfId="4315" xr:uid="{00000000-0005-0000-0000-0000ED130000}"/>
    <cellStyle name="Normal 4 2 5 6 2 2" xfId="8538" xr:uid="{00000000-0005-0000-0000-0000EE130000}"/>
    <cellStyle name="Normal 4 2 5 6 2 2 2" xfId="16980" xr:uid="{33C4F7A8-6D78-4407-BC80-C4AC0BC22774}"/>
    <cellStyle name="Normal 4 2 5 6 2 3" xfId="12762" xr:uid="{6F25FB5E-2FDA-4BB6-89C3-7A71385A5042}"/>
    <cellStyle name="Normal 4 2 5 6 3" xfId="6393" xr:uid="{00000000-0005-0000-0000-0000EF130000}"/>
    <cellStyle name="Normal 4 2 5 6 3 2" xfId="14835" xr:uid="{B30695FA-A3DF-48FA-B8B5-9F21731D6446}"/>
    <cellStyle name="Normal 4 2 5 6 4" xfId="10617" xr:uid="{41DDB1EC-E9D8-4E5D-A70E-EE6DEF305455}"/>
    <cellStyle name="Normal 4 2 5 7" xfId="2522" xr:uid="{00000000-0005-0000-0000-0000F0130000}"/>
    <cellStyle name="Normal 4 2 5 7 2" xfId="6806" xr:uid="{00000000-0005-0000-0000-0000F1130000}"/>
    <cellStyle name="Normal 4 2 5 7 2 2" xfId="15248" xr:uid="{16841F9C-95DD-4BDD-B229-CD58BA110016}"/>
    <cellStyle name="Normal 4 2 5 7 3" xfId="11030" xr:uid="{96F339C2-44B0-4336-BF10-946091C77EA6}"/>
    <cellStyle name="Normal 4 2 5 8" xfId="4741" xr:uid="{00000000-0005-0000-0000-0000F2130000}"/>
    <cellStyle name="Normal 4 2 5 8 2" xfId="13183" xr:uid="{58022A77-7CD6-4D11-8190-FF6BFBF28AD5}"/>
    <cellStyle name="Normal 4 2 5 9" xfId="8965" xr:uid="{8C357203-CF91-441A-99F2-C4CA618BC769}"/>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2 2 2" xfId="15743" xr:uid="{F990A0A6-B098-4D37-B140-FE8895DF3A86}"/>
    <cellStyle name="Normal 4 2 6 2 2 3" xfId="11525" xr:uid="{E1EBEECF-1D50-4519-8E1E-AF557C173EDE}"/>
    <cellStyle name="Normal 4 2 6 2 3" xfId="5156" xr:uid="{00000000-0005-0000-0000-0000F7130000}"/>
    <cellStyle name="Normal 4 2 6 2 3 2" xfId="13598" xr:uid="{C1B778A2-AB1C-4C70-8BF0-959E16341ADD}"/>
    <cellStyle name="Normal 4 2 6 2 4" xfId="9380" xr:uid="{523B6A88-6480-4D3D-833D-052D22731555}"/>
    <cellStyle name="Normal 4 2 6 3" xfId="1261" xr:uid="{00000000-0005-0000-0000-0000F8130000}"/>
    <cellStyle name="Normal 4 2 6 3 2" xfId="3491" xr:uid="{00000000-0005-0000-0000-0000F9130000}"/>
    <cellStyle name="Normal 4 2 6 3 2 2" xfId="7714" xr:uid="{00000000-0005-0000-0000-0000FA130000}"/>
    <cellStyle name="Normal 4 2 6 3 2 2 2" xfId="16156" xr:uid="{1CE8A129-EEB9-4BB7-929A-6AADD2AD0CB7}"/>
    <cellStyle name="Normal 4 2 6 3 2 3" xfId="11938" xr:uid="{4E3F5368-CBF8-4591-BAB3-0475BCAD1409}"/>
    <cellStyle name="Normal 4 2 6 3 3" xfId="5569" xr:uid="{00000000-0005-0000-0000-0000FB130000}"/>
    <cellStyle name="Normal 4 2 6 3 3 2" xfId="14011" xr:uid="{84F16CEA-D603-474A-B6CB-B946DDE96D6D}"/>
    <cellStyle name="Normal 4 2 6 3 4" xfId="9793" xr:uid="{FD25AD65-419A-46B1-8DFE-55ABA7F84DA9}"/>
    <cellStyle name="Normal 4 2 6 4" xfId="1674" xr:uid="{00000000-0005-0000-0000-0000FC130000}"/>
    <cellStyle name="Normal 4 2 6 4 2" xfId="3904" xr:uid="{00000000-0005-0000-0000-0000FD130000}"/>
    <cellStyle name="Normal 4 2 6 4 2 2" xfId="8127" xr:uid="{00000000-0005-0000-0000-0000FE130000}"/>
    <cellStyle name="Normal 4 2 6 4 2 2 2" xfId="16569" xr:uid="{0FB9DE2A-70D0-44B5-AC22-EFD4C5ED417E}"/>
    <cellStyle name="Normal 4 2 6 4 2 3" xfId="12351" xr:uid="{9839CCA0-A0D2-45DB-983F-4F0F7429C7C5}"/>
    <cellStyle name="Normal 4 2 6 4 3" xfId="5982" xr:uid="{00000000-0005-0000-0000-0000FF130000}"/>
    <cellStyle name="Normal 4 2 6 4 3 2" xfId="14424" xr:uid="{68E0F459-A11D-4FB8-A65D-57138DA6584C}"/>
    <cellStyle name="Normal 4 2 6 4 4" xfId="10206" xr:uid="{46479B40-41CC-4F53-959E-BBDC931B80E4}"/>
    <cellStyle name="Normal 4 2 6 5" xfId="2088" xr:uid="{00000000-0005-0000-0000-000000140000}"/>
    <cellStyle name="Normal 4 2 6 5 2" xfId="4317" xr:uid="{00000000-0005-0000-0000-000001140000}"/>
    <cellStyle name="Normal 4 2 6 5 2 2" xfId="8540" xr:uid="{00000000-0005-0000-0000-000002140000}"/>
    <cellStyle name="Normal 4 2 6 5 2 2 2" xfId="16982" xr:uid="{20198E98-7EF8-49BB-BD65-D59CF38D1A81}"/>
    <cellStyle name="Normal 4 2 6 5 2 3" xfId="12764" xr:uid="{B65B623B-100B-46DF-B858-49A64B326BC6}"/>
    <cellStyle name="Normal 4 2 6 5 3" xfId="6395" xr:uid="{00000000-0005-0000-0000-000003140000}"/>
    <cellStyle name="Normal 4 2 6 5 3 2" xfId="14837" xr:uid="{3EDD3DAC-4930-45ED-8F27-0129BE41EFA5}"/>
    <cellStyle name="Normal 4 2 6 5 4" xfId="10619" xr:uid="{BEC0BF36-FEDC-449D-9FB1-C7C05A9E9CF5}"/>
    <cellStyle name="Normal 4 2 6 6" xfId="2524" xr:uid="{00000000-0005-0000-0000-000004140000}"/>
    <cellStyle name="Normal 4 2 6 6 2" xfId="6808" xr:uid="{00000000-0005-0000-0000-000005140000}"/>
    <cellStyle name="Normal 4 2 6 6 2 2" xfId="15250" xr:uid="{28E56B27-DBB3-4C3A-B367-25BCCD14FF54}"/>
    <cellStyle name="Normal 4 2 6 6 3" xfId="11032" xr:uid="{CEBED015-564D-4420-ACF5-02414B1DEB6C}"/>
    <cellStyle name="Normal 4 2 6 7" xfId="4743" xr:uid="{00000000-0005-0000-0000-000006140000}"/>
    <cellStyle name="Normal 4 2 6 7 2" xfId="13185" xr:uid="{1AB11591-9FEA-40E3-87F2-1786EABF09D0}"/>
    <cellStyle name="Normal 4 2 6 8" xfId="8967" xr:uid="{94F81A8C-35E5-4283-BC5F-AA631B8DD0E0}"/>
    <cellStyle name="Normal 4 3" xfId="366" xr:uid="{00000000-0005-0000-0000-000007140000}"/>
    <cellStyle name="Normal 4 3 10" xfId="8968" xr:uid="{CCF431AF-0985-4833-A1E4-9821A3DF01CB}"/>
    <cellStyle name="Normal 4 3 2" xfId="367" xr:uid="{00000000-0005-0000-0000-000008140000}"/>
    <cellStyle name="Normal 4 3 2 2" xfId="368" xr:uid="{00000000-0005-0000-0000-000009140000}"/>
    <cellStyle name="Normal 4 3 2 2 2" xfId="369" xr:uid="{00000000-0005-0000-0000-00000A140000}"/>
    <cellStyle name="Normal 4 3 2 2 2 10" xfId="8969" xr:uid="{D1F85561-D278-42AA-BB9E-2D1C1ABCDD99}"/>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2 2 2" xfId="15747" xr:uid="{99B18BBB-97F0-4EC6-A08C-BA27E3E84677}"/>
    <cellStyle name="Normal 4 3 2 2 2 2 2 2 2 3" xfId="11529" xr:uid="{2F7E086A-B385-47C2-97ED-CF7BA7BF58A6}"/>
    <cellStyle name="Normal 4 3 2 2 2 2 2 2 3" xfId="5160" xr:uid="{00000000-0005-0000-0000-000010140000}"/>
    <cellStyle name="Normal 4 3 2 2 2 2 2 2 3 2" xfId="13602" xr:uid="{34077A04-68CF-4D11-87A3-118AFA48C65D}"/>
    <cellStyle name="Normal 4 3 2 2 2 2 2 2 4" xfId="9384" xr:uid="{A46C469B-637D-4D03-B9C4-15FE2A97F645}"/>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2 2 2" xfId="16160" xr:uid="{5C81705F-AA42-47E6-8EFC-99CA053E1D25}"/>
    <cellStyle name="Normal 4 3 2 2 2 2 2 3 2 3" xfId="11942" xr:uid="{742E1FDC-3593-4B54-B1E1-2F3F2B5F87E6}"/>
    <cellStyle name="Normal 4 3 2 2 2 2 2 3 3" xfId="5573" xr:uid="{00000000-0005-0000-0000-000014140000}"/>
    <cellStyle name="Normal 4 3 2 2 2 2 2 3 3 2" xfId="14015" xr:uid="{5DA9B166-A34F-42E8-AC8D-2AF0FDC0FB16}"/>
    <cellStyle name="Normal 4 3 2 2 2 2 2 3 4" xfId="9797" xr:uid="{E149FDCE-77FF-4115-9774-090AEDAEF965}"/>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2 2 2" xfId="16573" xr:uid="{B71D6EDE-B2FC-454A-8983-8A6EE9FF9ADF}"/>
    <cellStyle name="Normal 4 3 2 2 2 2 2 4 2 3" xfId="12355" xr:uid="{5AE51495-6BE1-40D5-981B-BB8D72C8689B}"/>
    <cellStyle name="Normal 4 3 2 2 2 2 2 4 3" xfId="5986" xr:uid="{00000000-0005-0000-0000-000018140000}"/>
    <cellStyle name="Normal 4 3 2 2 2 2 2 4 3 2" xfId="14428" xr:uid="{11911E9B-6EF0-440B-B32C-5032DD3DB029}"/>
    <cellStyle name="Normal 4 3 2 2 2 2 2 4 4" xfId="10210" xr:uid="{B527808E-E906-4DFE-83AD-939FF29CE436}"/>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2 2 2" xfId="16986" xr:uid="{6BD41C34-140E-4CF4-810F-80519B85514D}"/>
    <cellStyle name="Normal 4 3 2 2 2 2 2 5 2 3" xfId="12768" xr:uid="{B27C03FC-5182-454A-A840-88EBEE5CB57E}"/>
    <cellStyle name="Normal 4 3 2 2 2 2 2 5 3" xfId="6399" xr:uid="{00000000-0005-0000-0000-00001C140000}"/>
    <cellStyle name="Normal 4 3 2 2 2 2 2 5 3 2" xfId="14841" xr:uid="{E4699488-D799-498B-9BDA-FF94E94902C6}"/>
    <cellStyle name="Normal 4 3 2 2 2 2 2 5 4" xfId="10623" xr:uid="{7C8C4406-0ADD-436B-82D0-88F4FA9D9740}"/>
    <cellStyle name="Normal 4 3 2 2 2 2 2 6" xfId="2528" xr:uid="{00000000-0005-0000-0000-00001D140000}"/>
    <cellStyle name="Normal 4 3 2 2 2 2 2 6 2" xfId="6812" xr:uid="{00000000-0005-0000-0000-00001E140000}"/>
    <cellStyle name="Normal 4 3 2 2 2 2 2 6 2 2" xfId="15254" xr:uid="{C90924A1-5271-4B6F-B872-FB8672271E4A}"/>
    <cellStyle name="Normal 4 3 2 2 2 2 2 6 3" xfId="11036" xr:uid="{E1D47EE4-E628-4D01-ABB6-76F6B059B428}"/>
    <cellStyle name="Normal 4 3 2 2 2 2 2 7" xfId="4747" xr:uid="{00000000-0005-0000-0000-00001F140000}"/>
    <cellStyle name="Normal 4 3 2 2 2 2 2 7 2" xfId="13189" xr:uid="{895FC5D5-C0F5-4F22-8943-F3264C27EA1F}"/>
    <cellStyle name="Normal 4 3 2 2 2 2 2 8" xfId="8971" xr:uid="{E9BF2859-6EBF-460F-B0A5-8D2B335315EE}"/>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2 2 2" xfId="15746" xr:uid="{617184FB-6884-4ACA-9815-4A9FA6ACB1E6}"/>
    <cellStyle name="Normal 4 3 2 2 2 2 3 2 3" xfId="11528" xr:uid="{1180C68A-1125-49FB-BB0C-2DA148E5E279}"/>
    <cellStyle name="Normal 4 3 2 2 2 2 3 3" xfId="5159" xr:uid="{00000000-0005-0000-0000-000023140000}"/>
    <cellStyle name="Normal 4 3 2 2 2 2 3 3 2" xfId="13601" xr:uid="{98A33B37-C4E1-4888-90B5-C40DB11DB39C}"/>
    <cellStyle name="Normal 4 3 2 2 2 2 3 4" xfId="9383" xr:uid="{40961E34-DF20-4D00-9FFD-E40883ED128C}"/>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2 2 2" xfId="16159" xr:uid="{FBCCB1EA-BD7C-4DD7-AF44-0490950F7053}"/>
    <cellStyle name="Normal 4 3 2 2 2 2 4 2 3" xfId="11941" xr:uid="{575DDB7C-830D-438F-88E6-ABF4C9B246C8}"/>
    <cellStyle name="Normal 4 3 2 2 2 2 4 3" xfId="5572" xr:uid="{00000000-0005-0000-0000-000027140000}"/>
    <cellStyle name="Normal 4 3 2 2 2 2 4 3 2" xfId="14014" xr:uid="{218D8C38-8155-4B9C-A420-E6F76893F584}"/>
    <cellStyle name="Normal 4 3 2 2 2 2 4 4" xfId="9796" xr:uid="{1BC7F692-4D36-48CB-8E76-4C2C23B17D81}"/>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2 2 2" xfId="16572" xr:uid="{78EAE912-868F-4B80-A635-1101D196C4F5}"/>
    <cellStyle name="Normal 4 3 2 2 2 2 5 2 3" xfId="12354" xr:uid="{F9622F86-8FA7-417F-9AA0-9B2A71F904D8}"/>
    <cellStyle name="Normal 4 3 2 2 2 2 5 3" xfId="5985" xr:uid="{00000000-0005-0000-0000-00002B140000}"/>
    <cellStyle name="Normal 4 3 2 2 2 2 5 3 2" xfId="14427" xr:uid="{CAA8B1CC-F266-4A35-B0C8-E4E4FC30A48C}"/>
    <cellStyle name="Normal 4 3 2 2 2 2 5 4" xfId="10209" xr:uid="{97635869-4889-4C95-8B8E-0D19A4ED3254}"/>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2 2 2" xfId="16985" xr:uid="{16518806-6ED4-4AE3-9FE6-38B6948B2B69}"/>
    <cellStyle name="Normal 4 3 2 2 2 2 6 2 3" xfId="12767" xr:uid="{29E610C9-8A79-4FB7-9BE9-C63CA0F27E77}"/>
    <cellStyle name="Normal 4 3 2 2 2 2 6 3" xfId="6398" xr:uid="{00000000-0005-0000-0000-00002F140000}"/>
    <cellStyle name="Normal 4 3 2 2 2 2 6 3 2" xfId="14840" xr:uid="{5BB3FD50-2BF9-4DA3-B430-2D42AFB86140}"/>
    <cellStyle name="Normal 4 3 2 2 2 2 6 4" xfId="10622" xr:uid="{74663E98-EE4A-4CE7-98EA-837AC7A7725E}"/>
    <cellStyle name="Normal 4 3 2 2 2 2 7" xfId="2527" xr:uid="{00000000-0005-0000-0000-000030140000}"/>
    <cellStyle name="Normal 4 3 2 2 2 2 7 2" xfId="6811" xr:uid="{00000000-0005-0000-0000-000031140000}"/>
    <cellStyle name="Normal 4 3 2 2 2 2 7 2 2" xfId="15253" xr:uid="{901A715F-B612-49F1-B365-789B057A5795}"/>
    <cellStyle name="Normal 4 3 2 2 2 2 7 3" xfId="11035" xr:uid="{DB76B821-44AC-4025-8A11-971D9AB8857D}"/>
    <cellStyle name="Normal 4 3 2 2 2 2 8" xfId="4746" xr:uid="{00000000-0005-0000-0000-000032140000}"/>
    <cellStyle name="Normal 4 3 2 2 2 2 8 2" xfId="13188" xr:uid="{0B07BAC8-77EC-487C-BBCB-F9260DA5C54E}"/>
    <cellStyle name="Normal 4 3 2 2 2 2 9" xfId="8970" xr:uid="{4F52743F-BA33-4C45-9F08-619849B0E431}"/>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2 2 2" xfId="15748" xr:uid="{F672EB02-F87A-4B4A-B673-8FA90CAB94DE}"/>
    <cellStyle name="Normal 4 3 2 2 2 3 2 2 3" xfId="11530" xr:uid="{E0699A58-A1A0-4D5E-B676-AA260CC18A53}"/>
    <cellStyle name="Normal 4 3 2 2 2 3 2 3" xfId="5161" xr:uid="{00000000-0005-0000-0000-000037140000}"/>
    <cellStyle name="Normal 4 3 2 2 2 3 2 3 2" xfId="13603" xr:uid="{52019295-A46A-4BBD-9CA8-7478AE43C701}"/>
    <cellStyle name="Normal 4 3 2 2 2 3 2 4" xfId="9385" xr:uid="{1343D400-DBFF-4F8B-AAEE-14EECB3A5F99}"/>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2 2 2" xfId="16161" xr:uid="{C2BA4C20-5F6B-4AF9-B7CC-CBE79C471430}"/>
    <cellStyle name="Normal 4 3 2 2 2 3 3 2 3" xfId="11943" xr:uid="{1776AF57-EA97-4C99-AC30-4A50E7CE71EC}"/>
    <cellStyle name="Normal 4 3 2 2 2 3 3 3" xfId="5574" xr:uid="{00000000-0005-0000-0000-00003B140000}"/>
    <cellStyle name="Normal 4 3 2 2 2 3 3 3 2" xfId="14016" xr:uid="{C9271C2F-C647-4684-99E3-8CC6D4410766}"/>
    <cellStyle name="Normal 4 3 2 2 2 3 3 4" xfId="9798" xr:uid="{802F0C87-B6D7-439E-8694-F10232653088}"/>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2 2 2" xfId="16574" xr:uid="{DA129B7E-A203-44E6-8FBF-399FAC38B3DB}"/>
    <cellStyle name="Normal 4 3 2 2 2 3 4 2 3" xfId="12356" xr:uid="{AAEDD45D-3400-4899-9CDF-8EF6D8CCE262}"/>
    <cellStyle name="Normal 4 3 2 2 2 3 4 3" xfId="5987" xr:uid="{00000000-0005-0000-0000-00003F140000}"/>
    <cellStyle name="Normal 4 3 2 2 2 3 4 3 2" xfId="14429" xr:uid="{70DCD876-36C9-406C-8AE8-0612FF1818C7}"/>
    <cellStyle name="Normal 4 3 2 2 2 3 4 4" xfId="10211" xr:uid="{991D5CE2-DB42-4216-9854-2587BF9A1859}"/>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2 2 2" xfId="16987" xr:uid="{59B935E2-63AE-49C2-BEB5-F2A81C697D97}"/>
    <cellStyle name="Normal 4 3 2 2 2 3 5 2 3" xfId="12769" xr:uid="{C4362147-B6F1-4CDC-A6A2-0D8A1E7F0F93}"/>
    <cellStyle name="Normal 4 3 2 2 2 3 5 3" xfId="6400" xr:uid="{00000000-0005-0000-0000-000043140000}"/>
    <cellStyle name="Normal 4 3 2 2 2 3 5 3 2" xfId="14842" xr:uid="{04675FCB-508B-4669-AA05-9ED6F35A0DFB}"/>
    <cellStyle name="Normal 4 3 2 2 2 3 5 4" xfId="10624" xr:uid="{FDB4E531-6AA0-45C1-AE59-916CEAEDAB59}"/>
    <cellStyle name="Normal 4 3 2 2 2 3 6" xfId="2529" xr:uid="{00000000-0005-0000-0000-000044140000}"/>
    <cellStyle name="Normal 4 3 2 2 2 3 6 2" xfId="6813" xr:uid="{00000000-0005-0000-0000-000045140000}"/>
    <cellStyle name="Normal 4 3 2 2 2 3 6 2 2" xfId="15255" xr:uid="{087E5BBB-9CBA-4469-BE71-126C9EE21D5F}"/>
    <cellStyle name="Normal 4 3 2 2 2 3 6 3" xfId="11037" xr:uid="{6012BF46-3F06-4B8A-BABE-C2835E442EDA}"/>
    <cellStyle name="Normal 4 3 2 2 2 3 7" xfId="4748" xr:uid="{00000000-0005-0000-0000-000046140000}"/>
    <cellStyle name="Normal 4 3 2 2 2 3 7 2" xfId="13190" xr:uid="{FB15FFD6-5169-4E30-9BFA-AF477A353AE2}"/>
    <cellStyle name="Normal 4 3 2 2 2 3 8" xfId="8972" xr:uid="{9F11BF45-9555-4627-9255-2BE7D6901DB8}"/>
    <cellStyle name="Normal 4 3 2 2 2 4" xfId="844" xr:uid="{00000000-0005-0000-0000-000047140000}"/>
    <cellStyle name="Normal 4 3 2 2 2 4 2" xfId="3080" xr:uid="{00000000-0005-0000-0000-000048140000}"/>
    <cellStyle name="Normal 4 3 2 2 2 4 2 2" xfId="7303" xr:uid="{00000000-0005-0000-0000-000049140000}"/>
    <cellStyle name="Normal 4 3 2 2 2 4 2 2 2" xfId="15745" xr:uid="{46ABA93E-63D8-4EE4-BE8E-53D82C2D9882}"/>
    <cellStyle name="Normal 4 3 2 2 2 4 2 3" xfId="11527" xr:uid="{A4DD5A26-C274-417C-90D1-DFEDB6B06F76}"/>
    <cellStyle name="Normal 4 3 2 2 2 4 3" xfId="5158" xr:uid="{00000000-0005-0000-0000-00004A140000}"/>
    <cellStyle name="Normal 4 3 2 2 2 4 3 2" xfId="13600" xr:uid="{4F53E2B6-281C-473F-B9AB-7F27FAE63465}"/>
    <cellStyle name="Normal 4 3 2 2 2 4 4" xfId="9382" xr:uid="{0326690B-71FF-4383-AB89-A2A5B2CEF16A}"/>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2 2 2" xfId="16158" xr:uid="{9FBAE5D0-D59D-4C35-91E7-6663090BB2BF}"/>
    <cellStyle name="Normal 4 3 2 2 2 5 2 3" xfId="11940" xr:uid="{758C7F64-8D47-42E0-87E2-EEE02B82C382}"/>
    <cellStyle name="Normal 4 3 2 2 2 5 3" xfId="5571" xr:uid="{00000000-0005-0000-0000-00004E140000}"/>
    <cellStyle name="Normal 4 3 2 2 2 5 3 2" xfId="14013" xr:uid="{12380DCF-0019-4162-9BDA-7CFF81971C2A}"/>
    <cellStyle name="Normal 4 3 2 2 2 5 4" xfId="9795" xr:uid="{0D61CDE3-0CF2-40F0-A5E2-07F4B87F29D3}"/>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2 2 2" xfId="16571" xr:uid="{DBAF44E2-9A41-4528-BA53-57E3523112E6}"/>
    <cellStyle name="Normal 4 3 2 2 2 6 2 3" xfId="12353" xr:uid="{7D2F2A9C-7BC5-454F-B9E7-D19C11312C39}"/>
    <cellStyle name="Normal 4 3 2 2 2 6 3" xfId="5984" xr:uid="{00000000-0005-0000-0000-000052140000}"/>
    <cellStyle name="Normal 4 3 2 2 2 6 3 2" xfId="14426" xr:uid="{4D479E51-C86B-49BD-A3C2-B4373546E884}"/>
    <cellStyle name="Normal 4 3 2 2 2 6 4" xfId="10208" xr:uid="{A073337B-CC53-4814-B0E1-BD2DE18FDC6A}"/>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2 2 2" xfId="16984" xr:uid="{8B7F5972-5F2C-46FD-AC26-F2E4415E47A4}"/>
    <cellStyle name="Normal 4 3 2 2 2 7 2 3" xfId="12766" xr:uid="{B2ECC410-94DF-4A9F-A1C4-5538AFDA3F74}"/>
    <cellStyle name="Normal 4 3 2 2 2 7 3" xfId="6397" xr:uid="{00000000-0005-0000-0000-000056140000}"/>
    <cellStyle name="Normal 4 3 2 2 2 7 3 2" xfId="14839" xr:uid="{50018F55-4CB6-4AB3-8EDC-146ADCF7D78A}"/>
    <cellStyle name="Normal 4 3 2 2 2 7 4" xfId="10621" xr:uid="{FC32E94D-578C-458D-B768-85B8AB55B3FB}"/>
    <cellStyle name="Normal 4 3 2 2 2 8" xfId="2526" xr:uid="{00000000-0005-0000-0000-000057140000}"/>
    <cellStyle name="Normal 4 3 2 2 2 8 2" xfId="6810" xr:uid="{00000000-0005-0000-0000-000058140000}"/>
    <cellStyle name="Normal 4 3 2 2 2 8 2 2" xfId="15252" xr:uid="{9BD03180-538C-41A5-91A4-67241CAE97C8}"/>
    <cellStyle name="Normal 4 3 2 2 2 8 3" xfId="11034" xr:uid="{D39CDCEC-A42D-44E4-9E91-1352A57BBF67}"/>
    <cellStyle name="Normal 4 3 2 2 2 9" xfId="4745" xr:uid="{00000000-0005-0000-0000-000059140000}"/>
    <cellStyle name="Normal 4 3 2 2 2 9 2" xfId="13187" xr:uid="{28B33D86-CAD7-4BBF-9F0F-31C467D47BFB}"/>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10" xfId="8973" xr:uid="{9F469C16-CD30-408C-8D96-1E84A51A57D3}"/>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2 2 2" xfId="15751" xr:uid="{A0C22CC0-C985-4AB5-8A21-B464F3FF60BF}"/>
    <cellStyle name="Normal 4 3 3 2 2 2 2 3" xfId="11533" xr:uid="{A6BD9EDD-9FC1-4175-AA5D-E2A897ECD340}"/>
    <cellStyle name="Normal 4 3 3 2 2 2 3" xfId="5164" xr:uid="{00000000-0005-0000-0000-000063140000}"/>
    <cellStyle name="Normal 4 3 3 2 2 2 3 2" xfId="13606" xr:uid="{D290A847-D713-4D60-822A-6E762CA335A2}"/>
    <cellStyle name="Normal 4 3 3 2 2 2 4" xfId="9388" xr:uid="{DA0A7ADB-9567-49DA-B927-6A6FB5FB4E0E}"/>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2 2 2" xfId="16164" xr:uid="{0DC5BFBE-2C1B-4B80-9420-9EB55F5A7F92}"/>
    <cellStyle name="Normal 4 3 3 2 2 3 2 3" xfId="11946" xr:uid="{6D652770-EE23-4BF4-9B68-90F08F887FC4}"/>
    <cellStyle name="Normal 4 3 3 2 2 3 3" xfId="5577" xr:uid="{00000000-0005-0000-0000-000067140000}"/>
    <cellStyle name="Normal 4 3 3 2 2 3 3 2" xfId="14019" xr:uid="{59C2066D-B168-4ECA-8E55-46D39DEA8D29}"/>
    <cellStyle name="Normal 4 3 3 2 2 3 4" xfId="9801" xr:uid="{B4FAEC9F-8018-4E7F-ACC7-4030D5F46AFF}"/>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2 2 2" xfId="16577" xr:uid="{0F1D1EDD-110E-4556-81CD-D75E9BAE2639}"/>
    <cellStyle name="Normal 4 3 3 2 2 4 2 3" xfId="12359" xr:uid="{4FB4CF8A-76FE-4C87-9EB5-CE9F47E7E956}"/>
    <cellStyle name="Normal 4 3 3 2 2 4 3" xfId="5990" xr:uid="{00000000-0005-0000-0000-00006B140000}"/>
    <cellStyle name="Normal 4 3 3 2 2 4 3 2" xfId="14432" xr:uid="{0541E2A2-F624-412D-8343-50E2CBEF0766}"/>
    <cellStyle name="Normal 4 3 3 2 2 4 4" xfId="10214" xr:uid="{82F027C8-FF3C-43CF-BDE4-3EC6A667849B}"/>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2 2 2" xfId="16990" xr:uid="{34721D87-C842-4468-B379-74A5601AC06D}"/>
    <cellStyle name="Normal 4 3 3 2 2 5 2 3" xfId="12772" xr:uid="{7BF48D34-A49A-472F-8EB4-CE8CF8CC7283}"/>
    <cellStyle name="Normal 4 3 3 2 2 5 3" xfId="6403" xr:uid="{00000000-0005-0000-0000-00006F140000}"/>
    <cellStyle name="Normal 4 3 3 2 2 5 3 2" xfId="14845" xr:uid="{706DA164-C9BB-4F61-B073-EE33B4AD2B38}"/>
    <cellStyle name="Normal 4 3 3 2 2 5 4" xfId="10627" xr:uid="{D9495461-DEA7-4F21-8469-B6A2ED15FA9D}"/>
    <cellStyle name="Normal 4 3 3 2 2 6" xfId="2532" xr:uid="{00000000-0005-0000-0000-000070140000}"/>
    <cellStyle name="Normal 4 3 3 2 2 6 2" xfId="6816" xr:uid="{00000000-0005-0000-0000-000071140000}"/>
    <cellStyle name="Normal 4 3 3 2 2 6 2 2" xfId="15258" xr:uid="{7FCCD3DC-0A5F-4916-B94D-E0A9FF5A326A}"/>
    <cellStyle name="Normal 4 3 3 2 2 6 3" xfId="11040" xr:uid="{C692CDC6-0889-4C53-B0A7-6EE4301AD6AD}"/>
    <cellStyle name="Normal 4 3 3 2 2 7" xfId="4751" xr:uid="{00000000-0005-0000-0000-000072140000}"/>
    <cellStyle name="Normal 4 3 3 2 2 7 2" xfId="13193" xr:uid="{958B30E5-E33B-4EEE-91EE-C2ABC524F35E}"/>
    <cellStyle name="Normal 4 3 3 2 2 8" xfId="8975" xr:uid="{8A7C6A08-C500-4CB0-8541-6B755E10521D}"/>
    <cellStyle name="Normal 4 3 3 2 3" xfId="850" xr:uid="{00000000-0005-0000-0000-000073140000}"/>
    <cellStyle name="Normal 4 3 3 2 3 2" xfId="3085" xr:uid="{00000000-0005-0000-0000-000074140000}"/>
    <cellStyle name="Normal 4 3 3 2 3 2 2" xfId="7308" xr:uid="{00000000-0005-0000-0000-000075140000}"/>
    <cellStyle name="Normal 4 3 3 2 3 2 2 2" xfId="15750" xr:uid="{84E2F22D-5742-4CE5-8ED9-6F293DA96EFC}"/>
    <cellStyle name="Normal 4 3 3 2 3 2 3" xfId="11532" xr:uid="{18043D47-D2E9-4756-ADDB-E3241DEDC12A}"/>
    <cellStyle name="Normal 4 3 3 2 3 3" xfId="5163" xr:uid="{00000000-0005-0000-0000-000076140000}"/>
    <cellStyle name="Normal 4 3 3 2 3 3 2" xfId="13605" xr:uid="{06A36E42-B19C-4AE1-8876-50EC081A6A9A}"/>
    <cellStyle name="Normal 4 3 3 2 3 4" xfId="9387" xr:uid="{37F40880-42A8-4E2E-B990-E24D9697F4ED}"/>
    <cellStyle name="Normal 4 3 3 2 4" xfId="1268" xr:uid="{00000000-0005-0000-0000-000077140000}"/>
    <cellStyle name="Normal 4 3 3 2 4 2" xfId="3498" xr:uid="{00000000-0005-0000-0000-000078140000}"/>
    <cellStyle name="Normal 4 3 3 2 4 2 2" xfId="7721" xr:uid="{00000000-0005-0000-0000-000079140000}"/>
    <cellStyle name="Normal 4 3 3 2 4 2 2 2" xfId="16163" xr:uid="{FFD1BAD2-AB8F-467A-BBE4-4E9B7E77D77D}"/>
    <cellStyle name="Normal 4 3 3 2 4 2 3" xfId="11945" xr:uid="{D815E4CC-F799-4906-8832-B46FE9774337}"/>
    <cellStyle name="Normal 4 3 3 2 4 3" xfId="5576" xr:uid="{00000000-0005-0000-0000-00007A140000}"/>
    <cellStyle name="Normal 4 3 3 2 4 3 2" xfId="14018" xr:uid="{70ADD7CE-F8B9-430A-9EAB-02633723CAB2}"/>
    <cellStyle name="Normal 4 3 3 2 4 4" xfId="9800" xr:uid="{93FBA686-A28C-4244-B0A6-CD044939390C}"/>
    <cellStyle name="Normal 4 3 3 2 5" xfId="1681" xr:uid="{00000000-0005-0000-0000-00007B140000}"/>
    <cellStyle name="Normal 4 3 3 2 5 2" xfId="3911" xr:uid="{00000000-0005-0000-0000-00007C140000}"/>
    <cellStyle name="Normal 4 3 3 2 5 2 2" xfId="8134" xr:uid="{00000000-0005-0000-0000-00007D140000}"/>
    <cellStyle name="Normal 4 3 3 2 5 2 2 2" xfId="16576" xr:uid="{E965AE14-E012-4EA3-816E-4C6D03EE1EF7}"/>
    <cellStyle name="Normal 4 3 3 2 5 2 3" xfId="12358" xr:uid="{E70EF4E5-1DB3-43F7-9988-F205CF9E1E04}"/>
    <cellStyle name="Normal 4 3 3 2 5 3" xfId="5989" xr:uid="{00000000-0005-0000-0000-00007E140000}"/>
    <cellStyle name="Normal 4 3 3 2 5 3 2" xfId="14431" xr:uid="{CC177DCA-0222-4210-9118-D6E80661F4E5}"/>
    <cellStyle name="Normal 4 3 3 2 5 4" xfId="10213" xr:uid="{E0429FC2-2B77-4712-8D88-ABBE5DCB3EAA}"/>
    <cellStyle name="Normal 4 3 3 2 6" xfId="2095" xr:uid="{00000000-0005-0000-0000-00007F140000}"/>
    <cellStyle name="Normal 4 3 3 2 6 2" xfId="4324" xr:uid="{00000000-0005-0000-0000-000080140000}"/>
    <cellStyle name="Normal 4 3 3 2 6 2 2" xfId="8547" xr:uid="{00000000-0005-0000-0000-000081140000}"/>
    <cellStyle name="Normal 4 3 3 2 6 2 2 2" xfId="16989" xr:uid="{C5D24C95-2122-4E47-9011-A9CE51C2F0F8}"/>
    <cellStyle name="Normal 4 3 3 2 6 2 3" xfId="12771" xr:uid="{9066E865-21A4-4C65-B855-5BB4F4D1E638}"/>
    <cellStyle name="Normal 4 3 3 2 6 3" xfId="6402" xr:uid="{00000000-0005-0000-0000-000082140000}"/>
    <cellStyle name="Normal 4 3 3 2 6 3 2" xfId="14844" xr:uid="{C9864228-6177-4899-9F25-67ADF30DD0E4}"/>
    <cellStyle name="Normal 4 3 3 2 6 4" xfId="10626" xr:uid="{80EB1891-352D-4F83-8F7D-6D40D588CC83}"/>
    <cellStyle name="Normal 4 3 3 2 7" xfId="2531" xr:uid="{00000000-0005-0000-0000-000083140000}"/>
    <cellStyle name="Normal 4 3 3 2 7 2" xfId="6815" xr:uid="{00000000-0005-0000-0000-000084140000}"/>
    <cellStyle name="Normal 4 3 3 2 7 2 2" xfId="15257" xr:uid="{297506F4-7776-47B3-ABC3-A62F4F9C4539}"/>
    <cellStyle name="Normal 4 3 3 2 7 3" xfId="11039" xr:uid="{30DEEF6D-11BB-458F-AD11-0EF62242D530}"/>
    <cellStyle name="Normal 4 3 3 2 8" xfId="4750" xr:uid="{00000000-0005-0000-0000-000085140000}"/>
    <cellStyle name="Normal 4 3 3 2 8 2" xfId="13192" xr:uid="{6BAFD626-1663-4068-A4C1-D87952A9EEC6}"/>
    <cellStyle name="Normal 4 3 3 2 9" xfId="8974" xr:uid="{3265532A-C713-4654-9ECC-596850F33742}"/>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2 2 2" xfId="15752" xr:uid="{A942D1A5-43CF-4929-8BA6-F10B5FEF5D53}"/>
    <cellStyle name="Normal 4 3 3 3 2 2 3" xfId="11534" xr:uid="{5BE25D5B-A87C-4F39-A46F-3E95D57643F6}"/>
    <cellStyle name="Normal 4 3 3 3 2 3" xfId="5165" xr:uid="{00000000-0005-0000-0000-00008A140000}"/>
    <cellStyle name="Normal 4 3 3 3 2 3 2" xfId="13607" xr:uid="{FA70A56C-7F27-4DC9-81A6-4CB6E2DDE0DB}"/>
    <cellStyle name="Normal 4 3 3 3 2 4" xfId="9389" xr:uid="{155AE34C-C606-4E31-B86B-A845FBCCB46C}"/>
    <cellStyle name="Normal 4 3 3 3 3" xfId="1270" xr:uid="{00000000-0005-0000-0000-00008B140000}"/>
    <cellStyle name="Normal 4 3 3 3 3 2" xfId="3500" xr:uid="{00000000-0005-0000-0000-00008C140000}"/>
    <cellStyle name="Normal 4 3 3 3 3 2 2" xfId="7723" xr:uid="{00000000-0005-0000-0000-00008D140000}"/>
    <cellStyle name="Normal 4 3 3 3 3 2 2 2" xfId="16165" xr:uid="{55224A49-4619-4A64-BFFC-29E6F89D326C}"/>
    <cellStyle name="Normal 4 3 3 3 3 2 3" xfId="11947" xr:uid="{229CB3D6-0184-479C-8E7C-3F8CF97552D6}"/>
    <cellStyle name="Normal 4 3 3 3 3 3" xfId="5578" xr:uid="{00000000-0005-0000-0000-00008E140000}"/>
    <cellStyle name="Normal 4 3 3 3 3 3 2" xfId="14020" xr:uid="{62F982AA-388B-4687-BACC-CC0F7D3693A3}"/>
    <cellStyle name="Normal 4 3 3 3 3 4" xfId="9802" xr:uid="{AA86D974-C031-4BE3-8E09-C4CCA7A92FAE}"/>
    <cellStyle name="Normal 4 3 3 3 4" xfId="1683" xr:uid="{00000000-0005-0000-0000-00008F140000}"/>
    <cellStyle name="Normal 4 3 3 3 4 2" xfId="3913" xr:uid="{00000000-0005-0000-0000-000090140000}"/>
    <cellStyle name="Normal 4 3 3 3 4 2 2" xfId="8136" xr:uid="{00000000-0005-0000-0000-000091140000}"/>
    <cellStyle name="Normal 4 3 3 3 4 2 2 2" xfId="16578" xr:uid="{CD7F850E-A949-4AA4-9A4B-8F92CE60CC64}"/>
    <cellStyle name="Normal 4 3 3 3 4 2 3" xfId="12360" xr:uid="{B755C837-F5F2-443D-83FC-DBB5D08082A5}"/>
    <cellStyle name="Normal 4 3 3 3 4 3" xfId="5991" xr:uid="{00000000-0005-0000-0000-000092140000}"/>
    <cellStyle name="Normal 4 3 3 3 4 3 2" xfId="14433" xr:uid="{1D49A0DE-425B-4FE0-9947-97886FCCDDC6}"/>
    <cellStyle name="Normal 4 3 3 3 4 4" xfId="10215" xr:uid="{95B9AAD6-FABA-47FB-9B30-A58831198FFF}"/>
    <cellStyle name="Normal 4 3 3 3 5" xfId="2097" xr:uid="{00000000-0005-0000-0000-000093140000}"/>
    <cellStyle name="Normal 4 3 3 3 5 2" xfId="4326" xr:uid="{00000000-0005-0000-0000-000094140000}"/>
    <cellStyle name="Normal 4 3 3 3 5 2 2" xfId="8549" xr:uid="{00000000-0005-0000-0000-000095140000}"/>
    <cellStyle name="Normal 4 3 3 3 5 2 2 2" xfId="16991" xr:uid="{47E0AE00-472E-49E5-A4EA-469F17E343BE}"/>
    <cellStyle name="Normal 4 3 3 3 5 2 3" xfId="12773" xr:uid="{28C98D5F-E8B2-49CB-AB12-830212FA9243}"/>
    <cellStyle name="Normal 4 3 3 3 5 3" xfId="6404" xr:uid="{00000000-0005-0000-0000-000096140000}"/>
    <cellStyle name="Normal 4 3 3 3 5 3 2" xfId="14846" xr:uid="{FF5811EB-9764-46D3-AA10-565A66FA221C}"/>
    <cellStyle name="Normal 4 3 3 3 5 4" xfId="10628" xr:uid="{60189ABA-8A81-4527-8255-3AD250CF2141}"/>
    <cellStyle name="Normal 4 3 3 3 6" xfId="2533" xr:uid="{00000000-0005-0000-0000-000097140000}"/>
    <cellStyle name="Normal 4 3 3 3 6 2" xfId="6817" xr:uid="{00000000-0005-0000-0000-000098140000}"/>
    <cellStyle name="Normal 4 3 3 3 6 2 2" xfId="15259" xr:uid="{A04DF078-4C8C-47E9-B283-5040F626161F}"/>
    <cellStyle name="Normal 4 3 3 3 6 3" xfId="11041" xr:uid="{A6D6E884-E093-4141-BC5E-5CFB1053DFC7}"/>
    <cellStyle name="Normal 4 3 3 3 7" xfId="4752" xr:uid="{00000000-0005-0000-0000-000099140000}"/>
    <cellStyle name="Normal 4 3 3 3 7 2" xfId="13194" xr:uid="{6FA85B4B-A8F8-4B91-8CD6-0A6B871F708A}"/>
    <cellStyle name="Normal 4 3 3 3 8" xfId="8976" xr:uid="{0E09F781-A7C5-4323-A90F-67B8DBE26278}"/>
    <cellStyle name="Normal 4 3 3 4" xfId="849" xr:uid="{00000000-0005-0000-0000-00009A140000}"/>
    <cellStyle name="Normal 4 3 3 4 2" xfId="3084" xr:uid="{00000000-0005-0000-0000-00009B140000}"/>
    <cellStyle name="Normal 4 3 3 4 2 2" xfId="7307" xr:uid="{00000000-0005-0000-0000-00009C140000}"/>
    <cellStyle name="Normal 4 3 3 4 2 2 2" xfId="15749" xr:uid="{81561DB3-409A-4710-BCBC-1F6894D74E92}"/>
    <cellStyle name="Normal 4 3 3 4 2 3" xfId="11531" xr:uid="{77826402-AEB6-4F27-8ABD-156741E36140}"/>
    <cellStyle name="Normal 4 3 3 4 3" xfId="5162" xr:uid="{00000000-0005-0000-0000-00009D140000}"/>
    <cellStyle name="Normal 4 3 3 4 3 2" xfId="13604" xr:uid="{6648EE05-B896-4367-948D-1795382762EC}"/>
    <cellStyle name="Normal 4 3 3 4 4" xfId="9386" xr:uid="{99A1BF29-B0C8-4A61-912A-5596C7C0FDFC}"/>
    <cellStyle name="Normal 4 3 3 5" xfId="1267" xr:uid="{00000000-0005-0000-0000-00009E140000}"/>
    <cellStyle name="Normal 4 3 3 5 2" xfId="3497" xr:uid="{00000000-0005-0000-0000-00009F140000}"/>
    <cellStyle name="Normal 4 3 3 5 2 2" xfId="7720" xr:uid="{00000000-0005-0000-0000-0000A0140000}"/>
    <cellStyle name="Normal 4 3 3 5 2 2 2" xfId="16162" xr:uid="{C541A853-EE65-4483-B0F2-864EFBAF11A2}"/>
    <cellStyle name="Normal 4 3 3 5 2 3" xfId="11944" xr:uid="{41F6CD17-B378-4435-8C5E-FF1189625E72}"/>
    <cellStyle name="Normal 4 3 3 5 3" xfId="5575" xr:uid="{00000000-0005-0000-0000-0000A1140000}"/>
    <cellStyle name="Normal 4 3 3 5 3 2" xfId="14017" xr:uid="{9E5B64EC-407B-472F-9D7A-46889210683A}"/>
    <cellStyle name="Normal 4 3 3 5 4" xfId="9799" xr:uid="{3F78880D-A87B-4022-95FC-92F31121D26E}"/>
    <cellStyle name="Normal 4 3 3 6" xfId="1680" xr:uid="{00000000-0005-0000-0000-0000A2140000}"/>
    <cellStyle name="Normal 4 3 3 6 2" xfId="3910" xr:uid="{00000000-0005-0000-0000-0000A3140000}"/>
    <cellStyle name="Normal 4 3 3 6 2 2" xfId="8133" xr:uid="{00000000-0005-0000-0000-0000A4140000}"/>
    <cellStyle name="Normal 4 3 3 6 2 2 2" xfId="16575" xr:uid="{6E6E8759-B564-4A13-83A5-C66B6A188E88}"/>
    <cellStyle name="Normal 4 3 3 6 2 3" xfId="12357" xr:uid="{C29455E4-0340-4DB6-B240-EB090F2E967E}"/>
    <cellStyle name="Normal 4 3 3 6 3" xfId="5988" xr:uid="{00000000-0005-0000-0000-0000A5140000}"/>
    <cellStyle name="Normal 4 3 3 6 3 2" xfId="14430" xr:uid="{A7507875-E786-4A2F-9F5D-81DCC60E22E8}"/>
    <cellStyle name="Normal 4 3 3 6 4" xfId="10212" xr:uid="{3948DDB0-4C3E-4A2C-9415-97A729F63E9E}"/>
    <cellStyle name="Normal 4 3 3 7" xfId="2094" xr:uid="{00000000-0005-0000-0000-0000A6140000}"/>
    <cellStyle name="Normal 4 3 3 7 2" xfId="4323" xr:uid="{00000000-0005-0000-0000-0000A7140000}"/>
    <cellStyle name="Normal 4 3 3 7 2 2" xfId="8546" xr:uid="{00000000-0005-0000-0000-0000A8140000}"/>
    <cellStyle name="Normal 4 3 3 7 2 2 2" xfId="16988" xr:uid="{13A03108-F114-4A92-846D-ABA217604726}"/>
    <cellStyle name="Normal 4 3 3 7 2 3" xfId="12770" xr:uid="{B0395EC0-7162-4F9E-8AA2-C22541624BBF}"/>
    <cellStyle name="Normal 4 3 3 7 3" xfId="6401" xr:uid="{00000000-0005-0000-0000-0000A9140000}"/>
    <cellStyle name="Normal 4 3 3 7 3 2" xfId="14843" xr:uid="{ABC3B971-B66A-4A57-9B94-83929C0DB490}"/>
    <cellStyle name="Normal 4 3 3 7 4" xfId="10625" xr:uid="{29009ABE-2133-4F08-9F4C-0D4BBAEEE145}"/>
    <cellStyle name="Normal 4 3 3 8" xfId="2530" xr:uid="{00000000-0005-0000-0000-0000AA140000}"/>
    <cellStyle name="Normal 4 3 3 8 2" xfId="6814" xr:uid="{00000000-0005-0000-0000-0000AB140000}"/>
    <cellStyle name="Normal 4 3 3 8 2 2" xfId="15256" xr:uid="{7BD4D731-92F8-474D-95B5-30AD8714C4A5}"/>
    <cellStyle name="Normal 4 3 3 8 3" xfId="11038" xr:uid="{E4155505-B103-4B0B-A94C-AE92D9088C73}"/>
    <cellStyle name="Normal 4 3 3 9" xfId="4749" xr:uid="{00000000-0005-0000-0000-0000AC140000}"/>
    <cellStyle name="Normal 4 3 3 9 2" xfId="13191" xr:uid="{4BB2823B-DF9E-478C-BF92-7B7A60839D2E}"/>
    <cellStyle name="Normal 4 3 4" xfId="842" xr:uid="{00000000-0005-0000-0000-0000AD140000}"/>
    <cellStyle name="Normal 4 3 4 2" xfId="3079" xr:uid="{00000000-0005-0000-0000-0000AE140000}"/>
    <cellStyle name="Normal 4 3 4 2 2" xfId="7302" xr:uid="{00000000-0005-0000-0000-0000AF140000}"/>
    <cellStyle name="Normal 4 3 4 2 2 2" xfId="15744" xr:uid="{951642F1-FB1D-4267-A5D2-02CAA4335BE1}"/>
    <cellStyle name="Normal 4 3 4 2 3" xfId="11526" xr:uid="{FF4BB2DF-A8D6-407A-BCD1-1EC70A4CF1E5}"/>
    <cellStyle name="Normal 4 3 4 3" xfId="5157" xr:uid="{00000000-0005-0000-0000-0000B0140000}"/>
    <cellStyle name="Normal 4 3 4 3 2" xfId="13599" xr:uid="{AB177986-6950-41F9-9731-A6F637D40C35}"/>
    <cellStyle name="Normal 4 3 4 4" xfId="9381" xr:uid="{7D69886F-1652-490E-AC88-00F846BB1823}"/>
    <cellStyle name="Normal 4 3 5" xfId="1262" xr:uid="{00000000-0005-0000-0000-0000B1140000}"/>
    <cellStyle name="Normal 4 3 5 2" xfId="3492" xr:uid="{00000000-0005-0000-0000-0000B2140000}"/>
    <cellStyle name="Normal 4 3 5 2 2" xfId="7715" xr:uid="{00000000-0005-0000-0000-0000B3140000}"/>
    <cellStyle name="Normal 4 3 5 2 2 2" xfId="16157" xr:uid="{C51875F6-6677-4AD3-BC2C-8F8F43F13EF1}"/>
    <cellStyle name="Normal 4 3 5 2 3" xfId="11939" xr:uid="{FE845049-2758-4A37-A6BE-3AA03A320AEC}"/>
    <cellStyle name="Normal 4 3 5 3" xfId="5570" xr:uid="{00000000-0005-0000-0000-0000B4140000}"/>
    <cellStyle name="Normal 4 3 5 3 2" xfId="14012" xr:uid="{3720050B-4468-4999-8348-B8751EE1EF53}"/>
    <cellStyle name="Normal 4 3 5 4" xfId="9794" xr:uid="{8B7AC232-3750-4B12-BF98-7300E2357EF1}"/>
    <cellStyle name="Normal 4 3 6" xfId="1675" xr:uid="{00000000-0005-0000-0000-0000B5140000}"/>
    <cellStyle name="Normal 4 3 6 2" xfId="3905" xr:uid="{00000000-0005-0000-0000-0000B6140000}"/>
    <cellStyle name="Normal 4 3 6 2 2" xfId="8128" xr:uid="{00000000-0005-0000-0000-0000B7140000}"/>
    <cellStyle name="Normal 4 3 6 2 2 2" xfId="16570" xr:uid="{2977D536-8FB3-4316-BB62-AECB95C9FB5A}"/>
    <cellStyle name="Normal 4 3 6 2 3" xfId="12352" xr:uid="{D9A11CBC-8EF3-4B71-BEA9-6796340A1323}"/>
    <cellStyle name="Normal 4 3 6 3" xfId="5983" xr:uid="{00000000-0005-0000-0000-0000B8140000}"/>
    <cellStyle name="Normal 4 3 6 3 2" xfId="14425" xr:uid="{EE69FB45-FE41-43BA-97E0-AB079BBCABB1}"/>
    <cellStyle name="Normal 4 3 6 4" xfId="10207" xr:uid="{CEE0E100-57D7-4589-8C54-DFBE48D4DC0B}"/>
    <cellStyle name="Normal 4 3 7" xfId="2089" xr:uid="{00000000-0005-0000-0000-0000B9140000}"/>
    <cellStyle name="Normal 4 3 7 2" xfId="4318" xr:uid="{00000000-0005-0000-0000-0000BA140000}"/>
    <cellStyle name="Normal 4 3 7 2 2" xfId="8541" xr:uid="{00000000-0005-0000-0000-0000BB140000}"/>
    <cellStyle name="Normal 4 3 7 2 2 2" xfId="16983" xr:uid="{C7C6AE7F-F562-4B3B-873B-6CD79405C1C3}"/>
    <cellStyle name="Normal 4 3 7 2 3" xfId="12765" xr:uid="{5B6B8BF7-0823-49CC-8FF8-A94657FB8DF6}"/>
    <cellStyle name="Normal 4 3 7 3" xfId="6396" xr:uid="{00000000-0005-0000-0000-0000BC140000}"/>
    <cellStyle name="Normal 4 3 7 3 2" xfId="14838" xr:uid="{F0118EA6-ECCC-42F5-BE94-AF4055D314F4}"/>
    <cellStyle name="Normal 4 3 7 4" xfId="10620" xr:uid="{007756BA-E4EE-40AA-988B-768797AEB891}"/>
    <cellStyle name="Normal 4 3 8" xfId="2525" xr:uid="{00000000-0005-0000-0000-0000BD140000}"/>
    <cellStyle name="Normal 4 3 8 2" xfId="6809" xr:uid="{00000000-0005-0000-0000-0000BE140000}"/>
    <cellStyle name="Normal 4 3 8 2 2" xfId="15251" xr:uid="{0F9E75B9-32BD-44CB-974D-E7A21C5287AF}"/>
    <cellStyle name="Normal 4 3 8 3" xfId="11033" xr:uid="{8608B4D6-2A87-4322-A91D-90A583C68173}"/>
    <cellStyle name="Normal 4 3 9" xfId="4744" xr:uid="{00000000-0005-0000-0000-0000BF140000}"/>
    <cellStyle name="Normal 4 3 9 2" xfId="13186" xr:uid="{70DEFA2F-C412-4C74-8FB9-7C9E924ED250}"/>
    <cellStyle name="Normal 4 4" xfId="378" xr:uid="{00000000-0005-0000-0000-0000C0140000}"/>
    <cellStyle name="Normal 4 4 10" xfId="2534" xr:uid="{00000000-0005-0000-0000-0000C1140000}"/>
    <cellStyle name="Normal 4 4 10 2" xfId="6818" xr:uid="{00000000-0005-0000-0000-0000C2140000}"/>
    <cellStyle name="Normal 4 4 10 2 2" xfId="15260" xr:uid="{4051547F-5D97-48D5-BED2-6D3A5277F819}"/>
    <cellStyle name="Normal 4 4 10 3" xfId="11042" xr:uid="{11397F28-3A39-43CD-ACCB-2F2A8364B7C3}"/>
    <cellStyle name="Normal 4 4 11" xfId="4753" xr:uid="{00000000-0005-0000-0000-0000C3140000}"/>
    <cellStyle name="Normal 4 4 11 2" xfId="13195" xr:uid="{C54FF1E6-AE2F-4183-9893-261B975CC332}"/>
    <cellStyle name="Normal 4 4 12" xfId="8977" xr:uid="{49974C77-1792-4D23-B58F-2619947DCF32}"/>
    <cellStyle name="Normal 4 4 2" xfId="379" xr:uid="{00000000-0005-0000-0000-0000C4140000}"/>
    <cellStyle name="Normal 4 4 2 10" xfId="4754" xr:uid="{00000000-0005-0000-0000-0000C5140000}"/>
    <cellStyle name="Normal 4 4 2 10 2" xfId="13196" xr:uid="{55BD0F44-1C60-490F-A8AF-84E4E44801DD}"/>
    <cellStyle name="Normal 4 4 2 11" xfId="8978" xr:uid="{F0D32B73-AD8C-4636-9B1C-24981BCFAE7A}"/>
    <cellStyle name="Normal 4 4 2 2" xfId="380" xr:uid="{00000000-0005-0000-0000-0000C6140000}"/>
    <cellStyle name="Normal 4 4 2 2 10" xfId="8979" xr:uid="{EDF8F6AC-7765-43F7-A778-6C81CAF39709}"/>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2 2 2" xfId="15757" xr:uid="{49FF7F62-0279-4610-A41D-74DA97E9422C}"/>
    <cellStyle name="Normal 4 4 2 2 2 2 2 2 3" xfId="11539" xr:uid="{3A64B249-F46C-4731-8FBB-D2447BD354C1}"/>
    <cellStyle name="Normal 4 4 2 2 2 2 2 3" xfId="5170" xr:uid="{00000000-0005-0000-0000-0000CC140000}"/>
    <cellStyle name="Normal 4 4 2 2 2 2 2 3 2" xfId="13612" xr:uid="{65B5FB8D-9F7A-4EA0-8E15-E4260683709B}"/>
    <cellStyle name="Normal 4 4 2 2 2 2 2 4" xfId="9394" xr:uid="{B1F630FA-F31F-4E17-A651-26AC73F34FF1}"/>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2 2 2" xfId="16170" xr:uid="{E6A3C802-448B-4BCC-BF7A-541762145382}"/>
    <cellStyle name="Normal 4 4 2 2 2 2 3 2 3" xfId="11952" xr:uid="{EF8D2C21-39E1-42F5-825F-BBC23CE0DF11}"/>
    <cellStyle name="Normal 4 4 2 2 2 2 3 3" xfId="5583" xr:uid="{00000000-0005-0000-0000-0000D0140000}"/>
    <cellStyle name="Normal 4 4 2 2 2 2 3 3 2" xfId="14025" xr:uid="{4FFAE0FB-12D4-4802-B063-99A59D6594CA}"/>
    <cellStyle name="Normal 4 4 2 2 2 2 3 4" xfId="9807" xr:uid="{33B10329-7439-46CD-930A-EE7B5C898D04}"/>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2 2 2" xfId="16583" xr:uid="{AA3DBBFF-8BE7-426E-9F97-331F55FBB8DB}"/>
    <cellStyle name="Normal 4 4 2 2 2 2 4 2 3" xfId="12365" xr:uid="{A621C65C-5DA9-490D-9960-B6B16CB52515}"/>
    <cellStyle name="Normal 4 4 2 2 2 2 4 3" xfId="5996" xr:uid="{00000000-0005-0000-0000-0000D4140000}"/>
    <cellStyle name="Normal 4 4 2 2 2 2 4 3 2" xfId="14438" xr:uid="{AD3D18C7-64FC-4AA1-B25B-E78927E848E7}"/>
    <cellStyle name="Normal 4 4 2 2 2 2 4 4" xfId="10220" xr:uid="{D7BAA22D-60FB-4C0C-A6F4-1F0DC0F9F24C}"/>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2 2 2" xfId="16996" xr:uid="{1B98FBF1-9DA6-431F-85D7-F12B66476455}"/>
    <cellStyle name="Normal 4 4 2 2 2 2 5 2 3" xfId="12778" xr:uid="{AB9EA3C5-AB10-490D-BBF0-297986BE42B5}"/>
    <cellStyle name="Normal 4 4 2 2 2 2 5 3" xfId="6409" xr:uid="{00000000-0005-0000-0000-0000D8140000}"/>
    <cellStyle name="Normal 4 4 2 2 2 2 5 3 2" xfId="14851" xr:uid="{6166D77E-EDBE-494F-91BB-DF97C58E2DA6}"/>
    <cellStyle name="Normal 4 4 2 2 2 2 5 4" xfId="10633" xr:uid="{DFDF5FDA-9A70-43D3-89A6-92FCF8AC57BA}"/>
    <cellStyle name="Normal 4 4 2 2 2 2 6" xfId="2538" xr:uid="{00000000-0005-0000-0000-0000D9140000}"/>
    <cellStyle name="Normal 4 4 2 2 2 2 6 2" xfId="6822" xr:uid="{00000000-0005-0000-0000-0000DA140000}"/>
    <cellStyle name="Normal 4 4 2 2 2 2 6 2 2" xfId="15264" xr:uid="{6AC9C7F1-B501-4EF8-AEDD-50EF5871115D}"/>
    <cellStyle name="Normal 4 4 2 2 2 2 6 3" xfId="11046" xr:uid="{01CB9AE2-BCB9-45BC-83B7-D3246E6D6CBC}"/>
    <cellStyle name="Normal 4 4 2 2 2 2 7" xfId="4757" xr:uid="{00000000-0005-0000-0000-0000DB140000}"/>
    <cellStyle name="Normal 4 4 2 2 2 2 7 2" xfId="13199" xr:uid="{EAB2B409-6439-49B4-8D9F-EB974B2EB4DA}"/>
    <cellStyle name="Normal 4 4 2 2 2 2 8" xfId="8981" xr:uid="{33D23D2C-8781-4EC2-A5C9-3F376511AD0B}"/>
    <cellStyle name="Normal 4 4 2 2 2 3" xfId="856" xr:uid="{00000000-0005-0000-0000-0000DC140000}"/>
    <cellStyle name="Normal 4 4 2 2 2 3 2" xfId="3091" xr:uid="{00000000-0005-0000-0000-0000DD140000}"/>
    <cellStyle name="Normal 4 4 2 2 2 3 2 2" xfId="7314" xr:uid="{00000000-0005-0000-0000-0000DE140000}"/>
    <cellStyle name="Normal 4 4 2 2 2 3 2 2 2" xfId="15756" xr:uid="{3C05F038-3E1C-44F3-82DD-B977028FEE74}"/>
    <cellStyle name="Normal 4 4 2 2 2 3 2 3" xfId="11538" xr:uid="{4041DB97-BC81-4BF2-939B-B3E2EB66F6B7}"/>
    <cellStyle name="Normal 4 4 2 2 2 3 3" xfId="5169" xr:uid="{00000000-0005-0000-0000-0000DF140000}"/>
    <cellStyle name="Normal 4 4 2 2 2 3 3 2" xfId="13611" xr:uid="{8375ECBA-49B8-4A69-A06A-0648A5AC1BA9}"/>
    <cellStyle name="Normal 4 4 2 2 2 3 4" xfId="9393" xr:uid="{6D6E64A6-932B-4C37-94C7-532C385EE4CD}"/>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2 2 2" xfId="16169" xr:uid="{EEC45243-1D6C-4199-B807-B2CC820804C7}"/>
    <cellStyle name="Normal 4 4 2 2 2 4 2 3" xfId="11951" xr:uid="{3C631264-127A-410C-8BF1-A8F42D40DBB3}"/>
    <cellStyle name="Normal 4 4 2 2 2 4 3" xfId="5582" xr:uid="{00000000-0005-0000-0000-0000E3140000}"/>
    <cellStyle name="Normal 4 4 2 2 2 4 3 2" xfId="14024" xr:uid="{CCCAF48F-6EED-4B21-936B-7A3E89772791}"/>
    <cellStyle name="Normal 4 4 2 2 2 4 4" xfId="9806" xr:uid="{C6C73EE6-AC5E-4AA0-A522-149B9CE694CC}"/>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2 2 2" xfId="16582" xr:uid="{BF2B864B-7A5D-45B3-8D88-5857F138CA06}"/>
    <cellStyle name="Normal 4 4 2 2 2 5 2 3" xfId="12364" xr:uid="{08A3EFD6-C423-411A-BA6C-7021C146D1B7}"/>
    <cellStyle name="Normal 4 4 2 2 2 5 3" xfId="5995" xr:uid="{00000000-0005-0000-0000-0000E7140000}"/>
    <cellStyle name="Normal 4 4 2 2 2 5 3 2" xfId="14437" xr:uid="{14F72948-573C-4ABA-BD68-058463A7A00D}"/>
    <cellStyle name="Normal 4 4 2 2 2 5 4" xfId="10219" xr:uid="{C47C24D0-A117-4AAB-B6EC-687C49997F9B}"/>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2 2 2" xfId="16995" xr:uid="{434D1649-93F9-47E1-A2C8-169A6E2720CB}"/>
    <cellStyle name="Normal 4 4 2 2 2 6 2 3" xfId="12777" xr:uid="{2E771E86-CA24-4F67-ABF6-63A75065A54F}"/>
    <cellStyle name="Normal 4 4 2 2 2 6 3" xfId="6408" xr:uid="{00000000-0005-0000-0000-0000EB140000}"/>
    <cellStyle name="Normal 4 4 2 2 2 6 3 2" xfId="14850" xr:uid="{CE8FE945-237A-4E8E-AFB7-515569B451C1}"/>
    <cellStyle name="Normal 4 4 2 2 2 6 4" xfId="10632" xr:uid="{9D73B449-5276-41F9-89B0-771136FBD288}"/>
    <cellStyle name="Normal 4 4 2 2 2 7" xfId="2537" xr:uid="{00000000-0005-0000-0000-0000EC140000}"/>
    <cellStyle name="Normal 4 4 2 2 2 7 2" xfId="6821" xr:uid="{00000000-0005-0000-0000-0000ED140000}"/>
    <cellStyle name="Normal 4 4 2 2 2 7 2 2" xfId="15263" xr:uid="{BF7888EA-3025-4C2D-90E7-12DD457874D9}"/>
    <cellStyle name="Normal 4 4 2 2 2 7 3" xfId="11045" xr:uid="{92976DE6-4D57-45AE-8D63-17EA2BD8CA5E}"/>
    <cellStyle name="Normal 4 4 2 2 2 8" xfId="4756" xr:uid="{00000000-0005-0000-0000-0000EE140000}"/>
    <cellStyle name="Normal 4 4 2 2 2 8 2" xfId="13198" xr:uid="{800B4A3A-F49E-4919-A01E-71ECFB46C42E}"/>
    <cellStyle name="Normal 4 4 2 2 2 9" xfId="8980" xr:uid="{9DE34B8D-483A-4909-952D-3567D1BE6634}"/>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2 2 2" xfId="15758" xr:uid="{B7BB8D82-56EA-4462-9348-31305ECC37B8}"/>
    <cellStyle name="Normal 4 4 2 2 3 2 2 3" xfId="11540" xr:uid="{703737D2-0F75-48BC-8E6C-A93C185C3856}"/>
    <cellStyle name="Normal 4 4 2 2 3 2 3" xfId="5171" xr:uid="{00000000-0005-0000-0000-0000F3140000}"/>
    <cellStyle name="Normal 4 4 2 2 3 2 3 2" xfId="13613" xr:uid="{809756D3-A609-48E4-9524-E988C3F52B56}"/>
    <cellStyle name="Normal 4 4 2 2 3 2 4" xfId="9395" xr:uid="{4CCDF18C-46E3-4DB1-A047-4A4CAA8BE83C}"/>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2 2 2" xfId="16171" xr:uid="{937F7B8F-C792-4102-85F6-CFDEAEF1C90A}"/>
    <cellStyle name="Normal 4 4 2 2 3 3 2 3" xfId="11953" xr:uid="{B4F413B0-0FFA-4D62-82E2-90CA2D9B52B0}"/>
    <cellStyle name="Normal 4 4 2 2 3 3 3" xfId="5584" xr:uid="{00000000-0005-0000-0000-0000F7140000}"/>
    <cellStyle name="Normal 4 4 2 2 3 3 3 2" xfId="14026" xr:uid="{FE0D0937-5C14-4727-B03E-F42701F673FC}"/>
    <cellStyle name="Normal 4 4 2 2 3 3 4" xfId="9808" xr:uid="{ABAE038F-3AEC-4BF8-8C51-5F80FF3934C7}"/>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2 2 2" xfId="16584" xr:uid="{51407A5E-5E3B-456D-887F-CD31090B7A82}"/>
    <cellStyle name="Normal 4 4 2 2 3 4 2 3" xfId="12366" xr:uid="{BF8A76D3-1289-41A9-8E9C-1F5CFBB18202}"/>
    <cellStyle name="Normal 4 4 2 2 3 4 3" xfId="5997" xr:uid="{00000000-0005-0000-0000-0000FB140000}"/>
    <cellStyle name="Normal 4 4 2 2 3 4 3 2" xfId="14439" xr:uid="{C4D81E55-7117-4EAF-9C88-9C9213721721}"/>
    <cellStyle name="Normal 4 4 2 2 3 4 4" xfId="10221" xr:uid="{13B6BE94-2286-4E06-AFB9-54D74E61F873}"/>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2 2 2" xfId="16997" xr:uid="{09B86F5C-8E89-4EFC-ADE9-65FD56EC07AF}"/>
    <cellStyle name="Normal 4 4 2 2 3 5 2 3" xfId="12779" xr:uid="{5A7A4BBB-1B9C-45D0-ADBD-050B3506461E}"/>
    <cellStyle name="Normal 4 4 2 2 3 5 3" xfId="6410" xr:uid="{00000000-0005-0000-0000-0000FF140000}"/>
    <cellStyle name="Normal 4 4 2 2 3 5 3 2" xfId="14852" xr:uid="{67DE9EB0-2A57-462D-8AC9-F690D462299D}"/>
    <cellStyle name="Normal 4 4 2 2 3 5 4" xfId="10634" xr:uid="{C7250D30-1A8A-4E13-A572-598F034D3DC9}"/>
    <cellStyle name="Normal 4 4 2 2 3 6" xfId="2539" xr:uid="{00000000-0005-0000-0000-000000150000}"/>
    <cellStyle name="Normal 4 4 2 2 3 6 2" xfId="6823" xr:uid="{00000000-0005-0000-0000-000001150000}"/>
    <cellStyle name="Normal 4 4 2 2 3 6 2 2" xfId="15265" xr:uid="{09E17D74-7353-42DA-9692-9662775CFD36}"/>
    <cellStyle name="Normal 4 4 2 2 3 6 3" xfId="11047" xr:uid="{C852B715-868F-4552-844D-AC65952D5D0C}"/>
    <cellStyle name="Normal 4 4 2 2 3 7" xfId="4758" xr:uid="{00000000-0005-0000-0000-000002150000}"/>
    <cellStyle name="Normal 4 4 2 2 3 7 2" xfId="13200" xr:uid="{CC2E0BDD-EC9C-4086-8B5C-0DF0F1873786}"/>
    <cellStyle name="Normal 4 4 2 2 3 8" xfId="8982" xr:uid="{E0614751-25CA-4FF1-9A33-B1CF361CDCE3}"/>
    <cellStyle name="Normal 4 4 2 2 4" xfId="855" xr:uid="{00000000-0005-0000-0000-000003150000}"/>
    <cellStyle name="Normal 4 4 2 2 4 2" xfId="3090" xr:uid="{00000000-0005-0000-0000-000004150000}"/>
    <cellStyle name="Normal 4 4 2 2 4 2 2" xfId="7313" xr:uid="{00000000-0005-0000-0000-000005150000}"/>
    <cellStyle name="Normal 4 4 2 2 4 2 2 2" xfId="15755" xr:uid="{1C112481-E61C-4B88-8E3F-7FAC9B0A2D52}"/>
    <cellStyle name="Normal 4 4 2 2 4 2 3" xfId="11537" xr:uid="{84C3AD5D-6A61-44C0-8861-B4ABA96152FD}"/>
    <cellStyle name="Normal 4 4 2 2 4 3" xfId="5168" xr:uid="{00000000-0005-0000-0000-000006150000}"/>
    <cellStyle name="Normal 4 4 2 2 4 3 2" xfId="13610" xr:uid="{C2238E5C-338D-4F2B-BC5A-5B4C782F1131}"/>
    <cellStyle name="Normal 4 4 2 2 4 4" xfId="9392" xr:uid="{5BE95693-9415-4BE2-B373-8B86C2570397}"/>
    <cellStyle name="Normal 4 4 2 2 5" xfId="1273" xr:uid="{00000000-0005-0000-0000-000007150000}"/>
    <cellStyle name="Normal 4 4 2 2 5 2" xfId="3503" xr:uid="{00000000-0005-0000-0000-000008150000}"/>
    <cellStyle name="Normal 4 4 2 2 5 2 2" xfId="7726" xr:uid="{00000000-0005-0000-0000-000009150000}"/>
    <cellStyle name="Normal 4 4 2 2 5 2 2 2" xfId="16168" xr:uid="{A2B2E7A6-A7C7-48BF-9032-CDCED03B69E4}"/>
    <cellStyle name="Normal 4 4 2 2 5 2 3" xfId="11950" xr:uid="{12598920-5852-4584-AE7E-924EA34F49D1}"/>
    <cellStyle name="Normal 4 4 2 2 5 3" xfId="5581" xr:uid="{00000000-0005-0000-0000-00000A150000}"/>
    <cellStyle name="Normal 4 4 2 2 5 3 2" xfId="14023" xr:uid="{980DFBF4-E95D-42BF-AD07-8A848670EF0E}"/>
    <cellStyle name="Normal 4 4 2 2 5 4" xfId="9805" xr:uid="{E2D15046-230E-4932-B37E-25F3976745D9}"/>
    <cellStyle name="Normal 4 4 2 2 6" xfId="1686" xr:uid="{00000000-0005-0000-0000-00000B150000}"/>
    <cellStyle name="Normal 4 4 2 2 6 2" xfId="3916" xr:uid="{00000000-0005-0000-0000-00000C150000}"/>
    <cellStyle name="Normal 4 4 2 2 6 2 2" xfId="8139" xr:uid="{00000000-0005-0000-0000-00000D150000}"/>
    <cellStyle name="Normal 4 4 2 2 6 2 2 2" xfId="16581" xr:uid="{FC7033E5-E86C-4E2A-8763-CE8E7AC6C805}"/>
    <cellStyle name="Normal 4 4 2 2 6 2 3" xfId="12363" xr:uid="{C7F16147-B60E-435E-8E61-E1CBA3F9AC04}"/>
    <cellStyle name="Normal 4 4 2 2 6 3" xfId="5994" xr:uid="{00000000-0005-0000-0000-00000E150000}"/>
    <cellStyle name="Normal 4 4 2 2 6 3 2" xfId="14436" xr:uid="{B389AD5B-2310-479A-A0A6-4E999ECAC2B5}"/>
    <cellStyle name="Normal 4 4 2 2 6 4" xfId="10218" xr:uid="{0FC26E28-3CEE-4833-A32C-3FEFDD93A2C4}"/>
    <cellStyle name="Normal 4 4 2 2 7" xfId="2100" xr:uid="{00000000-0005-0000-0000-00000F150000}"/>
    <cellStyle name="Normal 4 4 2 2 7 2" xfId="4329" xr:uid="{00000000-0005-0000-0000-000010150000}"/>
    <cellStyle name="Normal 4 4 2 2 7 2 2" xfId="8552" xr:uid="{00000000-0005-0000-0000-000011150000}"/>
    <cellStyle name="Normal 4 4 2 2 7 2 2 2" xfId="16994" xr:uid="{B24EB306-2D76-4B69-8301-85E60C85E6E2}"/>
    <cellStyle name="Normal 4 4 2 2 7 2 3" xfId="12776" xr:uid="{47C7152C-2DAC-4E9C-AB1D-2E2EC776C7E9}"/>
    <cellStyle name="Normal 4 4 2 2 7 3" xfId="6407" xr:uid="{00000000-0005-0000-0000-000012150000}"/>
    <cellStyle name="Normal 4 4 2 2 7 3 2" xfId="14849" xr:uid="{D05417D2-E668-4F5E-9D13-1E3D3851016E}"/>
    <cellStyle name="Normal 4 4 2 2 7 4" xfId="10631" xr:uid="{FDE54C74-BB99-4560-AE2B-F087E0F105EC}"/>
    <cellStyle name="Normal 4 4 2 2 8" xfId="2536" xr:uid="{00000000-0005-0000-0000-000013150000}"/>
    <cellStyle name="Normal 4 4 2 2 8 2" xfId="6820" xr:uid="{00000000-0005-0000-0000-000014150000}"/>
    <cellStyle name="Normal 4 4 2 2 8 2 2" xfId="15262" xr:uid="{94B9A01F-400D-4274-978B-4AF9AC82EB0E}"/>
    <cellStyle name="Normal 4 4 2 2 8 3" xfId="11044" xr:uid="{F96E2CEF-CBB9-4D3B-A3EF-72B650551C4F}"/>
    <cellStyle name="Normal 4 4 2 2 9" xfId="4755" xr:uid="{00000000-0005-0000-0000-000015150000}"/>
    <cellStyle name="Normal 4 4 2 2 9 2" xfId="13197" xr:uid="{3B0F5071-D06A-4D2F-AAE3-5514AF25D5FE}"/>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2 2 2" xfId="15760" xr:uid="{BEB09901-3706-45D1-B2B0-17F5FEE4CBAA}"/>
    <cellStyle name="Normal 4 4 2 3 2 2 2 3" xfId="11542" xr:uid="{5EF4CB1A-9984-40D8-9A85-FD6A3D5E12E2}"/>
    <cellStyle name="Normal 4 4 2 3 2 2 3" xfId="5173" xr:uid="{00000000-0005-0000-0000-00001B150000}"/>
    <cellStyle name="Normal 4 4 2 3 2 2 3 2" xfId="13615" xr:uid="{14E14470-D975-470E-B6D6-DBB329F2D13B}"/>
    <cellStyle name="Normal 4 4 2 3 2 2 4" xfId="9397" xr:uid="{E547A6F8-185B-4608-AE93-E5C91801D475}"/>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2 2 2" xfId="16173" xr:uid="{48EB272D-F053-4BCC-AC7B-CD47711745E4}"/>
    <cellStyle name="Normal 4 4 2 3 2 3 2 3" xfId="11955" xr:uid="{00D16C1A-7041-45A1-BA30-A1E7A26D8132}"/>
    <cellStyle name="Normal 4 4 2 3 2 3 3" xfId="5586" xr:uid="{00000000-0005-0000-0000-00001F150000}"/>
    <cellStyle name="Normal 4 4 2 3 2 3 3 2" xfId="14028" xr:uid="{207BFB79-7EEA-43E1-A679-16349484A591}"/>
    <cellStyle name="Normal 4 4 2 3 2 3 4" xfId="9810" xr:uid="{C2FC4359-ED1F-42F0-8AED-DE1E57B3F1DA}"/>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2 2 2" xfId="16586" xr:uid="{DC5593C7-2203-4156-A805-4D54B2E145D7}"/>
    <cellStyle name="Normal 4 4 2 3 2 4 2 3" xfId="12368" xr:uid="{4A0BC4DC-F752-42D8-92ED-B19B820EFACA}"/>
    <cellStyle name="Normal 4 4 2 3 2 4 3" xfId="5999" xr:uid="{00000000-0005-0000-0000-000023150000}"/>
    <cellStyle name="Normal 4 4 2 3 2 4 3 2" xfId="14441" xr:uid="{D5BE714F-8FD2-44E5-B899-444184FC6C7C}"/>
    <cellStyle name="Normal 4 4 2 3 2 4 4" xfId="10223" xr:uid="{773FD303-D4D8-4F49-BA24-7426D4859AE1}"/>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2 2 2" xfId="16999" xr:uid="{2A568E87-A567-460D-9BBF-06C442802E22}"/>
    <cellStyle name="Normal 4 4 2 3 2 5 2 3" xfId="12781" xr:uid="{5A938326-0179-421C-8093-3C195FFF8CEF}"/>
    <cellStyle name="Normal 4 4 2 3 2 5 3" xfId="6412" xr:uid="{00000000-0005-0000-0000-000027150000}"/>
    <cellStyle name="Normal 4 4 2 3 2 5 3 2" xfId="14854" xr:uid="{5C87FE41-6035-4A4C-AD6A-F24525BE5416}"/>
    <cellStyle name="Normal 4 4 2 3 2 5 4" xfId="10636" xr:uid="{D5050C2B-0AAC-4796-BB2C-14A8C686C1EE}"/>
    <cellStyle name="Normal 4 4 2 3 2 6" xfId="2541" xr:uid="{00000000-0005-0000-0000-000028150000}"/>
    <cellStyle name="Normal 4 4 2 3 2 6 2" xfId="6825" xr:uid="{00000000-0005-0000-0000-000029150000}"/>
    <cellStyle name="Normal 4 4 2 3 2 6 2 2" xfId="15267" xr:uid="{40DF8AC3-DD6A-4620-B501-E0DFFC2F63FF}"/>
    <cellStyle name="Normal 4 4 2 3 2 6 3" xfId="11049" xr:uid="{119194DC-08AC-43EA-805D-FEE8F3D0052A}"/>
    <cellStyle name="Normal 4 4 2 3 2 7" xfId="4760" xr:uid="{00000000-0005-0000-0000-00002A150000}"/>
    <cellStyle name="Normal 4 4 2 3 2 7 2" xfId="13202" xr:uid="{12185C32-0051-4EEC-B389-8ADBC91289DF}"/>
    <cellStyle name="Normal 4 4 2 3 2 8" xfId="8984" xr:uid="{DB631517-E571-471D-A3DC-951886F59A6F}"/>
    <cellStyle name="Normal 4 4 2 3 3" xfId="859" xr:uid="{00000000-0005-0000-0000-00002B150000}"/>
    <cellStyle name="Normal 4 4 2 3 3 2" xfId="3094" xr:uid="{00000000-0005-0000-0000-00002C150000}"/>
    <cellStyle name="Normal 4 4 2 3 3 2 2" xfId="7317" xr:uid="{00000000-0005-0000-0000-00002D150000}"/>
    <cellStyle name="Normal 4 4 2 3 3 2 2 2" xfId="15759" xr:uid="{CF280A68-45B1-4E53-8DCF-65E5F2981188}"/>
    <cellStyle name="Normal 4 4 2 3 3 2 3" xfId="11541" xr:uid="{A69CB442-105D-44A2-A50B-54AEC29AC62F}"/>
    <cellStyle name="Normal 4 4 2 3 3 3" xfId="5172" xr:uid="{00000000-0005-0000-0000-00002E150000}"/>
    <cellStyle name="Normal 4 4 2 3 3 3 2" xfId="13614" xr:uid="{1E2BC066-95C1-4AF0-9B0A-8C90038C780E}"/>
    <cellStyle name="Normal 4 4 2 3 3 4" xfId="9396" xr:uid="{F84D4B0E-E5E5-4ED7-A63C-19A153E3A673}"/>
    <cellStyle name="Normal 4 4 2 3 4" xfId="1277" xr:uid="{00000000-0005-0000-0000-00002F150000}"/>
    <cellStyle name="Normal 4 4 2 3 4 2" xfId="3507" xr:uid="{00000000-0005-0000-0000-000030150000}"/>
    <cellStyle name="Normal 4 4 2 3 4 2 2" xfId="7730" xr:uid="{00000000-0005-0000-0000-000031150000}"/>
    <cellStyle name="Normal 4 4 2 3 4 2 2 2" xfId="16172" xr:uid="{10FA6405-CA5D-4D64-A682-7E02C6759099}"/>
    <cellStyle name="Normal 4 4 2 3 4 2 3" xfId="11954" xr:uid="{1EE95CE3-30FF-41C9-8779-3F72259D9842}"/>
    <cellStyle name="Normal 4 4 2 3 4 3" xfId="5585" xr:uid="{00000000-0005-0000-0000-000032150000}"/>
    <cellStyle name="Normal 4 4 2 3 4 3 2" xfId="14027" xr:uid="{983EF741-0A73-41E4-A785-911FA2A11666}"/>
    <cellStyle name="Normal 4 4 2 3 4 4" xfId="9809" xr:uid="{509B7978-0143-42A4-BB4D-736D02DBB24A}"/>
    <cellStyle name="Normal 4 4 2 3 5" xfId="1690" xr:uid="{00000000-0005-0000-0000-000033150000}"/>
    <cellStyle name="Normal 4 4 2 3 5 2" xfId="3920" xr:uid="{00000000-0005-0000-0000-000034150000}"/>
    <cellStyle name="Normal 4 4 2 3 5 2 2" xfId="8143" xr:uid="{00000000-0005-0000-0000-000035150000}"/>
    <cellStyle name="Normal 4 4 2 3 5 2 2 2" xfId="16585" xr:uid="{35174BA2-C278-426C-884C-B8F46C85F1D6}"/>
    <cellStyle name="Normal 4 4 2 3 5 2 3" xfId="12367" xr:uid="{8C1394FC-3742-44AF-BA63-EDB136AE9AB0}"/>
    <cellStyle name="Normal 4 4 2 3 5 3" xfId="5998" xr:uid="{00000000-0005-0000-0000-000036150000}"/>
    <cellStyle name="Normal 4 4 2 3 5 3 2" xfId="14440" xr:uid="{83A00BD9-FCD1-4CE8-A7EA-0F3DA125ABFC}"/>
    <cellStyle name="Normal 4 4 2 3 5 4" xfId="10222" xr:uid="{77E187CD-406A-4528-B959-6A766D252296}"/>
    <cellStyle name="Normal 4 4 2 3 6" xfId="2104" xr:uid="{00000000-0005-0000-0000-000037150000}"/>
    <cellStyle name="Normal 4 4 2 3 6 2" xfId="4333" xr:uid="{00000000-0005-0000-0000-000038150000}"/>
    <cellStyle name="Normal 4 4 2 3 6 2 2" xfId="8556" xr:uid="{00000000-0005-0000-0000-000039150000}"/>
    <cellStyle name="Normal 4 4 2 3 6 2 2 2" xfId="16998" xr:uid="{0E664088-5E6A-4E6F-B10F-DE3A1BF401C4}"/>
    <cellStyle name="Normal 4 4 2 3 6 2 3" xfId="12780" xr:uid="{DBAE3335-5AE5-4DCE-8B41-3AF0AB7B2415}"/>
    <cellStyle name="Normal 4 4 2 3 6 3" xfId="6411" xr:uid="{00000000-0005-0000-0000-00003A150000}"/>
    <cellStyle name="Normal 4 4 2 3 6 3 2" xfId="14853" xr:uid="{AF010257-08F8-47D8-A937-9D85F8586C49}"/>
    <cellStyle name="Normal 4 4 2 3 6 4" xfId="10635" xr:uid="{EFF51DE1-2824-4E78-BC43-7B582DDABFDC}"/>
    <cellStyle name="Normal 4 4 2 3 7" xfId="2540" xr:uid="{00000000-0005-0000-0000-00003B150000}"/>
    <cellStyle name="Normal 4 4 2 3 7 2" xfId="6824" xr:uid="{00000000-0005-0000-0000-00003C150000}"/>
    <cellStyle name="Normal 4 4 2 3 7 2 2" xfId="15266" xr:uid="{FEC5B8AE-4514-4C58-84E4-12BFFC956164}"/>
    <cellStyle name="Normal 4 4 2 3 7 3" xfId="11048" xr:uid="{AFE1A53C-7BBC-4DAC-9180-667C861EAE73}"/>
    <cellStyle name="Normal 4 4 2 3 8" xfId="4759" xr:uid="{00000000-0005-0000-0000-00003D150000}"/>
    <cellStyle name="Normal 4 4 2 3 8 2" xfId="13201" xr:uid="{B68A7BB6-5BB3-40C0-BE63-AF0B3C348765}"/>
    <cellStyle name="Normal 4 4 2 3 9" xfId="8983" xr:uid="{779B8035-BC87-492E-BF4E-BE516CBAE16E}"/>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2 2 2" xfId="15761" xr:uid="{A585EA05-9F61-4880-9634-A71AD1326906}"/>
    <cellStyle name="Normal 4 4 2 4 2 2 3" xfId="11543" xr:uid="{AF4E9400-2189-493F-A221-10E1112B478B}"/>
    <cellStyle name="Normal 4 4 2 4 2 3" xfId="5174" xr:uid="{00000000-0005-0000-0000-000042150000}"/>
    <cellStyle name="Normal 4 4 2 4 2 3 2" xfId="13616" xr:uid="{9FF32EB3-A994-4D47-AE18-D3948167E03C}"/>
    <cellStyle name="Normal 4 4 2 4 2 4" xfId="9398" xr:uid="{11AA6657-8B5E-4CE1-BE74-9C88A578124D}"/>
    <cellStyle name="Normal 4 4 2 4 3" xfId="1279" xr:uid="{00000000-0005-0000-0000-000043150000}"/>
    <cellStyle name="Normal 4 4 2 4 3 2" xfId="3509" xr:uid="{00000000-0005-0000-0000-000044150000}"/>
    <cellStyle name="Normal 4 4 2 4 3 2 2" xfId="7732" xr:uid="{00000000-0005-0000-0000-000045150000}"/>
    <cellStyle name="Normal 4 4 2 4 3 2 2 2" xfId="16174" xr:uid="{15DDE34B-82F0-4F86-B8D1-FC2854B90A64}"/>
    <cellStyle name="Normal 4 4 2 4 3 2 3" xfId="11956" xr:uid="{7C9D5B72-B24B-46DD-B3EC-03396EEB0415}"/>
    <cellStyle name="Normal 4 4 2 4 3 3" xfId="5587" xr:uid="{00000000-0005-0000-0000-000046150000}"/>
    <cellStyle name="Normal 4 4 2 4 3 3 2" xfId="14029" xr:uid="{32B56757-D253-43BF-A696-C7A279C16A8A}"/>
    <cellStyle name="Normal 4 4 2 4 3 4" xfId="9811" xr:uid="{CAB6ACE4-876B-4D3E-AE10-D75F6479683E}"/>
    <cellStyle name="Normal 4 4 2 4 4" xfId="1692" xr:uid="{00000000-0005-0000-0000-000047150000}"/>
    <cellStyle name="Normal 4 4 2 4 4 2" xfId="3922" xr:uid="{00000000-0005-0000-0000-000048150000}"/>
    <cellStyle name="Normal 4 4 2 4 4 2 2" xfId="8145" xr:uid="{00000000-0005-0000-0000-000049150000}"/>
    <cellStyle name="Normal 4 4 2 4 4 2 2 2" xfId="16587" xr:uid="{FB4EA448-4D61-4889-AA9B-A9B0881734E1}"/>
    <cellStyle name="Normal 4 4 2 4 4 2 3" xfId="12369" xr:uid="{D18A94B4-2DA7-49B5-8CD2-36F8112702E7}"/>
    <cellStyle name="Normal 4 4 2 4 4 3" xfId="6000" xr:uid="{00000000-0005-0000-0000-00004A150000}"/>
    <cellStyle name="Normal 4 4 2 4 4 3 2" xfId="14442" xr:uid="{AB587F5A-8893-4AFC-9695-84ACFA7F9F13}"/>
    <cellStyle name="Normal 4 4 2 4 4 4" xfId="10224" xr:uid="{8D117E4F-B646-451C-B8FE-B653E0402271}"/>
    <cellStyle name="Normal 4 4 2 4 5" xfId="2106" xr:uid="{00000000-0005-0000-0000-00004B150000}"/>
    <cellStyle name="Normal 4 4 2 4 5 2" xfId="4335" xr:uid="{00000000-0005-0000-0000-00004C150000}"/>
    <cellStyle name="Normal 4 4 2 4 5 2 2" xfId="8558" xr:uid="{00000000-0005-0000-0000-00004D150000}"/>
    <cellStyle name="Normal 4 4 2 4 5 2 2 2" xfId="17000" xr:uid="{51249252-A152-4B60-B50E-1B07454714F9}"/>
    <cellStyle name="Normal 4 4 2 4 5 2 3" xfId="12782" xr:uid="{9E8F190C-0450-4C33-A46C-7E76CF074BB9}"/>
    <cellStyle name="Normal 4 4 2 4 5 3" xfId="6413" xr:uid="{00000000-0005-0000-0000-00004E150000}"/>
    <cellStyle name="Normal 4 4 2 4 5 3 2" xfId="14855" xr:uid="{3B333428-714A-494F-8648-19009975A393}"/>
    <cellStyle name="Normal 4 4 2 4 5 4" xfId="10637" xr:uid="{D10E8EE3-1A2A-41E4-8482-FEEF462F2154}"/>
    <cellStyle name="Normal 4 4 2 4 6" xfId="2542" xr:uid="{00000000-0005-0000-0000-00004F150000}"/>
    <cellStyle name="Normal 4 4 2 4 6 2" xfId="6826" xr:uid="{00000000-0005-0000-0000-000050150000}"/>
    <cellStyle name="Normal 4 4 2 4 6 2 2" xfId="15268" xr:uid="{D2A2D0BF-0126-4507-A061-C9C2C87F0C43}"/>
    <cellStyle name="Normal 4 4 2 4 6 3" xfId="11050" xr:uid="{831BC98F-9025-4FAC-81CE-C4AAA45981EA}"/>
    <cellStyle name="Normal 4 4 2 4 7" xfId="4761" xr:uid="{00000000-0005-0000-0000-000051150000}"/>
    <cellStyle name="Normal 4 4 2 4 7 2" xfId="13203" xr:uid="{5C2CAB14-C6A3-4084-AEF8-9D322EAB6C4E}"/>
    <cellStyle name="Normal 4 4 2 4 8" xfId="8985" xr:uid="{1918F5AF-9638-4347-9CB6-C49F3D3ECE5A}"/>
    <cellStyle name="Normal 4 4 2 5" xfId="854" xr:uid="{00000000-0005-0000-0000-000052150000}"/>
    <cellStyle name="Normal 4 4 2 5 2" xfId="3089" xr:uid="{00000000-0005-0000-0000-000053150000}"/>
    <cellStyle name="Normal 4 4 2 5 2 2" xfId="7312" xr:uid="{00000000-0005-0000-0000-000054150000}"/>
    <cellStyle name="Normal 4 4 2 5 2 2 2" xfId="15754" xr:uid="{06EFD914-2EBD-416E-A98C-260D0B8081D1}"/>
    <cellStyle name="Normal 4 4 2 5 2 3" xfId="11536" xr:uid="{90EB1D41-6582-46BF-BC91-00CC0594AB2F}"/>
    <cellStyle name="Normal 4 4 2 5 3" xfId="5167" xr:uid="{00000000-0005-0000-0000-000055150000}"/>
    <cellStyle name="Normal 4 4 2 5 3 2" xfId="13609" xr:uid="{5F509624-6019-456A-860B-BDCB78D4820F}"/>
    <cellStyle name="Normal 4 4 2 5 4" xfId="9391" xr:uid="{D7AC9754-E66C-4A67-94B3-6FDFF567A4FB}"/>
    <cellStyle name="Normal 4 4 2 6" xfId="1272" xr:uid="{00000000-0005-0000-0000-000056150000}"/>
    <cellStyle name="Normal 4 4 2 6 2" xfId="3502" xr:uid="{00000000-0005-0000-0000-000057150000}"/>
    <cellStyle name="Normal 4 4 2 6 2 2" xfId="7725" xr:uid="{00000000-0005-0000-0000-000058150000}"/>
    <cellStyle name="Normal 4 4 2 6 2 2 2" xfId="16167" xr:uid="{8FB9695D-2E2D-4CBE-ADAB-C44A07B7D089}"/>
    <cellStyle name="Normal 4 4 2 6 2 3" xfId="11949" xr:uid="{D1CB7738-0314-4159-A258-259CAACE8DB9}"/>
    <cellStyle name="Normal 4 4 2 6 3" xfId="5580" xr:uid="{00000000-0005-0000-0000-000059150000}"/>
    <cellStyle name="Normal 4 4 2 6 3 2" xfId="14022" xr:uid="{F6FFD655-305F-4CB1-84B1-594498F58662}"/>
    <cellStyle name="Normal 4 4 2 6 4" xfId="9804" xr:uid="{E28CA148-9EA9-4CFF-85F4-5E52E8581F85}"/>
    <cellStyle name="Normal 4 4 2 7" xfId="1685" xr:uid="{00000000-0005-0000-0000-00005A150000}"/>
    <cellStyle name="Normal 4 4 2 7 2" xfId="3915" xr:uid="{00000000-0005-0000-0000-00005B150000}"/>
    <cellStyle name="Normal 4 4 2 7 2 2" xfId="8138" xr:uid="{00000000-0005-0000-0000-00005C150000}"/>
    <cellStyle name="Normal 4 4 2 7 2 2 2" xfId="16580" xr:uid="{F945EE26-A292-413B-AEC4-43C2CFD17EC9}"/>
    <cellStyle name="Normal 4 4 2 7 2 3" xfId="12362" xr:uid="{E00BE433-B4CA-4BEF-89DA-4D0C052E2ED1}"/>
    <cellStyle name="Normal 4 4 2 7 3" xfId="5993" xr:uid="{00000000-0005-0000-0000-00005D150000}"/>
    <cellStyle name="Normal 4 4 2 7 3 2" xfId="14435" xr:uid="{6C884F98-7863-4A8C-827F-6D6E510E0D8E}"/>
    <cellStyle name="Normal 4 4 2 7 4" xfId="10217" xr:uid="{34610E7A-2751-4C9F-9AF9-C7BD26F7D2C3}"/>
    <cellStyle name="Normal 4 4 2 8" xfId="2099" xr:uid="{00000000-0005-0000-0000-00005E150000}"/>
    <cellStyle name="Normal 4 4 2 8 2" xfId="4328" xr:uid="{00000000-0005-0000-0000-00005F150000}"/>
    <cellStyle name="Normal 4 4 2 8 2 2" xfId="8551" xr:uid="{00000000-0005-0000-0000-000060150000}"/>
    <cellStyle name="Normal 4 4 2 8 2 2 2" xfId="16993" xr:uid="{76D9066E-B146-4DFC-91DB-7070C80C253A}"/>
    <cellStyle name="Normal 4 4 2 8 2 3" xfId="12775" xr:uid="{C4DE4BF1-18CA-494D-9406-6922305C44A9}"/>
    <cellStyle name="Normal 4 4 2 8 3" xfId="6406" xr:uid="{00000000-0005-0000-0000-000061150000}"/>
    <cellStyle name="Normal 4 4 2 8 3 2" xfId="14848" xr:uid="{159612B4-FA12-414F-8E79-A48022FCCD4D}"/>
    <cellStyle name="Normal 4 4 2 8 4" xfId="10630" xr:uid="{3644AAB6-6C5B-47EA-B3E4-C282D6DB9F15}"/>
    <cellStyle name="Normal 4 4 2 9" xfId="2535" xr:uid="{00000000-0005-0000-0000-000062150000}"/>
    <cellStyle name="Normal 4 4 2 9 2" xfId="6819" xr:uid="{00000000-0005-0000-0000-000063150000}"/>
    <cellStyle name="Normal 4 4 2 9 2 2" xfId="15261" xr:uid="{B24B0FC7-4722-4CA0-9A93-E96CD81F62BE}"/>
    <cellStyle name="Normal 4 4 2 9 3" xfId="11043" xr:uid="{8A361932-4FEC-4B87-ACB4-5B57558A71BC}"/>
    <cellStyle name="Normal 4 4 3" xfId="387" xr:uid="{00000000-0005-0000-0000-000064150000}"/>
    <cellStyle name="Normal 4 4 3 10" xfId="8986" xr:uid="{1A8C95BE-F881-4FB2-829E-95D843FD79D5}"/>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2 2 2" xfId="15764" xr:uid="{453A27EA-3D03-4D4E-96EE-4D832B598703}"/>
    <cellStyle name="Normal 4 4 3 2 2 2 2 3" xfId="11546" xr:uid="{0A65286E-55A4-4D6B-9E46-0C2456470691}"/>
    <cellStyle name="Normal 4 4 3 2 2 2 3" xfId="5177" xr:uid="{00000000-0005-0000-0000-00006A150000}"/>
    <cellStyle name="Normal 4 4 3 2 2 2 3 2" xfId="13619" xr:uid="{86C6C86A-6244-44E4-B8FC-09EBCB589023}"/>
    <cellStyle name="Normal 4 4 3 2 2 2 4" xfId="9401" xr:uid="{3E3495A7-4EE5-4012-8296-9FE2D300798A}"/>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2 2 2" xfId="16177" xr:uid="{FD16DD1E-780F-43D3-BF6E-1962FF2A6B88}"/>
    <cellStyle name="Normal 4 4 3 2 2 3 2 3" xfId="11959" xr:uid="{0834F9E5-DC33-42FA-A754-F089C307BE13}"/>
    <cellStyle name="Normal 4 4 3 2 2 3 3" xfId="5590" xr:uid="{00000000-0005-0000-0000-00006E150000}"/>
    <cellStyle name="Normal 4 4 3 2 2 3 3 2" xfId="14032" xr:uid="{2CA9347A-4802-427C-A661-53F745FE3AA7}"/>
    <cellStyle name="Normal 4 4 3 2 2 3 4" xfId="9814" xr:uid="{F14D696C-4C74-498B-9BAA-D21B5B547F2D}"/>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2 2 2" xfId="16590" xr:uid="{39E595DA-E85C-4BF2-BB29-398D71C13BFE}"/>
    <cellStyle name="Normal 4 4 3 2 2 4 2 3" xfId="12372" xr:uid="{28E73571-9DB8-4DCA-8D4C-2AB4B62BF840}"/>
    <cellStyle name="Normal 4 4 3 2 2 4 3" xfId="6003" xr:uid="{00000000-0005-0000-0000-000072150000}"/>
    <cellStyle name="Normal 4 4 3 2 2 4 3 2" xfId="14445" xr:uid="{4E9C4DC6-7679-4DF2-B122-D0E0D00B5FE3}"/>
    <cellStyle name="Normal 4 4 3 2 2 4 4" xfId="10227" xr:uid="{3E52207E-1185-44D1-85DE-BD2BED5413D9}"/>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2 2 2" xfId="17003" xr:uid="{5AF0B95A-E05D-4069-9E98-92C0D9D305B4}"/>
    <cellStyle name="Normal 4 4 3 2 2 5 2 3" xfId="12785" xr:uid="{C7F44076-F978-48BF-A780-A8973D2C20CB}"/>
    <cellStyle name="Normal 4 4 3 2 2 5 3" xfId="6416" xr:uid="{00000000-0005-0000-0000-000076150000}"/>
    <cellStyle name="Normal 4 4 3 2 2 5 3 2" xfId="14858" xr:uid="{B061FDC1-B61E-40B3-BE45-28BACD870871}"/>
    <cellStyle name="Normal 4 4 3 2 2 5 4" xfId="10640" xr:uid="{D165FF1E-0E73-4114-B000-580F41F35D10}"/>
    <cellStyle name="Normal 4 4 3 2 2 6" xfId="2545" xr:uid="{00000000-0005-0000-0000-000077150000}"/>
    <cellStyle name="Normal 4 4 3 2 2 6 2" xfId="6829" xr:uid="{00000000-0005-0000-0000-000078150000}"/>
    <cellStyle name="Normal 4 4 3 2 2 6 2 2" xfId="15271" xr:uid="{9EAA452C-0BCA-4B97-BF9A-1DA17A670641}"/>
    <cellStyle name="Normal 4 4 3 2 2 6 3" xfId="11053" xr:uid="{A4AA1120-AACE-4979-AA16-2B276E3DDA30}"/>
    <cellStyle name="Normal 4 4 3 2 2 7" xfId="4764" xr:uid="{00000000-0005-0000-0000-000079150000}"/>
    <cellStyle name="Normal 4 4 3 2 2 7 2" xfId="13206" xr:uid="{3738DCED-44D0-4D44-9046-E912FC35C837}"/>
    <cellStyle name="Normal 4 4 3 2 2 8" xfId="8988" xr:uid="{EE96F920-EC8E-432E-9FC4-01F2AB33ADA2}"/>
    <cellStyle name="Normal 4 4 3 2 3" xfId="863" xr:uid="{00000000-0005-0000-0000-00007A150000}"/>
    <cellStyle name="Normal 4 4 3 2 3 2" xfId="3098" xr:uid="{00000000-0005-0000-0000-00007B150000}"/>
    <cellStyle name="Normal 4 4 3 2 3 2 2" xfId="7321" xr:uid="{00000000-0005-0000-0000-00007C150000}"/>
    <cellStyle name="Normal 4 4 3 2 3 2 2 2" xfId="15763" xr:uid="{E309DDF0-9382-4913-8DA3-8F49B1258DA7}"/>
    <cellStyle name="Normal 4 4 3 2 3 2 3" xfId="11545" xr:uid="{0D52BCA3-DFC7-43FE-8541-E6A469E16D36}"/>
    <cellStyle name="Normal 4 4 3 2 3 3" xfId="5176" xr:uid="{00000000-0005-0000-0000-00007D150000}"/>
    <cellStyle name="Normal 4 4 3 2 3 3 2" xfId="13618" xr:uid="{7E956842-589B-4705-A32A-719922C00E93}"/>
    <cellStyle name="Normal 4 4 3 2 3 4" xfId="9400" xr:uid="{987A3D9C-6C5F-493D-8566-36F5196A48CB}"/>
    <cellStyle name="Normal 4 4 3 2 4" xfId="1281" xr:uid="{00000000-0005-0000-0000-00007E150000}"/>
    <cellStyle name="Normal 4 4 3 2 4 2" xfId="3511" xr:uid="{00000000-0005-0000-0000-00007F150000}"/>
    <cellStyle name="Normal 4 4 3 2 4 2 2" xfId="7734" xr:uid="{00000000-0005-0000-0000-000080150000}"/>
    <cellStyle name="Normal 4 4 3 2 4 2 2 2" xfId="16176" xr:uid="{4248A850-73F5-4716-BBC6-7919BE7C3EC7}"/>
    <cellStyle name="Normal 4 4 3 2 4 2 3" xfId="11958" xr:uid="{07FC3506-6DAF-4019-8B94-5FF7D3611FAE}"/>
    <cellStyle name="Normal 4 4 3 2 4 3" xfId="5589" xr:uid="{00000000-0005-0000-0000-000081150000}"/>
    <cellStyle name="Normal 4 4 3 2 4 3 2" xfId="14031" xr:uid="{21BE5634-AA2F-42AD-B528-F6BBD210F66A}"/>
    <cellStyle name="Normal 4 4 3 2 4 4" xfId="9813" xr:uid="{93812023-07F3-4545-AC02-4A8E3EE4F81D}"/>
    <cellStyle name="Normal 4 4 3 2 5" xfId="1694" xr:uid="{00000000-0005-0000-0000-000082150000}"/>
    <cellStyle name="Normal 4 4 3 2 5 2" xfId="3924" xr:uid="{00000000-0005-0000-0000-000083150000}"/>
    <cellStyle name="Normal 4 4 3 2 5 2 2" xfId="8147" xr:uid="{00000000-0005-0000-0000-000084150000}"/>
    <cellStyle name="Normal 4 4 3 2 5 2 2 2" xfId="16589" xr:uid="{BF23CE18-C0FD-4044-BE9E-682F4DF8C805}"/>
    <cellStyle name="Normal 4 4 3 2 5 2 3" xfId="12371" xr:uid="{264DC1EF-295C-43F6-AFA4-676015B2B6C9}"/>
    <cellStyle name="Normal 4 4 3 2 5 3" xfId="6002" xr:uid="{00000000-0005-0000-0000-000085150000}"/>
    <cellStyle name="Normal 4 4 3 2 5 3 2" xfId="14444" xr:uid="{FC66FA6F-0C62-490A-8B2A-E606888FFC37}"/>
    <cellStyle name="Normal 4 4 3 2 5 4" xfId="10226" xr:uid="{B16CAEA8-2345-47E9-A62A-1592ECD5C822}"/>
    <cellStyle name="Normal 4 4 3 2 6" xfId="2108" xr:uid="{00000000-0005-0000-0000-000086150000}"/>
    <cellStyle name="Normal 4 4 3 2 6 2" xfId="4337" xr:uid="{00000000-0005-0000-0000-000087150000}"/>
    <cellStyle name="Normal 4 4 3 2 6 2 2" xfId="8560" xr:uid="{00000000-0005-0000-0000-000088150000}"/>
    <cellStyle name="Normal 4 4 3 2 6 2 2 2" xfId="17002" xr:uid="{825606E2-B56B-406E-AA45-FB3B0EDF82BB}"/>
    <cellStyle name="Normal 4 4 3 2 6 2 3" xfId="12784" xr:uid="{36F432CF-BD9E-4480-8FF0-A0DF32ADEEF7}"/>
    <cellStyle name="Normal 4 4 3 2 6 3" xfId="6415" xr:uid="{00000000-0005-0000-0000-000089150000}"/>
    <cellStyle name="Normal 4 4 3 2 6 3 2" xfId="14857" xr:uid="{7E3AEBE0-213E-4712-AECD-FF1485870373}"/>
    <cellStyle name="Normal 4 4 3 2 6 4" xfId="10639" xr:uid="{27575B3D-DF3F-4587-AD2E-FBC61E782AF2}"/>
    <cellStyle name="Normal 4 4 3 2 7" xfId="2544" xr:uid="{00000000-0005-0000-0000-00008A150000}"/>
    <cellStyle name="Normal 4 4 3 2 7 2" xfId="6828" xr:uid="{00000000-0005-0000-0000-00008B150000}"/>
    <cellStyle name="Normal 4 4 3 2 7 2 2" xfId="15270" xr:uid="{72C0C882-203B-4CBC-B73A-0ADD70F19E03}"/>
    <cellStyle name="Normal 4 4 3 2 7 3" xfId="11052" xr:uid="{E1B3D06C-7238-4C31-83FA-2A53B65FCE1B}"/>
    <cellStyle name="Normal 4 4 3 2 8" xfId="4763" xr:uid="{00000000-0005-0000-0000-00008C150000}"/>
    <cellStyle name="Normal 4 4 3 2 8 2" xfId="13205" xr:uid="{8EFCD7BF-624E-41FC-B38D-BE2543CFDBBC}"/>
    <cellStyle name="Normal 4 4 3 2 9" xfId="8987" xr:uid="{1D7DA6EA-DDDB-446C-9932-B7515BD42CA5}"/>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2 2 2" xfId="15765" xr:uid="{EEF6BB6F-46DF-4B84-A796-1A09511466C0}"/>
    <cellStyle name="Normal 4 4 3 3 2 2 3" xfId="11547" xr:uid="{C8FBE85C-C521-4985-BC75-6D2FB1A8781D}"/>
    <cellStyle name="Normal 4 4 3 3 2 3" xfId="5178" xr:uid="{00000000-0005-0000-0000-000091150000}"/>
    <cellStyle name="Normal 4 4 3 3 2 3 2" xfId="13620" xr:uid="{7EEEF685-86F2-418C-ACEF-6A0E8FED4F22}"/>
    <cellStyle name="Normal 4 4 3 3 2 4" xfId="9402" xr:uid="{DC32792A-6E69-4284-8DE7-1E7B0F4A9DAA}"/>
    <cellStyle name="Normal 4 4 3 3 3" xfId="1283" xr:uid="{00000000-0005-0000-0000-000092150000}"/>
    <cellStyle name="Normal 4 4 3 3 3 2" xfId="3513" xr:uid="{00000000-0005-0000-0000-000093150000}"/>
    <cellStyle name="Normal 4 4 3 3 3 2 2" xfId="7736" xr:uid="{00000000-0005-0000-0000-000094150000}"/>
    <cellStyle name="Normal 4 4 3 3 3 2 2 2" xfId="16178" xr:uid="{BC956CF5-D7DB-44E0-804B-5A6BBF57A2E3}"/>
    <cellStyle name="Normal 4 4 3 3 3 2 3" xfId="11960" xr:uid="{86BCB7E6-2034-4BD3-9331-1C8706A5E66D}"/>
    <cellStyle name="Normal 4 4 3 3 3 3" xfId="5591" xr:uid="{00000000-0005-0000-0000-000095150000}"/>
    <cellStyle name="Normal 4 4 3 3 3 3 2" xfId="14033" xr:uid="{10335585-AD50-46D1-833B-0550EEA759F1}"/>
    <cellStyle name="Normal 4 4 3 3 3 4" xfId="9815" xr:uid="{FEF905D1-D471-45F2-BF2C-6A341A9C5BF0}"/>
    <cellStyle name="Normal 4 4 3 3 4" xfId="1696" xr:uid="{00000000-0005-0000-0000-000096150000}"/>
    <cellStyle name="Normal 4 4 3 3 4 2" xfId="3926" xr:uid="{00000000-0005-0000-0000-000097150000}"/>
    <cellStyle name="Normal 4 4 3 3 4 2 2" xfId="8149" xr:uid="{00000000-0005-0000-0000-000098150000}"/>
    <cellStyle name="Normal 4 4 3 3 4 2 2 2" xfId="16591" xr:uid="{A8592F58-E1DF-48B8-AC1F-FAB7874BD4F6}"/>
    <cellStyle name="Normal 4 4 3 3 4 2 3" xfId="12373" xr:uid="{8E4E22B2-FF23-43B2-9179-E0B89A6B67F4}"/>
    <cellStyle name="Normal 4 4 3 3 4 3" xfId="6004" xr:uid="{00000000-0005-0000-0000-000099150000}"/>
    <cellStyle name="Normal 4 4 3 3 4 3 2" xfId="14446" xr:uid="{D2232320-3CA0-446A-9D0A-5BB1DE272584}"/>
    <cellStyle name="Normal 4 4 3 3 4 4" xfId="10228" xr:uid="{70FAE7F3-029F-4CD9-A613-875D376D7C0D}"/>
    <cellStyle name="Normal 4 4 3 3 5" xfId="2110" xr:uid="{00000000-0005-0000-0000-00009A150000}"/>
    <cellStyle name="Normal 4 4 3 3 5 2" xfId="4339" xr:uid="{00000000-0005-0000-0000-00009B150000}"/>
    <cellStyle name="Normal 4 4 3 3 5 2 2" xfId="8562" xr:uid="{00000000-0005-0000-0000-00009C150000}"/>
    <cellStyle name="Normal 4 4 3 3 5 2 2 2" xfId="17004" xr:uid="{73128F48-28B5-4736-9517-99CE5B71F14D}"/>
    <cellStyle name="Normal 4 4 3 3 5 2 3" xfId="12786" xr:uid="{F2F1BA45-0DC5-47D9-A6A2-E5E31F3282D5}"/>
    <cellStyle name="Normal 4 4 3 3 5 3" xfId="6417" xr:uid="{00000000-0005-0000-0000-00009D150000}"/>
    <cellStyle name="Normal 4 4 3 3 5 3 2" xfId="14859" xr:uid="{B5E94FC4-9099-4818-859F-BEFFFF567B39}"/>
    <cellStyle name="Normal 4 4 3 3 5 4" xfId="10641" xr:uid="{31B100BB-6B06-4F4C-9ACD-5749FC38ACF7}"/>
    <cellStyle name="Normal 4 4 3 3 6" xfId="2546" xr:uid="{00000000-0005-0000-0000-00009E150000}"/>
    <cellStyle name="Normal 4 4 3 3 6 2" xfId="6830" xr:uid="{00000000-0005-0000-0000-00009F150000}"/>
    <cellStyle name="Normal 4 4 3 3 6 2 2" xfId="15272" xr:uid="{029A544D-D8BC-420E-A391-DD713037EAEE}"/>
    <cellStyle name="Normal 4 4 3 3 6 3" xfId="11054" xr:uid="{031618D4-F988-47EC-A110-F5E4C70C271E}"/>
    <cellStyle name="Normal 4 4 3 3 7" xfId="4765" xr:uid="{00000000-0005-0000-0000-0000A0150000}"/>
    <cellStyle name="Normal 4 4 3 3 7 2" xfId="13207" xr:uid="{3912FAFB-0B20-43BA-B61E-67BCC7EF0AF3}"/>
    <cellStyle name="Normal 4 4 3 3 8" xfId="8989" xr:uid="{4B3E16D1-DF8B-4246-978F-C582C853CCBF}"/>
    <cellStyle name="Normal 4 4 3 4" xfId="862" xr:uid="{00000000-0005-0000-0000-0000A1150000}"/>
    <cellStyle name="Normal 4 4 3 4 2" xfId="3097" xr:uid="{00000000-0005-0000-0000-0000A2150000}"/>
    <cellStyle name="Normal 4 4 3 4 2 2" xfId="7320" xr:uid="{00000000-0005-0000-0000-0000A3150000}"/>
    <cellStyle name="Normal 4 4 3 4 2 2 2" xfId="15762" xr:uid="{646AD290-F06E-4612-B0AB-867399FEA12D}"/>
    <cellStyle name="Normal 4 4 3 4 2 3" xfId="11544" xr:uid="{0DDCA17E-90BA-4A8B-8287-1FBD0241191A}"/>
    <cellStyle name="Normal 4 4 3 4 3" xfId="5175" xr:uid="{00000000-0005-0000-0000-0000A4150000}"/>
    <cellStyle name="Normal 4 4 3 4 3 2" xfId="13617" xr:uid="{EA67632D-CC68-4B7A-B605-C68A73A96DF1}"/>
    <cellStyle name="Normal 4 4 3 4 4" xfId="9399" xr:uid="{83648E97-13CF-4DAD-831C-E7C73381938A}"/>
    <cellStyle name="Normal 4 4 3 5" xfId="1280" xr:uid="{00000000-0005-0000-0000-0000A5150000}"/>
    <cellStyle name="Normal 4 4 3 5 2" xfId="3510" xr:uid="{00000000-0005-0000-0000-0000A6150000}"/>
    <cellStyle name="Normal 4 4 3 5 2 2" xfId="7733" xr:uid="{00000000-0005-0000-0000-0000A7150000}"/>
    <cellStyle name="Normal 4 4 3 5 2 2 2" xfId="16175" xr:uid="{7D4F6775-1698-4008-9371-D03D16A8A17F}"/>
    <cellStyle name="Normal 4 4 3 5 2 3" xfId="11957" xr:uid="{91C87C72-2DE7-4046-AF4C-DE149A271E12}"/>
    <cellStyle name="Normal 4 4 3 5 3" xfId="5588" xr:uid="{00000000-0005-0000-0000-0000A8150000}"/>
    <cellStyle name="Normal 4 4 3 5 3 2" xfId="14030" xr:uid="{0BCD491D-4D94-480F-ACC8-915F5C93D77B}"/>
    <cellStyle name="Normal 4 4 3 5 4" xfId="9812" xr:uid="{B5008A18-0FA6-45B2-9FB5-B069C9639E71}"/>
    <cellStyle name="Normal 4 4 3 6" xfId="1693" xr:uid="{00000000-0005-0000-0000-0000A9150000}"/>
    <cellStyle name="Normal 4 4 3 6 2" xfId="3923" xr:uid="{00000000-0005-0000-0000-0000AA150000}"/>
    <cellStyle name="Normal 4 4 3 6 2 2" xfId="8146" xr:uid="{00000000-0005-0000-0000-0000AB150000}"/>
    <cellStyle name="Normal 4 4 3 6 2 2 2" xfId="16588" xr:uid="{4BC0D248-3A13-4AF8-B8F4-24D31C875F19}"/>
    <cellStyle name="Normal 4 4 3 6 2 3" xfId="12370" xr:uid="{557BA3DF-7F2F-4075-8154-96ACEFFD6AB4}"/>
    <cellStyle name="Normal 4 4 3 6 3" xfId="6001" xr:uid="{00000000-0005-0000-0000-0000AC150000}"/>
    <cellStyle name="Normal 4 4 3 6 3 2" xfId="14443" xr:uid="{DE983507-463F-4BE5-9CF2-310A73C90592}"/>
    <cellStyle name="Normal 4 4 3 6 4" xfId="10225" xr:uid="{017B9AE8-FA5F-4537-A6A4-5480BC7C8D02}"/>
    <cellStyle name="Normal 4 4 3 7" xfId="2107" xr:uid="{00000000-0005-0000-0000-0000AD150000}"/>
    <cellStyle name="Normal 4 4 3 7 2" xfId="4336" xr:uid="{00000000-0005-0000-0000-0000AE150000}"/>
    <cellStyle name="Normal 4 4 3 7 2 2" xfId="8559" xr:uid="{00000000-0005-0000-0000-0000AF150000}"/>
    <cellStyle name="Normal 4 4 3 7 2 2 2" xfId="17001" xr:uid="{ECD692D8-8834-47D7-A3B5-8FFF55F5AC69}"/>
    <cellStyle name="Normal 4 4 3 7 2 3" xfId="12783" xr:uid="{2E63399A-EE7F-40C2-BE36-E1B80712247C}"/>
    <cellStyle name="Normal 4 4 3 7 3" xfId="6414" xr:uid="{00000000-0005-0000-0000-0000B0150000}"/>
    <cellStyle name="Normal 4 4 3 7 3 2" xfId="14856" xr:uid="{AA3E6917-83E0-4776-A9E3-205AE139F81B}"/>
    <cellStyle name="Normal 4 4 3 7 4" xfId="10638" xr:uid="{8803AC76-0D1B-4CE8-91E3-AD801E281FDE}"/>
    <cellStyle name="Normal 4 4 3 8" xfId="2543" xr:uid="{00000000-0005-0000-0000-0000B1150000}"/>
    <cellStyle name="Normal 4 4 3 8 2" xfId="6827" xr:uid="{00000000-0005-0000-0000-0000B2150000}"/>
    <cellStyle name="Normal 4 4 3 8 2 2" xfId="15269" xr:uid="{34CE03AB-3117-4170-934D-238313E11920}"/>
    <cellStyle name="Normal 4 4 3 8 3" xfId="11051" xr:uid="{51C57336-27CB-4EAC-AA12-C67275898852}"/>
    <cellStyle name="Normal 4 4 3 9" xfId="4762" xr:uid="{00000000-0005-0000-0000-0000B3150000}"/>
    <cellStyle name="Normal 4 4 3 9 2" xfId="13204" xr:uid="{6EC2BDC2-DE1B-4884-B3B2-A464564107E6}"/>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2 2 2" xfId="15767" xr:uid="{C42EB829-8CFA-4434-A00A-D2DA031BD5EA}"/>
    <cellStyle name="Normal 4 4 4 2 2 2 3" xfId="11549" xr:uid="{FB84A50D-7AC3-4A2C-AC1B-7B80BEE36DD5}"/>
    <cellStyle name="Normal 4 4 4 2 2 3" xfId="5180" xr:uid="{00000000-0005-0000-0000-0000B9150000}"/>
    <cellStyle name="Normal 4 4 4 2 2 3 2" xfId="13622" xr:uid="{7B0406F9-5214-437F-8337-48005A3FEA81}"/>
    <cellStyle name="Normal 4 4 4 2 2 4" xfId="9404" xr:uid="{E29C874E-A97C-46E0-98E8-D3B94D9AE995}"/>
    <cellStyle name="Normal 4 4 4 2 3" xfId="1285" xr:uid="{00000000-0005-0000-0000-0000BA150000}"/>
    <cellStyle name="Normal 4 4 4 2 3 2" xfId="3515" xr:uid="{00000000-0005-0000-0000-0000BB150000}"/>
    <cellStyle name="Normal 4 4 4 2 3 2 2" xfId="7738" xr:uid="{00000000-0005-0000-0000-0000BC150000}"/>
    <cellStyle name="Normal 4 4 4 2 3 2 2 2" xfId="16180" xr:uid="{22B44819-E5FA-4E99-9A21-20DB47848502}"/>
    <cellStyle name="Normal 4 4 4 2 3 2 3" xfId="11962" xr:uid="{4D709712-D53E-4E82-A6D7-E3AA63B5DD37}"/>
    <cellStyle name="Normal 4 4 4 2 3 3" xfId="5593" xr:uid="{00000000-0005-0000-0000-0000BD150000}"/>
    <cellStyle name="Normal 4 4 4 2 3 3 2" xfId="14035" xr:uid="{5ACC947D-8152-4606-8690-8B7FB74C69C0}"/>
    <cellStyle name="Normal 4 4 4 2 3 4" xfId="9817" xr:uid="{4BF48E17-B671-45AE-BF50-EB0A10E4863B}"/>
    <cellStyle name="Normal 4 4 4 2 4" xfId="1698" xr:uid="{00000000-0005-0000-0000-0000BE150000}"/>
    <cellStyle name="Normal 4 4 4 2 4 2" xfId="3928" xr:uid="{00000000-0005-0000-0000-0000BF150000}"/>
    <cellStyle name="Normal 4 4 4 2 4 2 2" xfId="8151" xr:uid="{00000000-0005-0000-0000-0000C0150000}"/>
    <cellStyle name="Normal 4 4 4 2 4 2 2 2" xfId="16593" xr:uid="{F769E7A9-1CB6-461F-9D4C-53F7CCB2C9FA}"/>
    <cellStyle name="Normal 4 4 4 2 4 2 3" xfId="12375" xr:uid="{5D394C4D-C762-4A73-8686-33302A6597D2}"/>
    <cellStyle name="Normal 4 4 4 2 4 3" xfId="6006" xr:uid="{00000000-0005-0000-0000-0000C1150000}"/>
    <cellStyle name="Normal 4 4 4 2 4 3 2" xfId="14448" xr:uid="{BE505CC9-11DD-4A59-AABF-CB948ABD9DEB}"/>
    <cellStyle name="Normal 4 4 4 2 4 4" xfId="10230" xr:uid="{A77D3313-5FBB-452D-8E70-E9B8B3A85C92}"/>
    <cellStyle name="Normal 4 4 4 2 5" xfId="2112" xr:uid="{00000000-0005-0000-0000-0000C2150000}"/>
    <cellStyle name="Normal 4 4 4 2 5 2" xfId="4341" xr:uid="{00000000-0005-0000-0000-0000C3150000}"/>
    <cellStyle name="Normal 4 4 4 2 5 2 2" xfId="8564" xr:uid="{00000000-0005-0000-0000-0000C4150000}"/>
    <cellStyle name="Normal 4 4 4 2 5 2 2 2" xfId="17006" xr:uid="{95AA153C-7D11-46A6-941B-E042B037650C}"/>
    <cellStyle name="Normal 4 4 4 2 5 2 3" xfId="12788" xr:uid="{DB3CC4FD-E2F8-42E7-B645-015E9B3F5999}"/>
    <cellStyle name="Normal 4 4 4 2 5 3" xfId="6419" xr:uid="{00000000-0005-0000-0000-0000C5150000}"/>
    <cellStyle name="Normal 4 4 4 2 5 3 2" xfId="14861" xr:uid="{BE2A060B-F446-404E-995C-EFFCE37856B9}"/>
    <cellStyle name="Normal 4 4 4 2 5 4" xfId="10643" xr:uid="{848DBFEC-14B9-430D-BC20-01164D6CCB87}"/>
    <cellStyle name="Normal 4 4 4 2 6" xfId="2548" xr:uid="{00000000-0005-0000-0000-0000C6150000}"/>
    <cellStyle name="Normal 4 4 4 2 6 2" xfId="6832" xr:uid="{00000000-0005-0000-0000-0000C7150000}"/>
    <cellStyle name="Normal 4 4 4 2 6 2 2" xfId="15274" xr:uid="{1BCCE0C3-B80C-4ACB-9D37-8BB07FAF8920}"/>
    <cellStyle name="Normal 4 4 4 2 6 3" xfId="11056" xr:uid="{C45B23E1-5649-4168-BB79-9B83388E4716}"/>
    <cellStyle name="Normal 4 4 4 2 7" xfId="4767" xr:uid="{00000000-0005-0000-0000-0000C8150000}"/>
    <cellStyle name="Normal 4 4 4 2 7 2" xfId="13209" xr:uid="{467A663F-D6AA-4393-8343-57CD6CB527FB}"/>
    <cellStyle name="Normal 4 4 4 2 8" xfId="8991" xr:uid="{F71919D1-52C6-4384-9E85-DBDC85689611}"/>
    <cellStyle name="Normal 4 4 4 3" xfId="866" xr:uid="{00000000-0005-0000-0000-0000C9150000}"/>
    <cellStyle name="Normal 4 4 4 3 2" xfId="3101" xr:uid="{00000000-0005-0000-0000-0000CA150000}"/>
    <cellStyle name="Normal 4 4 4 3 2 2" xfId="7324" xr:uid="{00000000-0005-0000-0000-0000CB150000}"/>
    <cellStyle name="Normal 4 4 4 3 2 2 2" xfId="15766" xr:uid="{2AECB55D-AA06-46FA-AE5D-AB9D7C01EF77}"/>
    <cellStyle name="Normal 4 4 4 3 2 3" xfId="11548" xr:uid="{78961B56-8634-4B10-93D8-CE0D1F1F89BC}"/>
    <cellStyle name="Normal 4 4 4 3 3" xfId="5179" xr:uid="{00000000-0005-0000-0000-0000CC150000}"/>
    <cellStyle name="Normal 4 4 4 3 3 2" xfId="13621" xr:uid="{1BDDFFB7-0B2C-4AD1-8054-84E0B43CAEED}"/>
    <cellStyle name="Normal 4 4 4 3 4" xfId="9403" xr:uid="{F88A1184-B576-4468-ACC4-60B3DAFCE70D}"/>
    <cellStyle name="Normal 4 4 4 4" xfId="1284" xr:uid="{00000000-0005-0000-0000-0000CD150000}"/>
    <cellStyle name="Normal 4 4 4 4 2" xfId="3514" xr:uid="{00000000-0005-0000-0000-0000CE150000}"/>
    <cellStyle name="Normal 4 4 4 4 2 2" xfId="7737" xr:uid="{00000000-0005-0000-0000-0000CF150000}"/>
    <cellStyle name="Normal 4 4 4 4 2 2 2" xfId="16179" xr:uid="{03F81796-8331-49C7-B65F-48CD031B4583}"/>
    <cellStyle name="Normal 4 4 4 4 2 3" xfId="11961" xr:uid="{E72183F3-2301-4006-8040-8793B8B3E3DA}"/>
    <cellStyle name="Normal 4 4 4 4 3" xfId="5592" xr:uid="{00000000-0005-0000-0000-0000D0150000}"/>
    <cellStyle name="Normal 4 4 4 4 3 2" xfId="14034" xr:uid="{4C3D7AD7-DCCD-4C1E-90DD-D1F1DD7E49AF}"/>
    <cellStyle name="Normal 4 4 4 4 4" xfId="9816" xr:uid="{500D9A6B-0D63-4C12-ABE1-7A7D228601F6}"/>
    <cellStyle name="Normal 4 4 4 5" xfId="1697" xr:uid="{00000000-0005-0000-0000-0000D1150000}"/>
    <cellStyle name="Normal 4 4 4 5 2" xfId="3927" xr:uid="{00000000-0005-0000-0000-0000D2150000}"/>
    <cellStyle name="Normal 4 4 4 5 2 2" xfId="8150" xr:uid="{00000000-0005-0000-0000-0000D3150000}"/>
    <cellStyle name="Normal 4 4 4 5 2 2 2" xfId="16592" xr:uid="{3CEF0DE2-F157-432F-839D-E795FE5506A2}"/>
    <cellStyle name="Normal 4 4 4 5 2 3" xfId="12374" xr:uid="{5F5EFC91-4502-40CA-ACDC-452BEFFC210A}"/>
    <cellStyle name="Normal 4 4 4 5 3" xfId="6005" xr:uid="{00000000-0005-0000-0000-0000D4150000}"/>
    <cellStyle name="Normal 4 4 4 5 3 2" xfId="14447" xr:uid="{DF3ABF56-8D44-49C9-A674-07E85763B818}"/>
    <cellStyle name="Normal 4 4 4 5 4" xfId="10229" xr:uid="{033B03CC-C83A-435E-BD72-8853B5108FED}"/>
    <cellStyle name="Normal 4 4 4 6" xfId="2111" xr:uid="{00000000-0005-0000-0000-0000D5150000}"/>
    <cellStyle name="Normal 4 4 4 6 2" xfId="4340" xr:uid="{00000000-0005-0000-0000-0000D6150000}"/>
    <cellStyle name="Normal 4 4 4 6 2 2" xfId="8563" xr:uid="{00000000-0005-0000-0000-0000D7150000}"/>
    <cellStyle name="Normal 4 4 4 6 2 2 2" xfId="17005" xr:uid="{2864CB4D-63FA-429B-8DC6-8DCF534171A9}"/>
    <cellStyle name="Normal 4 4 4 6 2 3" xfId="12787" xr:uid="{1FAEDEB9-DF86-4F14-9B3E-995E0B8B8E36}"/>
    <cellStyle name="Normal 4 4 4 6 3" xfId="6418" xr:uid="{00000000-0005-0000-0000-0000D8150000}"/>
    <cellStyle name="Normal 4 4 4 6 3 2" xfId="14860" xr:uid="{855F2896-B358-44DD-B0D2-1F45D3E86321}"/>
    <cellStyle name="Normal 4 4 4 6 4" xfId="10642" xr:uid="{3E2472FB-E5B2-42BA-AC04-28659074808F}"/>
    <cellStyle name="Normal 4 4 4 7" xfId="2547" xr:uid="{00000000-0005-0000-0000-0000D9150000}"/>
    <cellStyle name="Normal 4 4 4 7 2" xfId="6831" xr:uid="{00000000-0005-0000-0000-0000DA150000}"/>
    <cellStyle name="Normal 4 4 4 7 2 2" xfId="15273" xr:uid="{EAED4CD0-041C-4A0B-8886-229A78231095}"/>
    <cellStyle name="Normal 4 4 4 7 3" xfId="11055" xr:uid="{D5190EEA-36D3-4A6F-908C-81C76D8DB294}"/>
    <cellStyle name="Normal 4 4 4 8" xfId="4766" xr:uid="{00000000-0005-0000-0000-0000DB150000}"/>
    <cellStyle name="Normal 4 4 4 8 2" xfId="13208" xr:uid="{6F7F477D-D193-4484-BB04-45F5EEAED781}"/>
    <cellStyle name="Normal 4 4 4 9" xfId="8990" xr:uid="{3402E125-DCD7-40C8-A190-D6F3B2B73995}"/>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2 2 2" xfId="15768" xr:uid="{4DC3513C-0F7A-4226-B62B-3F75A4A1C188}"/>
    <cellStyle name="Normal 4 4 5 2 2 3" xfId="11550" xr:uid="{799F66BE-004A-4A66-A475-3F2E2DDFC752}"/>
    <cellStyle name="Normal 4 4 5 2 3" xfId="5181" xr:uid="{00000000-0005-0000-0000-0000E0150000}"/>
    <cellStyle name="Normal 4 4 5 2 3 2" xfId="13623" xr:uid="{0001313F-0F12-4807-BC5C-35D67EF51E1C}"/>
    <cellStyle name="Normal 4 4 5 2 4" xfId="9405" xr:uid="{0D0AFB22-B28A-4C55-9B7B-218C164880EB}"/>
    <cellStyle name="Normal 4 4 5 3" xfId="1286" xr:uid="{00000000-0005-0000-0000-0000E1150000}"/>
    <cellStyle name="Normal 4 4 5 3 2" xfId="3516" xr:uid="{00000000-0005-0000-0000-0000E2150000}"/>
    <cellStyle name="Normal 4 4 5 3 2 2" xfId="7739" xr:uid="{00000000-0005-0000-0000-0000E3150000}"/>
    <cellStyle name="Normal 4 4 5 3 2 2 2" xfId="16181" xr:uid="{5E0F24C9-322C-48ED-8D66-617DFDB74A7D}"/>
    <cellStyle name="Normal 4 4 5 3 2 3" xfId="11963" xr:uid="{993823A4-1C54-45B8-BE28-CAB8775FB0E0}"/>
    <cellStyle name="Normal 4 4 5 3 3" xfId="5594" xr:uid="{00000000-0005-0000-0000-0000E4150000}"/>
    <cellStyle name="Normal 4 4 5 3 3 2" xfId="14036" xr:uid="{4A5FEE39-3AD1-4824-8FD6-25917C745BE4}"/>
    <cellStyle name="Normal 4 4 5 3 4" xfId="9818" xr:uid="{CB46C9A6-C113-4E82-9A9E-8892A33B7100}"/>
    <cellStyle name="Normal 4 4 5 4" xfId="1699" xr:uid="{00000000-0005-0000-0000-0000E5150000}"/>
    <cellStyle name="Normal 4 4 5 4 2" xfId="3929" xr:uid="{00000000-0005-0000-0000-0000E6150000}"/>
    <cellStyle name="Normal 4 4 5 4 2 2" xfId="8152" xr:uid="{00000000-0005-0000-0000-0000E7150000}"/>
    <cellStyle name="Normal 4 4 5 4 2 2 2" xfId="16594" xr:uid="{643C3A35-BA29-4DE1-A243-C5650E91B7FF}"/>
    <cellStyle name="Normal 4 4 5 4 2 3" xfId="12376" xr:uid="{ECDEF51E-B50B-40CB-923D-6F1C5FD93490}"/>
    <cellStyle name="Normal 4 4 5 4 3" xfId="6007" xr:uid="{00000000-0005-0000-0000-0000E8150000}"/>
    <cellStyle name="Normal 4 4 5 4 3 2" xfId="14449" xr:uid="{2AEF932F-CAC4-4D5E-8DC1-986429D9DB4A}"/>
    <cellStyle name="Normal 4 4 5 4 4" xfId="10231" xr:uid="{B6DBF9F4-7259-4B4A-8B47-4B072382A56E}"/>
    <cellStyle name="Normal 4 4 5 5" xfId="2113" xr:uid="{00000000-0005-0000-0000-0000E9150000}"/>
    <cellStyle name="Normal 4 4 5 5 2" xfId="4342" xr:uid="{00000000-0005-0000-0000-0000EA150000}"/>
    <cellStyle name="Normal 4 4 5 5 2 2" xfId="8565" xr:uid="{00000000-0005-0000-0000-0000EB150000}"/>
    <cellStyle name="Normal 4 4 5 5 2 2 2" xfId="17007" xr:uid="{FFEECB66-C9E7-48B8-A300-50661DA46EA2}"/>
    <cellStyle name="Normal 4 4 5 5 2 3" xfId="12789" xr:uid="{F3AE279E-6C4F-4BBC-B1F5-C367A9DF5597}"/>
    <cellStyle name="Normal 4 4 5 5 3" xfId="6420" xr:uid="{00000000-0005-0000-0000-0000EC150000}"/>
    <cellStyle name="Normal 4 4 5 5 3 2" xfId="14862" xr:uid="{C43A4158-7983-472D-9C0C-816D5D8452D1}"/>
    <cellStyle name="Normal 4 4 5 5 4" xfId="10644" xr:uid="{4F724FEF-0EE2-4AD5-BC1F-A2FABB4D45FF}"/>
    <cellStyle name="Normal 4 4 5 6" xfId="2549" xr:uid="{00000000-0005-0000-0000-0000ED150000}"/>
    <cellStyle name="Normal 4 4 5 6 2" xfId="6833" xr:uid="{00000000-0005-0000-0000-0000EE150000}"/>
    <cellStyle name="Normal 4 4 5 6 2 2" xfId="15275" xr:uid="{E7FB494F-1DFE-456B-9934-00F0CC66E453}"/>
    <cellStyle name="Normal 4 4 5 6 3" xfId="11057" xr:uid="{AEBC32AA-5F2F-4E97-9646-1EE0DB6C077D}"/>
    <cellStyle name="Normal 4 4 5 7" xfId="4768" xr:uid="{00000000-0005-0000-0000-0000EF150000}"/>
    <cellStyle name="Normal 4 4 5 7 2" xfId="13210" xr:uid="{292CFDDE-2402-4BCD-B7FF-E095C086C2B2}"/>
    <cellStyle name="Normal 4 4 5 8" xfId="8992" xr:uid="{08C53963-5F85-4A4C-A933-7917B9B46A9F}"/>
    <cellStyle name="Normal 4 4 6" xfId="853" xr:uid="{00000000-0005-0000-0000-0000F0150000}"/>
    <cellStyle name="Normal 4 4 6 2" xfId="3088" xr:uid="{00000000-0005-0000-0000-0000F1150000}"/>
    <cellStyle name="Normal 4 4 6 2 2" xfId="7311" xr:uid="{00000000-0005-0000-0000-0000F2150000}"/>
    <cellStyle name="Normal 4 4 6 2 2 2" xfId="15753" xr:uid="{602C0624-267F-4245-AC23-739B250B9912}"/>
    <cellStyle name="Normal 4 4 6 2 3" xfId="11535" xr:uid="{A9B3969E-285D-44F0-B985-9DC07FEBA57A}"/>
    <cellStyle name="Normal 4 4 6 3" xfId="5166" xr:uid="{00000000-0005-0000-0000-0000F3150000}"/>
    <cellStyle name="Normal 4 4 6 3 2" xfId="13608" xr:uid="{A71EFC4D-A72A-4A81-B34A-C3168E04EEA7}"/>
    <cellStyle name="Normal 4 4 6 4" xfId="9390" xr:uid="{863C6FE6-0608-4D00-9401-A24D3487BEA1}"/>
    <cellStyle name="Normal 4 4 7" xfId="1271" xr:uid="{00000000-0005-0000-0000-0000F4150000}"/>
    <cellStyle name="Normal 4 4 7 2" xfId="3501" xr:uid="{00000000-0005-0000-0000-0000F5150000}"/>
    <cellStyle name="Normal 4 4 7 2 2" xfId="7724" xr:uid="{00000000-0005-0000-0000-0000F6150000}"/>
    <cellStyle name="Normal 4 4 7 2 2 2" xfId="16166" xr:uid="{58D2F6AD-0494-4ACD-91BF-BBE6151E8894}"/>
    <cellStyle name="Normal 4 4 7 2 3" xfId="11948" xr:uid="{B4FD1CA6-6A82-4104-B431-818E34823112}"/>
    <cellStyle name="Normal 4 4 7 3" xfId="5579" xr:uid="{00000000-0005-0000-0000-0000F7150000}"/>
    <cellStyle name="Normal 4 4 7 3 2" xfId="14021" xr:uid="{AED5AC9E-155B-49DC-952D-7AB0F8675B50}"/>
    <cellStyle name="Normal 4 4 7 4" xfId="9803" xr:uid="{281967D4-8642-4CE0-A9D6-0233160A5D28}"/>
    <cellStyle name="Normal 4 4 8" xfId="1684" xr:uid="{00000000-0005-0000-0000-0000F8150000}"/>
    <cellStyle name="Normal 4 4 8 2" xfId="3914" xr:uid="{00000000-0005-0000-0000-0000F9150000}"/>
    <cellStyle name="Normal 4 4 8 2 2" xfId="8137" xr:uid="{00000000-0005-0000-0000-0000FA150000}"/>
    <cellStyle name="Normal 4 4 8 2 2 2" xfId="16579" xr:uid="{6D3FB99A-8C13-44A8-8035-FBFB6DFA98A4}"/>
    <cellStyle name="Normal 4 4 8 2 3" xfId="12361" xr:uid="{8FE3D9B1-9D56-4C58-866D-55C889C73DC4}"/>
    <cellStyle name="Normal 4 4 8 3" xfId="5992" xr:uid="{00000000-0005-0000-0000-0000FB150000}"/>
    <cellStyle name="Normal 4 4 8 3 2" xfId="14434" xr:uid="{AC721C25-1759-4997-99DC-3E3D22DD38C0}"/>
    <cellStyle name="Normal 4 4 8 4" xfId="10216" xr:uid="{1F9F49D5-DF8B-4772-A843-9D6AFA99DE7F}"/>
    <cellStyle name="Normal 4 4 9" xfId="2098" xr:uid="{00000000-0005-0000-0000-0000FC150000}"/>
    <cellStyle name="Normal 4 4 9 2" xfId="4327" xr:uid="{00000000-0005-0000-0000-0000FD150000}"/>
    <cellStyle name="Normal 4 4 9 2 2" xfId="8550" xr:uid="{00000000-0005-0000-0000-0000FE150000}"/>
    <cellStyle name="Normal 4 4 9 2 2 2" xfId="16992" xr:uid="{4A1515F6-C703-45D5-B3AA-B71C62828E4C}"/>
    <cellStyle name="Normal 4 4 9 2 3" xfId="12774" xr:uid="{CD2B14D7-898D-4DC8-A308-44A812E9DB3D}"/>
    <cellStyle name="Normal 4 4 9 3" xfId="6405" xr:uid="{00000000-0005-0000-0000-0000FF150000}"/>
    <cellStyle name="Normal 4 4 9 3 2" xfId="14847" xr:uid="{C79F5359-0150-42A8-A237-FA61BB2CED71}"/>
    <cellStyle name="Normal 4 4 9 4" xfId="10629" xr:uid="{025684D5-6FD2-4E46-B69B-05A1667A9B94}"/>
    <cellStyle name="Normal 4 5" xfId="394" xr:uid="{00000000-0005-0000-0000-000000160000}"/>
    <cellStyle name="Normal 4 6" xfId="395" xr:uid="{00000000-0005-0000-0000-000001160000}"/>
    <cellStyle name="Normal 4 6 10" xfId="4769" xr:uid="{00000000-0005-0000-0000-000002160000}"/>
    <cellStyle name="Normal 4 6 10 2" xfId="13211" xr:uid="{A343A41E-B034-4917-B833-99C5E968C938}"/>
    <cellStyle name="Normal 4 6 11" xfId="8993" xr:uid="{B5507A08-06E1-46C4-B37F-1F1F33EF26F5}"/>
    <cellStyle name="Normal 4 6 2" xfId="396" xr:uid="{00000000-0005-0000-0000-000003160000}"/>
    <cellStyle name="Normal 4 6 2 10" xfId="8994" xr:uid="{71E76668-1458-4026-BA88-8A65E7663CAD}"/>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2 2 2" xfId="15772" xr:uid="{A56BBD8F-AC97-4D0D-95BE-B97C6B09A89F}"/>
    <cellStyle name="Normal 4 6 2 2 2 2 2 3" xfId="11554" xr:uid="{177812C8-F289-49FF-9077-A34B3FC832D2}"/>
    <cellStyle name="Normal 4 6 2 2 2 2 3" xfId="5185" xr:uid="{00000000-0005-0000-0000-000009160000}"/>
    <cellStyle name="Normal 4 6 2 2 2 2 3 2" xfId="13627" xr:uid="{1747359B-B372-4489-816B-A61779CCA4A6}"/>
    <cellStyle name="Normal 4 6 2 2 2 2 4" xfId="9409" xr:uid="{A83CC764-908B-4BAC-BE1C-755AF5F6DD6E}"/>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2 2 2" xfId="16185" xr:uid="{8CFAA66A-12C9-4999-B4DE-84AEC2E81398}"/>
    <cellStyle name="Normal 4 6 2 2 2 3 2 3" xfId="11967" xr:uid="{5D649880-6DB0-4E8F-9BEB-E06ACF7C99DB}"/>
    <cellStyle name="Normal 4 6 2 2 2 3 3" xfId="5598" xr:uid="{00000000-0005-0000-0000-00000D160000}"/>
    <cellStyle name="Normal 4 6 2 2 2 3 3 2" xfId="14040" xr:uid="{892DAB03-7354-4376-BE72-93ECC00B8700}"/>
    <cellStyle name="Normal 4 6 2 2 2 3 4" xfId="9822" xr:uid="{354D8BAD-D8FD-4392-B05F-A8A0111CDF13}"/>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2 2 2" xfId="16598" xr:uid="{7B12AA8D-4407-41BC-A372-1F207B93EA60}"/>
    <cellStyle name="Normal 4 6 2 2 2 4 2 3" xfId="12380" xr:uid="{9763FCF7-4A7E-4985-AF7F-0F6E5ED30947}"/>
    <cellStyle name="Normal 4 6 2 2 2 4 3" xfId="6011" xr:uid="{00000000-0005-0000-0000-000011160000}"/>
    <cellStyle name="Normal 4 6 2 2 2 4 3 2" xfId="14453" xr:uid="{5F10D114-05E0-487C-B0AE-A594F3E82C01}"/>
    <cellStyle name="Normal 4 6 2 2 2 4 4" xfId="10235" xr:uid="{9B1162AC-11A6-483E-A210-7EDFA1544CFF}"/>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2 2 2" xfId="17011" xr:uid="{77359CC6-C860-4009-90A7-693284CE7E51}"/>
    <cellStyle name="Normal 4 6 2 2 2 5 2 3" xfId="12793" xr:uid="{E93204FE-F547-42A2-8B89-E768540D2CA1}"/>
    <cellStyle name="Normal 4 6 2 2 2 5 3" xfId="6424" xr:uid="{00000000-0005-0000-0000-000015160000}"/>
    <cellStyle name="Normal 4 6 2 2 2 5 3 2" xfId="14866" xr:uid="{F1C345CF-6009-4B84-9F11-38F6998053D1}"/>
    <cellStyle name="Normal 4 6 2 2 2 5 4" xfId="10648" xr:uid="{58C54E85-F3C1-495C-8A8F-32135F1FC771}"/>
    <cellStyle name="Normal 4 6 2 2 2 6" xfId="2553" xr:uid="{00000000-0005-0000-0000-000016160000}"/>
    <cellStyle name="Normal 4 6 2 2 2 6 2" xfId="6837" xr:uid="{00000000-0005-0000-0000-000017160000}"/>
    <cellStyle name="Normal 4 6 2 2 2 6 2 2" xfId="15279" xr:uid="{5BE98F70-2D13-4499-A83A-54EBA491DADB}"/>
    <cellStyle name="Normal 4 6 2 2 2 6 3" xfId="11061" xr:uid="{43C4B9D5-4BE7-4740-B55B-D107165DCEFF}"/>
    <cellStyle name="Normal 4 6 2 2 2 7" xfId="4772" xr:uid="{00000000-0005-0000-0000-000018160000}"/>
    <cellStyle name="Normal 4 6 2 2 2 7 2" xfId="13214" xr:uid="{3DCA67FB-2796-4FC8-9DF4-EF5226390BCB}"/>
    <cellStyle name="Normal 4 6 2 2 2 8" xfId="8996" xr:uid="{082972C8-F87D-4318-998A-BC38E5830D87}"/>
    <cellStyle name="Normal 4 6 2 2 3" xfId="871" xr:uid="{00000000-0005-0000-0000-000019160000}"/>
    <cellStyle name="Normal 4 6 2 2 3 2" xfId="3106" xr:uid="{00000000-0005-0000-0000-00001A160000}"/>
    <cellStyle name="Normal 4 6 2 2 3 2 2" xfId="7329" xr:uid="{00000000-0005-0000-0000-00001B160000}"/>
    <cellStyle name="Normal 4 6 2 2 3 2 2 2" xfId="15771" xr:uid="{0C29D1EC-57DC-4F94-B430-9DD28A865EE4}"/>
    <cellStyle name="Normal 4 6 2 2 3 2 3" xfId="11553" xr:uid="{4307DB26-EA13-4B4D-A628-4E7326CE7A75}"/>
    <cellStyle name="Normal 4 6 2 2 3 3" xfId="5184" xr:uid="{00000000-0005-0000-0000-00001C160000}"/>
    <cellStyle name="Normal 4 6 2 2 3 3 2" xfId="13626" xr:uid="{A162E172-C080-4D48-9626-720D39CCC66B}"/>
    <cellStyle name="Normal 4 6 2 2 3 4" xfId="9408" xr:uid="{1FA27A5E-0FA9-42C1-9238-2815E88536F9}"/>
    <cellStyle name="Normal 4 6 2 2 4" xfId="1289" xr:uid="{00000000-0005-0000-0000-00001D160000}"/>
    <cellStyle name="Normal 4 6 2 2 4 2" xfId="3519" xr:uid="{00000000-0005-0000-0000-00001E160000}"/>
    <cellStyle name="Normal 4 6 2 2 4 2 2" xfId="7742" xr:uid="{00000000-0005-0000-0000-00001F160000}"/>
    <cellStyle name="Normal 4 6 2 2 4 2 2 2" xfId="16184" xr:uid="{6F40C6EC-B9EA-47DE-B750-CB01C73BCFB9}"/>
    <cellStyle name="Normal 4 6 2 2 4 2 3" xfId="11966" xr:uid="{98C65B68-3737-4B95-9C95-9FDDDA74C3A5}"/>
    <cellStyle name="Normal 4 6 2 2 4 3" xfId="5597" xr:uid="{00000000-0005-0000-0000-000020160000}"/>
    <cellStyle name="Normal 4 6 2 2 4 3 2" xfId="14039" xr:uid="{716A4EF5-BF8D-4B4A-8E58-F27791896468}"/>
    <cellStyle name="Normal 4 6 2 2 4 4" xfId="9821" xr:uid="{23DFA5BB-A821-478C-A63C-5430C5BD31CC}"/>
    <cellStyle name="Normal 4 6 2 2 5" xfId="1702" xr:uid="{00000000-0005-0000-0000-000021160000}"/>
    <cellStyle name="Normal 4 6 2 2 5 2" xfId="3932" xr:uid="{00000000-0005-0000-0000-000022160000}"/>
    <cellStyle name="Normal 4 6 2 2 5 2 2" xfId="8155" xr:uid="{00000000-0005-0000-0000-000023160000}"/>
    <cellStyle name="Normal 4 6 2 2 5 2 2 2" xfId="16597" xr:uid="{C1C60F90-3498-4B4D-AC51-FA37F9E39003}"/>
    <cellStyle name="Normal 4 6 2 2 5 2 3" xfId="12379" xr:uid="{8A4A0FDE-3EA5-43EC-BAB4-8DDD952618A5}"/>
    <cellStyle name="Normal 4 6 2 2 5 3" xfId="6010" xr:uid="{00000000-0005-0000-0000-000024160000}"/>
    <cellStyle name="Normal 4 6 2 2 5 3 2" xfId="14452" xr:uid="{6021B085-9CB5-47D4-81E0-A38B550343C2}"/>
    <cellStyle name="Normal 4 6 2 2 5 4" xfId="10234" xr:uid="{15345863-FBBC-4A29-9D04-A91F588F799F}"/>
    <cellStyle name="Normal 4 6 2 2 6" xfId="2116" xr:uid="{00000000-0005-0000-0000-000025160000}"/>
    <cellStyle name="Normal 4 6 2 2 6 2" xfId="4345" xr:uid="{00000000-0005-0000-0000-000026160000}"/>
    <cellStyle name="Normal 4 6 2 2 6 2 2" xfId="8568" xr:uid="{00000000-0005-0000-0000-000027160000}"/>
    <cellStyle name="Normal 4 6 2 2 6 2 2 2" xfId="17010" xr:uid="{A8B53707-FE2E-48C1-B0BA-AFF2ED4538A4}"/>
    <cellStyle name="Normal 4 6 2 2 6 2 3" xfId="12792" xr:uid="{13A937DF-8691-4D44-8867-560C30BB21B2}"/>
    <cellStyle name="Normal 4 6 2 2 6 3" xfId="6423" xr:uid="{00000000-0005-0000-0000-000028160000}"/>
    <cellStyle name="Normal 4 6 2 2 6 3 2" xfId="14865" xr:uid="{AB5D9ECA-0119-4C29-9244-48161235488F}"/>
    <cellStyle name="Normal 4 6 2 2 6 4" xfId="10647" xr:uid="{24896111-0337-49F0-957C-DECFD588AF15}"/>
    <cellStyle name="Normal 4 6 2 2 7" xfId="2552" xr:uid="{00000000-0005-0000-0000-000029160000}"/>
    <cellStyle name="Normal 4 6 2 2 7 2" xfId="6836" xr:uid="{00000000-0005-0000-0000-00002A160000}"/>
    <cellStyle name="Normal 4 6 2 2 7 2 2" xfId="15278" xr:uid="{20CF7916-69EC-4F31-8B95-CA6C59E7E9D3}"/>
    <cellStyle name="Normal 4 6 2 2 7 3" xfId="11060" xr:uid="{BFA9D3F1-32A1-42F1-B890-7F128D168E4D}"/>
    <cellStyle name="Normal 4 6 2 2 8" xfId="4771" xr:uid="{00000000-0005-0000-0000-00002B160000}"/>
    <cellStyle name="Normal 4 6 2 2 8 2" xfId="13213" xr:uid="{A1C7CE7D-C8C8-4456-A864-341B7DF6FEB3}"/>
    <cellStyle name="Normal 4 6 2 2 9" xfId="8995" xr:uid="{DC852D01-F389-44F7-A6A9-9C37257E53CF}"/>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2 2 2" xfId="15773" xr:uid="{B1C535D2-ED76-4AD1-A362-85BEB43A4B6D}"/>
    <cellStyle name="Normal 4 6 2 3 2 2 3" xfId="11555" xr:uid="{C912AA6E-8CC8-4066-BCC5-1BD4C5E02976}"/>
    <cellStyle name="Normal 4 6 2 3 2 3" xfId="5186" xr:uid="{00000000-0005-0000-0000-000030160000}"/>
    <cellStyle name="Normal 4 6 2 3 2 3 2" xfId="13628" xr:uid="{3E47E5D6-971A-4277-B295-BAF35685ED9C}"/>
    <cellStyle name="Normal 4 6 2 3 2 4" xfId="9410" xr:uid="{3A1D1440-8A55-4CB5-90F2-DA288F25E091}"/>
    <cellStyle name="Normal 4 6 2 3 3" xfId="1291" xr:uid="{00000000-0005-0000-0000-000031160000}"/>
    <cellStyle name="Normal 4 6 2 3 3 2" xfId="3521" xr:uid="{00000000-0005-0000-0000-000032160000}"/>
    <cellStyle name="Normal 4 6 2 3 3 2 2" xfId="7744" xr:uid="{00000000-0005-0000-0000-000033160000}"/>
    <cellStyle name="Normal 4 6 2 3 3 2 2 2" xfId="16186" xr:uid="{7D7678A6-3EBE-4D26-8EAE-5F1705B18774}"/>
    <cellStyle name="Normal 4 6 2 3 3 2 3" xfId="11968" xr:uid="{DAC9E31A-32AB-4B5C-9D01-160F507F4846}"/>
    <cellStyle name="Normal 4 6 2 3 3 3" xfId="5599" xr:uid="{00000000-0005-0000-0000-000034160000}"/>
    <cellStyle name="Normal 4 6 2 3 3 3 2" xfId="14041" xr:uid="{3D737AA1-89B2-4150-A7E2-96F7C60C198A}"/>
    <cellStyle name="Normal 4 6 2 3 3 4" xfId="9823" xr:uid="{C82291EC-1BEE-473A-8DC9-B28FA62574DE}"/>
    <cellStyle name="Normal 4 6 2 3 4" xfId="1704" xr:uid="{00000000-0005-0000-0000-000035160000}"/>
    <cellStyle name="Normal 4 6 2 3 4 2" xfId="3934" xr:uid="{00000000-0005-0000-0000-000036160000}"/>
    <cellStyle name="Normal 4 6 2 3 4 2 2" xfId="8157" xr:uid="{00000000-0005-0000-0000-000037160000}"/>
    <cellStyle name="Normal 4 6 2 3 4 2 2 2" xfId="16599" xr:uid="{E892C8B8-15DB-47A8-8692-88C03EF75A58}"/>
    <cellStyle name="Normal 4 6 2 3 4 2 3" xfId="12381" xr:uid="{90A9A1A5-E381-4F49-BD49-5E7E5AD64E61}"/>
    <cellStyle name="Normal 4 6 2 3 4 3" xfId="6012" xr:uid="{00000000-0005-0000-0000-000038160000}"/>
    <cellStyle name="Normal 4 6 2 3 4 3 2" xfId="14454" xr:uid="{AD3B2748-696A-4E95-B98E-B0DDE810CAC9}"/>
    <cellStyle name="Normal 4 6 2 3 4 4" xfId="10236" xr:uid="{B37C50D7-534A-4EB2-ADFE-62DBAC69AC70}"/>
    <cellStyle name="Normal 4 6 2 3 5" xfId="2118" xr:uid="{00000000-0005-0000-0000-000039160000}"/>
    <cellStyle name="Normal 4 6 2 3 5 2" xfId="4347" xr:uid="{00000000-0005-0000-0000-00003A160000}"/>
    <cellStyle name="Normal 4 6 2 3 5 2 2" xfId="8570" xr:uid="{00000000-0005-0000-0000-00003B160000}"/>
    <cellStyle name="Normal 4 6 2 3 5 2 2 2" xfId="17012" xr:uid="{88A4073D-EE00-4C69-B749-0A3622EC8F95}"/>
    <cellStyle name="Normal 4 6 2 3 5 2 3" xfId="12794" xr:uid="{84519B03-652C-4DEE-8AB4-B8F609B3A2A6}"/>
    <cellStyle name="Normal 4 6 2 3 5 3" xfId="6425" xr:uid="{00000000-0005-0000-0000-00003C160000}"/>
    <cellStyle name="Normal 4 6 2 3 5 3 2" xfId="14867" xr:uid="{CADFFBC1-9EA6-4125-A522-0331FD184E61}"/>
    <cellStyle name="Normal 4 6 2 3 5 4" xfId="10649" xr:uid="{1E1C2B77-F10C-41B4-97CD-75FDACBFCA84}"/>
    <cellStyle name="Normal 4 6 2 3 6" xfId="2554" xr:uid="{00000000-0005-0000-0000-00003D160000}"/>
    <cellStyle name="Normal 4 6 2 3 6 2" xfId="6838" xr:uid="{00000000-0005-0000-0000-00003E160000}"/>
    <cellStyle name="Normal 4 6 2 3 6 2 2" xfId="15280" xr:uid="{2FCDCC82-D4F5-405B-A91C-3D009934DB38}"/>
    <cellStyle name="Normal 4 6 2 3 6 3" xfId="11062" xr:uid="{BF990253-AC43-4B10-8ED2-9EFF76DCF907}"/>
    <cellStyle name="Normal 4 6 2 3 7" xfId="4773" xr:uid="{00000000-0005-0000-0000-00003F160000}"/>
    <cellStyle name="Normal 4 6 2 3 7 2" xfId="13215" xr:uid="{B9AA7F70-8418-4CC0-BBC1-092A02EC7871}"/>
    <cellStyle name="Normal 4 6 2 3 8" xfId="8997" xr:uid="{BA309507-1833-4322-8B44-8320B0982A90}"/>
    <cellStyle name="Normal 4 6 2 4" xfId="870" xr:uid="{00000000-0005-0000-0000-000040160000}"/>
    <cellStyle name="Normal 4 6 2 4 2" xfId="3105" xr:uid="{00000000-0005-0000-0000-000041160000}"/>
    <cellStyle name="Normal 4 6 2 4 2 2" xfId="7328" xr:uid="{00000000-0005-0000-0000-000042160000}"/>
    <cellStyle name="Normal 4 6 2 4 2 2 2" xfId="15770" xr:uid="{D9D627F4-D676-4EBB-8C84-2F828A53F24C}"/>
    <cellStyle name="Normal 4 6 2 4 2 3" xfId="11552" xr:uid="{505A03C2-F3D8-4A41-80B7-789DA17913A2}"/>
    <cellStyle name="Normal 4 6 2 4 3" xfId="5183" xr:uid="{00000000-0005-0000-0000-000043160000}"/>
    <cellStyle name="Normal 4 6 2 4 3 2" xfId="13625" xr:uid="{4E30CA67-4D5B-4773-9DD7-386893A16E19}"/>
    <cellStyle name="Normal 4 6 2 4 4" xfId="9407" xr:uid="{CEF6BF81-7053-44B3-AC9B-481F4D214FB9}"/>
    <cellStyle name="Normal 4 6 2 5" xfId="1288" xr:uid="{00000000-0005-0000-0000-000044160000}"/>
    <cellStyle name="Normal 4 6 2 5 2" xfId="3518" xr:uid="{00000000-0005-0000-0000-000045160000}"/>
    <cellStyle name="Normal 4 6 2 5 2 2" xfId="7741" xr:uid="{00000000-0005-0000-0000-000046160000}"/>
    <cellStyle name="Normal 4 6 2 5 2 2 2" xfId="16183" xr:uid="{905B8351-D158-4A40-9610-0CE5B83A967A}"/>
    <cellStyle name="Normal 4 6 2 5 2 3" xfId="11965" xr:uid="{9910B795-B9A6-4FAE-B6F3-BAE1B9BFBB9F}"/>
    <cellStyle name="Normal 4 6 2 5 3" xfId="5596" xr:uid="{00000000-0005-0000-0000-000047160000}"/>
    <cellStyle name="Normal 4 6 2 5 3 2" xfId="14038" xr:uid="{BF86A94D-76A9-417B-897A-F165568BDD7A}"/>
    <cellStyle name="Normal 4 6 2 5 4" xfId="9820" xr:uid="{C361BAF1-F622-4A2D-8279-1A7E20B30FA2}"/>
    <cellStyle name="Normal 4 6 2 6" xfId="1701" xr:uid="{00000000-0005-0000-0000-000048160000}"/>
    <cellStyle name="Normal 4 6 2 6 2" xfId="3931" xr:uid="{00000000-0005-0000-0000-000049160000}"/>
    <cellStyle name="Normal 4 6 2 6 2 2" xfId="8154" xr:uid="{00000000-0005-0000-0000-00004A160000}"/>
    <cellStyle name="Normal 4 6 2 6 2 2 2" xfId="16596" xr:uid="{C70E0638-9E64-44B9-8668-805AEA6A42BE}"/>
    <cellStyle name="Normal 4 6 2 6 2 3" xfId="12378" xr:uid="{5024D56D-D0FD-46C2-9E10-28BA6D72C1D4}"/>
    <cellStyle name="Normal 4 6 2 6 3" xfId="6009" xr:uid="{00000000-0005-0000-0000-00004B160000}"/>
    <cellStyle name="Normal 4 6 2 6 3 2" xfId="14451" xr:uid="{0FB9F5FE-7EE8-4F4E-BE3B-A76DF458351C}"/>
    <cellStyle name="Normal 4 6 2 6 4" xfId="10233" xr:uid="{29892625-9A9D-4ED8-9B2E-E47B9108169D}"/>
    <cellStyle name="Normal 4 6 2 7" xfId="2115" xr:uid="{00000000-0005-0000-0000-00004C160000}"/>
    <cellStyle name="Normal 4 6 2 7 2" xfId="4344" xr:uid="{00000000-0005-0000-0000-00004D160000}"/>
    <cellStyle name="Normal 4 6 2 7 2 2" xfId="8567" xr:uid="{00000000-0005-0000-0000-00004E160000}"/>
    <cellStyle name="Normal 4 6 2 7 2 2 2" xfId="17009" xr:uid="{99F9E241-45BD-44B3-B9DD-9C7FB7FD25E0}"/>
    <cellStyle name="Normal 4 6 2 7 2 3" xfId="12791" xr:uid="{82CF718B-C125-4AC1-9AE2-68FA34AF321F}"/>
    <cellStyle name="Normal 4 6 2 7 3" xfId="6422" xr:uid="{00000000-0005-0000-0000-00004F160000}"/>
    <cellStyle name="Normal 4 6 2 7 3 2" xfId="14864" xr:uid="{12122D66-4B3E-405F-A92C-A1BA5015B125}"/>
    <cellStyle name="Normal 4 6 2 7 4" xfId="10646" xr:uid="{A7C89622-C3D0-4EB5-A451-1EC2C5BE47CF}"/>
    <cellStyle name="Normal 4 6 2 8" xfId="2551" xr:uid="{00000000-0005-0000-0000-000050160000}"/>
    <cellStyle name="Normal 4 6 2 8 2" xfId="6835" xr:uid="{00000000-0005-0000-0000-000051160000}"/>
    <cellStyle name="Normal 4 6 2 8 2 2" xfId="15277" xr:uid="{C134B1DB-0146-430E-8EFC-7B5D75F9D72C}"/>
    <cellStyle name="Normal 4 6 2 8 3" xfId="11059" xr:uid="{E2FDDE3A-EEAF-45C5-A369-B29F7E5F37A2}"/>
    <cellStyle name="Normal 4 6 2 9" xfId="4770" xr:uid="{00000000-0005-0000-0000-000052160000}"/>
    <cellStyle name="Normal 4 6 2 9 2" xfId="13212" xr:uid="{09C09395-8DCF-4081-B4E1-549C9D5E9354}"/>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2 2 2" xfId="15775" xr:uid="{23F22D0B-5714-434D-BA71-D837B6D49876}"/>
    <cellStyle name="Normal 4 6 3 2 2 2 3" xfId="11557" xr:uid="{CB7876C1-FC5A-4FC8-80BE-4346EAC2654E}"/>
    <cellStyle name="Normal 4 6 3 2 2 3" xfId="5188" xr:uid="{00000000-0005-0000-0000-000058160000}"/>
    <cellStyle name="Normal 4 6 3 2 2 3 2" xfId="13630" xr:uid="{D033E5D5-A4C8-4371-BE9D-468E9021996D}"/>
    <cellStyle name="Normal 4 6 3 2 2 4" xfId="9412" xr:uid="{9E6A22D3-644D-4715-9194-813D092EE4F9}"/>
    <cellStyle name="Normal 4 6 3 2 3" xfId="1293" xr:uid="{00000000-0005-0000-0000-000059160000}"/>
    <cellStyle name="Normal 4 6 3 2 3 2" xfId="3523" xr:uid="{00000000-0005-0000-0000-00005A160000}"/>
    <cellStyle name="Normal 4 6 3 2 3 2 2" xfId="7746" xr:uid="{00000000-0005-0000-0000-00005B160000}"/>
    <cellStyle name="Normal 4 6 3 2 3 2 2 2" xfId="16188" xr:uid="{694E6A29-BCA8-4840-9584-EDA529A4D4DD}"/>
    <cellStyle name="Normal 4 6 3 2 3 2 3" xfId="11970" xr:uid="{0619FD4F-DD6E-4930-8B31-556B26F685A7}"/>
    <cellStyle name="Normal 4 6 3 2 3 3" xfId="5601" xr:uid="{00000000-0005-0000-0000-00005C160000}"/>
    <cellStyle name="Normal 4 6 3 2 3 3 2" xfId="14043" xr:uid="{0CA3915C-8BF0-4BFB-BA69-3D19A3305645}"/>
    <cellStyle name="Normal 4 6 3 2 3 4" xfId="9825" xr:uid="{FEECC747-1179-4EAB-A776-4FEDC55D6733}"/>
    <cellStyle name="Normal 4 6 3 2 4" xfId="1706" xr:uid="{00000000-0005-0000-0000-00005D160000}"/>
    <cellStyle name="Normal 4 6 3 2 4 2" xfId="3936" xr:uid="{00000000-0005-0000-0000-00005E160000}"/>
    <cellStyle name="Normal 4 6 3 2 4 2 2" xfId="8159" xr:uid="{00000000-0005-0000-0000-00005F160000}"/>
    <cellStyle name="Normal 4 6 3 2 4 2 2 2" xfId="16601" xr:uid="{9C1F0E0C-84EB-44AC-BB47-90045B430704}"/>
    <cellStyle name="Normal 4 6 3 2 4 2 3" xfId="12383" xr:uid="{3DB8D11F-CDBC-4438-BD53-8AF5FAE4C667}"/>
    <cellStyle name="Normal 4 6 3 2 4 3" xfId="6014" xr:uid="{00000000-0005-0000-0000-000060160000}"/>
    <cellStyle name="Normal 4 6 3 2 4 3 2" xfId="14456" xr:uid="{BFDC620A-1690-4639-B3D5-13DADD14903E}"/>
    <cellStyle name="Normal 4 6 3 2 4 4" xfId="10238" xr:uid="{DC57628B-F9CB-456D-95AA-6E36DBE5ECAB}"/>
    <cellStyle name="Normal 4 6 3 2 5" xfId="2120" xr:uid="{00000000-0005-0000-0000-000061160000}"/>
    <cellStyle name="Normal 4 6 3 2 5 2" xfId="4349" xr:uid="{00000000-0005-0000-0000-000062160000}"/>
    <cellStyle name="Normal 4 6 3 2 5 2 2" xfId="8572" xr:uid="{00000000-0005-0000-0000-000063160000}"/>
    <cellStyle name="Normal 4 6 3 2 5 2 2 2" xfId="17014" xr:uid="{79B3E37D-AAF4-4D9F-901B-5015D5BF1C60}"/>
    <cellStyle name="Normal 4 6 3 2 5 2 3" xfId="12796" xr:uid="{67286B7A-E20A-4000-8E71-4E2295372EAF}"/>
    <cellStyle name="Normal 4 6 3 2 5 3" xfId="6427" xr:uid="{00000000-0005-0000-0000-000064160000}"/>
    <cellStyle name="Normal 4 6 3 2 5 3 2" xfId="14869" xr:uid="{091BD2BD-A1A2-4E31-9450-997844B09556}"/>
    <cellStyle name="Normal 4 6 3 2 5 4" xfId="10651" xr:uid="{F80E163D-5C1F-48FB-BEAE-66D5000C9B14}"/>
    <cellStyle name="Normal 4 6 3 2 6" xfId="2556" xr:uid="{00000000-0005-0000-0000-000065160000}"/>
    <cellStyle name="Normal 4 6 3 2 6 2" xfId="6840" xr:uid="{00000000-0005-0000-0000-000066160000}"/>
    <cellStyle name="Normal 4 6 3 2 6 2 2" xfId="15282" xr:uid="{73638831-337D-432A-9BB8-BB0C6BCEDFB6}"/>
    <cellStyle name="Normal 4 6 3 2 6 3" xfId="11064" xr:uid="{541138E2-AC7E-428F-8185-31772A25FD54}"/>
    <cellStyle name="Normal 4 6 3 2 7" xfId="4775" xr:uid="{00000000-0005-0000-0000-000067160000}"/>
    <cellStyle name="Normal 4 6 3 2 7 2" xfId="13217" xr:uid="{56693B7D-2788-4FFF-86F9-63AA73C6545C}"/>
    <cellStyle name="Normal 4 6 3 2 8" xfId="8999" xr:uid="{5A0C4518-8B96-4412-AE6C-E750B24E4371}"/>
    <cellStyle name="Normal 4 6 3 3" xfId="874" xr:uid="{00000000-0005-0000-0000-000068160000}"/>
    <cellStyle name="Normal 4 6 3 3 2" xfId="3109" xr:uid="{00000000-0005-0000-0000-000069160000}"/>
    <cellStyle name="Normal 4 6 3 3 2 2" xfId="7332" xr:uid="{00000000-0005-0000-0000-00006A160000}"/>
    <cellStyle name="Normal 4 6 3 3 2 2 2" xfId="15774" xr:uid="{3D02D3A2-8633-475C-8EE3-DD04BF735122}"/>
    <cellStyle name="Normal 4 6 3 3 2 3" xfId="11556" xr:uid="{7FAFD9E7-D842-482A-9E9B-BDB737673057}"/>
    <cellStyle name="Normal 4 6 3 3 3" xfId="5187" xr:uid="{00000000-0005-0000-0000-00006B160000}"/>
    <cellStyle name="Normal 4 6 3 3 3 2" xfId="13629" xr:uid="{02721213-AFE3-4E78-9BB0-EA6FCE0A60AB}"/>
    <cellStyle name="Normal 4 6 3 3 4" xfId="9411" xr:uid="{C2619425-74A4-43A7-B270-CE6A88DA6548}"/>
    <cellStyle name="Normal 4 6 3 4" xfId="1292" xr:uid="{00000000-0005-0000-0000-00006C160000}"/>
    <cellStyle name="Normal 4 6 3 4 2" xfId="3522" xr:uid="{00000000-0005-0000-0000-00006D160000}"/>
    <cellStyle name="Normal 4 6 3 4 2 2" xfId="7745" xr:uid="{00000000-0005-0000-0000-00006E160000}"/>
    <cellStyle name="Normal 4 6 3 4 2 2 2" xfId="16187" xr:uid="{E6A65A89-7788-4593-8C63-936D7ED1FFBD}"/>
    <cellStyle name="Normal 4 6 3 4 2 3" xfId="11969" xr:uid="{08D973AA-0695-407F-A919-CD1E4C7B3DE4}"/>
    <cellStyle name="Normal 4 6 3 4 3" xfId="5600" xr:uid="{00000000-0005-0000-0000-00006F160000}"/>
    <cellStyle name="Normal 4 6 3 4 3 2" xfId="14042" xr:uid="{0D965E05-6805-4203-A9C2-4A4C71BDE730}"/>
    <cellStyle name="Normal 4 6 3 4 4" xfId="9824" xr:uid="{9FDF11E0-7F7D-402E-B421-D20AE6E0A284}"/>
    <cellStyle name="Normal 4 6 3 5" xfId="1705" xr:uid="{00000000-0005-0000-0000-000070160000}"/>
    <cellStyle name="Normal 4 6 3 5 2" xfId="3935" xr:uid="{00000000-0005-0000-0000-000071160000}"/>
    <cellStyle name="Normal 4 6 3 5 2 2" xfId="8158" xr:uid="{00000000-0005-0000-0000-000072160000}"/>
    <cellStyle name="Normal 4 6 3 5 2 2 2" xfId="16600" xr:uid="{318051D5-8C30-44B6-9BCB-AC87398F51EA}"/>
    <cellStyle name="Normal 4 6 3 5 2 3" xfId="12382" xr:uid="{4463CD84-61A5-4919-B24D-F1958B1E9690}"/>
    <cellStyle name="Normal 4 6 3 5 3" xfId="6013" xr:uid="{00000000-0005-0000-0000-000073160000}"/>
    <cellStyle name="Normal 4 6 3 5 3 2" xfId="14455" xr:uid="{62E344C3-E769-4C58-B90E-BEBE038F0563}"/>
    <cellStyle name="Normal 4 6 3 5 4" xfId="10237" xr:uid="{5BC7C18D-A927-485C-B5C3-A8C31D852F3D}"/>
    <cellStyle name="Normal 4 6 3 6" xfId="2119" xr:uid="{00000000-0005-0000-0000-000074160000}"/>
    <cellStyle name="Normal 4 6 3 6 2" xfId="4348" xr:uid="{00000000-0005-0000-0000-000075160000}"/>
    <cellStyle name="Normal 4 6 3 6 2 2" xfId="8571" xr:uid="{00000000-0005-0000-0000-000076160000}"/>
    <cellStyle name="Normal 4 6 3 6 2 2 2" xfId="17013" xr:uid="{C1780B86-DF89-4F8F-93AF-C61CA1CC6CB1}"/>
    <cellStyle name="Normal 4 6 3 6 2 3" xfId="12795" xr:uid="{AE6ECECA-0343-4804-9A06-ED9FFDABD15C}"/>
    <cellStyle name="Normal 4 6 3 6 3" xfId="6426" xr:uid="{00000000-0005-0000-0000-000077160000}"/>
    <cellStyle name="Normal 4 6 3 6 3 2" xfId="14868" xr:uid="{814DA623-AAF7-4D3A-AA3A-7B9647F0F7CE}"/>
    <cellStyle name="Normal 4 6 3 6 4" xfId="10650" xr:uid="{DFC57938-F696-4DE6-A937-D20BE0C2AB61}"/>
    <cellStyle name="Normal 4 6 3 7" xfId="2555" xr:uid="{00000000-0005-0000-0000-000078160000}"/>
    <cellStyle name="Normal 4 6 3 7 2" xfId="6839" xr:uid="{00000000-0005-0000-0000-000079160000}"/>
    <cellStyle name="Normal 4 6 3 7 2 2" xfId="15281" xr:uid="{0AEFC090-F7E2-47E8-91EE-1A28B40A8D98}"/>
    <cellStyle name="Normal 4 6 3 7 3" xfId="11063" xr:uid="{F0296033-CF30-4A96-BADD-196285DD5945}"/>
    <cellStyle name="Normal 4 6 3 8" xfId="4774" xr:uid="{00000000-0005-0000-0000-00007A160000}"/>
    <cellStyle name="Normal 4 6 3 8 2" xfId="13216" xr:uid="{FE9A42D8-4806-43A4-A191-49FB16129FCB}"/>
    <cellStyle name="Normal 4 6 3 9" xfId="8998" xr:uid="{E08A12D8-84CE-4330-AE60-F3EBF3C8D341}"/>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2 2 2" xfId="15776" xr:uid="{1B2EDD4C-80AE-443A-A6CB-E91AD50F52DC}"/>
    <cellStyle name="Normal 4 6 4 2 2 3" xfId="11558" xr:uid="{BBAD983C-59C7-4308-A218-06C3E7507E06}"/>
    <cellStyle name="Normal 4 6 4 2 3" xfId="5189" xr:uid="{00000000-0005-0000-0000-00007F160000}"/>
    <cellStyle name="Normal 4 6 4 2 3 2" xfId="13631" xr:uid="{673EB398-7E52-4D00-A898-D54697B8D82E}"/>
    <cellStyle name="Normal 4 6 4 2 4" xfId="9413" xr:uid="{2C3D27C1-E0A8-49F2-B9C0-E4492962641B}"/>
    <cellStyle name="Normal 4 6 4 3" xfId="1294" xr:uid="{00000000-0005-0000-0000-000080160000}"/>
    <cellStyle name="Normal 4 6 4 3 2" xfId="3524" xr:uid="{00000000-0005-0000-0000-000081160000}"/>
    <cellStyle name="Normal 4 6 4 3 2 2" xfId="7747" xr:uid="{00000000-0005-0000-0000-000082160000}"/>
    <cellStyle name="Normal 4 6 4 3 2 2 2" xfId="16189" xr:uid="{3CC65F50-A227-4DA5-846B-1114C93F3BF6}"/>
    <cellStyle name="Normal 4 6 4 3 2 3" xfId="11971" xr:uid="{380FAF70-CF33-4522-AD0C-F6A1ABF2DAF2}"/>
    <cellStyle name="Normal 4 6 4 3 3" xfId="5602" xr:uid="{00000000-0005-0000-0000-000083160000}"/>
    <cellStyle name="Normal 4 6 4 3 3 2" xfId="14044" xr:uid="{2BCFC55D-AED7-4CC5-95AA-1CD2C8C93D71}"/>
    <cellStyle name="Normal 4 6 4 3 4" xfId="9826" xr:uid="{FDD7C288-D30A-4999-A3C0-3C3ABD3765FF}"/>
    <cellStyle name="Normal 4 6 4 4" xfId="1707" xr:uid="{00000000-0005-0000-0000-000084160000}"/>
    <cellStyle name="Normal 4 6 4 4 2" xfId="3937" xr:uid="{00000000-0005-0000-0000-000085160000}"/>
    <cellStyle name="Normal 4 6 4 4 2 2" xfId="8160" xr:uid="{00000000-0005-0000-0000-000086160000}"/>
    <cellStyle name="Normal 4 6 4 4 2 2 2" xfId="16602" xr:uid="{C3A87B45-BC89-4B7E-BA98-74454697E5DD}"/>
    <cellStyle name="Normal 4 6 4 4 2 3" xfId="12384" xr:uid="{747A96EF-F65E-4FFF-9014-D1AFCAC4D736}"/>
    <cellStyle name="Normal 4 6 4 4 3" xfId="6015" xr:uid="{00000000-0005-0000-0000-000087160000}"/>
    <cellStyle name="Normal 4 6 4 4 3 2" xfId="14457" xr:uid="{43ACAB8C-D9F8-4764-A99B-F243105B6182}"/>
    <cellStyle name="Normal 4 6 4 4 4" xfId="10239" xr:uid="{070D7FF0-49EC-4380-A7D6-E8D46F4188E8}"/>
    <cellStyle name="Normal 4 6 4 5" xfId="2121" xr:uid="{00000000-0005-0000-0000-000088160000}"/>
    <cellStyle name="Normal 4 6 4 5 2" xfId="4350" xr:uid="{00000000-0005-0000-0000-000089160000}"/>
    <cellStyle name="Normal 4 6 4 5 2 2" xfId="8573" xr:uid="{00000000-0005-0000-0000-00008A160000}"/>
    <cellStyle name="Normal 4 6 4 5 2 2 2" xfId="17015" xr:uid="{9A7FB9CB-2356-428E-A045-2B6B01F1FCE2}"/>
    <cellStyle name="Normal 4 6 4 5 2 3" xfId="12797" xr:uid="{D0E4649C-1083-493B-B87C-13D684325745}"/>
    <cellStyle name="Normal 4 6 4 5 3" xfId="6428" xr:uid="{00000000-0005-0000-0000-00008B160000}"/>
    <cellStyle name="Normal 4 6 4 5 3 2" xfId="14870" xr:uid="{994846F0-7356-420F-8CBB-6A4C310E5164}"/>
    <cellStyle name="Normal 4 6 4 5 4" xfId="10652" xr:uid="{E316AEA9-9C16-4BD3-B31C-15D3F0FDC0C5}"/>
    <cellStyle name="Normal 4 6 4 6" xfId="2557" xr:uid="{00000000-0005-0000-0000-00008C160000}"/>
    <cellStyle name="Normal 4 6 4 6 2" xfId="6841" xr:uid="{00000000-0005-0000-0000-00008D160000}"/>
    <cellStyle name="Normal 4 6 4 6 2 2" xfId="15283" xr:uid="{E94B826C-8D2A-4AAE-B169-7F8C823A3092}"/>
    <cellStyle name="Normal 4 6 4 6 3" xfId="11065" xr:uid="{04370B7F-9D61-42D3-BF87-FB6D5D0FBF86}"/>
    <cellStyle name="Normal 4 6 4 7" xfId="4776" xr:uid="{00000000-0005-0000-0000-00008E160000}"/>
    <cellStyle name="Normal 4 6 4 7 2" xfId="13218" xr:uid="{41975D9B-D593-4637-A375-C4E84943AD71}"/>
    <cellStyle name="Normal 4 6 4 8" xfId="9000" xr:uid="{8BAE5102-4268-436A-B24A-60BD1BEF3ECB}"/>
    <cellStyle name="Normal 4 6 5" xfId="869" xr:uid="{00000000-0005-0000-0000-00008F160000}"/>
    <cellStyle name="Normal 4 6 5 2" xfId="3104" xr:uid="{00000000-0005-0000-0000-000090160000}"/>
    <cellStyle name="Normal 4 6 5 2 2" xfId="7327" xr:uid="{00000000-0005-0000-0000-000091160000}"/>
    <cellStyle name="Normal 4 6 5 2 2 2" xfId="15769" xr:uid="{80B6628B-961D-474B-AC73-ACFF36692031}"/>
    <cellStyle name="Normal 4 6 5 2 3" xfId="11551" xr:uid="{171AC9B1-DFBD-4E96-BD2E-B1911190CF0C}"/>
    <cellStyle name="Normal 4 6 5 3" xfId="5182" xr:uid="{00000000-0005-0000-0000-000092160000}"/>
    <cellStyle name="Normal 4 6 5 3 2" xfId="13624" xr:uid="{61D2BFB0-FC0B-4F5F-A73D-714D6EF85716}"/>
    <cellStyle name="Normal 4 6 5 4" xfId="9406" xr:uid="{FEAF29E2-F8FE-44F0-8451-A8817C152F81}"/>
    <cellStyle name="Normal 4 6 6" xfId="1287" xr:uid="{00000000-0005-0000-0000-000093160000}"/>
    <cellStyle name="Normal 4 6 6 2" xfId="3517" xr:uid="{00000000-0005-0000-0000-000094160000}"/>
    <cellStyle name="Normal 4 6 6 2 2" xfId="7740" xr:uid="{00000000-0005-0000-0000-000095160000}"/>
    <cellStyle name="Normal 4 6 6 2 2 2" xfId="16182" xr:uid="{435320FA-86D1-43FC-8C4A-3334108E1682}"/>
    <cellStyle name="Normal 4 6 6 2 3" xfId="11964" xr:uid="{7B42D8FB-C54B-48DF-919F-FA70503B7C1F}"/>
    <cellStyle name="Normal 4 6 6 3" xfId="5595" xr:uid="{00000000-0005-0000-0000-000096160000}"/>
    <cellStyle name="Normal 4 6 6 3 2" xfId="14037" xr:uid="{D63ABA5D-E09D-44BA-BAD5-3375132F5DF0}"/>
    <cellStyle name="Normal 4 6 6 4" xfId="9819" xr:uid="{5D64B840-883F-4C67-AF5C-6121B78CDE9B}"/>
    <cellStyle name="Normal 4 6 7" xfId="1700" xr:uid="{00000000-0005-0000-0000-000097160000}"/>
    <cellStyle name="Normal 4 6 7 2" xfId="3930" xr:uid="{00000000-0005-0000-0000-000098160000}"/>
    <cellStyle name="Normal 4 6 7 2 2" xfId="8153" xr:uid="{00000000-0005-0000-0000-000099160000}"/>
    <cellStyle name="Normal 4 6 7 2 2 2" xfId="16595" xr:uid="{B29467FC-5FE3-44DF-94A8-87E9AA9EF820}"/>
    <cellStyle name="Normal 4 6 7 2 3" xfId="12377" xr:uid="{FA17FA42-F1A1-4577-AEDB-C1E155B95DAA}"/>
    <cellStyle name="Normal 4 6 7 3" xfId="6008" xr:uid="{00000000-0005-0000-0000-00009A160000}"/>
    <cellStyle name="Normal 4 6 7 3 2" xfId="14450" xr:uid="{BB62955E-6079-4A7D-A7AE-E82515B050B9}"/>
    <cellStyle name="Normal 4 6 7 4" xfId="10232" xr:uid="{6E07F99D-7E6A-4205-8929-736F59A03304}"/>
    <cellStyle name="Normal 4 6 8" xfId="2114" xr:uid="{00000000-0005-0000-0000-00009B160000}"/>
    <cellStyle name="Normal 4 6 8 2" xfId="4343" xr:uid="{00000000-0005-0000-0000-00009C160000}"/>
    <cellStyle name="Normal 4 6 8 2 2" xfId="8566" xr:uid="{00000000-0005-0000-0000-00009D160000}"/>
    <cellStyle name="Normal 4 6 8 2 2 2" xfId="17008" xr:uid="{501BB5E3-A01C-4C15-9C47-FA9132F9C63B}"/>
    <cellStyle name="Normal 4 6 8 2 3" xfId="12790" xr:uid="{63CE2609-B2C1-4472-B4DD-22B6DCB624EC}"/>
    <cellStyle name="Normal 4 6 8 3" xfId="6421" xr:uid="{00000000-0005-0000-0000-00009E160000}"/>
    <cellStyle name="Normal 4 6 8 3 2" xfId="14863" xr:uid="{777618D8-D718-45A5-9A86-EB2B95FDA33A}"/>
    <cellStyle name="Normal 4 6 8 4" xfId="10645" xr:uid="{8E8936AA-7FA9-46C4-B0F9-8A1020F3B5FE}"/>
    <cellStyle name="Normal 4 6 9" xfId="2550" xr:uid="{00000000-0005-0000-0000-00009F160000}"/>
    <cellStyle name="Normal 4 6 9 2" xfId="6834" xr:uid="{00000000-0005-0000-0000-0000A0160000}"/>
    <cellStyle name="Normal 4 6 9 2 2" xfId="15276" xr:uid="{6B247C21-B2EE-4786-85D3-39FC40A94BF1}"/>
    <cellStyle name="Normal 4 6 9 3" xfId="11058" xr:uid="{4CA0BA8A-E9C9-4FE2-9C7F-752ADA8FAADC}"/>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2 2 2" xfId="15778" xr:uid="{8EC2AD25-0EDB-4608-8067-964583F59804}"/>
    <cellStyle name="Normal 4 7 2 2 2 3" xfId="11560" xr:uid="{43E31C49-C069-48B6-8A44-B3003D801CAD}"/>
    <cellStyle name="Normal 4 7 2 2 3" xfId="5191" xr:uid="{00000000-0005-0000-0000-0000A6160000}"/>
    <cellStyle name="Normal 4 7 2 2 3 2" xfId="13633" xr:uid="{09634155-FC84-4F89-9693-536ECEFED1AC}"/>
    <cellStyle name="Normal 4 7 2 2 4" xfId="9415" xr:uid="{2A2943CD-856B-4797-B951-C444D57628CD}"/>
    <cellStyle name="Normal 4 7 2 3" xfId="1296" xr:uid="{00000000-0005-0000-0000-0000A7160000}"/>
    <cellStyle name="Normal 4 7 2 3 2" xfId="3526" xr:uid="{00000000-0005-0000-0000-0000A8160000}"/>
    <cellStyle name="Normal 4 7 2 3 2 2" xfId="7749" xr:uid="{00000000-0005-0000-0000-0000A9160000}"/>
    <cellStyle name="Normal 4 7 2 3 2 2 2" xfId="16191" xr:uid="{5E1ADAFB-DC92-4D05-A65D-C2638F2AE8F4}"/>
    <cellStyle name="Normal 4 7 2 3 2 3" xfId="11973" xr:uid="{8CA412B3-7A6F-4ED4-9566-95D77037A8EA}"/>
    <cellStyle name="Normal 4 7 2 3 3" xfId="5604" xr:uid="{00000000-0005-0000-0000-0000AA160000}"/>
    <cellStyle name="Normal 4 7 2 3 3 2" xfId="14046" xr:uid="{03E8320B-2285-445A-95A8-EE54AE05D323}"/>
    <cellStyle name="Normal 4 7 2 3 4" xfId="9828" xr:uid="{C1E0269A-832C-4AFF-BADA-A63FDB708656}"/>
    <cellStyle name="Normal 4 7 2 4" xfId="1709" xr:uid="{00000000-0005-0000-0000-0000AB160000}"/>
    <cellStyle name="Normal 4 7 2 4 2" xfId="3939" xr:uid="{00000000-0005-0000-0000-0000AC160000}"/>
    <cellStyle name="Normal 4 7 2 4 2 2" xfId="8162" xr:uid="{00000000-0005-0000-0000-0000AD160000}"/>
    <cellStyle name="Normal 4 7 2 4 2 2 2" xfId="16604" xr:uid="{4803C5AC-CACD-461D-B39B-8CF852C79CBB}"/>
    <cellStyle name="Normal 4 7 2 4 2 3" xfId="12386" xr:uid="{F627D364-C947-45B0-915E-6F2010665F3C}"/>
    <cellStyle name="Normal 4 7 2 4 3" xfId="6017" xr:uid="{00000000-0005-0000-0000-0000AE160000}"/>
    <cellStyle name="Normal 4 7 2 4 3 2" xfId="14459" xr:uid="{70100D81-DE25-4525-9D81-58CA338C10D2}"/>
    <cellStyle name="Normal 4 7 2 4 4" xfId="10241" xr:uid="{F1477E3C-5912-4CE7-A88B-F28AE366B762}"/>
    <cellStyle name="Normal 4 7 2 5" xfId="2123" xr:uid="{00000000-0005-0000-0000-0000AF160000}"/>
    <cellStyle name="Normal 4 7 2 5 2" xfId="4352" xr:uid="{00000000-0005-0000-0000-0000B0160000}"/>
    <cellStyle name="Normal 4 7 2 5 2 2" xfId="8575" xr:uid="{00000000-0005-0000-0000-0000B1160000}"/>
    <cellStyle name="Normal 4 7 2 5 2 2 2" xfId="17017" xr:uid="{53EBB72C-4A6A-4B46-8141-0884966CAE67}"/>
    <cellStyle name="Normal 4 7 2 5 2 3" xfId="12799" xr:uid="{1F041BB6-8B0C-4981-9952-02D07497EB1D}"/>
    <cellStyle name="Normal 4 7 2 5 3" xfId="6430" xr:uid="{00000000-0005-0000-0000-0000B2160000}"/>
    <cellStyle name="Normal 4 7 2 5 3 2" xfId="14872" xr:uid="{11247784-096F-4BDB-9F43-1EBD3BBB338E}"/>
    <cellStyle name="Normal 4 7 2 5 4" xfId="10654" xr:uid="{FEDE4886-C6D2-417B-9D5C-D4075044983F}"/>
    <cellStyle name="Normal 4 7 2 6" xfId="2559" xr:uid="{00000000-0005-0000-0000-0000B3160000}"/>
    <cellStyle name="Normal 4 7 2 6 2" xfId="6843" xr:uid="{00000000-0005-0000-0000-0000B4160000}"/>
    <cellStyle name="Normal 4 7 2 6 2 2" xfId="15285" xr:uid="{2666D9ED-5AB5-4CDF-8765-F28E3F243F85}"/>
    <cellStyle name="Normal 4 7 2 6 3" xfId="11067" xr:uid="{D4358D0A-66A3-4CA3-947D-DAB2DAD2EF89}"/>
    <cellStyle name="Normal 4 7 2 7" xfId="4778" xr:uid="{00000000-0005-0000-0000-0000B5160000}"/>
    <cellStyle name="Normal 4 7 2 7 2" xfId="13220" xr:uid="{46BC188D-4C13-4A9C-9942-83624F6B31B3}"/>
    <cellStyle name="Normal 4 7 2 8" xfId="9002" xr:uid="{649C54AC-2FE8-40A9-945C-8F15E69D40C2}"/>
    <cellStyle name="Normal 4 7 3" xfId="877" xr:uid="{00000000-0005-0000-0000-0000B6160000}"/>
    <cellStyle name="Normal 4 7 3 2" xfId="3112" xr:uid="{00000000-0005-0000-0000-0000B7160000}"/>
    <cellStyle name="Normal 4 7 3 2 2" xfId="7335" xr:uid="{00000000-0005-0000-0000-0000B8160000}"/>
    <cellStyle name="Normal 4 7 3 2 2 2" xfId="15777" xr:uid="{F98A6E61-F548-4C9D-832B-0839B94940E6}"/>
    <cellStyle name="Normal 4 7 3 2 3" xfId="11559" xr:uid="{1CF009CA-2B5D-4176-9421-72133515E9F7}"/>
    <cellStyle name="Normal 4 7 3 3" xfId="5190" xr:uid="{00000000-0005-0000-0000-0000B9160000}"/>
    <cellStyle name="Normal 4 7 3 3 2" xfId="13632" xr:uid="{82ED47A6-DA9D-4361-BDAA-11EDEDFF9C42}"/>
    <cellStyle name="Normal 4 7 3 4" xfId="9414" xr:uid="{D891D5DD-FCED-4E02-A84A-8BD348C762F6}"/>
    <cellStyle name="Normal 4 7 4" xfId="1295" xr:uid="{00000000-0005-0000-0000-0000BA160000}"/>
    <cellStyle name="Normal 4 7 4 2" xfId="3525" xr:uid="{00000000-0005-0000-0000-0000BB160000}"/>
    <cellStyle name="Normal 4 7 4 2 2" xfId="7748" xr:uid="{00000000-0005-0000-0000-0000BC160000}"/>
    <cellStyle name="Normal 4 7 4 2 2 2" xfId="16190" xr:uid="{CB15BD77-4326-433A-BBE7-9CC0BBFC40DA}"/>
    <cellStyle name="Normal 4 7 4 2 3" xfId="11972" xr:uid="{9ED6ABCA-0692-4E71-8BE8-7190B0CF8DBF}"/>
    <cellStyle name="Normal 4 7 4 3" xfId="5603" xr:uid="{00000000-0005-0000-0000-0000BD160000}"/>
    <cellStyle name="Normal 4 7 4 3 2" xfId="14045" xr:uid="{B53C5A55-9148-47F7-B6AB-565FBB18E96D}"/>
    <cellStyle name="Normal 4 7 4 4" xfId="9827" xr:uid="{13D4964F-287D-47A7-A9A5-1C567AE770B0}"/>
    <cellStyle name="Normal 4 7 5" xfId="1708" xr:uid="{00000000-0005-0000-0000-0000BE160000}"/>
    <cellStyle name="Normal 4 7 5 2" xfId="3938" xr:uid="{00000000-0005-0000-0000-0000BF160000}"/>
    <cellStyle name="Normal 4 7 5 2 2" xfId="8161" xr:uid="{00000000-0005-0000-0000-0000C0160000}"/>
    <cellStyle name="Normal 4 7 5 2 2 2" xfId="16603" xr:uid="{ED4AA0EA-D471-4E82-8C1B-4B749C7D4B63}"/>
    <cellStyle name="Normal 4 7 5 2 3" xfId="12385" xr:uid="{FFEB948E-1791-434E-9EFC-AB1E4EB15323}"/>
    <cellStyle name="Normal 4 7 5 3" xfId="6016" xr:uid="{00000000-0005-0000-0000-0000C1160000}"/>
    <cellStyle name="Normal 4 7 5 3 2" xfId="14458" xr:uid="{F14D2951-42E5-4B2A-AD62-F2F3E11F8E4B}"/>
    <cellStyle name="Normal 4 7 5 4" xfId="10240" xr:uid="{2D9E00D8-4954-4C0A-9546-C27ACACAE53B}"/>
    <cellStyle name="Normal 4 7 6" xfId="2122" xr:uid="{00000000-0005-0000-0000-0000C2160000}"/>
    <cellStyle name="Normal 4 7 6 2" xfId="4351" xr:uid="{00000000-0005-0000-0000-0000C3160000}"/>
    <cellStyle name="Normal 4 7 6 2 2" xfId="8574" xr:uid="{00000000-0005-0000-0000-0000C4160000}"/>
    <cellStyle name="Normal 4 7 6 2 2 2" xfId="17016" xr:uid="{0DB669A4-5641-492E-B0E3-96BF2AA470DD}"/>
    <cellStyle name="Normal 4 7 6 2 3" xfId="12798" xr:uid="{040CA5CB-D82E-4BBD-97C7-7D4416A089EA}"/>
    <cellStyle name="Normal 4 7 6 3" xfId="6429" xr:uid="{00000000-0005-0000-0000-0000C5160000}"/>
    <cellStyle name="Normal 4 7 6 3 2" xfId="14871" xr:uid="{12DCC340-1C28-4932-AF94-F2D656CE1A50}"/>
    <cellStyle name="Normal 4 7 6 4" xfId="10653" xr:uid="{96C0B717-F4EA-4B71-B2A8-BA59DC251733}"/>
    <cellStyle name="Normal 4 7 7" xfId="2558" xr:uid="{00000000-0005-0000-0000-0000C6160000}"/>
    <cellStyle name="Normal 4 7 7 2" xfId="6842" xr:uid="{00000000-0005-0000-0000-0000C7160000}"/>
    <cellStyle name="Normal 4 7 7 2 2" xfId="15284" xr:uid="{80CB73D9-B214-45FD-9E74-58FAC1873A9B}"/>
    <cellStyle name="Normal 4 7 7 3" xfId="11066" xr:uid="{1030515B-6D4E-44E8-A79E-D4123C0D8AD4}"/>
    <cellStyle name="Normal 4 7 8" xfId="4777" xr:uid="{00000000-0005-0000-0000-0000C8160000}"/>
    <cellStyle name="Normal 4 7 8 2" xfId="13219" xr:uid="{CF99F232-B727-48AD-B618-87AB5FD65A01}"/>
    <cellStyle name="Normal 4 7 9" xfId="9001" xr:uid="{948AB83C-FEAE-4321-92DE-2C619B213F95}"/>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2 2 2" xfId="15779" xr:uid="{C42D1EA0-0B5A-4692-9562-D7BDDC1812CA}"/>
    <cellStyle name="Normal 4 8 2 2 3" xfId="11561" xr:uid="{C7EA0B8C-27BE-4DA5-8218-0D4BF4BD8DC7}"/>
    <cellStyle name="Normal 4 8 2 3" xfId="5192" xr:uid="{00000000-0005-0000-0000-0000CD160000}"/>
    <cellStyle name="Normal 4 8 2 3 2" xfId="13634" xr:uid="{6C48DD4F-1E7A-4254-9E69-86EA48570733}"/>
    <cellStyle name="Normal 4 8 2 4" xfId="9416" xr:uid="{49FC5BEA-F86C-4C38-A8F9-C15BF3D2EAB8}"/>
    <cellStyle name="Normal 4 8 3" xfId="1297" xr:uid="{00000000-0005-0000-0000-0000CE160000}"/>
    <cellStyle name="Normal 4 8 3 2" xfId="3527" xr:uid="{00000000-0005-0000-0000-0000CF160000}"/>
    <cellStyle name="Normal 4 8 3 2 2" xfId="7750" xr:uid="{00000000-0005-0000-0000-0000D0160000}"/>
    <cellStyle name="Normal 4 8 3 2 2 2" xfId="16192" xr:uid="{D8C55C04-0CE7-4AD0-B7FB-06188D86DE92}"/>
    <cellStyle name="Normal 4 8 3 2 3" xfId="11974" xr:uid="{B63E9C01-94A8-467F-BF92-3D352C5E6372}"/>
    <cellStyle name="Normal 4 8 3 3" xfId="5605" xr:uid="{00000000-0005-0000-0000-0000D1160000}"/>
    <cellStyle name="Normal 4 8 3 3 2" xfId="14047" xr:uid="{5EF6756C-9811-4817-BD69-DC9437BA5849}"/>
    <cellStyle name="Normal 4 8 3 4" xfId="9829" xr:uid="{F6CC0AA7-65B6-4F41-8AC2-962D2D4A4EC6}"/>
    <cellStyle name="Normal 4 8 4" xfId="1710" xr:uid="{00000000-0005-0000-0000-0000D2160000}"/>
    <cellStyle name="Normal 4 8 4 2" xfId="3940" xr:uid="{00000000-0005-0000-0000-0000D3160000}"/>
    <cellStyle name="Normal 4 8 4 2 2" xfId="8163" xr:uid="{00000000-0005-0000-0000-0000D4160000}"/>
    <cellStyle name="Normal 4 8 4 2 2 2" xfId="16605" xr:uid="{B791FBB7-D74A-4969-B403-E0233DE3FAD2}"/>
    <cellStyle name="Normal 4 8 4 2 3" xfId="12387" xr:uid="{567B9B8C-9D0D-4F1F-B1F8-FAAB2AEDA12C}"/>
    <cellStyle name="Normal 4 8 4 3" xfId="6018" xr:uid="{00000000-0005-0000-0000-0000D5160000}"/>
    <cellStyle name="Normal 4 8 4 3 2" xfId="14460" xr:uid="{5A95810B-7762-4E41-9261-4A9506BEB864}"/>
    <cellStyle name="Normal 4 8 4 4" xfId="10242" xr:uid="{49B4D870-7578-4312-96DF-9C6E44FFBD4C}"/>
    <cellStyle name="Normal 4 8 5" xfId="2124" xr:uid="{00000000-0005-0000-0000-0000D6160000}"/>
    <cellStyle name="Normal 4 8 5 2" xfId="4353" xr:uid="{00000000-0005-0000-0000-0000D7160000}"/>
    <cellStyle name="Normal 4 8 5 2 2" xfId="8576" xr:uid="{00000000-0005-0000-0000-0000D8160000}"/>
    <cellStyle name="Normal 4 8 5 2 2 2" xfId="17018" xr:uid="{69B5EFC8-C3E3-4F36-B8B1-118B32986273}"/>
    <cellStyle name="Normal 4 8 5 2 3" xfId="12800" xr:uid="{AE163BD2-7949-4039-B465-2393768AD996}"/>
    <cellStyle name="Normal 4 8 5 3" xfId="6431" xr:uid="{00000000-0005-0000-0000-0000D9160000}"/>
    <cellStyle name="Normal 4 8 5 3 2" xfId="14873" xr:uid="{7D581BBF-4A8C-4B37-B138-3D053602B51C}"/>
    <cellStyle name="Normal 4 8 5 4" xfId="10655" xr:uid="{CCCD54D7-29C9-4773-9824-7F688B42D7B0}"/>
    <cellStyle name="Normal 4 8 6" xfId="2560" xr:uid="{00000000-0005-0000-0000-0000DA160000}"/>
    <cellStyle name="Normal 4 8 6 2" xfId="6844" xr:uid="{00000000-0005-0000-0000-0000DB160000}"/>
    <cellStyle name="Normal 4 8 6 2 2" xfId="15286" xr:uid="{9AFC617E-49CC-4300-A70C-FE52AE48F5F0}"/>
    <cellStyle name="Normal 4 8 6 3" xfId="11068" xr:uid="{BC0B6E68-1929-4BBD-A60F-25DF47E08B9A}"/>
    <cellStyle name="Normal 4 8 7" xfId="4779" xr:uid="{00000000-0005-0000-0000-0000DC160000}"/>
    <cellStyle name="Normal 4 8 7 2" xfId="13221" xr:uid="{D387DE99-5CA6-4CD0-B65E-BAA69678D531}"/>
    <cellStyle name="Normal 4 8 8" xfId="9003" xr:uid="{4826270D-FBA9-4728-82B7-A3560D6076B7}"/>
    <cellStyle name="Normal 4 9" xfId="4716" xr:uid="{00000000-0005-0000-0000-0000DD160000}"/>
    <cellStyle name="Normal 4 9 2" xfId="13158" xr:uid="{B3182A0C-F443-4BA2-9EFF-4C28C3EC592D}"/>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2 2 2" xfId="16606" xr:uid="{D57AB813-8B90-4407-9E31-434CFF0D7891}"/>
    <cellStyle name="Normal 5 10 2 3" xfId="12388" xr:uid="{795AC0C5-5F69-4BC8-BDB8-073AB9579DA7}"/>
    <cellStyle name="Normal 5 10 3" xfId="6019" xr:uid="{00000000-0005-0000-0000-0000E2160000}"/>
    <cellStyle name="Normal 5 10 3 2" xfId="14461" xr:uid="{147D5246-D889-495E-A808-C5A7F91FAD90}"/>
    <cellStyle name="Normal 5 10 4" xfId="10243" xr:uid="{4DB61DD6-22B1-488F-99BC-6B10E35000EB}"/>
    <cellStyle name="Normal 5 11" xfId="2125" xr:uid="{00000000-0005-0000-0000-0000E3160000}"/>
    <cellStyle name="Normal 5 11 2" xfId="4354" xr:uid="{00000000-0005-0000-0000-0000E4160000}"/>
    <cellStyle name="Normal 5 11 2 2" xfId="8577" xr:uid="{00000000-0005-0000-0000-0000E5160000}"/>
    <cellStyle name="Normal 5 11 2 2 2" xfId="17019" xr:uid="{D282A412-4C25-4CC5-AC5A-4FC9433B5B2B}"/>
    <cellStyle name="Normal 5 11 2 3" xfId="12801" xr:uid="{23299146-EB4F-493E-9625-CCAB56263699}"/>
    <cellStyle name="Normal 5 11 3" xfId="6432" xr:uid="{00000000-0005-0000-0000-0000E6160000}"/>
    <cellStyle name="Normal 5 11 3 2" xfId="14874" xr:uid="{9C84549F-F02F-4329-97CF-F3E127427FB2}"/>
    <cellStyle name="Normal 5 11 4" xfId="10656" xr:uid="{90D2ADE8-AFBE-4914-86EB-E3C44C90DA45}"/>
    <cellStyle name="Normal 5 12" xfId="2561" xr:uid="{00000000-0005-0000-0000-0000E7160000}"/>
    <cellStyle name="Normal 5 12 2" xfId="6845" xr:uid="{00000000-0005-0000-0000-0000E8160000}"/>
    <cellStyle name="Normal 5 12 2 2" xfId="15287" xr:uid="{82753991-29B7-4E44-951C-1E40BBF93CF7}"/>
    <cellStyle name="Normal 5 12 3" xfId="11069" xr:uid="{C0892B5B-CC5A-4036-B5B5-BA6DCE8FA17C}"/>
    <cellStyle name="Normal 5 13" xfId="4780" xr:uid="{00000000-0005-0000-0000-0000E9160000}"/>
    <cellStyle name="Normal 5 13 2" xfId="13222" xr:uid="{CD51F82B-68D1-436D-A018-4C8FA6A28559}"/>
    <cellStyle name="Normal 5 14" xfId="9004" xr:uid="{0E6E330D-3A25-4906-B852-A52B97FC8233}"/>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2 2 2" xfId="17020" xr:uid="{4FA81004-1CCA-4B59-9D23-463EB8A75AB6}"/>
    <cellStyle name="Normal 5 2 10 2 3" xfId="12802" xr:uid="{35386FF9-CB9B-4081-BE5E-807786FBCC48}"/>
    <cellStyle name="Normal 5 2 10 3" xfId="6433" xr:uid="{00000000-0005-0000-0000-0000EE160000}"/>
    <cellStyle name="Normal 5 2 10 3 2" xfId="14875" xr:uid="{4959AA78-4DDD-48E7-81AB-A5EF288BB1F7}"/>
    <cellStyle name="Normal 5 2 10 4" xfId="10657" xr:uid="{089159BC-4AE0-4DC8-8302-D3774382D7E6}"/>
    <cellStyle name="Normal 5 2 11" xfId="2562" xr:uid="{00000000-0005-0000-0000-0000EF160000}"/>
    <cellStyle name="Normal 5 2 11 2" xfId="6846" xr:uid="{00000000-0005-0000-0000-0000F0160000}"/>
    <cellStyle name="Normal 5 2 11 2 2" xfId="15288" xr:uid="{CEB55C76-2C4C-4E9B-A121-973C9CBFCCCC}"/>
    <cellStyle name="Normal 5 2 11 3" xfId="11070" xr:uid="{BA970B54-DA72-4DC9-A585-A04B3A59BCF7}"/>
    <cellStyle name="Normal 5 2 12" xfId="4781" xr:uid="{00000000-0005-0000-0000-0000F1160000}"/>
    <cellStyle name="Normal 5 2 12 2" xfId="13223" xr:uid="{3037D2E7-4955-4D1F-999A-D6F4F1EF7326}"/>
    <cellStyle name="Normal 5 2 13" xfId="9005" xr:uid="{35107FC2-36CD-4DAF-B650-1BA7CBB1D790}"/>
    <cellStyle name="Normal 5 2 2" xfId="408" xr:uid="{00000000-0005-0000-0000-0000F2160000}"/>
    <cellStyle name="Normal 5 2 2 10" xfId="2563" xr:uid="{00000000-0005-0000-0000-0000F3160000}"/>
    <cellStyle name="Normal 5 2 2 10 2" xfId="6847" xr:uid="{00000000-0005-0000-0000-0000F4160000}"/>
    <cellStyle name="Normal 5 2 2 10 2 2" xfId="15289" xr:uid="{6DFD7677-B697-4B22-8D97-715B6B84CC98}"/>
    <cellStyle name="Normal 5 2 2 10 3" xfId="11071" xr:uid="{9D54FACD-A9CB-4D7D-A302-1BCA9CB92259}"/>
    <cellStyle name="Normal 5 2 2 11" xfId="4782" xr:uid="{00000000-0005-0000-0000-0000F5160000}"/>
    <cellStyle name="Normal 5 2 2 11 2" xfId="13224" xr:uid="{5EBDF352-26CF-4E19-857F-E656503DBD9A}"/>
    <cellStyle name="Normal 5 2 2 12" xfId="9006" xr:uid="{6839C0A2-6A9F-4092-8D5D-E971CD309608}"/>
    <cellStyle name="Normal 5 2 2 2" xfId="409" xr:uid="{00000000-0005-0000-0000-0000F6160000}"/>
    <cellStyle name="Normal 5 2 2 2 10" xfId="4783" xr:uid="{00000000-0005-0000-0000-0000F7160000}"/>
    <cellStyle name="Normal 5 2 2 2 10 2" xfId="13225" xr:uid="{7CD5D6E5-AA34-4BA4-AA27-0643ED6BB8F2}"/>
    <cellStyle name="Normal 5 2 2 2 11" xfId="9007" xr:uid="{209A227F-38AD-45E6-B18A-FA2B6060D1F8}"/>
    <cellStyle name="Normal 5 2 2 2 2" xfId="410" xr:uid="{00000000-0005-0000-0000-0000F8160000}"/>
    <cellStyle name="Normal 5 2 2 2 2 10" xfId="9008" xr:uid="{DB65642D-00B5-4987-A310-F6CD248415A6}"/>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2 2 2" xfId="15786" xr:uid="{27803370-8677-4A2F-B308-B9A7D5D5E924}"/>
    <cellStyle name="Normal 5 2 2 2 2 2 2 2 2 3" xfId="11568" xr:uid="{BA5A48EC-C135-4485-9295-F69BA7146B80}"/>
    <cellStyle name="Normal 5 2 2 2 2 2 2 2 3" xfId="5199" xr:uid="{00000000-0005-0000-0000-0000FE160000}"/>
    <cellStyle name="Normal 5 2 2 2 2 2 2 2 3 2" xfId="13641" xr:uid="{B8C7562E-50B9-4275-9A34-B91AC723139D}"/>
    <cellStyle name="Normal 5 2 2 2 2 2 2 2 4" xfId="9423" xr:uid="{B6BF904E-B2AB-4ECE-9521-B9A28156E3C9}"/>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2 2 2" xfId="16199" xr:uid="{A7641DA7-D196-4159-9B5B-5069457978E6}"/>
    <cellStyle name="Normal 5 2 2 2 2 2 2 3 2 3" xfId="11981" xr:uid="{82E4FE75-EFCC-4E0C-A477-CCF31630DC82}"/>
    <cellStyle name="Normal 5 2 2 2 2 2 2 3 3" xfId="5612" xr:uid="{00000000-0005-0000-0000-000002170000}"/>
    <cellStyle name="Normal 5 2 2 2 2 2 2 3 3 2" xfId="14054" xr:uid="{186C811C-0D92-4DDE-85D3-F80DEE18633A}"/>
    <cellStyle name="Normal 5 2 2 2 2 2 2 3 4" xfId="9836" xr:uid="{ED609801-26CD-4FCC-B611-0C90B9F5339F}"/>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2 2 2" xfId="16612" xr:uid="{50EFE957-ED0B-46D7-B121-79D2C7B9841E}"/>
    <cellStyle name="Normal 5 2 2 2 2 2 2 4 2 3" xfId="12394" xr:uid="{9A163BE4-59F7-43E2-8F22-00377BCE568D}"/>
    <cellStyle name="Normal 5 2 2 2 2 2 2 4 3" xfId="6025" xr:uid="{00000000-0005-0000-0000-000006170000}"/>
    <cellStyle name="Normal 5 2 2 2 2 2 2 4 3 2" xfId="14467" xr:uid="{B400A336-7995-41EE-8980-B84B938B0F47}"/>
    <cellStyle name="Normal 5 2 2 2 2 2 2 4 4" xfId="10249" xr:uid="{472DC5F4-9EE7-430A-9A58-CA9F570BEFD5}"/>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2 2 2" xfId="17025" xr:uid="{9F3CEE25-93E1-487B-A15F-08792AF59F2B}"/>
    <cellStyle name="Normal 5 2 2 2 2 2 2 5 2 3" xfId="12807" xr:uid="{C7A40362-1751-4298-B459-3FE2E37B572E}"/>
    <cellStyle name="Normal 5 2 2 2 2 2 2 5 3" xfId="6438" xr:uid="{00000000-0005-0000-0000-00000A170000}"/>
    <cellStyle name="Normal 5 2 2 2 2 2 2 5 3 2" xfId="14880" xr:uid="{058AB401-1655-4437-912C-D4CAAE59BCC9}"/>
    <cellStyle name="Normal 5 2 2 2 2 2 2 5 4" xfId="10662" xr:uid="{BC47CAEB-2FDE-4BB3-9B1B-D2C9DBA006C4}"/>
    <cellStyle name="Normal 5 2 2 2 2 2 2 6" xfId="2567" xr:uid="{00000000-0005-0000-0000-00000B170000}"/>
    <cellStyle name="Normal 5 2 2 2 2 2 2 6 2" xfId="6851" xr:uid="{00000000-0005-0000-0000-00000C170000}"/>
    <cellStyle name="Normal 5 2 2 2 2 2 2 6 2 2" xfId="15293" xr:uid="{4DBE2BFF-5838-40CB-BD11-465749D05CD6}"/>
    <cellStyle name="Normal 5 2 2 2 2 2 2 6 3" xfId="11075" xr:uid="{D173E577-2382-40C3-AC82-CFE911F3F7C3}"/>
    <cellStyle name="Normal 5 2 2 2 2 2 2 7" xfId="4786" xr:uid="{00000000-0005-0000-0000-00000D170000}"/>
    <cellStyle name="Normal 5 2 2 2 2 2 2 7 2" xfId="13228" xr:uid="{C228B7A9-D4B9-4AFB-AA52-DB4EEC4DFCCC}"/>
    <cellStyle name="Normal 5 2 2 2 2 2 2 8" xfId="9010" xr:uid="{08C6EE07-7AAC-477B-95BF-3B22C91B530C}"/>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2 2 2" xfId="15785" xr:uid="{A95C12EC-56A5-40B8-BFCA-B9CA6784D5CA}"/>
    <cellStyle name="Normal 5 2 2 2 2 2 3 2 3" xfId="11567" xr:uid="{E7F9BCE4-DF53-4642-A6E0-65DEE932CCD9}"/>
    <cellStyle name="Normal 5 2 2 2 2 2 3 3" xfId="5198" xr:uid="{00000000-0005-0000-0000-000011170000}"/>
    <cellStyle name="Normal 5 2 2 2 2 2 3 3 2" xfId="13640" xr:uid="{FDD8ED38-03C3-4DB9-A237-0325FE7B9334}"/>
    <cellStyle name="Normal 5 2 2 2 2 2 3 4" xfId="9422" xr:uid="{F6762EAD-CE7A-416E-A96A-373B8C0DE718}"/>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2 2 2" xfId="16198" xr:uid="{9156B03C-576B-4146-BA98-8A368BFB2E73}"/>
    <cellStyle name="Normal 5 2 2 2 2 2 4 2 3" xfId="11980" xr:uid="{2E8B1E19-57EC-4713-9668-56C614BF35D4}"/>
    <cellStyle name="Normal 5 2 2 2 2 2 4 3" xfId="5611" xr:uid="{00000000-0005-0000-0000-000015170000}"/>
    <cellStyle name="Normal 5 2 2 2 2 2 4 3 2" xfId="14053" xr:uid="{1FA0086A-582B-47FA-812A-B3E439B7161B}"/>
    <cellStyle name="Normal 5 2 2 2 2 2 4 4" xfId="9835" xr:uid="{0D17D83C-CF0E-40DC-8CD4-6870128E4F4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2 2 2" xfId="16611" xr:uid="{F2DC1F5A-41DC-4805-A9EA-E25810CD7496}"/>
    <cellStyle name="Normal 5 2 2 2 2 2 5 2 3" xfId="12393" xr:uid="{E5859EEE-D318-47D0-9BFA-61607D1C618D}"/>
    <cellStyle name="Normal 5 2 2 2 2 2 5 3" xfId="6024" xr:uid="{00000000-0005-0000-0000-000019170000}"/>
    <cellStyle name="Normal 5 2 2 2 2 2 5 3 2" xfId="14466" xr:uid="{E0BB0620-7BCE-4ED0-8D43-2C0BE022A624}"/>
    <cellStyle name="Normal 5 2 2 2 2 2 5 4" xfId="10248" xr:uid="{3FCAD4D6-DDD3-4F56-9955-D84D02F9C87C}"/>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2 2 2" xfId="17024" xr:uid="{2FFB5581-E368-466D-8F72-FE3FABDE3462}"/>
    <cellStyle name="Normal 5 2 2 2 2 2 6 2 3" xfId="12806" xr:uid="{22F5A517-E96E-4DA8-8F98-490F5BC5F308}"/>
    <cellStyle name="Normal 5 2 2 2 2 2 6 3" xfId="6437" xr:uid="{00000000-0005-0000-0000-00001D170000}"/>
    <cellStyle name="Normal 5 2 2 2 2 2 6 3 2" xfId="14879" xr:uid="{B44152A1-E89A-4668-BC7F-1C682DF8AB28}"/>
    <cellStyle name="Normal 5 2 2 2 2 2 6 4" xfId="10661" xr:uid="{0D64CAA0-3006-4CB4-84B1-C0C05E955CFA}"/>
    <cellStyle name="Normal 5 2 2 2 2 2 7" xfId="2566" xr:uid="{00000000-0005-0000-0000-00001E170000}"/>
    <cellStyle name="Normal 5 2 2 2 2 2 7 2" xfId="6850" xr:uid="{00000000-0005-0000-0000-00001F170000}"/>
    <cellStyle name="Normal 5 2 2 2 2 2 7 2 2" xfId="15292" xr:uid="{7C20F0D9-563D-4ED3-99EE-7B3F64E7BF05}"/>
    <cellStyle name="Normal 5 2 2 2 2 2 7 3" xfId="11074" xr:uid="{CAD33DD2-E82B-4A33-9543-149D08A56714}"/>
    <cellStyle name="Normal 5 2 2 2 2 2 8" xfId="4785" xr:uid="{00000000-0005-0000-0000-000020170000}"/>
    <cellStyle name="Normal 5 2 2 2 2 2 8 2" xfId="13227" xr:uid="{D39E1831-4C5A-4AA9-85AC-FA1EFC4CB49D}"/>
    <cellStyle name="Normal 5 2 2 2 2 2 9" xfId="9009" xr:uid="{CF4BB1B1-B2D1-4B11-9978-82C286B8AFA5}"/>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2 2 2" xfId="15787" xr:uid="{C4325CB8-04DE-47C4-8E13-C09C14D6F5B2}"/>
    <cellStyle name="Normal 5 2 2 2 2 3 2 2 3" xfId="11569" xr:uid="{1352F0CD-0940-41EC-B422-8111E11B9688}"/>
    <cellStyle name="Normal 5 2 2 2 2 3 2 3" xfId="5200" xr:uid="{00000000-0005-0000-0000-000025170000}"/>
    <cellStyle name="Normal 5 2 2 2 2 3 2 3 2" xfId="13642" xr:uid="{669CA047-0161-47E6-8F96-BCED4E275279}"/>
    <cellStyle name="Normal 5 2 2 2 2 3 2 4" xfId="9424" xr:uid="{31E6D4A8-3B2D-41F6-9560-6967397600D9}"/>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2 2 2" xfId="16200" xr:uid="{CF4BB005-B745-47A1-9335-218579E8CBAF}"/>
    <cellStyle name="Normal 5 2 2 2 2 3 3 2 3" xfId="11982" xr:uid="{F51E3256-D869-4661-8001-CC4CE21FCEF2}"/>
    <cellStyle name="Normal 5 2 2 2 2 3 3 3" xfId="5613" xr:uid="{00000000-0005-0000-0000-000029170000}"/>
    <cellStyle name="Normal 5 2 2 2 2 3 3 3 2" xfId="14055" xr:uid="{F26B5D2C-901C-43AA-B960-A363BD239473}"/>
    <cellStyle name="Normal 5 2 2 2 2 3 3 4" xfId="9837" xr:uid="{2A37C6C6-2AF5-415C-B0DA-97539825BF7D}"/>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2 2 2" xfId="16613" xr:uid="{2CC0826D-EE4A-4016-BD4B-5CE4F9810099}"/>
    <cellStyle name="Normal 5 2 2 2 2 3 4 2 3" xfId="12395" xr:uid="{7B668E09-08DE-44D2-9D8E-98CEB75BE347}"/>
    <cellStyle name="Normal 5 2 2 2 2 3 4 3" xfId="6026" xr:uid="{00000000-0005-0000-0000-00002D170000}"/>
    <cellStyle name="Normal 5 2 2 2 2 3 4 3 2" xfId="14468" xr:uid="{0A59C6CB-8429-4D6D-9471-90A4843C000E}"/>
    <cellStyle name="Normal 5 2 2 2 2 3 4 4" xfId="10250" xr:uid="{E1042289-AF60-4471-B97D-63B4B6C9A9B9}"/>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2 2 2" xfId="17026" xr:uid="{2C9F318E-A1C9-4ECE-9040-B425D8C6AA54}"/>
    <cellStyle name="Normal 5 2 2 2 2 3 5 2 3" xfId="12808" xr:uid="{6191EC99-4DFF-444A-B92A-420C018307CA}"/>
    <cellStyle name="Normal 5 2 2 2 2 3 5 3" xfId="6439" xr:uid="{00000000-0005-0000-0000-000031170000}"/>
    <cellStyle name="Normal 5 2 2 2 2 3 5 3 2" xfId="14881" xr:uid="{7FE5E14C-8477-4CFA-B811-1F56379908E4}"/>
    <cellStyle name="Normal 5 2 2 2 2 3 5 4" xfId="10663" xr:uid="{6C233E46-B609-49C7-9192-AD06E3B31544}"/>
    <cellStyle name="Normal 5 2 2 2 2 3 6" xfId="2568" xr:uid="{00000000-0005-0000-0000-000032170000}"/>
    <cellStyle name="Normal 5 2 2 2 2 3 6 2" xfId="6852" xr:uid="{00000000-0005-0000-0000-000033170000}"/>
    <cellStyle name="Normal 5 2 2 2 2 3 6 2 2" xfId="15294" xr:uid="{6E138C9B-16DB-4AB6-A79D-9C8011EEB5BD}"/>
    <cellStyle name="Normal 5 2 2 2 2 3 6 3" xfId="11076" xr:uid="{7CC52D23-3C55-41D7-8B31-1010FB0316F8}"/>
    <cellStyle name="Normal 5 2 2 2 2 3 7" xfId="4787" xr:uid="{00000000-0005-0000-0000-000034170000}"/>
    <cellStyle name="Normal 5 2 2 2 2 3 7 2" xfId="13229" xr:uid="{505DA6F8-3F00-4880-B67C-709990B31377}"/>
    <cellStyle name="Normal 5 2 2 2 2 3 8" xfId="9011" xr:uid="{64B59BB9-DC99-4ABF-B123-1A3DC9281154}"/>
    <cellStyle name="Normal 5 2 2 2 2 4" xfId="884" xr:uid="{00000000-0005-0000-0000-000035170000}"/>
    <cellStyle name="Normal 5 2 2 2 2 4 2" xfId="3119" xr:uid="{00000000-0005-0000-0000-000036170000}"/>
    <cellStyle name="Normal 5 2 2 2 2 4 2 2" xfId="7342" xr:uid="{00000000-0005-0000-0000-000037170000}"/>
    <cellStyle name="Normal 5 2 2 2 2 4 2 2 2" xfId="15784" xr:uid="{3BEB4F0E-F932-4F9B-8055-6578935CEBEE}"/>
    <cellStyle name="Normal 5 2 2 2 2 4 2 3" xfId="11566" xr:uid="{25167040-D768-4211-9493-3AB6915D042F}"/>
    <cellStyle name="Normal 5 2 2 2 2 4 3" xfId="5197" xr:uid="{00000000-0005-0000-0000-000038170000}"/>
    <cellStyle name="Normal 5 2 2 2 2 4 3 2" xfId="13639" xr:uid="{BA5621C1-BEF0-4583-AD01-4B3A4188B1FE}"/>
    <cellStyle name="Normal 5 2 2 2 2 4 4" xfId="9421" xr:uid="{FDF7DF2A-5AB0-40A0-AF8F-F6C66193ECF5}"/>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2 2 2" xfId="16197" xr:uid="{20083E27-C2F9-4206-8275-C48178BBCCBD}"/>
    <cellStyle name="Normal 5 2 2 2 2 5 2 3" xfId="11979" xr:uid="{B7064615-EE66-4F48-9AD7-657E45C20812}"/>
    <cellStyle name="Normal 5 2 2 2 2 5 3" xfId="5610" xr:uid="{00000000-0005-0000-0000-00003C170000}"/>
    <cellStyle name="Normal 5 2 2 2 2 5 3 2" xfId="14052" xr:uid="{4F63A80B-DDD8-4EF1-AF31-20D0085604B2}"/>
    <cellStyle name="Normal 5 2 2 2 2 5 4" xfId="9834" xr:uid="{B4F28859-7A05-4730-9C7A-9B937A29061E}"/>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2 2 2" xfId="16610" xr:uid="{6C1AD0AB-E019-4225-8AA2-D511930066F7}"/>
    <cellStyle name="Normal 5 2 2 2 2 6 2 3" xfId="12392" xr:uid="{AA20BC60-4DF1-43B9-804A-C0B25E5EE48A}"/>
    <cellStyle name="Normal 5 2 2 2 2 6 3" xfId="6023" xr:uid="{00000000-0005-0000-0000-000040170000}"/>
    <cellStyle name="Normal 5 2 2 2 2 6 3 2" xfId="14465" xr:uid="{F75C21FC-1150-45DC-A1C5-46BC99AFA9E7}"/>
    <cellStyle name="Normal 5 2 2 2 2 6 4" xfId="10247" xr:uid="{83B3CC88-F051-4F42-8694-5EA88E0CC8EC}"/>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2 2 2" xfId="17023" xr:uid="{15D25278-6207-4989-8F87-E2900814423F}"/>
    <cellStyle name="Normal 5 2 2 2 2 7 2 3" xfId="12805" xr:uid="{98FC350A-629E-4FF6-9667-757EF181BD9A}"/>
    <cellStyle name="Normal 5 2 2 2 2 7 3" xfId="6436" xr:uid="{00000000-0005-0000-0000-000044170000}"/>
    <cellStyle name="Normal 5 2 2 2 2 7 3 2" xfId="14878" xr:uid="{270DAA11-9606-4BA0-A141-906EEB77B7E2}"/>
    <cellStyle name="Normal 5 2 2 2 2 7 4" xfId="10660" xr:uid="{E1055926-ACAC-4823-B53B-435123925B93}"/>
    <cellStyle name="Normal 5 2 2 2 2 8" xfId="2565" xr:uid="{00000000-0005-0000-0000-000045170000}"/>
    <cellStyle name="Normal 5 2 2 2 2 8 2" xfId="6849" xr:uid="{00000000-0005-0000-0000-000046170000}"/>
    <cellStyle name="Normal 5 2 2 2 2 8 2 2" xfId="15291" xr:uid="{2E126520-D093-4AA1-8FC2-472997211C78}"/>
    <cellStyle name="Normal 5 2 2 2 2 8 3" xfId="11073" xr:uid="{A0FF31A4-FC84-457E-BA17-DE9367CC6B00}"/>
    <cellStyle name="Normal 5 2 2 2 2 9" xfId="4784" xr:uid="{00000000-0005-0000-0000-000047170000}"/>
    <cellStyle name="Normal 5 2 2 2 2 9 2" xfId="13226" xr:uid="{55F77BD5-56FE-431C-A533-8D33248AC207}"/>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2 2 2" xfId="15789" xr:uid="{AF296E4A-A7C8-4FD2-913F-0AF38481BC4E}"/>
    <cellStyle name="Normal 5 2 2 2 3 2 2 2 3" xfId="11571" xr:uid="{A4F03D47-E266-4E55-9B5B-820987E27166}"/>
    <cellStyle name="Normal 5 2 2 2 3 2 2 3" xfId="5202" xr:uid="{00000000-0005-0000-0000-00004D170000}"/>
    <cellStyle name="Normal 5 2 2 2 3 2 2 3 2" xfId="13644" xr:uid="{F38A13F0-B07F-4F4F-9151-B5347F6C0D60}"/>
    <cellStyle name="Normal 5 2 2 2 3 2 2 4" xfId="9426" xr:uid="{6867939C-2957-4EBF-A924-8FFE81F16E4E}"/>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2 2 2" xfId="16202" xr:uid="{03E1149D-7B7F-4BF3-8C4B-F90A92832EA3}"/>
    <cellStyle name="Normal 5 2 2 2 3 2 3 2 3" xfId="11984" xr:uid="{34EC9E40-5443-4903-B78E-5F490634B95F}"/>
    <cellStyle name="Normal 5 2 2 2 3 2 3 3" xfId="5615" xr:uid="{00000000-0005-0000-0000-000051170000}"/>
    <cellStyle name="Normal 5 2 2 2 3 2 3 3 2" xfId="14057" xr:uid="{A46937E6-C7A8-4E52-A9A3-EA8AFBD002D6}"/>
    <cellStyle name="Normal 5 2 2 2 3 2 3 4" xfId="9839" xr:uid="{802E4F14-636F-4E35-BB65-AAEA2AF8E7F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2 2 2" xfId="16615" xr:uid="{F6072498-BD11-42D6-9A82-1C187076E720}"/>
    <cellStyle name="Normal 5 2 2 2 3 2 4 2 3" xfId="12397" xr:uid="{E4CFEAA7-0560-4A30-8187-3C1E03E3A89E}"/>
    <cellStyle name="Normal 5 2 2 2 3 2 4 3" xfId="6028" xr:uid="{00000000-0005-0000-0000-000055170000}"/>
    <cellStyle name="Normal 5 2 2 2 3 2 4 3 2" xfId="14470" xr:uid="{D4F8187C-4655-492E-A4F5-E69C96986805}"/>
    <cellStyle name="Normal 5 2 2 2 3 2 4 4" xfId="10252" xr:uid="{E3562768-D7C4-41D0-A468-F8FA1FC5A47C}"/>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2 2 2" xfId="17028" xr:uid="{639D981C-5DEA-471C-A7B3-CDAE257A03C6}"/>
    <cellStyle name="Normal 5 2 2 2 3 2 5 2 3" xfId="12810" xr:uid="{0AF0B5CA-F77B-4AE9-AFC3-28AEEE9F10E9}"/>
    <cellStyle name="Normal 5 2 2 2 3 2 5 3" xfId="6441" xr:uid="{00000000-0005-0000-0000-000059170000}"/>
    <cellStyle name="Normal 5 2 2 2 3 2 5 3 2" xfId="14883" xr:uid="{F949237D-54D7-42FA-A693-8A5DAF1C174F}"/>
    <cellStyle name="Normal 5 2 2 2 3 2 5 4" xfId="10665" xr:uid="{016C7644-31A1-4E4B-A4F6-67DE3F7707F0}"/>
    <cellStyle name="Normal 5 2 2 2 3 2 6" xfId="2570" xr:uid="{00000000-0005-0000-0000-00005A170000}"/>
    <cellStyle name="Normal 5 2 2 2 3 2 6 2" xfId="6854" xr:uid="{00000000-0005-0000-0000-00005B170000}"/>
    <cellStyle name="Normal 5 2 2 2 3 2 6 2 2" xfId="15296" xr:uid="{7E21646A-ABAF-449D-AD83-56A18B898DEF}"/>
    <cellStyle name="Normal 5 2 2 2 3 2 6 3" xfId="11078" xr:uid="{0335F252-7510-400E-A6F9-BEB6D86E6BA3}"/>
    <cellStyle name="Normal 5 2 2 2 3 2 7" xfId="4789" xr:uid="{00000000-0005-0000-0000-00005C170000}"/>
    <cellStyle name="Normal 5 2 2 2 3 2 7 2" xfId="13231" xr:uid="{60E16172-FB75-46BB-8FEC-7E14B89E305D}"/>
    <cellStyle name="Normal 5 2 2 2 3 2 8" xfId="9013" xr:uid="{4D171F45-E5DF-4730-9C63-676B40E3FC16}"/>
    <cellStyle name="Normal 5 2 2 2 3 3" xfId="888" xr:uid="{00000000-0005-0000-0000-00005D170000}"/>
    <cellStyle name="Normal 5 2 2 2 3 3 2" xfId="3123" xr:uid="{00000000-0005-0000-0000-00005E170000}"/>
    <cellStyle name="Normal 5 2 2 2 3 3 2 2" xfId="7346" xr:uid="{00000000-0005-0000-0000-00005F170000}"/>
    <cellStyle name="Normal 5 2 2 2 3 3 2 2 2" xfId="15788" xr:uid="{D9BA4671-9830-4303-B746-8A1158DF991D}"/>
    <cellStyle name="Normal 5 2 2 2 3 3 2 3" xfId="11570" xr:uid="{42C0D6C9-8332-4735-BCA6-3007C7F2E143}"/>
    <cellStyle name="Normal 5 2 2 2 3 3 3" xfId="5201" xr:uid="{00000000-0005-0000-0000-000060170000}"/>
    <cellStyle name="Normal 5 2 2 2 3 3 3 2" xfId="13643" xr:uid="{735DF511-5142-4235-9D19-40135D72D90A}"/>
    <cellStyle name="Normal 5 2 2 2 3 3 4" xfId="9425" xr:uid="{29B8E09C-3F61-4FC2-BDC2-DD167EF46A7B}"/>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2 2 2" xfId="16201" xr:uid="{FB889201-80C3-4EB3-8A60-A3D2E65DB76F}"/>
    <cellStyle name="Normal 5 2 2 2 3 4 2 3" xfId="11983" xr:uid="{FC7E331A-59A3-481E-BFDB-441D90D487BA}"/>
    <cellStyle name="Normal 5 2 2 2 3 4 3" xfId="5614" xr:uid="{00000000-0005-0000-0000-000064170000}"/>
    <cellStyle name="Normal 5 2 2 2 3 4 3 2" xfId="14056" xr:uid="{127EED1C-1C1C-4452-96A4-310456740A87}"/>
    <cellStyle name="Normal 5 2 2 2 3 4 4" xfId="9838" xr:uid="{A7D2A487-622A-4C4F-924C-10ACCE65B922}"/>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2 2 2" xfId="16614" xr:uid="{9E5596C5-1D48-4910-84CD-A9C92FC62CC2}"/>
    <cellStyle name="Normal 5 2 2 2 3 5 2 3" xfId="12396" xr:uid="{DC762A97-84C8-4507-881C-A2DF721F3396}"/>
    <cellStyle name="Normal 5 2 2 2 3 5 3" xfId="6027" xr:uid="{00000000-0005-0000-0000-000068170000}"/>
    <cellStyle name="Normal 5 2 2 2 3 5 3 2" xfId="14469" xr:uid="{44ACC109-6F6B-4C32-B87D-A6596B17C808}"/>
    <cellStyle name="Normal 5 2 2 2 3 5 4" xfId="10251" xr:uid="{48E88553-CBF0-4E80-8F7D-D8F947591671}"/>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2 2 2" xfId="17027" xr:uid="{F588C05D-9126-40B2-B4C2-6852755FE329}"/>
    <cellStyle name="Normal 5 2 2 2 3 6 2 3" xfId="12809" xr:uid="{EC190136-D1C7-4E16-BA3B-70B5602413E5}"/>
    <cellStyle name="Normal 5 2 2 2 3 6 3" xfId="6440" xr:uid="{00000000-0005-0000-0000-00006C170000}"/>
    <cellStyle name="Normal 5 2 2 2 3 6 3 2" xfId="14882" xr:uid="{3A901DFE-1493-4287-A907-FE5430FD253F}"/>
    <cellStyle name="Normal 5 2 2 2 3 6 4" xfId="10664" xr:uid="{572C0E15-7F10-4503-AA67-7D4FED8531FC}"/>
    <cellStyle name="Normal 5 2 2 2 3 7" xfId="2569" xr:uid="{00000000-0005-0000-0000-00006D170000}"/>
    <cellStyle name="Normal 5 2 2 2 3 7 2" xfId="6853" xr:uid="{00000000-0005-0000-0000-00006E170000}"/>
    <cellStyle name="Normal 5 2 2 2 3 7 2 2" xfId="15295" xr:uid="{4C8D1461-6361-44B1-A61A-E9126E5E41F6}"/>
    <cellStyle name="Normal 5 2 2 2 3 7 3" xfId="11077" xr:uid="{B752C52B-90B2-42BA-8D98-A971FEC41E9F}"/>
    <cellStyle name="Normal 5 2 2 2 3 8" xfId="4788" xr:uid="{00000000-0005-0000-0000-00006F170000}"/>
    <cellStyle name="Normal 5 2 2 2 3 8 2" xfId="13230" xr:uid="{A90935E9-C6FF-4A24-A92A-5A53E70737AA}"/>
    <cellStyle name="Normal 5 2 2 2 3 9" xfId="9012" xr:uid="{2C5637E1-256A-4B87-A2C5-C340E21BCBB3}"/>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2 2 2" xfId="15790" xr:uid="{BCE1AB08-00A5-49F8-92F9-141BB37ECB7F}"/>
    <cellStyle name="Normal 5 2 2 2 4 2 2 3" xfId="11572" xr:uid="{45489191-9880-4BD2-8736-F9389F8F915F}"/>
    <cellStyle name="Normal 5 2 2 2 4 2 3" xfId="5203" xr:uid="{00000000-0005-0000-0000-000074170000}"/>
    <cellStyle name="Normal 5 2 2 2 4 2 3 2" xfId="13645" xr:uid="{E2C83D53-9270-4DCE-BC8F-88C38050F5A6}"/>
    <cellStyle name="Normal 5 2 2 2 4 2 4" xfId="9427" xr:uid="{B8934E23-99CA-4E49-AB45-D1C27F86163E}"/>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2 2 2" xfId="16203" xr:uid="{61B5BE66-6647-419D-9B2F-9D2457C3915D}"/>
    <cellStyle name="Normal 5 2 2 2 4 3 2 3" xfId="11985" xr:uid="{53C864CA-294E-49E9-A741-8C33B112C5C5}"/>
    <cellStyle name="Normal 5 2 2 2 4 3 3" xfId="5616" xr:uid="{00000000-0005-0000-0000-000078170000}"/>
    <cellStyle name="Normal 5 2 2 2 4 3 3 2" xfId="14058" xr:uid="{6907AA8A-225E-44BF-A6FE-7C66CFC70529}"/>
    <cellStyle name="Normal 5 2 2 2 4 3 4" xfId="9840" xr:uid="{C2AD0AC5-840C-4B70-A2C6-2697D73B1374}"/>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2 2 2" xfId="16616" xr:uid="{3DD7ECBF-27C5-4F12-886C-C0A65FB59F5E}"/>
    <cellStyle name="Normal 5 2 2 2 4 4 2 3" xfId="12398" xr:uid="{521DB5DA-DF26-420B-85AD-5A71A0367F57}"/>
    <cellStyle name="Normal 5 2 2 2 4 4 3" xfId="6029" xr:uid="{00000000-0005-0000-0000-00007C170000}"/>
    <cellStyle name="Normal 5 2 2 2 4 4 3 2" xfId="14471" xr:uid="{6BC552EE-68AE-48FC-B243-447D4F3D051D}"/>
    <cellStyle name="Normal 5 2 2 2 4 4 4" xfId="10253" xr:uid="{BCE0485C-AA19-480A-8BC0-580D47710701}"/>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2 2 2" xfId="17029" xr:uid="{5EC613CB-62C3-4089-9645-64356638CE96}"/>
    <cellStyle name="Normal 5 2 2 2 4 5 2 3" xfId="12811" xr:uid="{4F0EFBE4-148F-4890-B08D-3064C4302DAA}"/>
    <cellStyle name="Normal 5 2 2 2 4 5 3" xfId="6442" xr:uid="{00000000-0005-0000-0000-000080170000}"/>
    <cellStyle name="Normal 5 2 2 2 4 5 3 2" xfId="14884" xr:uid="{B094C27F-67E8-408B-B2E1-AAE004EA3828}"/>
    <cellStyle name="Normal 5 2 2 2 4 5 4" xfId="10666" xr:uid="{43C97055-452E-46F7-867C-14BF28C963DB}"/>
    <cellStyle name="Normal 5 2 2 2 4 6" xfId="2571" xr:uid="{00000000-0005-0000-0000-000081170000}"/>
    <cellStyle name="Normal 5 2 2 2 4 6 2" xfId="6855" xr:uid="{00000000-0005-0000-0000-000082170000}"/>
    <cellStyle name="Normal 5 2 2 2 4 6 2 2" xfId="15297" xr:uid="{E95BF40B-2520-4B05-86D4-40A0092A6040}"/>
    <cellStyle name="Normal 5 2 2 2 4 6 3" xfId="11079" xr:uid="{C00B2F86-694E-4C42-A4FD-F26BEDF94A85}"/>
    <cellStyle name="Normal 5 2 2 2 4 7" xfId="4790" xr:uid="{00000000-0005-0000-0000-000083170000}"/>
    <cellStyle name="Normal 5 2 2 2 4 7 2" xfId="13232" xr:uid="{E7554694-504F-4FE2-8330-4A6E3EF9B90F}"/>
    <cellStyle name="Normal 5 2 2 2 4 8" xfId="9014" xr:uid="{2821D7D5-40A0-41BE-8665-980427C8FDE9}"/>
    <cellStyle name="Normal 5 2 2 2 5" xfId="883" xr:uid="{00000000-0005-0000-0000-000084170000}"/>
    <cellStyle name="Normal 5 2 2 2 5 2" xfId="3118" xr:uid="{00000000-0005-0000-0000-000085170000}"/>
    <cellStyle name="Normal 5 2 2 2 5 2 2" xfId="7341" xr:uid="{00000000-0005-0000-0000-000086170000}"/>
    <cellStyle name="Normal 5 2 2 2 5 2 2 2" xfId="15783" xr:uid="{A3E8403F-D97A-4ACE-A15C-D389D81CB5E6}"/>
    <cellStyle name="Normal 5 2 2 2 5 2 3" xfId="11565" xr:uid="{EAEC494C-8F85-475C-90D5-B4766F08F79B}"/>
    <cellStyle name="Normal 5 2 2 2 5 3" xfId="5196" xr:uid="{00000000-0005-0000-0000-000087170000}"/>
    <cellStyle name="Normal 5 2 2 2 5 3 2" xfId="13638" xr:uid="{F440A493-1DCD-4C58-88BC-51BA4E52DBF4}"/>
    <cellStyle name="Normal 5 2 2 2 5 4" xfId="9420" xr:uid="{3803EF49-8349-4468-863A-A18CFB9CE1EA}"/>
    <cellStyle name="Normal 5 2 2 2 6" xfId="1301" xr:uid="{00000000-0005-0000-0000-000088170000}"/>
    <cellStyle name="Normal 5 2 2 2 6 2" xfId="3531" xr:uid="{00000000-0005-0000-0000-000089170000}"/>
    <cellStyle name="Normal 5 2 2 2 6 2 2" xfId="7754" xr:uid="{00000000-0005-0000-0000-00008A170000}"/>
    <cellStyle name="Normal 5 2 2 2 6 2 2 2" xfId="16196" xr:uid="{AB1DCA27-32D5-4471-A953-B77172818D90}"/>
    <cellStyle name="Normal 5 2 2 2 6 2 3" xfId="11978" xr:uid="{5B9A621E-DEEC-4B06-AC40-17BFF82BD87B}"/>
    <cellStyle name="Normal 5 2 2 2 6 3" xfId="5609" xr:uid="{00000000-0005-0000-0000-00008B170000}"/>
    <cellStyle name="Normal 5 2 2 2 6 3 2" xfId="14051" xr:uid="{9FA2896B-0B92-4BA5-89AB-16B931D7B51D}"/>
    <cellStyle name="Normal 5 2 2 2 6 4" xfId="9833" xr:uid="{1FEADD61-3039-4AA8-93C5-646744E7EC76}"/>
    <cellStyle name="Normal 5 2 2 2 7" xfId="1714" xr:uid="{00000000-0005-0000-0000-00008C170000}"/>
    <cellStyle name="Normal 5 2 2 2 7 2" xfId="3944" xr:uid="{00000000-0005-0000-0000-00008D170000}"/>
    <cellStyle name="Normal 5 2 2 2 7 2 2" xfId="8167" xr:uid="{00000000-0005-0000-0000-00008E170000}"/>
    <cellStyle name="Normal 5 2 2 2 7 2 2 2" xfId="16609" xr:uid="{162A556A-0FAF-4F77-B97A-AD5301067E23}"/>
    <cellStyle name="Normal 5 2 2 2 7 2 3" xfId="12391" xr:uid="{7E83075B-C9F9-4539-823B-256E3CA75CF8}"/>
    <cellStyle name="Normal 5 2 2 2 7 3" xfId="6022" xr:uid="{00000000-0005-0000-0000-00008F170000}"/>
    <cellStyle name="Normal 5 2 2 2 7 3 2" xfId="14464" xr:uid="{444833DC-8390-4344-9307-E6B17E97D926}"/>
    <cellStyle name="Normal 5 2 2 2 7 4" xfId="10246" xr:uid="{9704422A-5475-4247-860B-711053B4F254}"/>
    <cellStyle name="Normal 5 2 2 2 8" xfId="2128" xr:uid="{00000000-0005-0000-0000-000090170000}"/>
    <cellStyle name="Normal 5 2 2 2 8 2" xfId="4357" xr:uid="{00000000-0005-0000-0000-000091170000}"/>
    <cellStyle name="Normal 5 2 2 2 8 2 2" xfId="8580" xr:uid="{00000000-0005-0000-0000-000092170000}"/>
    <cellStyle name="Normal 5 2 2 2 8 2 2 2" xfId="17022" xr:uid="{499ADFA2-E627-44CF-AEC1-2437A76528F5}"/>
    <cellStyle name="Normal 5 2 2 2 8 2 3" xfId="12804" xr:uid="{50347B43-3D78-44FF-AEDA-B0F110D27EBF}"/>
    <cellStyle name="Normal 5 2 2 2 8 3" xfId="6435" xr:uid="{00000000-0005-0000-0000-000093170000}"/>
    <cellStyle name="Normal 5 2 2 2 8 3 2" xfId="14877" xr:uid="{7FA3517A-6AA2-44B3-A5AE-76CEB23FF352}"/>
    <cellStyle name="Normal 5 2 2 2 8 4" xfId="10659" xr:uid="{29538F60-C25D-494D-94DD-851771E79BF8}"/>
    <cellStyle name="Normal 5 2 2 2 9" xfId="2564" xr:uid="{00000000-0005-0000-0000-000094170000}"/>
    <cellStyle name="Normal 5 2 2 2 9 2" xfId="6848" xr:uid="{00000000-0005-0000-0000-000095170000}"/>
    <cellStyle name="Normal 5 2 2 2 9 2 2" xfId="15290" xr:uid="{468EB092-39EB-4F8A-95FC-8E65A4321EB8}"/>
    <cellStyle name="Normal 5 2 2 2 9 3" xfId="11072" xr:uid="{1BE43533-E4A3-4DE8-A97C-4C41F091EEAD}"/>
    <cellStyle name="Normal 5 2 2 3" xfId="417" xr:uid="{00000000-0005-0000-0000-000096170000}"/>
    <cellStyle name="Normal 5 2 2 3 10" xfId="9015" xr:uid="{7723080D-58D6-4047-9516-29D345440E4E}"/>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2 2 2" xfId="15793" xr:uid="{EE337807-6FF6-434E-9288-16EE09FC54CB}"/>
    <cellStyle name="Normal 5 2 2 3 2 2 2 2 3" xfId="11575" xr:uid="{7DE5A15E-0E3B-4075-8B65-22D4C945F7BC}"/>
    <cellStyle name="Normal 5 2 2 3 2 2 2 3" xfId="5206" xr:uid="{00000000-0005-0000-0000-00009C170000}"/>
    <cellStyle name="Normal 5 2 2 3 2 2 2 3 2" xfId="13648" xr:uid="{94058A8C-B9FE-4BA7-AC27-204156521D1D}"/>
    <cellStyle name="Normal 5 2 2 3 2 2 2 4" xfId="9430" xr:uid="{D4D8D776-8934-475A-A5D2-8F7395C1CDB5}"/>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2 2 2" xfId="16206" xr:uid="{4D42EEFA-203B-48E1-88AC-7B5C7B387824}"/>
    <cellStyle name="Normal 5 2 2 3 2 2 3 2 3" xfId="11988" xr:uid="{7A6170CD-52ED-4B36-AC75-E661A3460E97}"/>
    <cellStyle name="Normal 5 2 2 3 2 2 3 3" xfId="5619" xr:uid="{00000000-0005-0000-0000-0000A0170000}"/>
    <cellStyle name="Normal 5 2 2 3 2 2 3 3 2" xfId="14061" xr:uid="{82BFBB51-337C-4DEC-9EFF-CA107C718F61}"/>
    <cellStyle name="Normal 5 2 2 3 2 2 3 4" xfId="9843" xr:uid="{AEE92221-515C-4E1B-8DDA-CCEA789B485B}"/>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2 2 2" xfId="16619" xr:uid="{1BA3B196-B855-44FD-8417-AED9B450C941}"/>
    <cellStyle name="Normal 5 2 2 3 2 2 4 2 3" xfId="12401" xr:uid="{A41C9EBD-41DA-4635-AA5B-5DDEA72E940B}"/>
    <cellStyle name="Normal 5 2 2 3 2 2 4 3" xfId="6032" xr:uid="{00000000-0005-0000-0000-0000A4170000}"/>
    <cellStyle name="Normal 5 2 2 3 2 2 4 3 2" xfId="14474" xr:uid="{36BC8B45-BA85-45A8-9405-73834C728D55}"/>
    <cellStyle name="Normal 5 2 2 3 2 2 4 4" xfId="10256" xr:uid="{96EE7C4E-37CF-45EB-9C49-F1E43FB0AD98}"/>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2 2 2" xfId="17032" xr:uid="{2DCC2C02-19B1-447E-A963-DB0045BEE836}"/>
    <cellStyle name="Normal 5 2 2 3 2 2 5 2 3" xfId="12814" xr:uid="{C7CF1C67-0BD6-4C96-9DA9-D7B65C6D39CA}"/>
    <cellStyle name="Normal 5 2 2 3 2 2 5 3" xfId="6445" xr:uid="{00000000-0005-0000-0000-0000A8170000}"/>
    <cellStyle name="Normal 5 2 2 3 2 2 5 3 2" xfId="14887" xr:uid="{B4BA22F9-B6D3-4B71-AA4F-C9B1107FF50B}"/>
    <cellStyle name="Normal 5 2 2 3 2 2 5 4" xfId="10669" xr:uid="{23372D49-B988-474B-8497-A039300A3832}"/>
    <cellStyle name="Normal 5 2 2 3 2 2 6" xfId="2574" xr:uid="{00000000-0005-0000-0000-0000A9170000}"/>
    <cellStyle name="Normal 5 2 2 3 2 2 6 2" xfId="6858" xr:uid="{00000000-0005-0000-0000-0000AA170000}"/>
    <cellStyle name="Normal 5 2 2 3 2 2 6 2 2" xfId="15300" xr:uid="{397C12BD-26B2-46AB-AA81-67E45356BEFD}"/>
    <cellStyle name="Normal 5 2 2 3 2 2 6 3" xfId="11082" xr:uid="{BEA3ABAA-EC8D-461F-95D0-AC4559503F54}"/>
    <cellStyle name="Normal 5 2 2 3 2 2 7" xfId="4793" xr:uid="{00000000-0005-0000-0000-0000AB170000}"/>
    <cellStyle name="Normal 5 2 2 3 2 2 7 2" xfId="13235" xr:uid="{F75DF6B4-7694-4748-AC7F-DEEBE93FAF88}"/>
    <cellStyle name="Normal 5 2 2 3 2 2 8" xfId="9017" xr:uid="{C2D86673-4412-45A9-98A0-872EBDFA70AA}"/>
    <cellStyle name="Normal 5 2 2 3 2 3" xfId="892" xr:uid="{00000000-0005-0000-0000-0000AC170000}"/>
    <cellStyle name="Normal 5 2 2 3 2 3 2" xfId="3127" xr:uid="{00000000-0005-0000-0000-0000AD170000}"/>
    <cellStyle name="Normal 5 2 2 3 2 3 2 2" xfId="7350" xr:uid="{00000000-0005-0000-0000-0000AE170000}"/>
    <cellStyle name="Normal 5 2 2 3 2 3 2 2 2" xfId="15792" xr:uid="{C749EBF9-1A7F-4681-B8B8-70643BFFB943}"/>
    <cellStyle name="Normal 5 2 2 3 2 3 2 3" xfId="11574" xr:uid="{6493CC38-37E7-4A45-AC3A-35EEA4550B2E}"/>
    <cellStyle name="Normal 5 2 2 3 2 3 3" xfId="5205" xr:uid="{00000000-0005-0000-0000-0000AF170000}"/>
    <cellStyle name="Normal 5 2 2 3 2 3 3 2" xfId="13647" xr:uid="{5F588F51-586A-4ADF-B714-0F4AF17839F7}"/>
    <cellStyle name="Normal 5 2 2 3 2 3 4" xfId="9429" xr:uid="{140BC2F1-E5F3-49FC-960D-74CEB112C972}"/>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2 2 2" xfId="16205" xr:uid="{71AB7175-A39E-459D-A85F-759B65653FC5}"/>
    <cellStyle name="Normal 5 2 2 3 2 4 2 3" xfId="11987" xr:uid="{96E2F29B-C2DF-47E5-B05B-18A38070A6EB}"/>
    <cellStyle name="Normal 5 2 2 3 2 4 3" xfId="5618" xr:uid="{00000000-0005-0000-0000-0000B3170000}"/>
    <cellStyle name="Normal 5 2 2 3 2 4 3 2" xfId="14060" xr:uid="{38CD4FCD-5DB6-4A58-90CA-E76B11F1EE30}"/>
    <cellStyle name="Normal 5 2 2 3 2 4 4" xfId="9842" xr:uid="{8CEE1633-287A-473D-8524-DFCB9D3A5F96}"/>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2 2 2" xfId="16618" xr:uid="{02336106-BCAA-4EF2-AB7D-EDD29BCA276E}"/>
    <cellStyle name="Normal 5 2 2 3 2 5 2 3" xfId="12400" xr:uid="{44BDD7FB-F0FA-414D-B384-57ECE6017A2D}"/>
    <cellStyle name="Normal 5 2 2 3 2 5 3" xfId="6031" xr:uid="{00000000-0005-0000-0000-0000B7170000}"/>
    <cellStyle name="Normal 5 2 2 3 2 5 3 2" xfId="14473" xr:uid="{EA4DAAAB-867E-4D42-8DB8-737AA0C87880}"/>
    <cellStyle name="Normal 5 2 2 3 2 5 4" xfId="10255" xr:uid="{25598A2C-E419-4CC4-AFB6-A35F0F7C5EC1}"/>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2 2 2" xfId="17031" xr:uid="{5CD13FAE-A6D2-4ED7-BCBE-C1272B254FBE}"/>
    <cellStyle name="Normal 5 2 2 3 2 6 2 3" xfId="12813" xr:uid="{2554FE63-2230-4DC6-809C-73C312432372}"/>
    <cellStyle name="Normal 5 2 2 3 2 6 3" xfId="6444" xr:uid="{00000000-0005-0000-0000-0000BB170000}"/>
    <cellStyle name="Normal 5 2 2 3 2 6 3 2" xfId="14886" xr:uid="{A6107757-FF32-4F02-9B04-B018E29EFAC4}"/>
    <cellStyle name="Normal 5 2 2 3 2 6 4" xfId="10668" xr:uid="{16195147-087F-4F22-9ABE-DC4A0C8CC83A}"/>
    <cellStyle name="Normal 5 2 2 3 2 7" xfId="2573" xr:uid="{00000000-0005-0000-0000-0000BC170000}"/>
    <cellStyle name="Normal 5 2 2 3 2 7 2" xfId="6857" xr:uid="{00000000-0005-0000-0000-0000BD170000}"/>
    <cellStyle name="Normal 5 2 2 3 2 7 2 2" xfId="15299" xr:uid="{DB00881C-446F-49E3-B935-E0AA59C66D37}"/>
    <cellStyle name="Normal 5 2 2 3 2 7 3" xfId="11081" xr:uid="{8FC62D9F-267D-4A2B-968B-5E6CDB1558B3}"/>
    <cellStyle name="Normal 5 2 2 3 2 8" xfId="4792" xr:uid="{00000000-0005-0000-0000-0000BE170000}"/>
    <cellStyle name="Normal 5 2 2 3 2 8 2" xfId="13234" xr:uid="{FFECE68E-FE58-4233-9A57-52ED4797CADB}"/>
    <cellStyle name="Normal 5 2 2 3 2 9" xfId="9016" xr:uid="{E30A2B43-211B-4A73-9FA2-7C9894752679}"/>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2 2 2" xfId="15794" xr:uid="{73BAD550-B3EF-4D40-9F15-9B0ADB81C4FC}"/>
    <cellStyle name="Normal 5 2 2 3 3 2 2 3" xfId="11576" xr:uid="{FF980290-4C3A-4770-8F12-E51BC103231C}"/>
    <cellStyle name="Normal 5 2 2 3 3 2 3" xfId="5207" xr:uid="{00000000-0005-0000-0000-0000C3170000}"/>
    <cellStyle name="Normal 5 2 2 3 3 2 3 2" xfId="13649" xr:uid="{17184DA4-2882-4809-9536-52CCD3C9569B}"/>
    <cellStyle name="Normal 5 2 2 3 3 2 4" xfId="9431" xr:uid="{648AB03C-1F69-4C89-9311-0C1C651BAC9D}"/>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2 2 2" xfId="16207" xr:uid="{3D98C4ED-D4F3-4C79-9D16-BD9505E3FBCC}"/>
    <cellStyle name="Normal 5 2 2 3 3 3 2 3" xfId="11989" xr:uid="{E87CAE18-43E4-4613-BD01-1343DFB29A4F}"/>
    <cellStyle name="Normal 5 2 2 3 3 3 3" xfId="5620" xr:uid="{00000000-0005-0000-0000-0000C7170000}"/>
    <cellStyle name="Normal 5 2 2 3 3 3 3 2" xfId="14062" xr:uid="{E08C0810-4DE6-4EC5-A895-0B374AF59813}"/>
    <cellStyle name="Normal 5 2 2 3 3 3 4" xfId="9844" xr:uid="{6604E8F5-120A-4AEF-8D99-09B58E7D9876}"/>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2 2 2" xfId="16620" xr:uid="{C3952F11-5BCB-4B5C-A965-52502FB4A2FE}"/>
    <cellStyle name="Normal 5 2 2 3 3 4 2 3" xfId="12402" xr:uid="{BC3A4462-F302-4A08-ADD4-F73028AB04B6}"/>
    <cellStyle name="Normal 5 2 2 3 3 4 3" xfId="6033" xr:uid="{00000000-0005-0000-0000-0000CB170000}"/>
    <cellStyle name="Normal 5 2 2 3 3 4 3 2" xfId="14475" xr:uid="{00EC79BF-ACAA-4EA8-ADD7-5E4B229043FF}"/>
    <cellStyle name="Normal 5 2 2 3 3 4 4" xfId="10257" xr:uid="{311B4AAC-DFB4-4E8E-8080-22ED51AB6949}"/>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2 2 2" xfId="17033" xr:uid="{AC60DB43-BB69-4F41-9590-E71F394D7911}"/>
    <cellStyle name="Normal 5 2 2 3 3 5 2 3" xfId="12815" xr:uid="{B671E5A1-2FC2-4DE1-AF64-50013EDFDB4A}"/>
    <cellStyle name="Normal 5 2 2 3 3 5 3" xfId="6446" xr:uid="{00000000-0005-0000-0000-0000CF170000}"/>
    <cellStyle name="Normal 5 2 2 3 3 5 3 2" xfId="14888" xr:uid="{F0BA1A33-A110-4C34-BD2B-659EE1F0C433}"/>
    <cellStyle name="Normal 5 2 2 3 3 5 4" xfId="10670" xr:uid="{5175426A-6E87-4F94-B307-8DB8D210273A}"/>
    <cellStyle name="Normal 5 2 2 3 3 6" xfId="2575" xr:uid="{00000000-0005-0000-0000-0000D0170000}"/>
    <cellStyle name="Normal 5 2 2 3 3 6 2" xfId="6859" xr:uid="{00000000-0005-0000-0000-0000D1170000}"/>
    <cellStyle name="Normal 5 2 2 3 3 6 2 2" xfId="15301" xr:uid="{249E5E05-58CE-41C7-9FEC-6CE9A9CCBFB2}"/>
    <cellStyle name="Normal 5 2 2 3 3 6 3" xfId="11083" xr:uid="{C2328A2C-0272-45F7-8503-642DE6D2782C}"/>
    <cellStyle name="Normal 5 2 2 3 3 7" xfId="4794" xr:uid="{00000000-0005-0000-0000-0000D2170000}"/>
    <cellStyle name="Normal 5 2 2 3 3 7 2" xfId="13236" xr:uid="{63C2EDD4-D4BD-4171-95A0-8F263C6BD1E0}"/>
    <cellStyle name="Normal 5 2 2 3 3 8" xfId="9018" xr:uid="{15F4A607-710D-4BF8-B7B7-79B190838EAF}"/>
    <cellStyle name="Normal 5 2 2 3 4" xfId="891" xr:uid="{00000000-0005-0000-0000-0000D3170000}"/>
    <cellStyle name="Normal 5 2 2 3 4 2" xfId="3126" xr:uid="{00000000-0005-0000-0000-0000D4170000}"/>
    <cellStyle name="Normal 5 2 2 3 4 2 2" xfId="7349" xr:uid="{00000000-0005-0000-0000-0000D5170000}"/>
    <cellStyle name="Normal 5 2 2 3 4 2 2 2" xfId="15791" xr:uid="{D92BE483-3F55-4F27-9264-3D5981832D33}"/>
    <cellStyle name="Normal 5 2 2 3 4 2 3" xfId="11573" xr:uid="{EADF14D8-FA1E-4856-95F0-73E962710781}"/>
    <cellStyle name="Normal 5 2 2 3 4 3" xfId="5204" xr:uid="{00000000-0005-0000-0000-0000D6170000}"/>
    <cellStyle name="Normal 5 2 2 3 4 3 2" xfId="13646" xr:uid="{B2357B7F-D3E8-43B5-A5C9-3E4FC2A29D71}"/>
    <cellStyle name="Normal 5 2 2 3 4 4" xfId="9428" xr:uid="{085AD4C2-BD79-4F52-9C35-9B326D14EB3A}"/>
    <cellStyle name="Normal 5 2 2 3 5" xfId="1309" xr:uid="{00000000-0005-0000-0000-0000D7170000}"/>
    <cellStyle name="Normal 5 2 2 3 5 2" xfId="3539" xr:uid="{00000000-0005-0000-0000-0000D8170000}"/>
    <cellStyle name="Normal 5 2 2 3 5 2 2" xfId="7762" xr:uid="{00000000-0005-0000-0000-0000D9170000}"/>
    <cellStyle name="Normal 5 2 2 3 5 2 2 2" xfId="16204" xr:uid="{9A972D07-EB1B-4EF5-ADA8-D0F891BAB747}"/>
    <cellStyle name="Normal 5 2 2 3 5 2 3" xfId="11986" xr:uid="{C411ACD0-6C0C-4C1E-AB2E-1A52C3C6C334}"/>
    <cellStyle name="Normal 5 2 2 3 5 3" xfId="5617" xr:uid="{00000000-0005-0000-0000-0000DA170000}"/>
    <cellStyle name="Normal 5 2 2 3 5 3 2" xfId="14059" xr:uid="{FB286111-270F-424D-A14B-EF986360826D}"/>
    <cellStyle name="Normal 5 2 2 3 5 4" xfId="9841" xr:uid="{A5BDB577-E7AF-452E-B999-5BC9D78441E9}"/>
    <cellStyle name="Normal 5 2 2 3 6" xfId="1722" xr:uid="{00000000-0005-0000-0000-0000DB170000}"/>
    <cellStyle name="Normal 5 2 2 3 6 2" xfId="3952" xr:uid="{00000000-0005-0000-0000-0000DC170000}"/>
    <cellStyle name="Normal 5 2 2 3 6 2 2" xfId="8175" xr:uid="{00000000-0005-0000-0000-0000DD170000}"/>
    <cellStyle name="Normal 5 2 2 3 6 2 2 2" xfId="16617" xr:uid="{C2F0B8FA-5700-416C-A9B8-AAA8208548ED}"/>
    <cellStyle name="Normal 5 2 2 3 6 2 3" xfId="12399" xr:uid="{2CFF57F5-5FB0-44CF-933D-D7C8662DEF4C}"/>
    <cellStyle name="Normal 5 2 2 3 6 3" xfId="6030" xr:uid="{00000000-0005-0000-0000-0000DE170000}"/>
    <cellStyle name="Normal 5 2 2 3 6 3 2" xfId="14472" xr:uid="{5CD38247-9376-41EF-B826-87EAE37E3AD9}"/>
    <cellStyle name="Normal 5 2 2 3 6 4" xfId="10254" xr:uid="{789B2719-6399-4C94-B85B-2EB098A602AA}"/>
    <cellStyle name="Normal 5 2 2 3 7" xfId="2136" xr:uid="{00000000-0005-0000-0000-0000DF170000}"/>
    <cellStyle name="Normal 5 2 2 3 7 2" xfId="4365" xr:uid="{00000000-0005-0000-0000-0000E0170000}"/>
    <cellStyle name="Normal 5 2 2 3 7 2 2" xfId="8588" xr:uid="{00000000-0005-0000-0000-0000E1170000}"/>
    <cellStyle name="Normal 5 2 2 3 7 2 2 2" xfId="17030" xr:uid="{06F40807-DBA8-4496-B1EC-BEB304AE915C}"/>
    <cellStyle name="Normal 5 2 2 3 7 2 3" xfId="12812" xr:uid="{9841394C-067D-4657-BABD-D46D101227F3}"/>
    <cellStyle name="Normal 5 2 2 3 7 3" xfId="6443" xr:uid="{00000000-0005-0000-0000-0000E2170000}"/>
    <cellStyle name="Normal 5 2 2 3 7 3 2" xfId="14885" xr:uid="{825ECF22-7C9A-4394-9449-55C20BAAEA64}"/>
    <cellStyle name="Normal 5 2 2 3 7 4" xfId="10667" xr:uid="{E8379E5B-1EA6-4CE7-BA66-AAD1C01B9C8F}"/>
    <cellStyle name="Normal 5 2 2 3 8" xfId="2572" xr:uid="{00000000-0005-0000-0000-0000E3170000}"/>
    <cellStyle name="Normal 5 2 2 3 8 2" xfId="6856" xr:uid="{00000000-0005-0000-0000-0000E4170000}"/>
    <cellStyle name="Normal 5 2 2 3 8 2 2" xfId="15298" xr:uid="{9900B0AE-32D7-4472-8DD5-DE6710FF5770}"/>
    <cellStyle name="Normal 5 2 2 3 8 3" xfId="11080" xr:uid="{F6CB02A4-3672-4FCE-8E29-9AA4D9E9A422}"/>
    <cellStyle name="Normal 5 2 2 3 9" xfId="4791" xr:uid="{00000000-0005-0000-0000-0000E5170000}"/>
    <cellStyle name="Normal 5 2 2 3 9 2" xfId="13233" xr:uid="{279A013C-8A49-4B3C-B69B-D36EB079EBAF}"/>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2 2 2" xfId="15796" xr:uid="{15AF14E3-2269-447F-BD12-334C573A569D}"/>
    <cellStyle name="Normal 5 2 2 4 2 2 2 3" xfId="11578" xr:uid="{F746E31E-27E5-4F12-9BFC-2C2153EC45F7}"/>
    <cellStyle name="Normal 5 2 2 4 2 2 3" xfId="5209" xr:uid="{00000000-0005-0000-0000-0000EB170000}"/>
    <cellStyle name="Normal 5 2 2 4 2 2 3 2" xfId="13651" xr:uid="{2E8496BB-E271-4681-9556-24CBE67BFB7E}"/>
    <cellStyle name="Normal 5 2 2 4 2 2 4" xfId="9433" xr:uid="{B12FD5AB-C681-47C9-A1B2-6054ED18BE4B}"/>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2 2 2" xfId="16209" xr:uid="{DCE89222-EB5B-41EF-95A9-4DCC25A136F2}"/>
    <cellStyle name="Normal 5 2 2 4 2 3 2 3" xfId="11991" xr:uid="{ACD863FA-9A81-477C-A22A-BA1DD01AB5AF}"/>
    <cellStyle name="Normal 5 2 2 4 2 3 3" xfId="5622" xr:uid="{00000000-0005-0000-0000-0000EF170000}"/>
    <cellStyle name="Normal 5 2 2 4 2 3 3 2" xfId="14064" xr:uid="{E1BE88F3-7F9D-4854-BB46-720CCA6FBB00}"/>
    <cellStyle name="Normal 5 2 2 4 2 3 4" xfId="9846" xr:uid="{2C00997C-895F-44A1-8861-453C31F6EDF4}"/>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2 2 2" xfId="16622" xr:uid="{2D41283F-98E2-48D6-92A0-38B545CD2B4E}"/>
    <cellStyle name="Normal 5 2 2 4 2 4 2 3" xfId="12404" xr:uid="{F7E559A9-7BD6-45AD-A704-7B2F99A1E163}"/>
    <cellStyle name="Normal 5 2 2 4 2 4 3" xfId="6035" xr:uid="{00000000-0005-0000-0000-0000F3170000}"/>
    <cellStyle name="Normal 5 2 2 4 2 4 3 2" xfId="14477" xr:uid="{C37CE22A-79C3-4509-9100-FE4150E3CDDF}"/>
    <cellStyle name="Normal 5 2 2 4 2 4 4" xfId="10259" xr:uid="{E078187C-0301-45BC-9C21-472AB754D945}"/>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2 2 2" xfId="17035" xr:uid="{EA42198A-1EA3-4DC3-9D07-1E031C3CB1FF}"/>
    <cellStyle name="Normal 5 2 2 4 2 5 2 3" xfId="12817" xr:uid="{59EA7A81-9FB9-443B-9837-22467C7EECCD}"/>
    <cellStyle name="Normal 5 2 2 4 2 5 3" xfId="6448" xr:uid="{00000000-0005-0000-0000-0000F7170000}"/>
    <cellStyle name="Normal 5 2 2 4 2 5 3 2" xfId="14890" xr:uid="{A9F87060-88C9-4AAF-9E38-B8339A6A950B}"/>
    <cellStyle name="Normal 5 2 2 4 2 5 4" xfId="10672" xr:uid="{D8769DA4-4012-4942-9F5E-0B99AF78A091}"/>
    <cellStyle name="Normal 5 2 2 4 2 6" xfId="2577" xr:uid="{00000000-0005-0000-0000-0000F8170000}"/>
    <cellStyle name="Normal 5 2 2 4 2 6 2" xfId="6861" xr:uid="{00000000-0005-0000-0000-0000F9170000}"/>
    <cellStyle name="Normal 5 2 2 4 2 6 2 2" xfId="15303" xr:uid="{704C4D97-1C2A-48A0-9A7A-04CBFB80B6F6}"/>
    <cellStyle name="Normal 5 2 2 4 2 6 3" xfId="11085" xr:uid="{A74A8CB5-6A63-46FE-BB1A-A54590672142}"/>
    <cellStyle name="Normal 5 2 2 4 2 7" xfId="4796" xr:uid="{00000000-0005-0000-0000-0000FA170000}"/>
    <cellStyle name="Normal 5 2 2 4 2 7 2" xfId="13238" xr:uid="{95D56987-5BCF-4B0C-9AA1-F8A574BE4DE3}"/>
    <cellStyle name="Normal 5 2 2 4 2 8" xfId="9020" xr:uid="{72305038-490E-4359-8BB6-3C6A5C4F7AE2}"/>
    <cellStyle name="Normal 5 2 2 4 3" xfId="895" xr:uid="{00000000-0005-0000-0000-0000FB170000}"/>
    <cellStyle name="Normal 5 2 2 4 3 2" xfId="3130" xr:uid="{00000000-0005-0000-0000-0000FC170000}"/>
    <cellStyle name="Normal 5 2 2 4 3 2 2" xfId="7353" xr:uid="{00000000-0005-0000-0000-0000FD170000}"/>
    <cellStyle name="Normal 5 2 2 4 3 2 2 2" xfId="15795" xr:uid="{C29F7B39-6B18-4731-8D19-61766EC7C30B}"/>
    <cellStyle name="Normal 5 2 2 4 3 2 3" xfId="11577" xr:uid="{A7703F9B-952B-4CBE-9C66-FFA038FABDD4}"/>
    <cellStyle name="Normal 5 2 2 4 3 3" xfId="5208" xr:uid="{00000000-0005-0000-0000-0000FE170000}"/>
    <cellStyle name="Normal 5 2 2 4 3 3 2" xfId="13650" xr:uid="{A879F3AB-C5D5-4FFB-91B0-33E4E6845DA7}"/>
    <cellStyle name="Normal 5 2 2 4 3 4" xfId="9432" xr:uid="{0BEE2578-2794-4386-9B66-827B230F2CD2}"/>
    <cellStyle name="Normal 5 2 2 4 4" xfId="1313" xr:uid="{00000000-0005-0000-0000-0000FF170000}"/>
    <cellStyle name="Normal 5 2 2 4 4 2" xfId="3543" xr:uid="{00000000-0005-0000-0000-000000180000}"/>
    <cellStyle name="Normal 5 2 2 4 4 2 2" xfId="7766" xr:uid="{00000000-0005-0000-0000-000001180000}"/>
    <cellStyle name="Normal 5 2 2 4 4 2 2 2" xfId="16208" xr:uid="{C16302D8-7E73-49F6-82A4-664E7ABE2F27}"/>
    <cellStyle name="Normal 5 2 2 4 4 2 3" xfId="11990" xr:uid="{92AD19E7-43EA-41C8-B521-0DCDE0CC5445}"/>
    <cellStyle name="Normal 5 2 2 4 4 3" xfId="5621" xr:uid="{00000000-0005-0000-0000-000002180000}"/>
    <cellStyle name="Normal 5 2 2 4 4 3 2" xfId="14063" xr:uid="{0665C54D-D01D-4CDA-AD17-A79FBB8DBC2F}"/>
    <cellStyle name="Normal 5 2 2 4 4 4" xfId="9845" xr:uid="{ACF68F93-7848-4D19-A7F4-C1A68E844E04}"/>
    <cellStyle name="Normal 5 2 2 4 5" xfId="1726" xr:uid="{00000000-0005-0000-0000-000003180000}"/>
    <cellStyle name="Normal 5 2 2 4 5 2" xfId="3956" xr:uid="{00000000-0005-0000-0000-000004180000}"/>
    <cellStyle name="Normal 5 2 2 4 5 2 2" xfId="8179" xr:uid="{00000000-0005-0000-0000-000005180000}"/>
    <cellStyle name="Normal 5 2 2 4 5 2 2 2" xfId="16621" xr:uid="{8C917C93-81D8-4AFE-9F62-7C25C68F7FDF}"/>
    <cellStyle name="Normal 5 2 2 4 5 2 3" xfId="12403" xr:uid="{AF238327-2915-4E4F-8A01-881F24BBC50E}"/>
    <cellStyle name="Normal 5 2 2 4 5 3" xfId="6034" xr:uid="{00000000-0005-0000-0000-000006180000}"/>
    <cellStyle name="Normal 5 2 2 4 5 3 2" xfId="14476" xr:uid="{DB84816E-491A-4AB7-B7AC-5754AA28BCF8}"/>
    <cellStyle name="Normal 5 2 2 4 5 4" xfId="10258" xr:uid="{98DEF345-4064-4E98-B3FE-2F8F69D4D1D7}"/>
    <cellStyle name="Normal 5 2 2 4 6" xfId="2140" xr:uid="{00000000-0005-0000-0000-000007180000}"/>
    <cellStyle name="Normal 5 2 2 4 6 2" xfId="4369" xr:uid="{00000000-0005-0000-0000-000008180000}"/>
    <cellStyle name="Normal 5 2 2 4 6 2 2" xfId="8592" xr:uid="{00000000-0005-0000-0000-000009180000}"/>
    <cellStyle name="Normal 5 2 2 4 6 2 2 2" xfId="17034" xr:uid="{F6AEA326-EC15-4780-8D3A-29F80E615A31}"/>
    <cellStyle name="Normal 5 2 2 4 6 2 3" xfId="12816" xr:uid="{9C5E03FD-CD20-41B5-8132-7C74DE93AA27}"/>
    <cellStyle name="Normal 5 2 2 4 6 3" xfId="6447" xr:uid="{00000000-0005-0000-0000-00000A180000}"/>
    <cellStyle name="Normal 5 2 2 4 6 3 2" xfId="14889" xr:uid="{F6DB3E2C-6825-4E7B-964A-B1317329B40D}"/>
    <cellStyle name="Normal 5 2 2 4 6 4" xfId="10671" xr:uid="{67EC3460-6173-45B1-A217-31BE0713E3A9}"/>
    <cellStyle name="Normal 5 2 2 4 7" xfId="2576" xr:uid="{00000000-0005-0000-0000-00000B180000}"/>
    <cellStyle name="Normal 5 2 2 4 7 2" xfId="6860" xr:uid="{00000000-0005-0000-0000-00000C180000}"/>
    <cellStyle name="Normal 5 2 2 4 7 2 2" xfId="15302" xr:uid="{7A55EFE0-D620-4E73-A02F-BE48A1B0D722}"/>
    <cellStyle name="Normal 5 2 2 4 7 3" xfId="11084" xr:uid="{E21B25CB-CFA4-4861-A5A0-E9AC16CAFA9F}"/>
    <cellStyle name="Normal 5 2 2 4 8" xfId="4795" xr:uid="{00000000-0005-0000-0000-00000D180000}"/>
    <cellStyle name="Normal 5 2 2 4 8 2" xfId="13237" xr:uid="{7D51A2FC-85EB-4BF2-8F73-83E63DF37532}"/>
    <cellStyle name="Normal 5 2 2 4 9" xfId="9019" xr:uid="{551651F7-2E9D-44FD-9D48-9CB6AF2D0BF6}"/>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2 2 2" xfId="15797" xr:uid="{17CDDBA7-AF09-40CE-9BA6-5E9F60014212}"/>
    <cellStyle name="Normal 5 2 2 5 2 2 3" xfId="11579" xr:uid="{DEF3CBC3-BC5F-40C0-8EC3-51F2DB228B81}"/>
    <cellStyle name="Normal 5 2 2 5 2 3" xfId="5210" xr:uid="{00000000-0005-0000-0000-000012180000}"/>
    <cellStyle name="Normal 5 2 2 5 2 3 2" xfId="13652" xr:uid="{7DF97924-0176-40EB-A28E-59FDE3892E70}"/>
    <cellStyle name="Normal 5 2 2 5 2 4" xfId="9434" xr:uid="{2371264F-AD48-4625-9869-93031DDABE2E}"/>
    <cellStyle name="Normal 5 2 2 5 3" xfId="1315" xr:uid="{00000000-0005-0000-0000-000013180000}"/>
    <cellStyle name="Normal 5 2 2 5 3 2" xfId="3545" xr:uid="{00000000-0005-0000-0000-000014180000}"/>
    <cellStyle name="Normal 5 2 2 5 3 2 2" xfId="7768" xr:uid="{00000000-0005-0000-0000-000015180000}"/>
    <cellStyle name="Normal 5 2 2 5 3 2 2 2" xfId="16210" xr:uid="{11D031AB-A537-45C4-83CF-271409A59DB0}"/>
    <cellStyle name="Normal 5 2 2 5 3 2 3" xfId="11992" xr:uid="{42E771B5-60B2-4C92-82A0-50C0CBBAE91C}"/>
    <cellStyle name="Normal 5 2 2 5 3 3" xfId="5623" xr:uid="{00000000-0005-0000-0000-000016180000}"/>
    <cellStyle name="Normal 5 2 2 5 3 3 2" xfId="14065" xr:uid="{B8ADC329-57CF-4120-8338-4CB26B1EBCE2}"/>
    <cellStyle name="Normal 5 2 2 5 3 4" xfId="9847" xr:uid="{5107A8AD-F02C-4266-B351-42BAA175FD0B}"/>
    <cellStyle name="Normal 5 2 2 5 4" xfId="1728" xr:uid="{00000000-0005-0000-0000-000017180000}"/>
    <cellStyle name="Normal 5 2 2 5 4 2" xfId="3958" xr:uid="{00000000-0005-0000-0000-000018180000}"/>
    <cellStyle name="Normal 5 2 2 5 4 2 2" xfId="8181" xr:uid="{00000000-0005-0000-0000-000019180000}"/>
    <cellStyle name="Normal 5 2 2 5 4 2 2 2" xfId="16623" xr:uid="{51586802-45D0-40CD-AAC9-8F68FBEF1D8F}"/>
    <cellStyle name="Normal 5 2 2 5 4 2 3" xfId="12405" xr:uid="{D07F61B0-8894-41D8-B052-52F916FBBD87}"/>
    <cellStyle name="Normal 5 2 2 5 4 3" xfId="6036" xr:uid="{00000000-0005-0000-0000-00001A180000}"/>
    <cellStyle name="Normal 5 2 2 5 4 3 2" xfId="14478" xr:uid="{A04F2D25-B19D-41BA-9E9E-7BA8AA7312C8}"/>
    <cellStyle name="Normal 5 2 2 5 4 4" xfId="10260" xr:uid="{CA3D015B-F675-4DA1-83A0-D3C45DB3CA71}"/>
    <cellStyle name="Normal 5 2 2 5 5" xfId="2142" xr:uid="{00000000-0005-0000-0000-00001B180000}"/>
    <cellStyle name="Normal 5 2 2 5 5 2" xfId="4371" xr:uid="{00000000-0005-0000-0000-00001C180000}"/>
    <cellStyle name="Normal 5 2 2 5 5 2 2" xfId="8594" xr:uid="{00000000-0005-0000-0000-00001D180000}"/>
    <cellStyle name="Normal 5 2 2 5 5 2 2 2" xfId="17036" xr:uid="{AE138035-AA69-4E6C-8E38-91FE6608E108}"/>
    <cellStyle name="Normal 5 2 2 5 5 2 3" xfId="12818" xr:uid="{CCE4423C-2830-47FC-8A08-7DC9EC1E5954}"/>
    <cellStyle name="Normal 5 2 2 5 5 3" xfId="6449" xr:uid="{00000000-0005-0000-0000-00001E180000}"/>
    <cellStyle name="Normal 5 2 2 5 5 3 2" xfId="14891" xr:uid="{A2C56F5D-8608-466C-8617-C339EFCE628B}"/>
    <cellStyle name="Normal 5 2 2 5 5 4" xfId="10673" xr:uid="{F888A00B-9B02-4777-A3CC-E0E419EFB63B}"/>
    <cellStyle name="Normal 5 2 2 5 6" xfId="2578" xr:uid="{00000000-0005-0000-0000-00001F180000}"/>
    <cellStyle name="Normal 5 2 2 5 6 2" xfId="6862" xr:uid="{00000000-0005-0000-0000-000020180000}"/>
    <cellStyle name="Normal 5 2 2 5 6 2 2" xfId="15304" xr:uid="{8C59D3D4-B129-4797-BCFE-D5CAA7A4F094}"/>
    <cellStyle name="Normal 5 2 2 5 6 3" xfId="11086" xr:uid="{07E38D52-1AE4-4D17-91E2-AF8C436388F9}"/>
    <cellStyle name="Normal 5 2 2 5 7" xfId="4797" xr:uid="{00000000-0005-0000-0000-000021180000}"/>
    <cellStyle name="Normal 5 2 2 5 7 2" xfId="13239" xr:uid="{EA9C77B0-C816-403E-8A4E-60EC7E14987E}"/>
    <cellStyle name="Normal 5 2 2 5 8" xfId="9021" xr:uid="{B206C65B-C800-46C2-A93B-C0C480AC655A}"/>
    <cellStyle name="Normal 5 2 2 6" xfId="882" xr:uid="{00000000-0005-0000-0000-000022180000}"/>
    <cellStyle name="Normal 5 2 2 6 2" xfId="3117" xr:uid="{00000000-0005-0000-0000-000023180000}"/>
    <cellStyle name="Normal 5 2 2 6 2 2" xfId="7340" xr:uid="{00000000-0005-0000-0000-000024180000}"/>
    <cellStyle name="Normal 5 2 2 6 2 2 2" xfId="15782" xr:uid="{5FED1160-8F53-4F63-BF66-884DF03EFA17}"/>
    <cellStyle name="Normal 5 2 2 6 2 3" xfId="11564" xr:uid="{AFF1A7A6-2817-4361-8ECF-4A342A6B84D9}"/>
    <cellStyle name="Normal 5 2 2 6 3" xfId="5195" xr:uid="{00000000-0005-0000-0000-000025180000}"/>
    <cellStyle name="Normal 5 2 2 6 3 2" xfId="13637" xr:uid="{88B1EF6A-AA43-4E39-B4DC-60FD5E1E1F44}"/>
    <cellStyle name="Normal 5 2 2 6 4" xfId="9419" xr:uid="{CF049CF0-D9EA-46B3-9F9B-16E3E70D6211}"/>
    <cellStyle name="Normal 5 2 2 7" xfId="1300" xr:uid="{00000000-0005-0000-0000-000026180000}"/>
    <cellStyle name="Normal 5 2 2 7 2" xfId="3530" xr:uid="{00000000-0005-0000-0000-000027180000}"/>
    <cellStyle name="Normal 5 2 2 7 2 2" xfId="7753" xr:uid="{00000000-0005-0000-0000-000028180000}"/>
    <cellStyle name="Normal 5 2 2 7 2 2 2" xfId="16195" xr:uid="{F9E07C79-2830-48F1-9798-708F3ED056A1}"/>
    <cellStyle name="Normal 5 2 2 7 2 3" xfId="11977" xr:uid="{16F6AF58-C976-4131-8066-404CF0275426}"/>
    <cellStyle name="Normal 5 2 2 7 3" xfId="5608" xr:uid="{00000000-0005-0000-0000-000029180000}"/>
    <cellStyle name="Normal 5 2 2 7 3 2" xfId="14050" xr:uid="{3477A0F1-2DC7-4D31-B358-615140C18362}"/>
    <cellStyle name="Normal 5 2 2 7 4" xfId="9832" xr:uid="{7DBA4614-6819-47A4-885D-62B0AEBAAFBD}"/>
    <cellStyle name="Normal 5 2 2 8" xfId="1713" xr:uid="{00000000-0005-0000-0000-00002A180000}"/>
    <cellStyle name="Normal 5 2 2 8 2" xfId="3943" xr:uid="{00000000-0005-0000-0000-00002B180000}"/>
    <cellStyle name="Normal 5 2 2 8 2 2" xfId="8166" xr:uid="{00000000-0005-0000-0000-00002C180000}"/>
    <cellStyle name="Normal 5 2 2 8 2 2 2" xfId="16608" xr:uid="{F9CF37DF-9815-4314-9896-BC823D11D377}"/>
    <cellStyle name="Normal 5 2 2 8 2 3" xfId="12390" xr:uid="{769F53C8-0F73-4836-9B83-6D281EB6DBA8}"/>
    <cellStyle name="Normal 5 2 2 8 3" xfId="6021" xr:uid="{00000000-0005-0000-0000-00002D180000}"/>
    <cellStyle name="Normal 5 2 2 8 3 2" xfId="14463" xr:uid="{E871CB0E-88F6-45E2-AE24-B712ED1E5EED}"/>
    <cellStyle name="Normal 5 2 2 8 4" xfId="10245" xr:uid="{01115337-3ED3-4B6E-88FB-C1D7D3B2B677}"/>
    <cellStyle name="Normal 5 2 2 9" xfId="2127" xr:uid="{00000000-0005-0000-0000-00002E180000}"/>
    <cellStyle name="Normal 5 2 2 9 2" xfId="4356" xr:uid="{00000000-0005-0000-0000-00002F180000}"/>
    <cellStyle name="Normal 5 2 2 9 2 2" xfId="8579" xr:uid="{00000000-0005-0000-0000-000030180000}"/>
    <cellStyle name="Normal 5 2 2 9 2 2 2" xfId="17021" xr:uid="{BCB75B84-EADA-439F-84AF-54390F213928}"/>
    <cellStyle name="Normal 5 2 2 9 2 3" xfId="12803" xr:uid="{4A0E55ED-8564-44BE-830C-6F7AFB61CE6A}"/>
    <cellStyle name="Normal 5 2 2 9 3" xfId="6434" xr:uid="{00000000-0005-0000-0000-000031180000}"/>
    <cellStyle name="Normal 5 2 2 9 3 2" xfId="14876" xr:uid="{2E3C85EE-D51C-41F0-9B27-325B6174A91F}"/>
    <cellStyle name="Normal 5 2 2 9 4" xfId="10658" xr:uid="{A8FFD2DD-F650-48B3-8C71-9AF5F661AF3B}"/>
    <cellStyle name="Normal 5 2 3" xfId="424" xr:uid="{00000000-0005-0000-0000-000032180000}"/>
    <cellStyle name="Normal 5 2 3 10" xfId="4798" xr:uid="{00000000-0005-0000-0000-000033180000}"/>
    <cellStyle name="Normal 5 2 3 10 2" xfId="13240" xr:uid="{03EA207C-3C26-4D5C-B613-051AA42A9EE9}"/>
    <cellStyle name="Normal 5 2 3 11" xfId="9022" xr:uid="{B1882C48-ED6D-409F-9A1A-E71C88C21C3E}"/>
    <cellStyle name="Normal 5 2 3 2" xfId="425" xr:uid="{00000000-0005-0000-0000-000034180000}"/>
    <cellStyle name="Normal 5 2 3 2 10" xfId="9023" xr:uid="{09CB202F-0D55-4867-A4F7-ABE087541848}"/>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2 2 2" xfId="15801" xr:uid="{9E9E6706-8071-4A65-8326-EC193785FC6B}"/>
    <cellStyle name="Normal 5 2 3 2 2 2 2 2 3" xfId="11583" xr:uid="{29757F37-B65A-45EF-BFFB-917B239CA488}"/>
    <cellStyle name="Normal 5 2 3 2 2 2 2 3" xfId="5214" xr:uid="{00000000-0005-0000-0000-00003A180000}"/>
    <cellStyle name="Normal 5 2 3 2 2 2 2 3 2" xfId="13656" xr:uid="{C1C600BD-BEE3-4133-90F2-B9490158609D}"/>
    <cellStyle name="Normal 5 2 3 2 2 2 2 4" xfId="9438" xr:uid="{85BD0B4A-6F33-4E3A-B58E-8AAA659C9AD3}"/>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2 2 2" xfId="16214" xr:uid="{54379CCE-5831-4BBC-80A5-D5EA459983AF}"/>
    <cellStyle name="Normal 5 2 3 2 2 2 3 2 3" xfId="11996" xr:uid="{5A44A03B-A6CE-41C2-B11F-B305F658A0E8}"/>
    <cellStyle name="Normal 5 2 3 2 2 2 3 3" xfId="5627" xr:uid="{00000000-0005-0000-0000-00003E180000}"/>
    <cellStyle name="Normal 5 2 3 2 2 2 3 3 2" xfId="14069" xr:uid="{93F30621-B7F5-4F3B-8FAF-D63D8E2FC598}"/>
    <cellStyle name="Normal 5 2 3 2 2 2 3 4" xfId="9851" xr:uid="{7152CDE8-163A-4BC6-BC76-083BD031280E}"/>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2 2 2" xfId="16627" xr:uid="{8C6E09C8-D477-48A8-98DC-BC86CD958658}"/>
    <cellStyle name="Normal 5 2 3 2 2 2 4 2 3" xfId="12409" xr:uid="{6B9BC091-F4E3-4108-B94A-BC45E223D7FD}"/>
    <cellStyle name="Normal 5 2 3 2 2 2 4 3" xfId="6040" xr:uid="{00000000-0005-0000-0000-000042180000}"/>
    <cellStyle name="Normal 5 2 3 2 2 2 4 3 2" xfId="14482" xr:uid="{184E4A97-E64B-43B3-BA36-58786020F89C}"/>
    <cellStyle name="Normal 5 2 3 2 2 2 4 4" xfId="10264" xr:uid="{FC9BD294-11B0-4285-A46E-140A66387E39}"/>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2 2 2" xfId="17040" xr:uid="{3D6C5677-F52A-47E8-95D0-CE4083821B31}"/>
    <cellStyle name="Normal 5 2 3 2 2 2 5 2 3" xfId="12822" xr:uid="{07B1D37B-C629-4A35-A346-4C45773C44D0}"/>
    <cellStyle name="Normal 5 2 3 2 2 2 5 3" xfId="6453" xr:uid="{00000000-0005-0000-0000-000046180000}"/>
    <cellStyle name="Normal 5 2 3 2 2 2 5 3 2" xfId="14895" xr:uid="{B59198CD-AE5A-48F1-85A4-518B6336DADD}"/>
    <cellStyle name="Normal 5 2 3 2 2 2 5 4" xfId="10677" xr:uid="{361736D3-4694-4CF0-AAF9-6501AEBBF088}"/>
    <cellStyle name="Normal 5 2 3 2 2 2 6" xfId="2582" xr:uid="{00000000-0005-0000-0000-000047180000}"/>
    <cellStyle name="Normal 5 2 3 2 2 2 6 2" xfId="6866" xr:uid="{00000000-0005-0000-0000-000048180000}"/>
    <cellStyle name="Normal 5 2 3 2 2 2 6 2 2" xfId="15308" xr:uid="{992BBEFC-C5D9-48A4-A742-ADD89229E11F}"/>
    <cellStyle name="Normal 5 2 3 2 2 2 6 3" xfId="11090" xr:uid="{854522BD-4D94-4C88-9418-2C0D75F2B8FC}"/>
    <cellStyle name="Normal 5 2 3 2 2 2 7" xfId="4801" xr:uid="{00000000-0005-0000-0000-000049180000}"/>
    <cellStyle name="Normal 5 2 3 2 2 2 7 2" xfId="13243" xr:uid="{44184795-8FC4-464C-85C8-47AD9F9C3CF5}"/>
    <cellStyle name="Normal 5 2 3 2 2 2 8" xfId="9025" xr:uid="{955778F5-7D44-4D09-9F4C-FACD99388849}"/>
    <cellStyle name="Normal 5 2 3 2 2 3" xfId="900" xr:uid="{00000000-0005-0000-0000-00004A180000}"/>
    <cellStyle name="Normal 5 2 3 2 2 3 2" xfId="3135" xr:uid="{00000000-0005-0000-0000-00004B180000}"/>
    <cellStyle name="Normal 5 2 3 2 2 3 2 2" xfId="7358" xr:uid="{00000000-0005-0000-0000-00004C180000}"/>
    <cellStyle name="Normal 5 2 3 2 2 3 2 2 2" xfId="15800" xr:uid="{BA0162C6-8C0C-4F9B-979A-446A3FCD0CC5}"/>
    <cellStyle name="Normal 5 2 3 2 2 3 2 3" xfId="11582" xr:uid="{4E5A708E-B8A4-4F9C-8D1B-7ECF4A407F29}"/>
    <cellStyle name="Normal 5 2 3 2 2 3 3" xfId="5213" xr:uid="{00000000-0005-0000-0000-00004D180000}"/>
    <cellStyle name="Normal 5 2 3 2 2 3 3 2" xfId="13655" xr:uid="{FA12C82F-B167-4164-BB32-1A1D081B6340}"/>
    <cellStyle name="Normal 5 2 3 2 2 3 4" xfId="9437" xr:uid="{EB41AD3C-FD82-48EF-A64F-0015726D2795}"/>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2 2 2" xfId="16213" xr:uid="{9119285D-B84B-48AB-BF68-517D278BEA08}"/>
    <cellStyle name="Normal 5 2 3 2 2 4 2 3" xfId="11995" xr:uid="{3D05DA11-61C6-4B9E-9B15-429773C6B4FD}"/>
    <cellStyle name="Normal 5 2 3 2 2 4 3" xfId="5626" xr:uid="{00000000-0005-0000-0000-000051180000}"/>
    <cellStyle name="Normal 5 2 3 2 2 4 3 2" xfId="14068" xr:uid="{6DD96508-757C-4FF9-A543-BD988F13E15C}"/>
    <cellStyle name="Normal 5 2 3 2 2 4 4" xfId="9850" xr:uid="{626D7646-97F2-462A-A233-0885F6CD3E4A}"/>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2 2 2" xfId="16626" xr:uid="{C9CBCC8D-16D6-4ADD-A64E-78EEE7601E22}"/>
    <cellStyle name="Normal 5 2 3 2 2 5 2 3" xfId="12408" xr:uid="{F12F4E7D-E16D-4F89-9BBA-98CAABF9F18F}"/>
    <cellStyle name="Normal 5 2 3 2 2 5 3" xfId="6039" xr:uid="{00000000-0005-0000-0000-000055180000}"/>
    <cellStyle name="Normal 5 2 3 2 2 5 3 2" xfId="14481" xr:uid="{A9EFF2DF-E210-489D-8818-1A829F13DE5A}"/>
    <cellStyle name="Normal 5 2 3 2 2 5 4" xfId="10263" xr:uid="{2D1D916D-3103-47CF-A0E8-3F8B302A7A83}"/>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2 2 2" xfId="17039" xr:uid="{243842EE-3485-4ACB-B0A3-D94FFF250B8B}"/>
    <cellStyle name="Normal 5 2 3 2 2 6 2 3" xfId="12821" xr:uid="{BC753277-52C9-4504-A4EB-C86370D8D725}"/>
    <cellStyle name="Normal 5 2 3 2 2 6 3" xfId="6452" xr:uid="{00000000-0005-0000-0000-000059180000}"/>
    <cellStyle name="Normal 5 2 3 2 2 6 3 2" xfId="14894" xr:uid="{436E1E56-AF99-491E-8F86-3C91456F39BA}"/>
    <cellStyle name="Normal 5 2 3 2 2 6 4" xfId="10676" xr:uid="{F4ED1B6F-0C01-4452-BD25-590412EC2FA8}"/>
    <cellStyle name="Normal 5 2 3 2 2 7" xfId="2581" xr:uid="{00000000-0005-0000-0000-00005A180000}"/>
    <cellStyle name="Normal 5 2 3 2 2 7 2" xfId="6865" xr:uid="{00000000-0005-0000-0000-00005B180000}"/>
    <cellStyle name="Normal 5 2 3 2 2 7 2 2" xfId="15307" xr:uid="{05B61BF0-A7E4-4254-BB41-364440676F84}"/>
    <cellStyle name="Normal 5 2 3 2 2 7 3" xfId="11089" xr:uid="{5D8A5513-6AE4-491A-A5E3-2D58C4BDEDA6}"/>
    <cellStyle name="Normal 5 2 3 2 2 8" xfId="4800" xr:uid="{00000000-0005-0000-0000-00005C180000}"/>
    <cellStyle name="Normal 5 2 3 2 2 8 2" xfId="13242" xr:uid="{E95ED4D5-50ED-42AD-8DE8-6BD731F92510}"/>
    <cellStyle name="Normal 5 2 3 2 2 9" xfId="9024" xr:uid="{1002EEA8-E839-414C-A7E3-56ACDB038565}"/>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2 2 2" xfId="15802" xr:uid="{F870278B-77C5-47CA-8CB7-1A8E5E4C9232}"/>
    <cellStyle name="Normal 5 2 3 2 3 2 2 3" xfId="11584" xr:uid="{2B7533D4-B7BD-4BD0-A140-082001B8A54D}"/>
    <cellStyle name="Normal 5 2 3 2 3 2 3" xfId="5215" xr:uid="{00000000-0005-0000-0000-000061180000}"/>
    <cellStyle name="Normal 5 2 3 2 3 2 3 2" xfId="13657" xr:uid="{F412B763-4692-4BD2-8BF3-88616F79C8B5}"/>
    <cellStyle name="Normal 5 2 3 2 3 2 4" xfId="9439" xr:uid="{A8EF1F30-94F4-4329-A3CE-4F6EA3AA695B}"/>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2 2 2" xfId="16215" xr:uid="{955E5258-9283-426F-8537-5B34418BE3E2}"/>
    <cellStyle name="Normal 5 2 3 2 3 3 2 3" xfId="11997" xr:uid="{F4049484-E4FB-403B-BD4A-55D5E4AE9C39}"/>
    <cellStyle name="Normal 5 2 3 2 3 3 3" xfId="5628" xr:uid="{00000000-0005-0000-0000-000065180000}"/>
    <cellStyle name="Normal 5 2 3 2 3 3 3 2" xfId="14070" xr:uid="{E7A5F0E5-821C-4A1D-8F0E-BAB1742AC1C8}"/>
    <cellStyle name="Normal 5 2 3 2 3 3 4" xfId="9852" xr:uid="{325ED1E8-DE16-46AD-B625-988FC36ED8F8}"/>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2 2 2" xfId="16628" xr:uid="{9DBC1EE5-1F65-434B-89AE-5D7E3CF2EA4C}"/>
    <cellStyle name="Normal 5 2 3 2 3 4 2 3" xfId="12410" xr:uid="{C06E5D36-B99D-4023-9869-229904C93225}"/>
    <cellStyle name="Normal 5 2 3 2 3 4 3" xfId="6041" xr:uid="{00000000-0005-0000-0000-000069180000}"/>
    <cellStyle name="Normal 5 2 3 2 3 4 3 2" xfId="14483" xr:uid="{F8D7AEA0-380F-4F1F-84DE-E6A0CA95B470}"/>
    <cellStyle name="Normal 5 2 3 2 3 4 4" xfId="10265" xr:uid="{1A780A16-39CE-4844-91AD-7BF7F0C7AA68}"/>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2 2 2" xfId="17041" xr:uid="{9864C347-A411-4B06-9EFD-EE1AA0A28869}"/>
    <cellStyle name="Normal 5 2 3 2 3 5 2 3" xfId="12823" xr:uid="{9B7505F4-2A89-4FA3-A0AB-92BA4D496163}"/>
    <cellStyle name="Normal 5 2 3 2 3 5 3" xfId="6454" xr:uid="{00000000-0005-0000-0000-00006D180000}"/>
    <cellStyle name="Normal 5 2 3 2 3 5 3 2" xfId="14896" xr:uid="{C3FF10D5-F5B7-48F4-8488-1C3BA1DA599D}"/>
    <cellStyle name="Normal 5 2 3 2 3 5 4" xfId="10678" xr:uid="{B97E6381-F2A3-4F0B-9A4F-4A89FBC797AF}"/>
    <cellStyle name="Normal 5 2 3 2 3 6" xfId="2583" xr:uid="{00000000-0005-0000-0000-00006E180000}"/>
    <cellStyle name="Normal 5 2 3 2 3 6 2" xfId="6867" xr:uid="{00000000-0005-0000-0000-00006F180000}"/>
    <cellStyle name="Normal 5 2 3 2 3 6 2 2" xfId="15309" xr:uid="{09E8F66C-EAF0-491E-BDA7-E06B13FDAF14}"/>
    <cellStyle name="Normal 5 2 3 2 3 6 3" xfId="11091" xr:uid="{5DED2CFF-6C03-4127-97FC-EB6CFFF4A531}"/>
    <cellStyle name="Normal 5 2 3 2 3 7" xfId="4802" xr:uid="{00000000-0005-0000-0000-000070180000}"/>
    <cellStyle name="Normal 5 2 3 2 3 7 2" xfId="13244" xr:uid="{A52119EB-5083-43EA-B090-FB6380BE33CD}"/>
    <cellStyle name="Normal 5 2 3 2 3 8" xfId="9026" xr:uid="{021074EA-F918-4932-996D-23206EC04C50}"/>
    <cellStyle name="Normal 5 2 3 2 4" xfId="899" xr:uid="{00000000-0005-0000-0000-000071180000}"/>
    <cellStyle name="Normal 5 2 3 2 4 2" xfId="3134" xr:uid="{00000000-0005-0000-0000-000072180000}"/>
    <cellStyle name="Normal 5 2 3 2 4 2 2" xfId="7357" xr:uid="{00000000-0005-0000-0000-000073180000}"/>
    <cellStyle name="Normal 5 2 3 2 4 2 2 2" xfId="15799" xr:uid="{DC16DC1B-3E0C-422F-ABCE-C1908554A690}"/>
    <cellStyle name="Normal 5 2 3 2 4 2 3" xfId="11581" xr:uid="{5DBE03AE-BFCF-4080-873F-607CC3BD0B59}"/>
    <cellStyle name="Normal 5 2 3 2 4 3" xfId="5212" xr:uid="{00000000-0005-0000-0000-000074180000}"/>
    <cellStyle name="Normal 5 2 3 2 4 3 2" xfId="13654" xr:uid="{C1565E36-1D79-47E4-9292-078A80D81A22}"/>
    <cellStyle name="Normal 5 2 3 2 4 4" xfId="9436" xr:uid="{2CAA1871-5CA4-4596-9A27-E9C6D657CA0E}"/>
    <cellStyle name="Normal 5 2 3 2 5" xfId="1317" xr:uid="{00000000-0005-0000-0000-000075180000}"/>
    <cellStyle name="Normal 5 2 3 2 5 2" xfId="3547" xr:uid="{00000000-0005-0000-0000-000076180000}"/>
    <cellStyle name="Normal 5 2 3 2 5 2 2" xfId="7770" xr:uid="{00000000-0005-0000-0000-000077180000}"/>
    <cellStyle name="Normal 5 2 3 2 5 2 2 2" xfId="16212" xr:uid="{2D5A0842-C2A4-45AF-B24F-F25A7B7D1371}"/>
    <cellStyle name="Normal 5 2 3 2 5 2 3" xfId="11994" xr:uid="{34C2E56A-0FF0-43F3-8B25-03526F81E488}"/>
    <cellStyle name="Normal 5 2 3 2 5 3" xfId="5625" xr:uid="{00000000-0005-0000-0000-000078180000}"/>
    <cellStyle name="Normal 5 2 3 2 5 3 2" xfId="14067" xr:uid="{4E3798C1-8200-4BBB-952D-58F86E41F100}"/>
    <cellStyle name="Normal 5 2 3 2 5 4" xfId="9849" xr:uid="{8AEB87B2-F78E-4AD7-AC61-2FCB66B83597}"/>
    <cellStyle name="Normal 5 2 3 2 6" xfId="1730" xr:uid="{00000000-0005-0000-0000-000079180000}"/>
    <cellStyle name="Normal 5 2 3 2 6 2" xfId="3960" xr:uid="{00000000-0005-0000-0000-00007A180000}"/>
    <cellStyle name="Normal 5 2 3 2 6 2 2" xfId="8183" xr:uid="{00000000-0005-0000-0000-00007B180000}"/>
    <cellStyle name="Normal 5 2 3 2 6 2 2 2" xfId="16625" xr:uid="{A0AED0ED-9ADF-4F65-847C-A5138A9DB6A6}"/>
    <cellStyle name="Normal 5 2 3 2 6 2 3" xfId="12407" xr:uid="{03CAC604-18FB-4663-9D87-C0DA238DE841}"/>
    <cellStyle name="Normal 5 2 3 2 6 3" xfId="6038" xr:uid="{00000000-0005-0000-0000-00007C180000}"/>
    <cellStyle name="Normal 5 2 3 2 6 3 2" xfId="14480" xr:uid="{63BB868C-0B1B-44A4-B5CA-BE89A8BE32F1}"/>
    <cellStyle name="Normal 5 2 3 2 6 4" xfId="10262" xr:uid="{A6F568BF-C6FF-4A0F-877E-A00ACA43BC9B}"/>
    <cellStyle name="Normal 5 2 3 2 7" xfId="2144" xr:uid="{00000000-0005-0000-0000-00007D180000}"/>
    <cellStyle name="Normal 5 2 3 2 7 2" xfId="4373" xr:uid="{00000000-0005-0000-0000-00007E180000}"/>
    <cellStyle name="Normal 5 2 3 2 7 2 2" xfId="8596" xr:uid="{00000000-0005-0000-0000-00007F180000}"/>
    <cellStyle name="Normal 5 2 3 2 7 2 2 2" xfId="17038" xr:uid="{E9C19D38-F631-4E2C-9273-29A950A8AB9A}"/>
    <cellStyle name="Normal 5 2 3 2 7 2 3" xfId="12820" xr:uid="{5A1972D7-D1C5-498D-B927-89C940C35CB9}"/>
    <cellStyle name="Normal 5 2 3 2 7 3" xfId="6451" xr:uid="{00000000-0005-0000-0000-000080180000}"/>
    <cellStyle name="Normal 5 2 3 2 7 3 2" xfId="14893" xr:uid="{7A072D84-17AA-4C4B-88FB-59C1CAC2E735}"/>
    <cellStyle name="Normal 5 2 3 2 7 4" xfId="10675" xr:uid="{AF2DD9F7-85DF-436C-9598-6AEDE4D4EE2D}"/>
    <cellStyle name="Normal 5 2 3 2 8" xfId="2580" xr:uid="{00000000-0005-0000-0000-000081180000}"/>
    <cellStyle name="Normal 5 2 3 2 8 2" xfId="6864" xr:uid="{00000000-0005-0000-0000-000082180000}"/>
    <cellStyle name="Normal 5 2 3 2 8 2 2" xfId="15306" xr:uid="{7297B1F2-CE49-4632-9F6A-9FCE55D0E467}"/>
    <cellStyle name="Normal 5 2 3 2 8 3" xfId="11088" xr:uid="{20E20B08-24F9-4B1B-9F51-13DC1CDFB1A7}"/>
    <cellStyle name="Normal 5 2 3 2 9" xfId="4799" xr:uid="{00000000-0005-0000-0000-000083180000}"/>
    <cellStyle name="Normal 5 2 3 2 9 2" xfId="13241" xr:uid="{07D87327-4B23-45A1-AA9C-67BF6DD3B49E}"/>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2 2 2" xfId="15804" xr:uid="{B549B3A9-19BB-459E-AC8F-BF8604922C55}"/>
    <cellStyle name="Normal 5 2 3 3 2 2 2 3" xfId="11586" xr:uid="{73DE9F75-001E-4335-9FAB-63AC9C98731B}"/>
    <cellStyle name="Normal 5 2 3 3 2 2 3" xfId="5217" xr:uid="{00000000-0005-0000-0000-000089180000}"/>
    <cellStyle name="Normal 5 2 3 3 2 2 3 2" xfId="13659" xr:uid="{82F238CA-BAE1-4D85-953B-FE3DC9706B19}"/>
    <cellStyle name="Normal 5 2 3 3 2 2 4" xfId="9441" xr:uid="{9C9E081A-575E-4CF2-B83F-E0ABCDA94245}"/>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2 2 2" xfId="16217" xr:uid="{6A1F2A9E-3534-4197-9463-50D712BB86AD}"/>
    <cellStyle name="Normal 5 2 3 3 2 3 2 3" xfId="11999" xr:uid="{A56CA3CE-A75D-4215-83E6-8A10969A5EDF}"/>
    <cellStyle name="Normal 5 2 3 3 2 3 3" xfId="5630" xr:uid="{00000000-0005-0000-0000-00008D180000}"/>
    <cellStyle name="Normal 5 2 3 3 2 3 3 2" xfId="14072" xr:uid="{3AEBDAB3-4BB4-4E0A-83D8-41C4125FDEEC}"/>
    <cellStyle name="Normal 5 2 3 3 2 3 4" xfId="9854" xr:uid="{F15B395C-54C7-44D6-9B0A-B136B6DB7DB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2 2 2" xfId="16630" xr:uid="{103A2D5D-9860-4512-ADC9-8313D8A72B38}"/>
    <cellStyle name="Normal 5 2 3 3 2 4 2 3" xfId="12412" xr:uid="{007565E8-AC76-4D96-9D37-259AC2AD1D6F}"/>
    <cellStyle name="Normal 5 2 3 3 2 4 3" xfId="6043" xr:uid="{00000000-0005-0000-0000-000091180000}"/>
    <cellStyle name="Normal 5 2 3 3 2 4 3 2" xfId="14485" xr:uid="{545179DF-D094-4435-B936-E81E51501887}"/>
    <cellStyle name="Normal 5 2 3 3 2 4 4" xfId="10267" xr:uid="{5B317AFC-387C-4C0F-BA00-91FF4DEDF187}"/>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2 2 2" xfId="17043" xr:uid="{1BF2E2DA-A162-4F83-B5D3-58EBD486F4D8}"/>
    <cellStyle name="Normal 5 2 3 3 2 5 2 3" xfId="12825" xr:uid="{9600F1A6-BAB4-4C8F-8FB2-F4507D132B0D}"/>
    <cellStyle name="Normal 5 2 3 3 2 5 3" xfId="6456" xr:uid="{00000000-0005-0000-0000-000095180000}"/>
    <cellStyle name="Normal 5 2 3 3 2 5 3 2" xfId="14898" xr:uid="{E4CD569D-356D-4286-B570-A57C68A6D66B}"/>
    <cellStyle name="Normal 5 2 3 3 2 5 4" xfId="10680" xr:uid="{913344A6-BCA4-415D-8A4A-5B19E4876B38}"/>
    <cellStyle name="Normal 5 2 3 3 2 6" xfId="2585" xr:uid="{00000000-0005-0000-0000-000096180000}"/>
    <cellStyle name="Normal 5 2 3 3 2 6 2" xfId="6869" xr:uid="{00000000-0005-0000-0000-000097180000}"/>
    <cellStyle name="Normal 5 2 3 3 2 6 2 2" xfId="15311" xr:uid="{7A7B8348-6C88-4E67-9EF0-E9A09FB4C867}"/>
    <cellStyle name="Normal 5 2 3 3 2 6 3" xfId="11093" xr:uid="{7C85E839-3BFB-48CC-B207-509F657528E5}"/>
    <cellStyle name="Normal 5 2 3 3 2 7" xfId="4804" xr:uid="{00000000-0005-0000-0000-000098180000}"/>
    <cellStyle name="Normal 5 2 3 3 2 7 2" xfId="13246" xr:uid="{2B037637-CEC9-4463-9917-FF318B3B7B34}"/>
    <cellStyle name="Normal 5 2 3 3 2 8" xfId="9028" xr:uid="{4577E5DC-E1E5-45A7-AB18-8D4CBDE2578F}"/>
    <cellStyle name="Normal 5 2 3 3 3" xfId="903" xr:uid="{00000000-0005-0000-0000-000099180000}"/>
    <cellStyle name="Normal 5 2 3 3 3 2" xfId="3138" xr:uid="{00000000-0005-0000-0000-00009A180000}"/>
    <cellStyle name="Normal 5 2 3 3 3 2 2" xfId="7361" xr:uid="{00000000-0005-0000-0000-00009B180000}"/>
    <cellStyle name="Normal 5 2 3 3 3 2 2 2" xfId="15803" xr:uid="{90F1D42B-7911-4E0F-BB03-61D850731716}"/>
    <cellStyle name="Normal 5 2 3 3 3 2 3" xfId="11585" xr:uid="{837AF7C6-7339-4662-BBCA-FC54E1A27295}"/>
    <cellStyle name="Normal 5 2 3 3 3 3" xfId="5216" xr:uid="{00000000-0005-0000-0000-00009C180000}"/>
    <cellStyle name="Normal 5 2 3 3 3 3 2" xfId="13658" xr:uid="{A43F8AE5-3A50-45D2-B5ED-4E565F88C374}"/>
    <cellStyle name="Normal 5 2 3 3 3 4" xfId="9440" xr:uid="{05D40605-6923-4EA9-A757-2D38B856FF0A}"/>
    <cellStyle name="Normal 5 2 3 3 4" xfId="1321" xr:uid="{00000000-0005-0000-0000-00009D180000}"/>
    <cellStyle name="Normal 5 2 3 3 4 2" xfId="3551" xr:uid="{00000000-0005-0000-0000-00009E180000}"/>
    <cellStyle name="Normal 5 2 3 3 4 2 2" xfId="7774" xr:uid="{00000000-0005-0000-0000-00009F180000}"/>
    <cellStyle name="Normal 5 2 3 3 4 2 2 2" xfId="16216" xr:uid="{672CF480-7A69-4851-9F83-848736EDE5F7}"/>
    <cellStyle name="Normal 5 2 3 3 4 2 3" xfId="11998" xr:uid="{EC168FA3-1C4A-4F77-B86C-3B0AD46D31C7}"/>
    <cellStyle name="Normal 5 2 3 3 4 3" xfId="5629" xr:uid="{00000000-0005-0000-0000-0000A0180000}"/>
    <cellStyle name="Normal 5 2 3 3 4 3 2" xfId="14071" xr:uid="{EC9DD6C5-1D64-4619-B886-2FEDF97558E1}"/>
    <cellStyle name="Normal 5 2 3 3 4 4" xfId="9853" xr:uid="{5F5EB3A8-CD63-4645-A5C2-E02AFF1D5938}"/>
    <cellStyle name="Normal 5 2 3 3 5" xfId="1734" xr:uid="{00000000-0005-0000-0000-0000A1180000}"/>
    <cellStyle name="Normal 5 2 3 3 5 2" xfId="3964" xr:uid="{00000000-0005-0000-0000-0000A2180000}"/>
    <cellStyle name="Normal 5 2 3 3 5 2 2" xfId="8187" xr:uid="{00000000-0005-0000-0000-0000A3180000}"/>
    <cellStyle name="Normal 5 2 3 3 5 2 2 2" xfId="16629" xr:uid="{CE12362D-3ECE-4025-8E54-880B3543490C}"/>
    <cellStyle name="Normal 5 2 3 3 5 2 3" xfId="12411" xr:uid="{FF4D9F1E-E620-4C19-B0F4-1410119343AD}"/>
    <cellStyle name="Normal 5 2 3 3 5 3" xfId="6042" xr:uid="{00000000-0005-0000-0000-0000A4180000}"/>
    <cellStyle name="Normal 5 2 3 3 5 3 2" xfId="14484" xr:uid="{F6663A90-B580-4324-A526-93DDBFA95BE3}"/>
    <cellStyle name="Normal 5 2 3 3 5 4" xfId="10266" xr:uid="{7BFB2F8C-1E58-43BD-BB9B-F330DC4C3AB1}"/>
    <cellStyle name="Normal 5 2 3 3 6" xfId="2148" xr:uid="{00000000-0005-0000-0000-0000A5180000}"/>
    <cellStyle name="Normal 5 2 3 3 6 2" xfId="4377" xr:uid="{00000000-0005-0000-0000-0000A6180000}"/>
    <cellStyle name="Normal 5 2 3 3 6 2 2" xfId="8600" xr:uid="{00000000-0005-0000-0000-0000A7180000}"/>
    <cellStyle name="Normal 5 2 3 3 6 2 2 2" xfId="17042" xr:uid="{93A9B62C-F8F1-4B46-A7C7-A9DA79A7E16E}"/>
    <cellStyle name="Normal 5 2 3 3 6 2 3" xfId="12824" xr:uid="{DE2C8E93-4938-4DDA-A0C8-6799C75B9ED3}"/>
    <cellStyle name="Normal 5 2 3 3 6 3" xfId="6455" xr:uid="{00000000-0005-0000-0000-0000A8180000}"/>
    <cellStyle name="Normal 5 2 3 3 6 3 2" xfId="14897" xr:uid="{F2B72E83-93F1-4863-8E4D-C3F124623CE9}"/>
    <cellStyle name="Normal 5 2 3 3 6 4" xfId="10679" xr:uid="{F02A15D4-4FF1-4928-B3FB-3F8F8CF75D41}"/>
    <cellStyle name="Normal 5 2 3 3 7" xfId="2584" xr:uid="{00000000-0005-0000-0000-0000A9180000}"/>
    <cellStyle name="Normal 5 2 3 3 7 2" xfId="6868" xr:uid="{00000000-0005-0000-0000-0000AA180000}"/>
    <cellStyle name="Normal 5 2 3 3 7 2 2" xfId="15310" xr:uid="{CA765E3D-E8BE-44E4-B3F6-4C2B92AD73F4}"/>
    <cellStyle name="Normal 5 2 3 3 7 3" xfId="11092" xr:uid="{3F85A3AF-4809-4AA7-9869-937B45FE940E}"/>
    <cellStyle name="Normal 5 2 3 3 8" xfId="4803" xr:uid="{00000000-0005-0000-0000-0000AB180000}"/>
    <cellStyle name="Normal 5 2 3 3 8 2" xfId="13245" xr:uid="{08AA6E22-3A2D-4A9C-A9EC-D9760CE72A82}"/>
    <cellStyle name="Normal 5 2 3 3 9" xfId="9027" xr:uid="{5367AB4F-F494-4AE2-9DB0-8A4071282774}"/>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2 2 2" xfId="15805" xr:uid="{B349D85D-74AC-4147-88B7-831183B2DD0D}"/>
    <cellStyle name="Normal 5 2 3 4 2 2 3" xfId="11587" xr:uid="{99651760-EB51-47B1-B9E7-A7EDF7C4CE86}"/>
    <cellStyle name="Normal 5 2 3 4 2 3" xfId="5218" xr:uid="{00000000-0005-0000-0000-0000B0180000}"/>
    <cellStyle name="Normal 5 2 3 4 2 3 2" xfId="13660" xr:uid="{DC13A554-9C8B-4604-BEBB-2765A82D4E3D}"/>
    <cellStyle name="Normal 5 2 3 4 2 4" xfId="9442" xr:uid="{19A614EF-B33B-4761-BE80-7C97C530EE93}"/>
    <cellStyle name="Normal 5 2 3 4 3" xfId="1323" xr:uid="{00000000-0005-0000-0000-0000B1180000}"/>
    <cellStyle name="Normal 5 2 3 4 3 2" xfId="3553" xr:uid="{00000000-0005-0000-0000-0000B2180000}"/>
    <cellStyle name="Normal 5 2 3 4 3 2 2" xfId="7776" xr:uid="{00000000-0005-0000-0000-0000B3180000}"/>
    <cellStyle name="Normal 5 2 3 4 3 2 2 2" xfId="16218" xr:uid="{07870D6F-4A36-43C9-853C-AF476B0E5CF1}"/>
    <cellStyle name="Normal 5 2 3 4 3 2 3" xfId="12000" xr:uid="{443B908A-9863-4E22-B2CD-62FF37437361}"/>
    <cellStyle name="Normal 5 2 3 4 3 3" xfId="5631" xr:uid="{00000000-0005-0000-0000-0000B4180000}"/>
    <cellStyle name="Normal 5 2 3 4 3 3 2" xfId="14073" xr:uid="{E7E918FD-3A17-4F3F-938D-A9E205CAA2E9}"/>
    <cellStyle name="Normal 5 2 3 4 3 4" xfId="9855" xr:uid="{E3B2C2E6-5E52-4A97-9998-9A221F6B6A07}"/>
    <cellStyle name="Normal 5 2 3 4 4" xfId="1736" xr:uid="{00000000-0005-0000-0000-0000B5180000}"/>
    <cellStyle name="Normal 5 2 3 4 4 2" xfId="3966" xr:uid="{00000000-0005-0000-0000-0000B6180000}"/>
    <cellStyle name="Normal 5 2 3 4 4 2 2" xfId="8189" xr:uid="{00000000-0005-0000-0000-0000B7180000}"/>
    <cellStyle name="Normal 5 2 3 4 4 2 2 2" xfId="16631" xr:uid="{3FA99B84-E009-4F49-8750-8B8602ADEA57}"/>
    <cellStyle name="Normal 5 2 3 4 4 2 3" xfId="12413" xr:uid="{CE6FE5C3-7CA2-4CC6-ACE1-01DC8C22EB59}"/>
    <cellStyle name="Normal 5 2 3 4 4 3" xfId="6044" xr:uid="{00000000-0005-0000-0000-0000B8180000}"/>
    <cellStyle name="Normal 5 2 3 4 4 3 2" xfId="14486" xr:uid="{C6063485-745D-480D-B300-985DB4055C8E}"/>
    <cellStyle name="Normal 5 2 3 4 4 4" xfId="10268" xr:uid="{59571C4E-7B66-4A83-8082-DFA97236568B}"/>
    <cellStyle name="Normal 5 2 3 4 5" xfId="2150" xr:uid="{00000000-0005-0000-0000-0000B9180000}"/>
    <cellStyle name="Normal 5 2 3 4 5 2" xfId="4379" xr:uid="{00000000-0005-0000-0000-0000BA180000}"/>
    <cellStyle name="Normal 5 2 3 4 5 2 2" xfId="8602" xr:uid="{00000000-0005-0000-0000-0000BB180000}"/>
    <cellStyle name="Normal 5 2 3 4 5 2 2 2" xfId="17044" xr:uid="{078FE4F4-9FB6-4D16-868C-FC058D1C3AF9}"/>
    <cellStyle name="Normal 5 2 3 4 5 2 3" xfId="12826" xr:uid="{EFD12B16-552A-454B-BA82-838009CD4627}"/>
    <cellStyle name="Normal 5 2 3 4 5 3" xfId="6457" xr:uid="{00000000-0005-0000-0000-0000BC180000}"/>
    <cellStyle name="Normal 5 2 3 4 5 3 2" xfId="14899" xr:uid="{1893D1B9-42A9-459E-8133-0252D75DD8A7}"/>
    <cellStyle name="Normal 5 2 3 4 5 4" xfId="10681" xr:uid="{4F02974C-997D-48A7-944D-871EA9FD4AB3}"/>
    <cellStyle name="Normal 5 2 3 4 6" xfId="2586" xr:uid="{00000000-0005-0000-0000-0000BD180000}"/>
    <cellStyle name="Normal 5 2 3 4 6 2" xfId="6870" xr:uid="{00000000-0005-0000-0000-0000BE180000}"/>
    <cellStyle name="Normal 5 2 3 4 6 2 2" xfId="15312" xr:uid="{5620D09A-AF8B-4251-AD1C-A752C79DFEF0}"/>
    <cellStyle name="Normal 5 2 3 4 6 3" xfId="11094" xr:uid="{7C12468B-671A-4EA4-8671-AFEDB735D78C}"/>
    <cellStyle name="Normal 5 2 3 4 7" xfId="4805" xr:uid="{00000000-0005-0000-0000-0000BF180000}"/>
    <cellStyle name="Normal 5 2 3 4 7 2" xfId="13247" xr:uid="{7E3F00BE-BBE4-4FE9-B92D-E721EE5B5413}"/>
    <cellStyle name="Normal 5 2 3 4 8" xfId="9029" xr:uid="{30820C5F-E0BA-4202-8115-BC6184310CCF}"/>
    <cellStyle name="Normal 5 2 3 5" xfId="898" xr:uid="{00000000-0005-0000-0000-0000C0180000}"/>
    <cellStyle name="Normal 5 2 3 5 2" xfId="3133" xr:uid="{00000000-0005-0000-0000-0000C1180000}"/>
    <cellStyle name="Normal 5 2 3 5 2 2" xfId="7356" xr:uid="{00000000-0005-0000-0000-0000C2180000}"/>
    <cellStyle name="Normal 5 2 3 5 2 2 2" xfId="15798" xr:uid="{C440874A-58DA-408C-8BC2-AC194ACD3FEE}"/>
    <cellStyle name="Normal 5 2 3 5 2 3" xfId="11580" xr:uid="{59D9E676-83A5-4FBC-BFD9-02140C2B9D47}"/>
    <cellStyle name="Normal 5 2 3 5 3" xfId="5211" xr:uid="{00000000-0005-0000-0000-0000C3180000}"/>
    <cellStyle name="Normal 5 2 3 5 3 2" xfId="13653" xr:uid="{16CFBD24-84EE-4CDB-B8C7-3F27530A7258}"/>
    <cellStyle name="Normal 5 2 3 5 4" xfId="9435" xr:uid="{DF752960-6BC7-4550-8098-D2FEBEC84DA6}"/>
    <cellStyle name="Normal 5 2 3 6" xfId="1316" xr:uid="{00000000-0005-0000-0000-0000C4180000}"/>
    <cellStyle name="Normal 5 2 3 6 2" xfId="3546" xr:uid="{00000000-0005-0000-0000-0000C5180000}"/>
    <cellStyle name="Normal 5 2 3 6 2 2" xfId="7769" xr:uid="{00000000-0005-0000-0000-0000C6180000}"/>
    <cellStyle name="Normal 5 2 3 6 2 2 2" xfId="16211" xr:uid="{87ED5E80-0515-4B73-9A5B-68F0F4556E0F}"/>
    <cellStyle name="Normal 5 2 3 6 2 3" xfId="11993" xr:uid="{D6E7C91E-F8D9-4261-A392-A7B59182CC53}"/>
    <cellStyle name="Normal 5 2 3 6 3" xfId="5624" xr:uid="{00000000-0005-0000-0000-0000C7180000}"/>
    <cellStyle name="Normal 5 2 3 6 3 2" xfId="14066" xr:uid="{2C477293-9C06-4EC0-A6DC-1D6E4959E793}"/>
    <cellStyle name="Normal 5 2 3 6 4" xfId="9848" xr:uid="{69F5B43E-155B-4395-9ED6-08F02D01D4FB}"/>
    <cellStyle name="Normal 5 2 3 7" xfId="1729" xr:uid="{00000000-0005-0000-0000-0000C8180000}"/>
    <cellStyle name="Normal 5 2 3 7 2" xfId="3959" xr:uid="{00000000-0005-0000-0000-0000C9180000}"/>
    <cellStyle name="Normal 5 2 3 7 2 2" xfId="8182" xr:uid="{00000000-0005-0000-0000-0000CA180000}"/>
    <cellStyle name="Normal 5 2 3 7 2 2 2" xfId="16624" xr:uid="{C657086E-0018-40F9-ADBC-BEE9E9B11A60}"/>
    <cellStyle name="Normal 5 2 3 7 2 3" xfId="12406" xr:uid="{19C67F0C-53C6-49CD-98D6-B836BCC09C31}"/>
    <cellStyle name="Normal 5 2 3 7 3" xfId="6037" xr:uid="{00000000-0005-0000-0000-0000CB180000}"/>
    <cellStyle name="Normal 5 2 3 7 3 2" xfId="14479" xr:uid="{4F3C4AFB-00E2-49E3-89EF-FD9CE55B1C9A}"/>
    <cellStyle name="Normal 5 2 3 7 4" xfId="10261" xr:uid="{8FF5A8E9-62D4-444E-B117-44AC9C892F9A}"/>
    <cellStyle name="Normal 5 2 3 8" xfId="2143" xr:uid="{00000000-0005-0000-0000-0000CC180000}"/>
    <cellStyle name="Normal 5 2 3 8 2" xfId="4372" xr:uid="{00000000-0005-0000-0000-0000CD180000}"/>
    <cellStyle name="Normal 5 2 3 8 2 2" xfId="8595" xr:uid="{00000000-0005-0000-0000-0000CE180000}"/>
    <cellStyle name="Normal 5 2 3 8 2 2 2" xfId="17037" xr:uid="{9D69BB20-B26C-402F-B41E-531A856FE6DB}"/>
    <cellStyle name="Normal 5 2 3 8 2 3" xfId="12819" xr:uid="{F2F048C9-0FFE-4024-9DC2-0493D63EE3EE}"/>
    <cellStyle name="Normal 5 2 3 8 3" xfId="6450" xr:uid="{00000000-0005-0000-0000-0000CF180000}"/>
    <cellStyle name="Normal 5 2 3 8 3 2" xfId="14892" xr:uid="{E79F0EE5-3365-418B-A9D3-73029097881E}"/>
    <cellStyle name="Normal 5 2 3 8 4" xfId="10674" xr:uid="{8E3C9A62-FBE8-4619-92D1-57BE93E6E0F9}"/>
    <cellStyle name="Normal 5 2 3 9" xfId="2579" xr:uid="{00000000-0005-0000-0000-0000D0180000}"/>
    <cellStyle name="Normal 5 2 3 9 2" xfId="6863" xr:uid="{00000000-0005-0000-0000-0000D1180000}"/>
    <cellStyle name="Normal 5 2 3 9 2 2" xfId="15305" xr:uid="{3C1058DE-4CEA-4856-AC34-4BA42681B298}"/>
    <cellStyle name="Normal 5 2 3 9 3" xfId="11087" xr:uid="{217C4216-702B-4770-A9E8-FE9821607246}"/>
    <cellStyle name="Normal 5 2 4" xfId="432" xr:uid="{00000000-0005-0000-0000-0000D2180000}"/>
    <cellStyle name="Normal 5 2 4 10" xfId="9030" xr:uid="{5FAFB15B-2397-43E9-B844-21D151A3544D}"/>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2 2 2" xfId="15808" xr:uid="{EB54D953-422F-42EB-A995-2AFDB3F6323C}"/>
    <cellStyle name="Normal 5 2 4 2 2 2 2 3" xfId="11590" xr:uid="{BB9D681E-CA7B-44D6-8029-D12488FBC4EA}"/>
    <cellStyle name="Normal 5 2 4 2 2 2 3" xfId="5221" xr:uid="{00000000-0005-0000-0000-0000D8180000}"/>
    <cellStyle name="Normal 5 2 4 2 2 2 3 2" xfId="13663" xr:uid="{0004365B-9D70-4329-BE2F-EADA5CB60AFA}"/>
    <cellStyle name="Normal 5 2 4 2 2 2 4" xfId="9445" xr:uid="{CF57C2F9-D516-4677-994C-AF80C4D6838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2 2 2" xfId="16221" xr:uid="{04AE70E1-3406-4A52-8B58-B41DEC650AAB}"/>
    <cellStyle name="Normal 5 2 4 2 2 3 2 3" xfId="12003" xr:uid="{40D4FB9B-4CD0-4912-96A6-CDAA5C32D3F4}"/>
    <cellStyle name="Normal 5 2 4 2 2 3 3" xfId="5634" xr:uid="{00000000-0005-0000-0000-0000DC180000}"/>
    <cellStyle name="Normal 5 2 4 2 2 3 3 2" xfId="14076" xr:uid="{077F2512-C41E-4F82-908D-7EB6A9803437}"/>
    <cellStyle name="Normal 5 2 4 2 2 3 4" xfId="9858" xr:uid="{C212D52D-F432-464F-A1BF-7EC4DBFB7AE1}"/>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2 2 2" xfId="16634" xr:uid="{0C87039B-AD80-4091-BA89-22B6413E965D}"/>
    <cellStyle name="Normal 5 2 4 2 2 4 2 3" xfId="12416" xr:uid="{EB947CD1-C520-4C65-9E24-B8EE6B3E1E30}"/>
    <cellStyle name="Normal 5 2 4 2 2 4 3" xfId="6047" xr:uid="{00000000-0005-0000-0000-0000E0180000}"/>
    <cellStyle name="Normal 5 2 4 2 2 4 3 2" xfId="14489" xr:uid="{3CD9F709-7AC3-48E8-AF7B-51CBDB6DFF36}"/>
    <cellStyle name="Normal 5 2 4 2 2 4 4" xfId="10271" xr:uid="{C8419408-5B2A-4C09-ACC0-9D413827D781}"/>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2 2 2" xfId="17047" xr:uid="{5ABF1F0A-7D12-40FF-B5BB-08778F2B5ADD}"/>
    <cellStyle name="Normal 5 2 4 2 2 5 2 3" xfId="12829" xr:uid="{788CD9B9-9E24-4597-87B6-048F752AD8D4}"/>
    <cellStyle name="Normal 5 2 4 2 2 5 3" xfId="6460" xr:uid="{00000000-0005-0000-0000-0000E4180000}"/>
    <cellStyle name="Normal 5 2 4 2 2 5 3 2" xfId="14902" xr:uid="{C348C1BC-C792-4802-A31E-AF1D98C0EDCB}"/>
    <cellStyle name="Normal 5 2 4 2 2 5 4" xfId="10684" xr:uid="{8CAF4D35-E27B-44A8-8A0E-DCDFB0270A09}"/>
    <cellStyle name="Normal 5 2 4 2 2 6" xfId="2589" xr:uid="{00000000-0005-0000-0000-0000E5180000}"/>
    <cellStyle name="Normal 5 2 4 2 2 6 2" xfId="6873" xr:uid="{00000000-0005-0000-0000-0000E6180000}"/>
    <cellStyle name="Normal 5 2 4 2 2 6 2 2" xfId="15315" xr:uid="{64220FDC-3C4F-44EF-81A1-F1F405E496D3}"/>
    <cellStyle name="Normal 5 2 4 2 2 6 3" xfId="11097" xr:uid="{759FF18C-8ED4-494F-A75E-04C3381A9652}"/>
    <cellStyle name="Normal 5 2 4 2 2 7" xfId="4808" xr:uid="{00000000-0005-0000-0000-0000E7180000}"/>
    <cellStyle name="Normal 5 2 4 2 2 7 2" xfId="13250" xr:uid="{CFEAE36B-A8E7-46CE-A500-C5668E8314D5}"/>
    <cellStyle name="Normal 5 2 4 2 2 8" xfId="9032" xr:uid="{10495E08-1E84-49E2-8E49-78EDC24F49B1}"/>
    <cellStyle name="Normal 5 2 4 2 3" xfId="907" xr:uid="{00000000-0005-0000-0000-0000E8180000}"/>
    <cellStyle name="Normal 5 2 4 2 3 2" xfId="3142" xr:uid="{00000000-0005-0000-0000-0000E9180000}"/>
    <cellStyle name="Normal 5 2 4 2 3 2 2" xfId="7365" xr:uid="{00000000-0005-0000-0000-0000EA180000}"/>
    <cellStyle name="Normal 5 2 4 2 3 2 2 2" xfId="15807" xr:uid="{499252E5-1D27-49D7-8F13-7801631477ED}"/>
    <cellStyle name="Normal 5 2 4 2 3 2 3" xfId="11589" xr:uid="{1AF2BBFE-EAEA-41CA-9342-C1F522E1B903}"/>
    <cellStyle name="Normal 5 2 4 2 3 3" xfId="5220" xr:uid="{00000000-0005-0000-0000-0000EB180000}"/>
    <cellStyle name="Normal 5 2 4 2 3 3 2" xfId="13662" xr:uid="{082EE069-66CA-4450-8930-0D9DF02FAE6F}"/>
    <cellStyle name="Normal 5 2 4 2 3 4" xfId="9444" xr:uid="{67C17811-6561-4D15-8BCD-49A1FEE3A996}"/>
    <cellStyle name="Normal 5 2 4 2 4" xfId="1325" xr:uid="{00000000-0005-0000-0000-0000EC180000}"/>
    <cellStyle name="Normal 5 2 4 2 4 2" xfId="3555" xr:uid="{00000000-0005-0000-0000-0000ED180000}"/>
    <cellStyle name="Normal 5 2 4 2 4 2 2" xfId="7778" xr:uid="{00000000-0005-0000-0000-0000EE180000}"/>
    <cellStyle name="Normal 5 2 4 2 4 2 2 2" xfId="16220" xr:uid="{C12EE008-EB4A-420E-9F2C-0A7F43C9F242}"/>
    <cellStyle name="Normal 5 2 4 2 4 2 3" xfId="12002" xr:uid="{604114EA-9835-499F-9557-5B135231CF44}"/>
    <cellStyle name="Normal 5 2 4 2 4 3" xfId="5633" xr:uid="{00000000-0005-0000-0000-0000EF180000}"/>
    <cellStyle name="Normal 5 2 4 2 4 3 2" xfId="14075" xr:uid="{185C15BE-BCD8-492A-992C-35BFC75F3AB1}"/>
    <cellStyle name="Normal 5 2 4 2 4 4" xfId="9857" xr:uid="{7C66BFFC-1F84-49D3-A247-947070298882}"/>
    <cellStyle name="Normal 5 2 4 2 5" xfId="1738" xr:uid="{00000000-0005-0000-0000-0000F0180000}"/>
    <cellStyle name="Normal 5 2 4 2 5 2" xfId="3968" xr:uid="{00000000-0005-0000-0000-0000F1180000}"/>
    <cellStyle name="Normal 5 2 4 2 5 2 2" xfId="8191" xr:uid="{00000000-0005-0000-0000-0000F2180000}"/>
    <cellStyle name="Normal 5 2 4 2 5 2 2 2" xfId="16633" xr:uid="{BD23EC68-76DB-45E5-BA58-00B014F500C8}"/>
    <cellStyle name="Normal 5 2 4 2 5 2 3" xfId="12415" xr:uid="{D3E9DCCF-1E51-49BE-BC72-C314F99237E1}"/>
    <cellStyle name="Normal 5 2 4 2 5 3" xfId="6046" xr:uid="{00000000-0005-0000-0000-0000F3180000}"/>
    <cellStyle name="Normal 5 2 4 2 5 3 2" xfId="14488" xr:uid="{C063D99D-F05F-41A4-B0ED-684D2F827D8C}"/>
    <cellStyle name="Normal 5 2 4 2 5 4" xfId="10270" xr:uid="{7BE1DB7B-4C4B-4710-9A42-E93234E7E2CF}"/>
    <cellStyle name="Normal 5 2 4 2 6" xfId="2152" xr:uid="{00000000-0005-0000-0000-0000F4180000}"/>
    <cellStyle name="Normal 5 2 4 2 6 2" xfId="4381" xr:uid="{00000000-0005-0000-0000-0000F5180000}"/>
    <cellStyle name="Normal 5 2 4 2 6 2 2" xfId="8604" xr:uid="{00000000-0005-0000-0000-0000F6180000}"/>
    <cellStyle name="Normal 5 2 4 2 6 2 2 2" xfId="17046" xr:uid="{A4221F99-2A94-4D81-93A7-BD475C44DB52}"/>
    <cellStyle name="Normal 5 2 4 2 6 2 3" xfId="12828" xr:uid="{AA536E6F-028F-4506-AC11-39548B63AEEE}"/>
    <cellStyle name="Normal 5 2 4 2 6 3" xfId="6459" xr:uid="{00000000-0005-0000-0000-0000F7180000}"/>
    <cellStyle name="Normal 5 2 4 2 6 3 2" xfId="14901" xr:uid="{B5CF426E-EE4D-4052-8903-AA9E5EB7D9BE}"/>
    <cellStyle name="Normal 5 2 4 2 6 4" xfId="10683" xr:uid="{2B60C427-81D5-488F-A015-D89B9E6ECD38}"/>
    <cellStyle name="Normal 5 2 4 2 7" xfId="2588" xr:uid="{00000000-0005-0000-0000-0000F8180000}"/>
    <cellStyle name="Normal 5 2 4 2 7 2" xfId="6872" xr:uid="{00000000-0005-0000-0000-0000F9180000}"/>
    <cellStyle name="Normal 5 2 4 2 7 2 2" xfId="15314" xr:uid="{BC3E4FBA-0CCF-4E28-B004-2A892E670CE3}"/>
    <cellStyle name="Normal 5 2 4 2 7 3" xfId="11096" xr:uid="{B942E067-5F28-4CB7-94F7-B2F5676D7CAA}"/>
    <cellStyle name="Normal 5 2 4 2 8" xfId="4807" xr:uid="{00000000-0005-0000-0000-0000FA180000}"/>
    <cellStyle name="Normal 5 2 4 2 8 2" xfId="13249" xr:uid="{7EC6205B-ED3C-4716-96F2-CFEDBA851EA3}"/>
    <cellStyle name="Normal 5 2 4 2 9" xfId="9031" xr:uid="{482F52E0-60E3-4950-B492-637137021EEE}"/>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2 2 2" xfId="15809" xr:uid="{AB79B16D-22B1-46DC-9DE0-246C95B58207}"/>
    <cellStyle name="Normal 5 2 4 3 2 2 3" xfId="11591" xr:uid="{7B3BB365-814B-425E-B37D-A13CDFCBE4C2}"/>
    <cellStyle name="Normal 5 2 4 3 2 3" xfId="5222" xr:uid="{00000000-0005-0000-0000-0000FF180000}"/>
    <cellStyle name="Normal 5 2 4 3 2 3 2" xfId="13664" xr:uid="{A627E80B-DA24-4BA4-A3D6-33D52223F784}"/>
    <cellStyle name="Normal 5 2 4 3 2 4" xfId="9446" xr:uid="{160330CA-AB8E-4EFD-AA84-D79E92C5A024}"/>
    <cellStyle name="Normal 5 2 4 3 3" xfId="1327" xr:uid="{00000000-0005-0000-0000-000000190000}"/>
    <cellStyle name="Normal 5 2 4 3 3 2" xfId="3557" xr:uid="{00000000-0005-0000-0000-000001190000}"/>
    <cellStyle name="Normal 5 2 4 3 3 2 2" xfId="7780" xr:uid="{00000000-0005-0000-0000-000002190000}"/>
    <cellStyle name="Normal 5 2 4 3 3 2 2 2" xfId="16222" xr:uid="{C08FD3A2-A399-4C26-895E-E4F4F91FDADD}"/>
    <cellStyle name="Normal 5 2 4 3 3 2 3" xfId="12004" xr:uid="{FCF2CC53-22CB-4133-89B3-AB3B22DF766E}"/>
    <cellStyle name="Normal 5 2 4 3 3 3" xfId="5635" xr:uid="{00000000-0005-0000-0000-000003190000}"/>
    <cellStyle name="Normal 5 2 4 3 3 3 2" xfId="14077" xr:uid="{0F338929-171B-4A0C-BFB9-2DF9172EF877}"/>
    <cellStyle name="Normal 5 2 4 3 3 4" xfId="9859" xr:uid="{1B8B64D9-4DEB-47A6-A459-97E2793A1DD2}"/>
    <cellStyle name="Normal 5 2 4 3 4" xfId="1740" xr:uid="{00000000-0005-0000-0000-000004190000}"/>
    <cellStyle name="Normal 5 2 4 3 4 2" xfId="3970" xr:uid="{00000000-0005-0000-0000-000005190000}"/>
    <cellStyle name="Normal 5 2 4 3 4 2 2" xfId="8193" xr:uid="{00000000-0005-0000-0000-000006190000}"/>
    <cellStyle name="Normal 5 2 4 3 4 2 2 2" xfId="16635" xr:uid="{46F13151-A692-4E3D-95AF-FBE695E49527}"/>
    <cellStyle name="Normal 5 2 4 3 4 2 3" xfId="12417" xr:uid="{BA14E1F6-73C0-4E79-9812-DEB0FE5CA0C0}"/>
    <cellStyle name="Normal 5 2 4 3 4 3" xfId="6048" xr:uid="{00000000-0005-0000-0000-000007190000}"/>
    <cellStyle name="Normal 5 2 4 3 4 3 2" xfId="14490" xr:uid="{2566E7B5-DD3B-4C44-AFD2-7065C0CC4278}"/>
    <cellStyle name="Normal 5 2 4 3 4 4" xfId="10272" xr:uid="{71278C3B-1DD0-4834-963F-81614930E4B4}"/>
    <cellStyle name="Normal 5 2 4 3 5" xfId="2154" xr:uid="{00000000-0005-0000-0000-000008190000}"/>
    <cellStyle name="Normal 5 2 4 3 5 2" xfId="4383" xr:uid="{00000000-0005-0000-0000-000009190000}"/>
    <cellStyle name="Normal 5 2 4 3 5 2 2" xfId="8606" xr:uid="{00000000-0005-0000-0000-00000A190000}"/>
    <cellStyle name="Normal 5 2 4 3 5 2 2 2" xfId="17048" xr:uid="{323FBF64-905E-4228-ADFF-EE3267A47EA1}"/>
    <cellStyle name="Normal 5 2 4 3 5 2 3" xfId="12830" xr:uid="{4A746BCA-E7EE-40E8-90B3-9F191126D99F}"/>
    <cellStyle name="Normal 5 2 4 3 5 3" xfId="6461" xr:uid="{00000000-0005-0000-0000-00000B190000}"/>
    <cellStyle name="Normal 5 2 4 3 5 3 2" xfId="14903" xr:uid="{CB56361B-CCA5-407D-8087-0A7D7C3D4393}"/>
    <cellStyle name="Normal 5 2 4 3 5 4" xfId="10685" xr:uid="{22D73CB4-DC29-43CF-A7B0-A4E3EB1444B6}"/>
    <cellStyle name="Normal 5 2 4 3 6" xfId="2590" xr:uid="{00000000-0005-0000-0000-00000C190000}"/>
    <cellStyle name="Normal 5 2 4 3 6 2" xfId="6874" xr:uid="{00000000-0005-0000-0000-00000D190000}"/>
    <cellStyle name="Normal 5 2 4 3 6 2 2" xfId="15316" xr:uid="{C9D4AD26-D0BF-4E8A-AD4A-5705945708FE}"/>
    <cellStyle name="Normal 5 2 4 3 6 3" xfId="11098" xr:uid="{1FE3D276-BB8C-4F04-ADE4-30EFA83A3286}"/>
    <cellStyle name="Normal 5 2 4 3 7" xfId="4809" xr:uid="{00000000-0005-0000-0000-00000E190000}"/>
    <cellStyle name="Normal 5 2 4 3 7 2" xfId="13251" xr:uid="{9E06771C-E1B2-4C96-B682-70D48AF694C2}"/>
    <cellStyle name="Normal 5 2 4 3 8" xfId="9033" xr:uid="{10CF4DB7-3066-4734-ADFD-7083B1910ABA}"/>
    <cellStyle name="Normal 5 2 4 4" xfId="906" xr:uid="{00000000-0005-0000-0000-00000F190000}"/>
    <cellStyle name="Normal 5 2 4 4 2" xfId="3141" xr:uid="{00000000-0005-0000-0000-000010190000}"/>
    <cellStyle name="Normal 5 2 4 4 2 2" xfId="7364" xr:uid="{00000000-0005-0000-0000-000011190000}"/>
    <cellStyle name="Normal 5 2 4 4 2 2 2" xfId="15806" xr:uid="{5C327833-78B5-4DBB-B54C-A69D8C260265}"/>
    <cellStyle name="Normal 5 2 4 4 2 3" xfId="11588" xr:uid="{6C2626BD-3E9C-4E6C-8A5C-13D859E346D1}"/>
    <cellStyle name="Normal 5 2 4 4 3" xfId="5219" xr:uid="{00000000-0005-0000-0000-000012190000}"/>
    <cellStyle name="Normal 5 2 4 4 3 2" xfId="13661" xr:uid="{359236E8-B29D-42E5-A5FD-ABECCB78D7E7}"/>
    <cellStyle name="Normal 5 2 4 4 4" xfId="9443" xr:uid="{4643D49A-3478-40B7-88BB-512BE099C319}"/>
    <cellStyle name="Normal 5 2 4 5" xfId="1324" xr:uid="{00000000-0005-0000-0000-000013190000}"/>
    <cellStyle name="Normal 5 2 4 5 2" xfId="3554" xr:uid="{00000000-0005-0000-0000-000014190000}"/>
    <cellStyle name="Normal 5 2 4 5 2 2" xfId="7777" xr:uid="{00000000-0005-0000-0000-000015190000}"/>
    <cellStyle name="Normal 5 2 4 5 2 2 2" xfId="16219" xr:uid="{04195DAD-E485-4FD3-839F-7E3FF46CAB01}"/>
    <cellStyle name="Normal 5 2 4 5 2 3" xfId="12001" xr:uid="{F5C00EBB-B459-4F12-9B80-25DDA03B8254}"/>
    <cellStyle name="Normal 5 2 4 5 3" xfId="5632" xr:uid="{00000000-0005-0000-0000-000016190000}"/>
    <cellStyle name="Normal 5 2 4 5 3 2" xfId="14074" xr:uid="{F25C989F-6C21-4B7F-9C17-E9CD1F9DA206}"/>
    <cellStyle name="Normal 5 2 4 5 4" xfId="9856" xr:uid="{BD590EB5-07AC-4873-A9CC-0F42E1574E26}"/>
    <cellStyle name="Normal 5 2 4 6" xfId="1737" xr:uid="{00000000-0005-0000-0000-000017190000}"/>
    <cellStyle name="Normal 5 2 4 6 2" xfId="3967" xr:uid="{00000000-0005-0000-0000-000018190000}"/>
    <cellStyle name="Normal 5 2 4 6 2 2" xfId="8190" xr:uid="{00000000-0005-0000-0000-000019190000}"/>
    <cellStyle name="Normal 5 2 4 6 2 2 2" xfId="16632" xr:uid="{26D41147-921A-48D8-BA16-637FF206F40D}"/>
    <cellStyle name="Normal 5 2 4 6 2 3" xfId="12414" xr:uid="{E4EC1300-65E9-441B-B44E-6A6AF500D0F1}"/>
    <cellStyle name="Normal 5 2 4 6 3" xfId="6045" xr:uid="{00000000-0005-0000-0000-00001A190000}"/>
    <cellStyle name="Normal 5 2 4 6 3 2" xfId="14487" xr:uid="{B18E4DF7-DB47-48F7-B8F2-E8EF46ECCC7D}"/>
    <cellStyle name="Normal 5 2 4 6 4" xfId="10269" xr:uid="{35B29A4C-7607-4A54-8B42-D1BFF679FA6A}"/>
    <cellStyle name="Normal 5 2 4 7" xfId="2151" xr:uid="{00000000-0005-0000-0000-00001B190000}"/>
    <cellStyle name="Normal 5 2 4 7 2" xfId="4380" xr:uid="{00000000-0005-0000-0000-00001C190000}"/>
    <cellStyle name="Normal 5 2 4 7 2 2" xfId="8603" xr:uid="{00000000-0005-0000-0000-00001D190000}"/>
    <cellStyle name="Normal 5 2 4 7 2 2 2" xfId="17045" xr:uid="{4EDD241B-ABAD-44F4-8F3A-92C062213E49}"/>
    <cellStyle name="Normal 5 2 4 7 2 3" xfId="12827" xr:uid="{FB626A88-7AD3-4EEC-BDC7-FFA72A9D8E9E}"/>
    <cellStyle name="Normal 5 2 4 7 3" xfId="6458" xr:uid="{00000000-0005-0000-0000-00001E190000}"/>
    <cellStyle name="Normal 5 2 4 7 3 2" xfId="14900" xr:uid="{3CC322DA-9EC6-44DB-A196-99B8CCFCC535}"/>
    <cellStyle name="Normal 5 2 4 7 4" xfId="10682" xr:uid="{60A23601-3B29-48B1-A598-3C8F9606098B}"/>
    <cellStyle name="Normal 5 2 4 8" xfId="2587" xr:uid="{00000000-0005-0000-0000-00001F190000}"/>
    <cellStyle name="Normal 5 2 4 8 2" xfId="6871" xr:uid="{00000000-0005-0000-0000-000020190000}"/>
    <cellStyle name="Normal 5 2 4 8 2 2" xfId="15313" xr:uid="{9579F7B9-6747-4149-B49D-B3AD9157194D}"/>
    <cellStyle name="Normal 5 2 4 8 3" xfId="11095" xr:uid="{3E7C10BC-0E64-4CEB-AC45-61574EEBF68F}"/>
    <cellStyle name="Normal 5 2 4 9" xfId="4806" xr:uid="{00000000-0005-0000-0000-000021190000}"/>
    <cellStyle name="Normal 5 2 4 9 2" xfId="13248" xr:uid="{6C2926D1-F324-49DB-AD3B-3A9DD25E414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2 2 2" xfId="15811" xr:uid="{E1821134-E463-405F-8B3E-A0BDB951988F}"/>
    <cellStyle name="Normal 5 2 5 2 2 2 3" xfId="11593" xr:uid="{FE180C0D-B9D1-4911-8D88-FA7906C57D38}"/>
    <cellStyle name="Normal 5 2 5 2 2 3" xfId="5224" xr:uid="{00000000-0005-0000-0000-000027190000}"/>
    <cellStyle name="Normal 5 2 5 2 2 3 2" xfId="13666" xr:uid="{C0922FB2-ABC6-4465-AAB5-D0F01DA9871F}"/>
    <cellStyle name="Normal 5 2 5 2 2 4" xfId="9448" xr:uid="{7DA49114-FD09-49E9-8649-265D22BA3243}"/>
    <cellStyle name="Normal 5 2 5 2 3" xfId="1329" xr:uid="{00000000-0005-0000-0000-000028190000}"/>
    <cellStyle name="Normal 5 2 5 2 3 2" xfId="3559" xr:uid="{00000000-0005-0000-0000-000029190000}"/>
    <cellStyle name="Normal 5 2 5 2 3 2 2" xfId="7782" xr:uid="{00000000-0005-0000-0000-00002A190000}"/>
    <cellStyle name="Normal 5 2 5 2 3 2 2 2" xfId="16224" xr:uid="{8067B7EF-6C81-4EA1-ACC6-3BD3CE43DE3C}"/>
    <cellStyle name="Normal 5 2 5 2 3 2 3" xfId="12006" xr:uid="{21BD6862-16C3-4AFF-8E3C-EA903DD5F498}"/>
    <cellStyle name="Normal 5 2 5 2 3 3" xfId="5637" xr:uid="{00000000-0005-0000-0000-00002B190000}"/>
    <cellStyle name="Normal 5 2 5 2 3 3 2" xfId="14079" xr:uid="{0044AB43-6A8A-4D6D-B022-91C25CAAA55B}"/>
    <cellStyle name="Normal 5 2 5 2 3 4" xfId="9861" xr:uid="{5FA4EA66-0BFF-4631-A9B3-A896642334C8}"/>
    <cellStyle name="Normal 5 2 5 2 4" xfId="1742" xr:uid="{00000000-0005-0000-0000-00002C190000}"/>
    <cellStyle name="Normal 5 2 5 2 4 2" xfId="3972" xr:uid="{00000000-0005-0000-0000-00002D190000}"/>
    <cellStyle name="Normal 5 2 5 2 4 2 2" xfId="8195" xr:uid="{00000000-0005-0000-0000-00002E190000}"/>
    <cellStyle name="Normal 5 2 5 2 4 2 2 2" xfId="16637" xr:uid="{CC588132-DA0A-4044-BA3B-93820473C90B}"/>
    <cellStyle name="Normal 5 2 5 2 4 2 3" xfId="12419" xr:uid="{451D38B4-593B-4594-B711-34CB9FF63DCE}"/>
    <cellStyle name="Normal 5 2 5 2 4 3" xfId="6050" xr:uid="{00000000-0005-0000-0000-00002F190000}"/>
    <cellStyle name="Normal 5 2 5 2 4 3 2" xfId="14492" xr:uid="{640E2C1B-806F-46BE-ADD1-6E7B22D27140}"/>
    <cellStyle name="Normal 5 2 5 2 4 4" xfId="10274" xr:uid="{0634677B-229D-4874-9DCA-1743C20B9D3E}"/>
    <cellStyle name="Normal 5 2 5 2 5" xfId="2156" xr:uid="{00000000-0005-0000-0000-000030190000}"/>
    <cellStyle name="Normal 5 2 5 2 5 2" xfId="4385" xr:uid="{00000000-0005-0000-0000-000031190000}"/>
    <cellStyle name="Normal 5 2 5 2 5 2 2" xfId="8608" xr:uid="{00000000-0005-0000-0000-000032190000}"/>
    <cellStyle name="Normal 5 2 5 2 5 2 2 2" xfId="17050" xr:uid="{596F7418-4D52-4596-80E7-6209AD44B80B}"/>
    <cellStyle name="Normal 5 2 5 2 5 2 3" xfId="12832" xr:uid="{2F0CEDB3-BB46-48CB-8B68-BB60857C2E08}"/>
    <cellStyle name="Normal 5 2 5 2 5 3" xfId="6463" xr:uid="{00000000-0005-0000-0000-000033190000}"/>
    <cellStyle name="Normal 5 2 5 2 5 3 2" xfId="14905" xr:uid="{95496EBA-4BC1-493D-A690-395536EBB035}"/>
    <cellStyle name="Normal 5 2 5 2 5 4" xfId="10687" xr:uid="{F8FA5686-EED0-47EB-99AD-C5A92061E072}"/>
    <cellStyle name="Normal 5 2 5 2 6" xfId="2592" xr:uid="{00000000-0005-0000-0000-000034190000}"/>
    <cellStyle name="Normal 5 2 5 2 6 2" xfId="6876" xr:uid="{00000000-0005-0000-0000-000035190000}"/>
    <cellStyle name="Normal 5 2 5 2 6 2 2" xfId="15318" xr:uid="{50526825-0867-49FA-91B5-5A16AD0BD7BA}"/>
    <cellStyle name="Normal 5 2 5 2 6 3" xfId="11100" xr:uid="{9577E529-C8DA-498F-B5B0-7190C690E4A4}"/>
    <cellStyle name="Normal 5 2 5 2 7" xfId="4811" xr:uid="{00000000-0005-0000-0000-000036190000}"/>
    <cellStyle name="Normal 5 2 5 2 7 2" xfId="13253" xr:uid="{674F42C4-0676-4F4C-A9A2-4177204E2B09}"/>
    <cellStyle name="Normal 5 2 5 2 8" xfId="9035" xr:uid="{08F1CFFD-67BE-4E26-A71F-BABFC30C05F9}"/>
    <cellStyle name="Normal 5 2 5 3" xfId="910" xr:uid="{00000000-0005-0000-0000-000037190000}"/>
    <cellStyle name="Normal 5 2 5 3 2" xfId="3145" xr:uid="{00000000-0005-0000-0000-000038190000}"/>
    <cellStyle name="Normal 5 2 5 3 2 2" xfId="7368" xr:uid="{00000000-0005-0000-0000-000039190000}"/>
    <cellStyle name="Normal 5 2 5 3 2 2 2" xfId="15810" xr:uid="{5457214D-6134-4ACD-BBA3-5B6A6BC112E2}"/>
    <cellStyle name="Normal 5 2 5 3 2 3" xfId="11592" xr:uid="{FF1E7627-C1E2-4CB8-9765-177DFE74B5BB}"/>
    <cellStyle name="Normal 5 2 5 3 3" xfId="5223" xr:uid="{00000000-0005-0000-0000-00003A190000}"/>
    <cellStyle name="Normal 5 2 5 3 3 2" xfId="13665" xr:uid="{D1085F2C-6207-4128-8C63-28438B6C1131}"/>
    <cellStyle name="Normal 5 2 5 3 4" xfId="9447" xr:uid="{79CF3AA4-3230-42BC-B10F-F3F18605E7F9}"/>
    <cellStyle name="Normal 5 2 5 4" xfId="1328" xr:uid="{00000000-0005-0000-0000-00003B190000}"/>
    <cellStyle name="Normal 5 2 5 4 2" xfId="3558" xr:uid="{00000000-0005-0000-0000-00003C190000}"/>
    <cellStyle name="Normal 5 2 5 4 2 2" xfId="7781" xr:uid="{00000000-0005-0000-0000-00003D190000}"/>
    <cellStyle name="Normal 5 2 5 4 2 2 2" xfId="16223" xr:uid="{FC901C82-084F-4EBF-96BA-23099E935912}"/>
    <cellStyle name="Normal 5 2 5 4 2 3" xfId="12005" xr:uid="{94606CE8-8A54-41CE-953B-9FADB870F2EC}"/>
    <cellStyle name="Normal 5 2 5 4 3" xfId="5636" xr:uid="{00000000-0005-0000-0000-00003E190000}"/>
    <cellStyle name="Normal 5 2 5 4 3 2" xfId="14078" xr:uid="{598A60CC-A95A-4073-B679-CC01718B5002}"/>
    <cellStyle name="Normal 5 2 5 4 4" xfId="9860" xr:uid="{C38A4D79-FBD8-4C28-A0CB-4B90F31A66AE}"/>
    <cellStyle name="Normal 5 2 5 5" xfId="1741" xr:uid="{00000000-0005-0000-0000-00003F190000}"/>
    <cellStyle name="Normal 5 2 5 5 2" xfId="3971" xr:uid="{00000000-0005-0000-0000-000040190000}"/>
    <cellStyle name="Normal 5 2 5 5 2 2" xfId="8194" xr:uid="{00000000-0005-0000-0000-000041190000}"/>
    <cellStyle name="Normal 5 2 5 5 2 2 2" xfId="16636" xr:uid="{1DA4916F-2438-4EFB-93FA-EDC91BC570A9}"/>
    <cellStyle name="Normal 5 2 5 5 2 3" xfId="12418" xr:uid="{E51B39E3-F893-4E0E-895B-457B1B9BD549}"/>
    <cellStyle name="Normal 5 2 5 5 3" xfId="6049" xr:uid="{00000000-0005-0000-0000-000042190000}"/>
    <cellStyle name="Normal 5 2 5 5 3 2" xfId="14491" xr:uid="{20B71617-8D74-4C20-ADE6-5983BF52A0D6}"/>
    <cellStyle name="Normal 5 2 5 5 4" xfId="10273" xr:uid="{28714F99-2BBD-4B77-B106-F032959C52EF}"/>
    <cellStyle name="Normal 5 2 5 6" xfId="2155" xr:uid="{00000000-0005-0000-0000-000043190000}"/>
    <cellStyle name="Normal 5 2 5 6 2" xfId="4384" xr:uid="{00000000-0005-0000-0000-000044190000}"/>
    <cellStyle name="Normal 5 2 5 6 2 2" xfId="8607" xr:uid="{00000000-0005-0000-0000-000045190000}"/>
    <cellStyle name="Normal 5 2 5 6 2 2 2" xfId="17049" xr:uid="{BC41258A-5E3F-492C-9DC1-8E137D3FB116}"/>
    <cellStyle name="Normal 5 2 5 6 2 3" xfId="12831" xr:uid="{FE4DBC34-C6D3-4201-A645-D701B184B14B}"/>
    <cellStyle name="Normal 5 2 5 6 3" xfId="6462" xr:uid="{00000000-0005-0000-0000-000046190000}"/>
    <cellStyle name="Normal 5 2 5 6 3 2" xfId="14904" xr:uid="{0A0B21BE-572F-478F-8135-51B5AA979B82}"/>
    <cellStyle name="Normal 5 2 5 6 4" xfId="10686" xr:uid="{C54B8A64-15EB-4AFB-A524-097CC1105E3E}"/>
    <cellStyle name="Normal 5 2 5 7" xfId="2591" xr:uid="{00000000-0005-0000-0000-000047190000}"/>
    <cellStyle name="Normal 5 2 5 7 2" xfId="6875" xr:uid="{00000000-0005-0000-0000-000048190000}"/>
    <cellStyle name="Normal 5 2 5 7 2 2" xfId="15317" xr:uid="{A765BAA1-EBC2-497D-B21A-A7A99814AE6A}"/>
    <cellStyle name="Normal 5 2 5 7 3" xfId="11099" xr:uid="{594DE2CF-9D28-4AFB-B53E-A12616587EC2}"/>
    <cellStyle name="Normal 5 2 5 8" xfId="4810" xr:uid="{00000000-0005-0000-0000-000049190000}"/>
    <cellStyle name="Normal 5 2 5 8 2" xfId="13252" xr:uid="{10E7C70A-FBE4-4A58-B548-821A8D9D228C}"/>
    <cellStyle name="Normal 5 2 5 9" xfId="9034" xr:uid="{A4F68F84-3622-45D7-BB6E-54667C97700B}"/>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2 2 2" xfId="15812" xr:uid="{18649961-78C0-482B-A029-D42D519B41C6}"/>
    <cellStyle name="Normal 5 2 6 2 2 3" xfId="11594" xr:uid="{D617B6A7-2C7C-49D1-9DE6-255A4ADEA88D}"/>
    <cellStyle name="Normal 5 2 6 2 3" xfId="5225" xr:uid="{00000000-0005-0000-0000-00004E190000}"/>
    <cellStyle name="Normal 5 2 6 2 3 2" xfId="13667" xr:uid="{E0031BD1-1E92-40D0-AD2F-C3A4A44179C0}"/>
    <cellStyle name="Normal 5 2 6 2 4" xfId="9449" xr:uid="{B109BE50-E1EB-49E8-9A84-5C5010987C3D}"/>
    <cellStyle name="Normal 5 2 6 3" xfId="1330" xr:uid="{00000000-0005-0000-0000-00004F190000}"/>
    <cellStyle name="Normal 5 2 6 3 2" xfId="3560" xr:uid="{00000000-0005-0000-0000-000050190000}"/>
    <cellStyle name="Normal 5 2 6 3 2 2" xfId="7783" xr:uid="{00000000-0005-0000-0000-000051190000}"/>
    <cellStyle name="Normal 5 2 6 3 2 2 2" xfId="16225" xr:uid="{8E7EE49A-E2FE-469B-A3F3-EADCD0CA5C38}"/>
    <cellStyle name="Normal 5 2 6 3 2 3" xfId="12007" xr:uid="{14B6BF96-34CB-4F11-BD64-FE96D26BE28C}"/>
    <cellStyle name="Normal 5 2 6 3 3" xfId="5638" xr:uid="{00000000-0005-0000-0000-000052190000}"/>
    <cellStyle name="Normal 5 2 6 3 3 2" xfId="14080" xr:uid="{B155915E-7BC8-48BE-B2B5-3D95156107FC}"/>
    <cellStyle name="Normal 5 2 6 3 4" xfId="9862" xr:uid="{FB4A128A-3B4E-49F5-BF64-42CED015D311}"/>
    <cellStyle name="Normal 5 2 6 4" xfId="1743" xr:uid="{00000000-0005-0000-0000-000053190000}"/>
    <cellStyle name="Normal 5 2 6 4 2" xfId="3973" xr:uid="{00000000-0005-0000-0000-000054190000}"/>
    <cellStyle name="Normal 5 2 6 4 2 2" xfId="8196" xr:uid="{00000000-0005-0000-0000-000055190000}"/>
    <cellStyle name="Normal 5 2 6 4 2 2 2" xfId="16638" xr:uid="{E733A0E2-6183-4464-92A6-03BE940EA675}"/>
    <cellStyle name="Normal 5 2 6 4 2 3" xfId="12420" xr:uid="{A1E92B1F-461B-494E-8CA6-2A47954E1538}"/>
    <cellStyle name="Normal 5 2 6 4 3" xfId="6051" xr:uid="{00000000-0005-0000-0000-000056190000}"/>
    <cellStyle name="Normal 5 2 6 4 3 2" xfId="14493" xr:uid="{806841B2-69A2-4FDC-92EC-321219F505B6}"/>
    <cellStyle name="Normal 5 2 6 4 4" xfId="10275" xr:uid="{604938C1-0349-45F7-98C5-240CFA89E312}"/>
    <cellStyle name="Normal 5 2 6 5" xfId="2157" xr:uid="{00000000-0005-0000-0000-000057190000}"/>
    <cellStyle name="Normal 5 2 6 5 2" xfId="4386" xr:uid="{00000000-0005-0000-0000-000058190000}"/>
    <cellStyle name="Normal 5 2 6 5 2 2" xfId="8609" xr:uid="{00000000-0005-0000-0000-000059190000}"/>
    <cellStyle name="Normal 5 2 6 5 2 2 2" xfId="17051" xr:uid="{D2708E6C-C458-494D-ADA0-17E1C7299805}"/>
    <cellStyle name="Normal 5 2 6 5 2 3" xfId="12833" xr:uid="{A0B04A18-AB5F-4EA2-97DC-6C28EF6AD909}"/>
    <cellStyle name="Normal 5 2 6 5 3" xfId="6464" xr:uid="{00000000-0005-0000-0000-00005A190000}"/>
    <cellStyle name="Normal 5 2 6 5 3 2" xfId="14906" xr:uid="{A5FF2CA5-4683-43BA-9D91-0104763C2BEC}"/>
    <cellStyle name="Normal 5 2 6 5 4" xfId="10688" xr:uid="{A8D65896-BB11-4CDB-BD84-E2FF366655E5}"/>
    <cellStyle name="Normal 5 2 6 6" xfId="2593" xr:uid="{00000000-0005-0000-0000-00005B190000}"/>
    <cellStyle name="Normal 5 2 6 6 2" xfId="6877" xr:uid="{00000000-0005-0000-0000-00005C190000}"/>
    <cellStyle name="Normal 5 2 6 6 2 2" xfId="15319" xr:uid="{D71B88FE-4A4C-41C1-9773-CDA6866DA464}"/>
    <cellStyle name="Normal 5 2 6 6 3" xfId="11101" xr:uid="{7526DEA0-2271-46B0-B156-08A0D22F8F78}"/>
    <cellStyle name="Normal 5 2 6 7" xfId="4812" xr:uid="{00000000-0005-0000-0000-00005D190000}"/>
    <cellStyle name="Normal 5 2 6 7 2" xfId="13254" xr:uid="{0012DBD1-B5B6-49FA-835B-1017AE1213BB}"/>
    <cellStyle name="Normal 5 2 6 8" xfId="9036" xr:uid="{60FAD25B-DDC6-4B12-B6FA-5E866122134E}"/>
    <cellStyle name="Normal 5 2 7" xfId="881" xr:uid="{00000000-0005-0000-0000-00005E190000}"/>
    <cellStyle name="Normal 5 2 7 2" xfId="3116" xr:uid="{00000000-0005-0000-0000-00005F190000}"/>
    <cellStyle name="Normal 5 2 7 2 2" xfId="7339" xr:uid="{00000000-0005-0000-0000-000060190000}"/>
    <cellStyle name="Normal 5 2 7 2 2 2" xfId="15781" xr:uid="{059C637D-9BCC-4E0D-BD86-A3A857D9E462}"/>
    <cellStyle name="Normal 5 2 7 2 3" xfId="11563" xr:uid="{534E2FF6-B9BA-499B-816B-C902DD46AAF4}"/>
    <cellStyle name="Normal 5 2 7 3" xfId="5194" xr:uid="{00000000-0005-0000-0000-000061190000}"/>
    <cellStyle name="Normal 5 2 7 3 2" xfId="13636" xr:uid="{DF8C6019-2FDF-4703-A8F0-39D280F7039D}"/>
    <cellStyle name="Normal 5 2 7 4" xfId="9418" xr:uid="{57AED1C6-4BDF-48B3-B99D-932F6B52961F}"/>
    <cellStyle name="Normal 5 2 8" xfId="1299" xr:uid="{00000000-0005-0000-0000-000062190000}"/>
    <cellStyle name="Normal 5 2 8 2" xfId="3529" xr:uid="{00000000-0005-0000-0000-000063190000}"/>
    <cellStyle name="Normal 5 2 8 2 2" xfId="7752" xr:uid="{00000000-0005-0000-0000-000064190000}"/>
    <cellStyle name="Normal 5 2 8 2 2 2" xfId="16194" xr:uid="{9C1C0046-1AB3-493A-8A8C-BF7B56F6D4C4}"/>
    <cellStyle name="Normal 5 2 8 2 3" xfId="11976" xr:uid="{9D0BD649-5810-4BC5-9D20-F0A6E9EE6CFA}"/>
    <cellStyle name="Normal 5 2 8 3" xfId="5607" xr:uid="{00000000-0005-0000-0000-000065190000}"/>
    <cellStyle name="Normal 5 2 8 3 2" xfId="14049" xr:uid="{56FAC638-773F-470E-A543-95AF4AAA4FA9}"/>
    <cellStyle name="Normal 5 2 8 4" xfId="9831" xr:uid="{A2530B55-ABFD-4E8D-BA9E-F69EC3BE7A74}"/>
    <cellStyle name="Normal 5 2 9" xfId="1712" xr:uid="{00000000-0005-0000-0000-000066190000}"/>
    <cellStyle name="Normal 5 2 9 2" xfId="3942" xr:uid="{00000000-0005-0000-0000-000067190000}"/>
    <cellStyle name="Normal 5 2 9 2 2" xfId="8165" xr:uid="{00000000-0005-0000-0000-000068190000}"/>
    <cellStyle name="Normal 5 2 9 2 2 2" xfId="16607" xr:uid="{3AC6C427-9037-4003-8199-012F6D90FE01}"/>
    <cellStyle name="Normal 5 2 9 2 3" xfId="12389" xr:uid="{950C8244-84EC-4685-A5DC-44741ED77838}"/>
    <cellStyle name="Normal 5 2 9 3" xfId="6020" xr:uid="{00000000-0005-0000-0000-000069190000}"/>
    <cellStyle name="Normal 5 2 9 3 2" xfId="14462" xr:uid="{C719D191-AE8C-4C14-9CF1-1F455F39EBDD}"/>
    <cellStyle name="Normal 5 2 9 4" xfId="10244" xr:uid="{5FE7DACC-BC04-42F2-B5E3-F1B99E56668B}"/>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2 2 2" xfId="17052" xr:uid="{A94BA4A3-06D3-42E6-8A04-9611A13D38F7}"/>
    <cellStyle name="Normal 5 3 10 2 3" xfId="12834" xr:uid="{024AF2CE-9369-4CE3-9A94-8D47287FB20B}"/>
    <cellStyle name="Normal 5 3 10 3" xfId="6465" xr:uid="{00000000-0005-0000-0000-00006E190000}"/>
    <cellStyle name="Normal 5 3 10 3 2" xfId="14907" xr:uid="{5302B5DA-EB7B-4DFE-B185-632B1D24BA41}"/>
    <cellStyle name="Normal 5 3 10 4" xfId="10689" xr:uid="{714D9A4C-5D42-4770-9797-994DB1F8744B}"/>
    <cellStyle name="Normal 5 3 11" xfId="2594" xr:uid="{00000000-0005-0000-0000-00006F190000}"/>
    <cellStyle name="Normal 5 3 11 2" xfId="6878" xr:uid="{00000000-0005-0000-0000-000070190000}"/>
    <cellStyle name="Normal 5 3 11 2 2" xfId="15320" xr:uid="{C3FD6F1D-E171-4543-916B-C7E26C658A20}"/>
    <cellStyle name="Normal 5 3 11 3" xfId="11102" xr:uid="{B1E82567-BAB4-4D5F-A85A-AF55BDCAF753}"/>
    <cellStyle name="Normal 5 3 12" xfId="4813" xr:uid="{00000000-0005-0000-0000-000071190000}"/>
    <cellStyle name="Normal 5 3 12 2" xfId="13255" xr:uid="{9F9C8219-49CF-4055-B2F6-8F1C1557EAFF}"/>
    <cellStyle name="Normal 5 3 13" xfId="9037" xr:uid="{D4AF28E1-DA2D-4CD4-B202-AE4494694436}"/>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10 2" xfId="13256" xr:uid="{9FC08F1F-C703-4D78-8E8C-B29215CDCC47}"/>
    <cellStyle name="Normal 5 3 3 11" xfId="9038" xr:uid="{D2D1FA07-3953-4C75-872D-95F99A29F89C}"/>
    <cellStyle name="Normal 5 3 3 2" xfId="442" xr:uid="{00000000-0005-0000-0000-000076190000}"/>
    <cellStyle name="Normal 5 3 3 2 10" xfId="9039" xr:uid="{23B5A564-C370-48AA-A42F-113E24BCFC6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2 2 2" xfId="15817" xr:uid="{DF6A2265-E50F-4516-97B9-E6E25A4CADFC}"/>
    <cellStyle name="Normal 5 3 3 2 2 2 2 2 3" xfId="11599" xr:uid="{45AC0122-6583-469C-BD07-3AB7FBA43D31}"/>
    <cellStyle name="Normal 5 3 3 2 2 2 2 3" xfId="5230" xr:uid="{00000000-0005-0000-0000-00007C190000}"/>
    <cellStyle name="Normal 5 3 3 2 2 2 2 3 2" xfId="13672" xr:uid="{63714934-D654-497F-BF19-FB3E697C410C}"/>
    <cellStyle name="Normal 5 3 3 2 2 2 2 4" xfId="9454" xr:uid="{4ACFF7DD-E9C1-4C68-A9AF-691323D97D09}"/>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2 2 2" xfId="16230" xr:uid="{74ACBF20-476A-4F40-9934-CB894AA87487}"/>
    <cellStyle name="Normal 5 3 3 2 2 2 3 2 3" xfId="12012" xr:uid="{64AFD239-FDF1-4987-A7E2-B459D17D8D21}"/>
    <cellStyle name="Normal 5 3 3 2 2 2 3 3" xfId="5643" xr:uid="{00000000-0005-0000-0000-000080190000}"/>
    <cellStyle name="Normal 5 3 3 2 2 2 3 3 2" xfId="14085" xr:uid="{485FDFEA-3422-4DEB-A553-85B912E30E68}"/>
    <cellStyle name="Normal 5 3 3 2 2 2 3 4" xfId="9867" xr:uid="{1E246DF3-2127-4A9C-9E18-552995A46B6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2 2 2" xfId="16643" xr:uid="{CF5FAF68-28E0-4257-9D57-B0C2016FE5FC}"/>
    <cellStyle name="Normal 5 3 3 2 2 2 4 2 3" xfId="12425" xr:uid="{3F9FE18B-95F1-4C8B-A886-0F7907F84F5D}"/>
    <cellStyle name="Normal 5 3 3 2 2 2 4 3" xfId="6056" xr:uid="{00000000-0005-0000-0000-000084190000}"/>
    <cellStyle name="Normal 5 3 3 2 2 2 4 3 2" xfId="14498" xr:uid="{7A19CE10-9398-4190-97A8-D4F694F9CE69}"/>
    <cellStyle name="Normal 5 3 3 2 2 2 4 4" xfId="10280" xr:uid="{B6F06222-5DF5-4778-BA52-7D416534885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2 2 2" xfId="17056" xr:uid="{4A4EE186-BAC3-4F2D-90F5-827530D7308C}"/>
    <cellStyle name="Normal 5 3 3 2 2 2 5 2 3" xfId="12838" xr:uid="{55AC27AD-F5F1-49FD-8107-A9919E060CE0}"/>
    <cellStyle name="Normal 5 3 3 2 2 2 5 3" xfId="6469" xr:uid="{00000000-0005-0000-0000-000088190000}"/>
    <cellStyle name="Normal 5 3 3 2 2 2 5 3 2" xfId="14911" xr:uid="{39C0EC54-809B-4DFD-AB50-AC9B06B8425F}"/>
    <cellStyle name="Normal 5 3 3 2 2 2 5 4" xfId="10693" xr:uid="{6294408D-0FF6-4DD8-8A06-7237F4E5BAA1}"/>
    <cellStyle name="Normal 5 3 3 2 2 2 6" xfId="2598" xr:uid="{00000000-0005-0000-0000-000089190000}"/>
    <cellStyle name="Normal 5 3 3 2 2 2 6 2" xfId="6882" xr:uid="{00000000-0005-0000-0000-00008A190000}"/>
    <cellStyle name="Normal 5 3 3 2 2 2 6 2 2" xfId="15324" xr:uid="{EFDCF3B1-E7ED-48B0-AD8F-8B4ACCBAAC22}"/>
    <cellStyle name="Normal 5 3 3 2 2 2 6 3" xfId="11106" xr:uid="{C8EA1079-8235-43F4-A6E8-6DB88C7A06D6}"/>
    <cellStyle name="Normal 5 3 3 2 2 2 7" xfId="4817" xr:uid="{00000000-0005-0000-0000-00008B190000}"/>
    <cellStyle name="Normal 5 3 3 2 2 2 7 2" xfId="13259" xr:uid="{4D866961-B20D-46E0-B57E-BF67B54EA5F2}"/>
    <cellStyle name="Normal 5 3 3 2 2 2 8" xfId="9041" xr:uid="{0D385C6F-3406-4224-894D-F6CAAED30558}"/>
    <cellStyle name="Normal 5 3 3 2 2 3" xfId="917" xr:uid="{00000000-0005-0000-0000-00008C190000}"/>
    <cellStyle name="Normal 5 3 3 2 2 3 2" xfId="3151" xr:uid="{00000000-0005-0000-0000-00008D190000}"/>
    <cellStyle name="Normal 5 3 3 2 2 3 2 2" xfId="7374" xr:uid="{00000000-0005-0000-0000-00008E190000}"/>
    <cellStyle name="Normal 5 3 3 2 2 3 2 2 2" xfId="15816" xr:uid="{8B63E065-E3D6-4998-A30C-2A8727195308}"/>
    <cellStyle name="Normal 5 3 3 2 2 3 2 3" xfId="11598" xr:uid="{5F235953-F830-434F-8668-3F9E3A79C2FC}"/>
    <cellStyle name="Normal 5 3 3 2 2 3 3" xfId="5229" xr:uid="{00000000-0005-0000-0000-00008F190000}"/>
    <cellStyle name="Normal 5 3 3 2 2 3 3 2" xfId="13671" xr:uid="{20A689D3-78F9-48FE-85E1-F79C584E65B7}"/>
    <cellStyle name="Normal 5 3 3 2 2 3 4" xfId="9453" xr:uid="{DE6EE012-CF3E-4F5B-9BC2-70E482DC4A7E}"/>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2 2 2" xfId="16229" xr:uid="{1E4E8371-FB03-4FA3-BB4A-34902254CFE8}"/>
    <cellStyle name="Normal 5 3 3 2 2 4 2 3" xfId="12011" xr:uid="{70019E09-066B-4928-9A0A-48B93EB4885C}"/>
    <cellStyle name="Normal 5 3 3 2 2 4 3" xfId="5642" xr:uid="{00000000-0005-0000-0000-000093190000}"/>
    <cellStyle name="Normal 5 3 3 2 2 4 3 2" xfId="14084" xr:uid="{14F2DC3E-9141-409B-B132-1819B8B65441}"/>
    <cellStyle name="Normal 5 3 3 2 2 4 4" xfId="9866" xr:uid="{2B7A1230-E87C-417F-A4DE-14D4F56F30C2}"/>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2 2 2" xfId="16642" xr:uid="{60E72760-8090-4C2E-BA2B-1A8BFD39B2A1}"/>
    <cellStyle name="Normal 5 3 3 2 2 5 2 3" xfId="12424" xr:uid="{EB9541A7-A46F-42BF-9157-04C55BDB0EB7}"/>
    <cellStyle name="Normal 5 3 3 2 2 5 3" xfId="6055" xr:uid="{00000000-0005-0000-0000-000097190000}"/>
    <cellStyle name="Normal 5 3 3 2 2 5 3 2" xfId="14497" xr:uid="{3163AA76-AE0E-4545-9495-7F3A8559BB02}"/>
    <cellStyle name="Normal 5 3 3 2 2 5 4" xfId="10279" xr:uid="{3BA5C1CC-07D9-450A-9A38-ED8B0089EF76}"/>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2 2 2" xfId="17055" xr:uid="{D884DE29-47AA-44B6-91FE-FF87CDE95FB9}"/>
    <cellStyle name="Normal 5 3 3 2 2 6 2 3" xfId="12837" xr:uid="{F6503416-4892-44EE-8812-3C0AE3C12C00}"/>
    <cellStyle name="Normal 5 3 3 2 2 6 3" xfId="6468" xr:uid="{00000000-0005-0000-0000-00009B190000}"/>
    <cellStyle name="Normal 5 3 3 2 2 6 3 2" xfId="14910" xr:uid="{29C486D2-B464-457F-BE80-149DC3288BAE}"/>
    <cellStyle name="Normal 5 3 3 2 2 6 4" xfId="10692" xr:uid="{428B383E-AB79-4AC8-8524-0C9FB2122106}"/>
    <cellStyle name="Normal 5 3 3 2 2 7" xfId="2597" xr:uid="{00000000-0005-0000-0000-00009C190000}"/>
    <cellStyle name="Normal 5 3 3 2 2 7 2" xfId="6881" xr:uid="{00000000-0005-0000-0000-00009D190000}"/>
    <cellStyle name="Normal 5 3 3 2 2 7 2 2" xfId="15323" xr:uid="{DC1285A8-B0BE-40DF-9C33-B46392329125}"/>
    <cellStyle name="Normal 5 3 3 2 2 7 3" xfId="11105" xr:uid="{017A672B-A4BB-43A1-A2D1-60BFD6448DB8}"/>
    <cellStyle name="Normal 5 3 3 2 2 8" xfId="4816" xr:uid="{00000000-0005-0000-0000-00009E190000}"/>
    <cellStyle name="Normal 5 3 3 2 2 8 2" xfId="13258" xr:uid="{51CFFDCC-5312-4E47-9093-726F5158376D}"/>
    <cellStyle name="Normal 5 3 3 2 2 9" xfId="9040" xr:uid="{3FAACD9E-B225-4E36-8AAD-25DDFC0295BE}"/>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2 2 2" xfId="15818" xr:uid="{C7AE76D3-774C-45B8-BB36-35E6221A8A2C}"/>
    <cellStyle name="Normal 5 3 3 2 3 2 2 3" xfId="11600" xr:uid="{29A055C3-E376-4966-AD2F-BF48ADFECEDC}"/>
    <cellStyle name="Normal 5 3 3 2 3 2 3" xfId="5231" xr:uid="{00000000-0005-0000-0000-0000A3190000}"/>
    <cellStyle name="Normal 5 3 3 2 3 2 3 2" xfId="13673" xr:uid="{BEC505D4-0F0C-445A-99B5-FF1BD184BB6F}"/>
    <cellStyle name="Normal 5 3 3 2 3 2 4" xfId="9455" xr:uid="{6FAC6882-CDD0-490E-83A8-DBA16CBC447C}"/>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2 2 2" xfId="16231" xr:uid="{021A2BC5-D54D-4700-AC9E-3CE738AD3A97}"/>
    <cellStyle name="Normal 5 3 3 2 3 3 2 3" xfId="12013" xr:uid="{9FB3B3C3-F501-4EC0-8197-27E215C9A82E}"/>
    <cellStyle name="Normal 5 3 3 2 3 3 3" xfId="5644" xr:uid="{00000000-0005-0000-0000-0000A7190000}"/>
    <cellStyle name="Normal 5 3 3 2 3 3 3 2" xfId="14086" xr:uid="{A8B5C06C-C7CF-40B7-BF30-724C5EBE57F7}"/>
    <cellStyle name="Normal 5 3 3 2 3 3 4" xfId="9868" xr:uid="{6C4E3F8E-BA03-4750-96C1-5DE0BF5327B3}"/>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2 2 2" xfId="16644" xr:uid="{BAC15505-A37B-4BBD-8205-9DD31841B7D3}"/>
    <cellStyle name="Normal 5 3 3 2 3 4 2 3" xfId="12426" xr:uid="{11E729F5-AE55-490A-B62E-FF17BDA8A6ED}"/>
    <cellStyle name="Normal 5 3 3 2 3 4 3" xfId="6057" xr:uid="{00000000-0005-0000-0000-0000AB190000}"/>
    <cellStyle name="Normal 5 3 3 2 3 4 3 2" xfId="14499" xr:uid="{546089E1-9079-4C79-8024-28EF546B5788}"/>
    <cellStyle name="Normal 5 3 3 2 3 4 4" xfId="10281" xr:uid="{44D20CCB-34D4-4ED2-964E-DFAAB9C3BE07}"/>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2 2 2" xfId="17057" xr:uid="{D656DF76-7BE6-4824-BF2A-225E20739ECB}"/>
    <cellStyle name="Normal 5 3 3 2 3 5 2 3" xfId="12839" xr:uid="{3E251168-5422-4EA4-AAE3-E61DB1E9DF3D}"/>
    <cellStyle name="Normal 5 3 3 2 3 5 3" xfId="6470" xr:uid="{00000000-0005-0000-0000-0000AF190000}"/>
    <cellStyle name="Normal 5 3 3 2 3 5 3 2" xfId="14912" xr:uid="{C6C45552-8BBE-40B6-A106-F2B13E521B9B}"/>
    <cellStyle name="Normal 5 3 3 2 3 5 4" xfId="10694" xr:uid="{DEF1C66F-E551-4F61-9E52-09FE253DFC2F}"/>
    <cellStyle name="Normal 5 3 3 2 3 6" xfId="2599" xr:uid="{00000000-0005-0000-0000-0000B0190000}"/>
    <cellStyle name="Normal 5 3 3 2 3 6 2" xfId="6883" xr:uid="{00000000-0005-0000-0000-0000B1190000}"/>
    <cellStyle name="Normal 5 3 3 2 3 6 2 2" xfId="15325" xr:uid="{C2917544-597F-4C4F-AEBB-9CA7ED6D3FCF}"/>
    <cellStyle name="Normal 5 3 3 2 3 6 3" xfId="11107" xr:uid="{98EC9E49-9569-4D4B-A7A7-ADB46B9FF0FC}"/>
    <cellStyle name="Normal 5 3 3 2 3 7" xfId="4818" xr:uid="{00000000-0005-0000-0000-0000B2190000}"/>
    <cellStyle name="Normal 5 3 3 2 3 7 2" xfId="13260" xr:uid="{E1610C77-EDA7-43D4-B084-50153BC65F6F}"/>
    <cellStyle name="Normal 5 3 3 2 3 8" xfId="9042" xr:uid="{82164E63-BF50-4879-970C-BF7152B9DA06}"/>
    <cellStyle name="Normal 5 3 3 2 4" xfId="916" xr:uid="{00000000-0005-0000-0000-0000B3190000}"/>
    <cellStyle name="Normal 5 3 3 2 4 2" xfId="3150" xr:uid="{00000000-0005-0000-0000-0000B4190000}"/>
    <cellStyle name="Normal 5 3 3 2 4 2 2" xfId="7373" xr:uid="{00000000-0005-0000-0000-0000B5190000}"/>
    <cellStyle name="Normal 5 3 3 2 4 2 2 2" xfId="15815" xr:uid="{E8B4AEBA-9D2E-4DBA-A89B-558725432FD1}"/>
    <cellStyle name="Normal 5 3 3 2 4 2 3" xfId="11597" xr:uid="{DB2738AA-C452-4C05-BDC6-39D972CA4FA0}"/>
    <cellStyle name="Normal 5 3 3 2 4 3" xfId="5228" xr:uid="{00000000-0005-0000-0000-0000B6190000}"/>
    <cellStyle name="Normal 5 3 3 2 4 3 2" xfId="13670" xr:uid="{232FA074-65B8-46D9-8CBC-ADDFA0C9A11F}"/>
    <cellStyle name="Normal 5 3 3 2 4 4" xfId="9452" xr:uid="{0296409D-FCF9-4AE3-A357-C3D18CFB2862}"/>
    <cellStyle name="Normal 5 3 3 2 5" xfId="1333" xr:uid="{00000000-0005-0000-0000-0000B7190000}"/>
    <cellStyle name="Normal 5 3 3 2 5 2" xfId="3563" xr:uid="{00000000-0005-0000-0000-0000B8190000}"/>
    <cellStyle name="Normal 5 3 3 2 5 2 2" xfId="7786" xr:uid="{00000000-0005-0000-0000-0000B9190000}"/>
    <cellStyle name="Normal 5 3 3 2 5 2 2 2" xfId="16228" xr:uid="{BC5D314F-C68E-4DEB-AD40-BB7FE3AF024D}"/>
    <cellStyle name="Normal 5 3 3 2 5 2 3" xfId="12010" xr:uid="{E1C38759-28C6-4638-9D3C-3874692E5398}"/>
    <cellStyle name="Normal 5 3 3 2 5 3" xfId="5641" xr:uid="{00000000-0005-0000-0000-0000BA190000}"/>
    <cellStyle name="Normal 5 3 3 2 5 3 2" xfId="14083" xr:uid="{6D0FC15C-4E0B-4E31-9ED0-D8BEFF5F9CDB}"/>
    <cellStyle name="Normal 5 3 3 2 5 4" xfId="9865" xr:uid="{AC1F5271-2D78-4366-95AD-BD786A4EAFF1}"/>
    <cellStyle name="Normal 5 3 3 2 6" xfId="1746" xr:uid="{00000000-0005-0000-0000-0000BB190000}"/>
    <cellStyle name="Normal 5 3 3 2 6 2" xfId="3976" xr:uid="{00000000-0005-0000-0000-0000BC190000}"/>
    <cellStyle name="Normal 5 3 3 2 6 2 2" xfId="8199" xr:uid="{00000000-0005-0000-0000-0000BD190000}"/>
    <cellStyle name="Normal 5 3 3 2 6 2 2 2" xfId="16641" xr:uid="{74C9BFE4-C4AC-477E-8F45-2595C9B0DE1D}"/>
    <cellStyle name="Normal 5 3 3 2 6 2 3" xfId="12423" xr:uid="{82E4017A-79CC-4EB0-A75E-66AD8AFDB56C}"/>
    <cellStyle name="Normal 5 3 3 2 6 3" xfId="6054" xr:uid="{00000000-0005-0000-0000-0000BE190000}"/>
    <cellStyle name="Normal 5 3 3 2 6 3 2" xfId="14496" xr:uid="{06383836-CFAC-4E23-8279-78E155FE4C71}"/>
    <cellStyle name="Normal 5 3 3 2 6 4" xfId="10278" xr:uid="{C980DC9E-03E3-4FB4-92EB-322942CB84F2}"/>
    <cellStyle name="Normal 5 3 3 2 7" xfId="2160" xr:uid="{00000000-0005-0000-0000-0000BF190000}"/>
    <cellStyle name="Normal 5 3 3 2 7 2" xfId="4389" xr:uid="{00000000-0005-0000-0000-0000C0190000}"/>
    <cellStyle name="Normal 5 3 3 2 7 2 2" xfId="8612" xr:uid="{00000000-0005-0000-0000-0000C1190000}"/>
    <cellStyle name="Normal 5 3 3 2 7 2 2 2" xfId="17054" xr:uid="{95ADD78A-613B-4627-B692-A2AB311D412B}"/>
    <cellStyle name="Normal 5 3 3 2 7 2 3" xfId="12836" xr:uid="{C6598558-C224-48B0-BC37-A650A7F07765}"/>
    <cellStyle name="Normal 5 3 3 2 7 3" xfId="6467" xr:uid="{00000000-0005-0000-0000-0000C2190000}"/>
    <cellStyle name="Normal 5 3 3 2 7 3 2" xfId="14909" xr:uid="{085BAD64-9F41-4803-8356-CD3673A8B22D}"/>
    <cellStyle name="Normal 5 3 3 2 7 4" xfId="10691" xr:uid="{FBC2D102-DC92-4EEB-A8F1-998DF3C2A6D0}"/>
    <cellStyle name="Normal 5 3 3 2 8" xfId="2596" xr:uid="{00000000-0005-0000-0000-0000C3190000}"/>
    <cellStyle name="Normal 5 3 3 2 8 2" xfId="6880" xr:uid="{00000000-0005-0000-0000-0000C4190000}"/>
    <cellStyle name="Normal 5 3 3 2 8 2 2" xfId="15322" xr:uid="{BF43CCBF-10CF-432A-93AC-13252A64F939}"/>
    <cellStyle name="Normal 5 3 3 2 8 3" xfId="11104" xr:uid="{7E3E2A38-2442-4134-BDDD-7D1B48CB4B02}"/>
    <cellStyle name="Normal 5 3 3 2 9" xfId="4815" xr:uid="{00000000-0005-0000-0000-0000C5190000}"/>
    <cellStyle name="Normal 5 3 3 2 9 2" xfId="13257" xr:uid="{3727DFF7-7A8C-4004-ABC9-0CE19D999BA1}"/>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2 2 2" xfId="15820" xr:uid="{59390672-C232-4609-9342-4C2703E9D503}"/>
    <cellStyle name="Normal 5 3 3 3 2 2 2 3" xfId="11602" xr:uid="{AD5D1960-0B9F-4254-B50C-365580468653}"/>
    <cellStyle name="Normal 5 3 3 3 2 2 3" xfId="5233" xr:uid="{00000000-0005-0000-0000-0000CB190000}"/>
    <cellStyle name="Normal 5 3 3 3 2 2 3 2" xfId="13675" xr:uid="{ABE2B9BD-892D-4E0B-B21F-70D019B0F6E2}"/>
    <cellStyle name="Normal 5 3 3 3 2 2 4" xfId="9457" xr:uid="{B30B6D33-B84A-4061-8D50-40DE89C7859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2 2 2" xfId="16233" xr:uid="{926A28C7-57EB-4BC4-9B21-280F79B8B1B8}"/>
    <cellStyle name="Normal 5 3 3 3 2 3 2 3" xfId="12015" xr:uid="{04D41984-81A4-4200-9BA5-488B35C47160}"/>
    <cellStyle name="Normal 5 3 3 3 2 3 3" xfId="5646" xr:uid="{00000000-0005-0000-0000-0000CF190000}"/>
    <cellStyle name="Normal 5 3 3 3 2 3 3 2" xfId="14088" xr:uid="{D318BF24-5F7C-4DD3-A441-BC45A38E8F89}"/>
    <cellStyle name="Normal 5 3 3 3 2 3 4" xfId="9870" xr:uid="{1AA73E6B-6AC4-49EB-AE58-4931B4F1E4B1}"/>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2 2 2" xfId="16646" xr:uid="{E5EFC7D6-A6EC-4222-887C-4D8F8890B0E8}"/>
    <cellStyle name="Normal 5 3 3 3 2 4 2 3" xfId="12428" xr:uid="{F16B5536-C058-45C6-BF03-1BD0FAF09414}"/>
    <cellStyle name="Normal 5 3 3 3 2 4 3" xfId="6059" xr:uid="{00000000-0005-0000-0000-0000D3190000}"/>
    <cellStyle name="Normal 5 3 3 3 2 4 3 2" xfId="14501" xr:uid="{A959FD3A-77EF-44D5-9BDC-DB0AF7803801}"/>
    <cellStyle name="Normal 5 3 3 3 2 4 4" xfId="10283" xr:uid="{6B763BFF-F45A-49DF-A3D3-A20643BFFDD2}"/>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2 2 2" xfId="17059" xr:uid="{C38C5FF9-AF0D-4BDA-B17E-9B43FCDCFA18}"/>
    <cellStyle name="Normal 5 3 3 3 2 5 2 3" xfId="12841" xr:uid="{32B8C6AE-8C79-4B94-AD38-97EAEE791714}"/>
    <cellStyle name="Normal 5 3 3 3 2 5 3" xfId="6472" xr:uid="{00000000-0005-0000-0000-0000D7190000}"/>
    <cellStyle name="Normal 5 3 3 3 2 5 3 2" xfId="14914" xr:uid="{267DC6C0-2F3E-4772-8346-CDA94424D192}"/>
    <cellStyle name="Normal 5 3 3 3 2 5 4" xfId="10696" xr:uid="{8DF649B2-64C9-433F-ADF9-1B5DCBD39E0C}"/>
    <cellStyle name="Normal 5 3 3 3 2 6" xfId="2601" xr:uid="{00000000-0005-0000-0000-0000D8190000}"/>
    <cellStyle name="Normal 5 3 3 3 2 6 2" xfId="6885" xr:uid="{00000000-0005-0000-0000-0000D9190000}"/>
    <cellStyle name="Normal 5 3 3 3 2 6 2 2" xfId="15327" xr:uid="{8C5593DD-8631-4838-99D9-7C5DAE229B81}"/>
    <cellStyle name="Normal 5 3 3 3 2 6 3" xfId="11109" xr:uid="{52D308A9-5894-46AF-AA0E-FDE3C385FD4A}"/>
    <cellStyle name="Normal 5 3 3 3 2 7" xfId="4820" xr:uid="{00000000-0005-0000-0000-0000DA190000}"/>
    <cellStyle name="Normal 5 3 3 3 2 7 2" xfId="13262" xr:uid="{8157D5F9-DB15-4C06-B753-9FF920BEAD00}"/>
    <cellStyle name="Normal 5 3 3 3 2 8" xfId="9044" xr:uid="{1BF1B9D7-BA2E-462A-8466-9C6EF5558E76}"/>
    <cellStyle name="Normal 5 3 3 3 3" xfId="920" xr:uid="{00000000-0005-0000-0000-0000DB190000}"/>
    <cellStyle name="Normal 5 3 3 3 3 2" xfId="3154" xr:uid="{00000000-0005-0000-0000-0000DC190000}"/>
    <cellStyle name="Normal 5 3 3 3 3 2 2" xfId="7377" xr:uid="{00000000-0005-0000-0000-0000DD190000}"/>
    <cellStyle name="Normal 5 3 3 3 3 2 2 2" xfId="15819" xr:uid="{3ECDEE8A-515E-46D4-AC20-39043D9E22BB}"/>
    <cellStyle name="Normal 5 3 3 3 3 2 3" xfId="11601" xr:uid="{AD92E44F-58AA-4029-AFD3-E25B57DF2CC2}"/>
    <cellStyle name="Normal 5 3 3 3 3 3" xfId="5232" xr:uid="{00000000-0005-0000-0000-0000DE190000}"/>
    <cellStyle name="Normal 5 3 3 3 3 3 2" xfId="13674" xr:uid="{93B7E56D-F8CB-4644-A720-F14C0FC4A87E}"/>
    <cellStyle name="Normal 5 3 3 3 3 4" xfId="9456" xr:uid="{42A74029-673A-4E74-AC2A-7B3B30E46DA7}"/>
    <cellStyle name="Normal 5 3 3 3 4" xfId="1337" xr:uid="{00000000-0005-0000-0000-0000DF190000}"/>
    <cellStyle name="Normal 5 3 3 3 4 2" xfId="3567" xr:uid="{00000000-0005-0000-0000-0000E0190000}"/>
    <cellStyle name="Normal 5 3 3 3 4 2 2" xfId="7790" xr:uid="{00000000-0005-0000-0000-0000E1190000}"/>
    <cellStyle name="Normal 5 3 3 3 4 2 2 2" xfId="16232" xr:uid="{F92E89AF-A900-4C59-9A07-DEDE50BBF47B}"/>
    <cellStyle name="Normal 5 3 3 3 4 2 3" xfId="12014" xr:uid="{69A3DABF-3E81-4FD3-931D-AEE19C0A0460}"/>
    <cellStyle name="Normal 5 3 3 3 4 3" xfId="5645" xr:uid="{00000000-0005-0000-0000-0000E2190000}"/>
    <cellStyle name="Normal 5 3 3 3 4 3 2" xfId="14087" xr:uid="{AA663F1F-5A28-4B1A-B176-9C8FA2B7F2DF}"/>
    <cellStyle name="Normal 5 3 3 3 4 4" xfId="9869" xr:uid="{A8A23E65-4FDD-4AE2-8A58-621CE315F579}"/>
    <cellStyle name="Normal 5 3 3 3 5" xfId="1750" xr:uid="{00000000-0005-0000-0000-0000E3190000}"/>
    <cellStyle name="Normal 5 3 3 3 5 2" xfId="3980" xr:uid="{00000000-0005-0000-0000-0000E4190000}"/>
    <cellStyle name="Normal 5 3 3 3 5 2 2" xfId="8203" xr:uid="{00000000-0005-0000-0000-0000E5190000}"/>
    <cellStyle name="Normal 5 3 3 3 5 2 2 2" xfId="16645" xr:uid="{5559178B-B2E8-4EF5-A251-F385E6DA71F2}"/>
    <cellStyle name="Normal 5 3 3 3 5 2 3" xfId="12427" xr:uid="{403602B9-2340-4F2C-BBAB-D3B1DBC35F9E}"/>
    <cellStyle name="Normal 5 3 3 3 5 3" xfId="6058" xr:uid="{00000000-0005-0000-0000-0000E6190000}"/>
    <cellStyle name="Normal 5 3 3 3 5 3 2" xfId="14500" xr:uid="{88778099-125D-4D2D-8977-1AEAC88519AD}"/>
    <cellStyle name="Normal 5 3 3 3 5 4" xfId="10282" xr:uid="{5E52AF0A-853B-4037-9CE1-2700CA80C954}"/>
    <cellStyle name="Normal 5 3 3 3 6" xfId="2164" xr:uid="{00000000-0005-0000-0000-0000E7190000}"/>
    <cellStyle name="Normal 5 3 3 3 6 2" xfId="4393" xr:uid="{00000000-0005-0000-0000-0000E8190000}"/>
    <cellStyle name="Normal 5 3 3 3 6 2 2" xfId="8616" xr:uid="{00000000-0005-0000-0000-0000E9190000}"/>
    <cellStyle name="Normal 5 3 3 3 6 2 2 2" xfId="17058" xr:uid="{C163AFF0-6576-4BB8-AD3B-6F48DEEA2624}"/>
    <cellStyle name="Normal 5 3 3 3 6 2 3" xfId="12840" xr:uid="{FCC767FF-F092-4855-8765-83F2D05D49BD}"/>
    <cellStyle name="Normal 5 3 3 3 6 3" xfId="6471" xr:uid="{00000000-0005-0000-0000-0000EA190000}"/>
    <cellStyle name="Normal 5 3 3 3 6 3 2" xfId="14913" xr:uid="{3A96206C-6F6F-4BC9-9955-EEE2263E2C52}"/>
    <cellStyle name="Normal 5 3 3 3 6 4" xfId="10695" xr:uid="{3CFA20FB-EE26-410A-B7D9-7AE2E67D5EFF}"/>
    <cellStyle name="Normal 5 3 3 3 7" xfId="2600" xr:uid="{00000000-0005-0000-0000-0000EB190000}"/>
    <cellStyle name="Normal 5 3 3 3 7 2" xfId="6884" xr:uid="{00000000-0005-0000-0000-0000EC190000}"/>
    <cellStyle name="Normal 5 3 3 3 7 2 2" xfId="15326" xr:uid="{095E910E-1CAB-4414-9C87-EEE32278ADCE}"/>
    <cellStyle name="Normal 5 3 3 3 7 3" xfId="11108" xr:uid="{C4F30895-3542-420A-81B5-9B68F4814D53}"/>
    <cellStyle name="Normal 5 3 3 3 8" xfId="4819" xr:uid="{00000000-0005-0000-0000-0000ED190000}"/>
    <cellStyle name="Normal 5 3 3 3 8 2" xfId="13261" xr:uid="{558D3673-3A1F-47E8-8830-9BC94EF3813E}"/>
    <cellStyle name="Normal 5 3 3 3 9" xfId="9043" xr:uid="{15644B75-DBEE-4879-854B-43D271422F42}"/>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2 2 2" xfId="15821" xr:uid="{F607E3B0-882E-446F-8C63-F73177A2D5F6}"/>
    <cellStyle name="Normal 5 3 3 4 2 2 3" xfId="11603" xr:uid="{E4DD293D-CC5B-40A3-9C24-B28BCD3E8F92}"/>
    <cellStyle name="Normal 5 3 3 4 2 3" xfId="5234" xr:uid="{00000000-0005-0000-0000-0000F2190000}"/>
    <cellStyle name="Normal 5 3 3 4 2 3 2" xfId="13676" xr:uid="{84E6C2EB-9C94-4C22-8687-17E89E60F699}"/>
    <cellStyle name="Normal 5 3 3 4 2 4" xfId="9458" xr:uid="{BAE924C5-EC59-47D0-BB23-CA7F04BEF891}"/>
    <cellStyle name="Normal 5 3 3 4 3" xfId="1339" xr:uid="{00000000-0005-0000-0000-0000F3190000}"/>
    <cellStyle name="Normal 5 3 3 4 3 2" xfId="3569" xr:uid="{00000000-0005-0000-0000-0000F4190000}"/>
    <cellStyle name="Normal 5 3 3 4 3 2 2" xfId="7792" xr:uid="{00000000-0005-0000-0000-0000F5190000}"/>
    <cellStyle name="Normal 5 3 3 4 3 2 2 2" xfId="16234" xr:uid="{608295C9-16D4-4326-8400-332A329D4580}"/>
    <cellStyle name="Normal 5 3 3 4 3 2 3" xfId="12016" xr:uid="{82638B10-60A4-4C20-BA93-A6DF652DD3A7}"/>
    <cellStyle name="Normal 5 3 3 4 3 3" xfId="5647" xr:uid="{00000000-0005-0000-0000-0000F6190000}"/>
    <cellStyle name="Normal 5 3 3 4 3 3 2" xfId="14089" xr:uid="{B833A852-6C3B-43FC-9FC5-2FECCDC9235D}"/>
    <cellStyle name="Normal 5 3 3 4 3 4" xfId="9871" xr:uid="{B001F17E-C370-4897-8AA4-5E78DACA3B95}"/>
    <cellStyle name="Normal 5 3 3 4 4" xfId="1752" xr:uid="{00000000-0005-0000-0000-0000F7190000}"/>
    <cellStyle name="Normal 5 3 3 4 4 2" xfId="3982" xr:uid="{00000000-0005-0000-0000-0000F8190000}"/>
    <cellStyle name="Normal 5 3 3 4 4 2 2" xfId="8205" xr:uid="{00000000-0005-0000-0000-0000F9190000}"/>
    <cellStyle name="Normal 5 3 3 4 4 2 2 2" xfId="16647" xr:uid="{D648D7C1-6C97-448A-BDBD-BB56EB659C24}"/>
    <cellStyle name="Normal 5 3 3 4 4 2 3" xfId="12429" xr:uid="{F80A5657-9F9B-4F3E-947F-99A46A6882B6}"/>
    <cellStyle name="Normal 5 3 3 4 4 3" xfId="6060" xr:uid="{00000000-0005-0000-0000-0000FA190000}"/>
    <cellStyle name="Normal 5 3 3 4 4 3 2" xfId="14502" xr:uid="{AEF2CC6A-0CA1-493C-9A11-BEEEDCA347EB}"/>
    <cellStyle name="Normal 5 3 3 4 4 4" xfId="10284" xr:uid="{54DCA2F6-20F8-4F2C-9735-F847F5F5C79A}"/>
    <cellStyle name="Normal 5 3 3 4 5" xfId="2166" xr:uid="{00000000-0005-0000-0000-0000FB190000}"/>
    <cellStyle name="Normal 5 3 3 4 5 2" xfId="4395" xr:uid="{00000000-0005-0000-0000-0000FC190000}"/>
    <cellStyle name="Normal 5 3 3 4 5 2 2" xfId="8618" xr:uid="{00000000-0005-0000-0000-0000FD190000}"/>
    <cellStyle name="Normal 5 3 3 4 5 2 2 2" xfId="17060" xr:uid="{4E3110BA-DBD7-4F76-89CF-175AEF52801B}"/>
    <cellStyle name="Normal 5 3 3 4 5 2 3" xfId="12842" xr:uid="{17408353-6A5A-4813-BB32-ED6EEB967FCE}"/>
    <cellStyle name="Normal 5 3 3 4 5 3" xfId="6473" xr:uid="{00000000-0005-0000-0000-0000FE190000}"/>
    <cellStyle name="Normal 5 3 3 4 5 3 2" xfId="14915" xr:uid="{A8A8EF2D-9419-4182-A3EB-A15A28AD3166}"/>
    <cellStyle name="Normal 5 3 3 4 5 4" xfId="10697" xr:uid="{2C8A4925-E4EB-4B42-B3CC-087F88457C5F}"/>
    <cellStyle name="Normal 5 3 3 4 6" xfId="2602" xr:uid="{00000000-0005-0000-0000-0000FF190000}"/>
    <cellStyle name="Normal 5 3 3 4 6 2" xfId="6886" xr:uid="{00000000-0005-0000-0000-0000001A0000}"/>
    <cellStyle name="Normal 5 3 3 4 6 2 2" xfId="15328" xr:uid="{483C29C2-6BB2-4A60-98A7-17F3B4850111}"/>
    <cellStyle name="Normal 5 3 3 4 6 3" xfId="11110" xr:uid="{34C6EA38-D314-45B7-BF97-B03EF818AA64}"/>
    <cellStyle name="Normal 5 3 3 4 7" xfId="4821" xr:uid="{00000000-0005-0000-0000-0000011A0000}"/>
    <cellStyle name="Normal 5 3 3 4 7 2" xfId="13263" xr:uid="{686E1FD8-4AE3-465F-8EA4-2180E14CED2A}"/>
    <cellStyle name="Normal 5 3 3 4 8" xfId="9045" xr:uid="{1D9B354A-B8C3-48D3-88B8-1CB5209DC112}"/>
    <cellStyle name="Normal 5 3 3 5" xfId="915" xr:uid="{00000000-0005-0000-0000-0000021A0000}"/>
    <cellStyle name="Normal 5 3 3 5 2" xfId="3149" xr:uid="{00000000-0005-0000-0000-0000031A0000}"/>
    <cellStyle name="Normal 5 3 3 5 2 2" xfId="7372" xr:uid="{00000000-0005-0000-0000-0000041A0000}"/>
    <cellStyle name="Normal 5 3 3 5 2 2 2" xfId="15814" xr:uid="{11C2D99C-8E08-4E67-A9A9-92EBC3728261}"/>
    <cellStyle name="Normal 5 3 3 5 2 3" xfId="11596" xr:uid="{BA3523F2-2905-4A12-88CD-9CFD83153CF9}"/>
    <cellStyle name="Normal 5 3 3 5 3" xfId="5227" xr:uid="{00000000-0005-0000-0000-0000051A0000}"/>
    <cellStyle name="Normal 5 3 3 5 3 2" xfId="13669" xr:uid="{E6CA515B-C5A3-4820-8EE5-A0B28787BA21}"/>
    <cellStyle name="Normal 5 3 3 5 4" xfId="9451" xr:uid="{3DA1FB74-F420-48EA-A29D-AF414A5AE6C6}"/>
    <cellStyle name="Normal 5 3 3 6" xfId="1332" xr:uid="{00000000-0005-0000-0000-0000061A0000}"/>
    <cellStyle name="Normal 5 3 3 6 2" xfId="3562" xr:uid="{00000000-0005-0000-0000-0000071A0000}"/>
    <cellStyle name="Normal 5 3 3 6 2 2" xfId="7785" xr:uid="{00000000-0005-0000-0000-0000081A0000}"/>
    <cellStyle name="Normal 5 3 3 6 2 2 2" xfId="16227" xr:uid="{6E072691-A8D3-4793-B4D7-0C3EBC49F26E}"/>
    <cellStyle name="Normal 5 3 3 6 2 3" xfId="12009" xr:uid="{C33E0EF6-0B9B-4089-95CD-DEABDC526C4B}"/>
    <cellStyle name="Normal 5 3 3 6 3" xfId="5640" xr:uid="{00000000-0005-0000-0000-0000091A0000}"/>
    <cellStyle name="Normal 5 3 3 6 3 2" xfId="14082" xr:uid="{524C6352-4599-42A4-BFD5-5EEE41FC9C5E}"/>
    <cellStyle name="Normal 5 3 3 6 4" xfId="9864" xr:uid="{25E24D6F-9F32-4CB2-9D3C-63C7E87744D4}"/>
    <cellStyle name="Normal 5 3 3 7" xfId="1745" xr:uid="{00000000-0005-0000-0000-00000A1A0000}"/>
    <cellStyle name="Normal 5 3 3 7 2" xfId="3975" xr:uid="{00000000-0005-0000-0000-00000B1A0000}"/>
    <cellStyle name="Normal 5 3 3 7 2 2" xfId="8198" xr:uid="{00000000-0005-0000-0000-00000C1A0000}"/>
    <cellStyle name="Normal 5 3 3 7 2 2 2" xfId="16640" xr:uid="{4D2A2904-9E97-4CAA-A588-75666073BBF9}"/>
    <cellStyle name="Normal 5 3 3 7 2 3" xfId="12422" xr:uid="{2447BD81-F694-4DED-A95D-459C49F5062C}"/>
    <cellStyle name="Normal 5 3 3 7 3" xfId="6053" xr:uid="{00000000-0005-0000-0000-00000D1A0000}"/>
    <cellStyle name="Normal 5 3 3 7 3 2" xfId="14495" xr:uid="{BF5104AF-D544-4080-8A2E-2ABCBDB3FBC9}"/>
    <cellStyle name="Normal 5 3 3 7 4" xfId="10277" xr:uid="{AF9CA8A2-E2A7-4874-9E21-619034DDAB8B}"/>
    <cellStyle name="Normal 5 3 3 8" xfId="2159" xr:uid="{00000000-0005-0000-0000-00000E1A0000}"/>
    <cellStyle name="Normal 5 3 3 8 2" xfId="4388" xr:uid="{00000000-0005-0000-0000-00000F1A0000}"/>
    <cellStyle name="Normal 5 3 3 8 2 2" xfId="8611" xr:uid="{00000000-0005-0000-0000-0000101A0000}"/>
    <cellStyle name="Normal 5 3 3 8 2 2 2" xfId="17053" xr:uid="{D076DE5E-3AE5-40FF-B8C3-3F6C708B7146}"/>
    <cellStyle name="Normal 5 3 3 8 2 3" xfId="12835" xr:uid="{464AE130-BAC4-4BCE-91BC-2B8E39FC281F}"/>
    <cellStyle name="Normal 5 3 3 8 3" xfId="6466" xr:uid="{00000000-0005-0000-0000-0000111A0000}"/>
    <cellStyle name="Normal 5 3 3 8 3 2" xfId="14908" xr:uid="{F88700A3-8C8C-44BA-A446-234FABB5B142}"/>
    <cellStyle name="Normal 5 3 3 8 4" xfId="10690" xr:uid="{C91F4E40-B2E4-4E0B-9DD8-F9972250A8AE}"/>
    <cellStyle name="Normal 5 3 3 9" xfId="2595" xr:uid="{00000000-0005-0000-0000-0000121A0000}"/>
    <cellStyle name="Normal 5 3 3 9 2" xfId="6879" xr:uid="{00000000-0005-0000-0000-0000131A0000}"/>
    <cellStyle name="Normal 5 3 3 9 2 2" xfId="15321" xr:uid="{FDFE44AA-E7B8-4383-887A-905C73ECB1B6}"/>
    <cellStyle name="Normal 5 3 3 9 3" xfId="11103" xr:uid="{A6E1D736-A0A2-4639-899C-C183FF66BD99}"/>
    <cellStyle name="Normal 5 3 4" xfId="449" xr:uid="{00000000-0005-0000-0000-0000141A0000}"/>
    <cellStyle name="Normal 5 3 4 10" xfId="9046" xr:uid="{C313F7A2-8F49-4D2A-97BF-24CFA316F833}"/>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2 2 2" xfId="15824" xr:uid="{82BD9DDB-04E0-44A8-B577-5087B7E25178}"/>
    <cellStyle name="Normal 5 3 4 2 2 2 2 3" xfId="11606" xr:uid="{728B1A81-39C7-4739-AC6A-0814346B0E6F}"/>
    <cellStyle name="Normal 5 3 4 2 2 2 3" xfId="5237" xr:uid="{00000000-0005-0000-0000-00001A1A0000}"/>
    <cellStyle name="Normal 5 3 4 2 2 2 3 2" xfId="13679" xr:uid="{C5950C3F-B17B-4C20-8E8B-669E73866A75}"/>
    <cellStyle name="Normal 5 3 4 2 2 2 4" xfId="9461" xr:uid="{D842DB14-25BD-4FC8-B73A-7B05291E4FFE}"/>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2 2 2" xfId="16237" xr:uid="{A5BCA2B9-A760-4780-936E-60ADE395AF5E}"/>
    <cellStyle name="Normal 5 3 4 2 2 3 2 3" xfId="12019" xr:uid="{DF181CA5-B1DA-47EF-99B0-FC750A679E4D}"/>
    <cellStyle name="Normal 5 3 4 2 2 3 3" xfId="5650" xr:uid="{00000000-0005-0000-0000-00001E1A0000}"/>
    <cellStyle name="Normal 5 3 4 2 2 3 3 2" xfId="14092" xr:uid="{18D25736-FAA5-47B7-A25C-61FD82E8F9F3}"/>
    <cellStyle name="Normal 5 3 4 2 2 3 4" xfId="9874" xr:uid="{777BC121-A97B-4EDF-B054-0E2D7426F5FF}"/>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2 2 2" xfId="16650" xr:uid="{52E1AA7B-E708-441B-9A91-A22D219E295B}"/>
    <cellStyle name="Normal 5 3 4 2 2 4 2 3" xfId="12432" xr:uid="{586A0A1F-11EA-46BB-A13D-CF4DC10A2B32}"/>
    <cellStyle name="Normal 5 3 4 2 2 4 3" xfId="6063" xr:uid="{00000000-0005-0000-0000-0000221A0000}"/>
    <cellStyle name="Normal 5 3 4 2 2 4 3 2" xfId="14505" xr:uid="{5944E616-81D4-404A-B5DF-C464863DC6E4}"/>
    <cellStyle name="Normal 5 3 4 2 2 4 4" xfId="10287" xr:uid="{E5B2697B-D151-44CF-B1B1-7DDA50EE7B8C}"/>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2 2 2" xfId="17063" xr:uid="{5DD618D5-C333-4ED8-A709-70E766099ABC}"/>
    <cellStyle name="Normal 5 3 4 2 2 5 2 3" xfId="12845" xr:uid="{595282FF-14F5-4302-993D-485819464317}"/>
    <cellStyle name="Normal 5 3 4 2 2 5 3" xfId="6476" xr:uid="{00000000-0005-0000-0000-0000261A0000}"/>
    <cellStyle name="Normal 5 3 4 2 2 5 3 2" xfId="14918" xr:uid="{9D8277BE-AABF-488A-8ACE-3685DB0CFCA0}"/>
    <cellStyle name="Normal 5 3 4 2 2 5 4" xfId="10700" xr:uid="{5A937B5C-5A84-4DD5-9DBA-1C4DEA650534}"/>
    <cellStyle name="Normal 5 3 4 2 2 6" xfId="2605" xr:uid="{00000000-0005-0000-0000-0000271A0000}"/>
    <cellStyle name="Normal 5 3 4 2 2 6 2" xfId="6889" xr:uid="{00000000-0005-0000-0000-0000281A0000}"/>
    <cellStyle name="Normal 5 3 4 2 2 6 2 2" xfId="15331" xr:uid="{9FE6EE23-E611-44D8-B4A8-339C5D110BE7}"/>
    <cellStyle name="Normal 5 3 4 2 2 6 3" xfId="11113" xr:uid="{F74E8271-B026-4443-A663-14F1091E2BEB}"/>
    <cellStyle name="Normal 5 3 4 2 2 7" xfId="4824" xr:uid="{00000000-0005-0000-0000-0000291A0000}"/>
    <cellStyle name="Normal 5 3 4 2 2 7 2" xfId="13266" xr:uid="{15E6DD6D-DC5A-4316-875C-31CC4E04FCE3}"/>
    <cellStyle name="Normal 5 3 4 2 2 8" xfId="9048" xr:uid="{79C82749-8A59-4D0A-B333-C5FE1B86B020}"/>
    <cellStyle name="Normal 5 3 4 2 3" xfId="924" xr:uid="{00000000-0005-0000-0000-00002A1A0000}"/>
    <cellStyle name="Normal 5 3 4 2 3 2" xfId="3158" xr:uid="{00000000-0005-0000-0000-00002B1A0000}"/>
    <cellStyle name="Normal 5 3 4 2 3 2 2" xfId="7381" xr:uid="{00000000-0005-0000-0000-00002C1A0000}"/>
    <cellStyle name="Normal 5 3 4 2 3 2 2 2" xfId="15823" xr:uid="{DD7F25EE-D1A8-4634-812A-E54B8591FB20}"/>
    <cellStyle name="Normal 5 3 4 2 3 2 3" xfId="11605" xr:uid="{8D5937DA-0609-4576-9E1B-898B3EC45D7B}"/>
    <cellStyle name="Normal 5 3 4 2 3 3" xfId="5236" xr:uid="{00000000-0005-0000-0000-00002D1A0000}"/>
    <cellStyle name="Normal 5 3 4 2 3 3 2" xfId="13678" xr:uid="{F09E8D45-50F4-4857-85F8-8BED047B8893}"/>
    <cellStyle name="Normal 5 3 4 2 3 4" xfId="9460" xr:uid="{2B4666E9-66D5-4687-956E-FB617BD5D7E9}"/>
    <cellStyle name="Normal 5 3 4 2 4" xfId="1341" xr:uid="{00000000-0005-0000-0000-00002E1A0000}"/>
    <cellStyle name="Normal 5 3 4 2 4 2" xfId="3571" xr:uid="{00000000-0005-0000-0000-00002F1A0000}"/>
    <cellStyle name="Normal 5 3 4 2 4 2 2" xfId="7794" xr:uid="{00000000-0005-0000-0000-0000301A0000}"/>
    <cellStyle name="Normal 5 3 4 2 4 2 2 2" xfId="16236" xr:uid="{ADFF2773-977C-4F9E-8F15-C3DE89D1DCF9}"/>
    <cellStyle name="Normal 5 3 4 2 4 2 3" xfId="12018" xr:uid="{088878FD-082F-49BF-AEB4-DF41D2E7071C}"/>
    <cellStyle name="Normal 5 3 4 2 4 3" xfId="5649" xr:uid="{00000000-0005-0000-0000-0000311A0000}"/>
    <cellStyle name="Normal 5 3 4 2 4 3 2" xfId="14091" xr:uid="{01B2CFA5-2E66-44EA-AEBE-A69D12D3B25A}"/>
    <cellStyle name="Normal 5 3 4 2 4 4" xfId="9873" xr:uid="{26F6C555-B2FC-4132-9D1B-A0FE50095527}"/>
    <cellStyle name="Normal 5 3 4 2 5" xfId="1754" xr:uid="{00000000-0005-0000-0000-0000321A0000}"/>
    <cellStyle name="Normal 5 3 4 2 5 2" xfId="3984" xr:uid="{00000000-0005-0000-0000-0000331A0000}"/>
    <cellStyle name="Normal 5 3 4 2 5 2 2" xfId="8207" xr:uid="{00000000-0005-0000-0000-0000341A0000}"/>
    <cellStyle name="Normal 5 3 4 2 5 2 2 2" xfId="16649" xr:uid="{8C9A33BD-765B-476D-9551-94A92204C3F8}"/>
    <cellStyle name="Normal 5 3 4 2 5 2 3" xfId="12431" xr:uid="{5C798F97-E5E9-4B94-A762-5344DAB86EB3}"/>
    <cellStyle name="Normal 5 3 4 2 5 3" xfId="6062" xr:uid="{00000000-0005-0000-0000-0000351A0000}"/>
    <cellStyle name="Normal 5 3 4 2 5 3 2" xfId="14504" xr:uid="{A425DC44-3AF0-4BC8-BC11-BFB7F463E5C8}"/>
    <cellStyle name="Normal 5 3 4 2 5 4" xfId="10286" xr:uid="{54787A99-7A0F-4DE0-900A-EA1C2C49C7EE}"/>
    <cellStyle name="Normal 5 3 4 2 6" xfId="2168" xr:uid="{00000000-0005-0000-0000-0000361A0000}"/>
    <cellStyle name="Normal 5 3 4 2 6 2" xfId="4397" xr:uid="{00000000-0005-0000-0000-0000371A0000}"/>
    <cellStyle name="Normal 5 3 4 2 6 2 2" xfId="8620" xr:uid="{00000000-0005-0000-0000-0000381A0000}"/>
    <cellStyle name="Normal 5 3 4 2 6 2 2 2" xfId="17062" xr:uid="{4945CEBE-26B8-4417-B517-748AC742D339}"/>
    <cellStyle name="Normal 5 3 4 2 6 2 3" xfId="12844" xr:uid="{F5FC56B1-A84B-4C00-BF2E-CFADA0C59126}"/>
    <cellStyle name="Normal 5 3 4 2 6 3" xfId="6475" xr:uid="{00000000-0005-0000-0000-0000391A0000}"/>
    <cellStyle name="Normal 5 3 4 2 6 3 2" xfId="14917" xr:uid="{E6BEE61F-D93E-45EB-A027-9359B96272C8}"/>
    <cellStyle name="Normal 5 3 4 2 6 4" xfId="10699" xr:uid="{7348F988-BB13-4A24-9158-631CA65E0A7B}"/>
    <cellStyle name="Normal 5 3 4 2 7" xfId="2604" xr:uid="{00000000-0005-0000-0000-00003A1A0000}"/>
    <cellStyle name="Normal 5 3 4 2 7 2" xfId="6888" xr:uid="{00000000-0005-0000-0000-00003B1A0000}"/>
    <cellStyle name="Normal 5 3 4 2 7 2 2" xfId="15330" xr:uid="{5891C713-9700-4DBF-93BD-A3D180FA5F49}"/>
    <cellStyle name="Normal 5 3 4 2 7 3" xfId="11112" xr:uid="{979853B1-E8D4-4C41-A990-2AF22ACBC62D}"/>
    <cellStyle name="Normal 5 3 4 2 8" xfId="4823" xr:uid="{00000000-0005-0000-0000-00003C1A0000}"/>
    <cellStyle name="Normal 5 3 4 2 8 2" xfId="13265" xr:uid="{A34672AC-12F8-44C4-9FF6-DFB0D5112D46}"/>
    <cellStyle name="Normal 5 3 4 2 9" xfId="9047" xr:uid="{45CA2506-C012-4CF2-9258-551C49A2301F}"/>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2 2 2" xfId="15825" xr:uid="{59CC3048-FC53-475E-B8D8-703E2550C286}"/>
    <cellStyle name="Normal 5 3 4 3 2 2 3" xfId="11607" xr:uid="{F93238A0-1FF3-4890-BDAC-0F3EFB28635A}"/>
    <cellStyle name="Normal 5 3 4 3 2 3" xfId="5238" xr:uid="{00000000-0005-0000-0000-0000411A0000}"/>
    <cellStyle name="Normal 5 3 4 3 2 3 2" xfId="13680" xr:uid="{28D01261-1304-43AF-AF84-EEBA5FA85DEF}"/>
    <cellStyle name="Normal 5 3 4 3 2 4" xfId="9462" xr:uid="{B54D6E5C-B55F-4138-8C9B-4C7EC4162360}"/>
    <cellStyle name="Normal 5 3 4 3 3" xfId="1343" xr:uid="{00000000-0005-0000-0000-0000421A0000}"/>
    <cellStyle name="Normal 5 3 4 3 3 2" xfId="3573" xr:uid="{00000000-0005-0000-0000-0000431A0000}"/>
    <cellStyle name="Normal 5 3 4 3 3 2 2" xfId="7796" xr:uid="{00000000-0005-0000-0000-0000441A0000}"/>
    <cellStyle name="Normal 5 3 4 3 3 2 2 2" xfId="16238" xr:uid="{14A90653-ABC7-43D0-A55C-EDA9C0B2A22D}"/>
    <cellStyle name="Normal 5 3 4 3 3 2 3" xfId="12020" xr:uid="{AFB5E3BC-1FA3-43AF-A398-321F68C37DC1}"/>
    <cellStyle name="Normal 5 3 4 3 3 3" xfId="5651" xr:uid="{00000000-0005-0000-0000-0000451A0000}"/>
    <cellStyle name="Normal 5 3 4 3 3 3 2" xfId="14093" xr:uid="{3C0284A3-4D9B-4446-8A8C-2D7C11B8DFC1}"/>
    <cellStyle name="Normal 5 3 4 3 3 4" xfId="9875" xr:uid="{FD252F82-3341-461A-94D3-714995BA0648}"/>
    <cellStyle name="Normal 5 3 4 3 4" xfId="1756" xr:uid="{00000000-0005-0000-0000-0000461A0000}"/>
    <cellStyle name="Normal 5 3 4 3 4 2" xfId="3986" xr:uid="{00000000-0005-0000-0000-0000471A0000}"/>
    <cellStyle name="Normal 5 3 4 3 4 2 2" xfId="8209" xr:uid="{00000000-0005-0000-0000-0000481A0000}"/>
    <cellStyle name="Normal 5 3 4 3 4 2 2 2" xfId="16651" xr:uid="{56541AA3-736B-4A84-9C5F-AF372C36A91B}"/>
    <cellStyle name="Normal 5 3 4 3 4 2 3" xfId="12433" xr:uid="{A76393FC-1AB2-45B5-8F5D-7667879DA2B9}"/>
    <cellStyle name="Normal 5 3 4 3 4 3" xfId="6064" xr:uid="{00000000-0005-0000-0000-0000491A0000}"/>
    <cellStyle name="Normal 5 3 4 3 4 3 2" xfId="14506" xr:uid="{355BBE9B-68B0-4B26-A097-F1929770E7D3}"/>
    <cellStyle name="Normal 5 3 4 3 4 4" xfId="10288" xr:uid="{76A03B89-DF3B-427D-9A39-8C82466D2B6C}"/>
    <cellStyle name="Normal 5 3 4 3 5" xfId="2170" xr:uid="{00000000-0005-0000-0000-00004A1A0000}"/>
    <cellStyle name="Normal 5 3 4 3 5 2" xfId="4399" xr:uid="{00000000-0005-0000-0000-00004B1A0000}"/>
    <cellStyle name="Normal 5 3 4 3 5 2 2" xfId="8622" xr:uid="{00000000-0005-0000-0000-00004C1A0000}"/>
    <cellStyle name="Normal 5 3 4 3 5 2 2 2" xfId="17064" xr:uid="{5108FB2F-BB39-4A60-8844-EA3370FA11DA}"/>
    <cellStyle name="Normal 5 3 4 3 5 2 3" xfId="12846" xr:uid="{F24ACD95-817E-4952-842A-F35F46D362DC}"/>
    <cellStyle name="Normal 5 3 4 3 5 3" xfId="6477" xr:uid="{00000000-0005-0000-0000-00004D1A0000}"/>
    <cellStyle name="Normal 5 3 4 3 5 3 2" xfId="14919" xr:uid="{0CBD872A-E94C-4C88-A096-F4B8CDD1EB07}"/>
    <cellStyle name="Normal 5 3 4 3 5 4" xfId="10701" xr:uid="{B4196827-3EA5-4988-A8CD-4FA63DC73233}"/>
    <cellStyle name="Normal 5 3 4 3 6" xfId="2606" xr:uid="{00000000-0005-0000-0000-00004E1A0000}"/>
    <cellStyle name="Normal 5 3 4 3 6 2" xfId="6890" xr:uid="{00000000-0005-0000-0000-00004F1A0000}"/>
    <cellStyle name="Normal 5 3 4 3 6 2 2" xfId="15332" xr:uid="{B694F65D-FCA8-4F11-9476-04F71E759B12}"/>
    <cellStyle name="Normal 5 3 4 3 6 3" xfId="11114" xr:uid="{E4D88EFB-B6CA-4086-816B-758C42D458DF}"/>
    <cellStyle name="Normal 5 3 4 3 7" xfId="4825" xr:uid="{00000000-0005-0000-0000-0000501A0000}"/>
    <cellStyle name="Normal 5 3 4 3 7 2" xfId="13267" xr:uid="{D177ADA2-0965-4FD6-BBEE-A666DF5D6C88}"/>
    <cellStyle name="Normal 5 3 4 3 8" xfId="9049" xr:uid="{3AFF10B0-1916-4B2D-B236-E191A35E3604}"/>
    <cellStyle name="Normal 5 3 4 4" xfId="923" xr:uid="{00000000-0005-0000-0000-0000511A0000}"/>
    <cellStyle name="Normal 5 3 4 4 2" xfId="3157" xr:uid="{00000000-0005-0000-0000-0000521A0000}"/>
    <cellStyle name="Normal 5 3 4 4 2 2" xfId="7380" xr:uid="{00000000-0005-0000-0000-0000531A0000}"/>
    <cellStyle name="Normal 5 3 4 4 2 2 2" xfId="15822" xr:uid="{D4466E0D-F896-424D-B16B-2BBDAE47B613}"/>
    <cellStyle name="Normal 5 3 4 4 2 3" xfId="11604" xr:uid="{847B0EF3-0006-4A5E-B188-34C625AD7190}"/>
    <cellStyle name="Normal 5 3 4 4 3" xfId="5235" xr:uid="{00000000-0005-0000-0000-0000541A0000}"/>
    <cellStyle name="Normal 5 3 4 4 3 2" xfId="13677" xr:uid="{05B23255-0E57-4E89-9858-FF7A761F6266}"/>
    <cellStyle name="Normal 5 3 4 4 4" xfId="9459" xr:uid="{3013CFBA-51D4-409B-A51C-71E002146EA5}"/>
    <cellStyle name="Normal 5 3 4 5" xfId="1340" xr:uid="{00000000-0005-0000-0000-0000551A0000}"/>
    <cellStyle name="Normal 5 3 4 5 2" xfId="3570" xr:uid="{00000000-0005-0000-0000-0000561A0000}"/>
    <cellStyle name="Normal 5 3 4 5 2 2" xfId="7793" xr:uid="{00000000-0005-0000-0000-0000571A0000}"/>
    <cellStyle name="Normal 5 3 4 5 2 2 2" xfId="16235" xr:uid="{7250C8A6-8B99-4260-9E79-B4286E758162}"/>
    <cellStyle name="Normal 5 3 4 5 2 3" xfId="12017" xr:uid="{1CB2EDE2-7437-4BA9-B3B0-260793A48FB7}"/>
    <cellStyle name="Normal 5 3 4 5 3" xfId="5648" xr:uid="{00000000-0005-0000-0000-0000581A0000}"/>
    <cellStyle name="Normal 5 3 4 5 3 2" xfId="14090" xr:uid="{1B2EE9CE-C63A-4B9A-BD0E-F93F00C11172}"/>
    <cellStyle name="Normal 5 3 4 5 4" xfId="9872" xr:uid="{DD87148F-3CE0-47AB-AB96-C310A2BECEF8}"/>
    <cellStyle name="Normal 5 3 4 6" xfId="1753" xr:uid="{00000000-0005-0000-0000-0000591A0000}"/>
    <cellStyle name="Normal 5 3 4 6 2" xfId="3983" xr:uid="{00000000-0005-0000-0000-00005A1A0000}"/>
    <cellStyle name="Normal 5 3 4 6 2 2" xfId="8206" xr:uid="{00000000-0005-0000-0000-00005B1A0000}"/>
    <cellStyle name="Normal 5 3 4 6 2 2 2" xfId="16648" xr:uid="{9CA9D743-6388-469B-BD59-CFA783A2B825}"/>
    <cellStyle name="Normal 5 3 4 6 2 3" xfId="12430" xr:uid="{5F8D3A83-9D2E-460A-A0F4-D0B60CABDE5E}"/>
    <cellStyle name="Normal 5 3 4 6 3" xfId="6061" xr:uid="{00000000-0005-0000-0000-00005C1A0000}"/>
    <cellStyle name="Normal 5 3 4 6 3 2" xfId="14503" xr:uid="{CD5D7259-0688-4EE9-93A2-C39EB56B8E81}"/>
    <cellStyle name="Normal 5 3 4 6 4" xfId="10285" xr:uid="{E64C6834-6CB8-43E1-B22A-C8D3F0769329}"/>
    <cellStyle name="Normal 5 3 4 7" xfId="2167" xr:uid="{00000000-0005-0000-0000-00005D1A0000}"/>
    <cellStyle name="Normal 5 3 4 7 2" xfId="4396" xr:uid="{00000000-0005-0000-0000-00005E1A0000}"/>
    <cellStyle name="Normal 5 3 4 7 2 2" xfId="8619" xr:uid="{00000000-0005-0000-0000-00005F1A0000}"/>
    <cellStyle name="Normal 5 3 4 7 2 2 2" xfId="17061" xr:uid="{4D9869A3-5C9B-44CB-934F-52735688700E}"/>
    <cellStyle name="Normal 5 3 4 7 2 3" xfId="12843" xr:uid="{BFAD1B90-688C-4287-8A2F-7F74E9561FA2}"/>
    <cellStyle name="Normal 5 3 4 7 3" xfId="6474" xr:uid="{00000000-0005-0000-0000-0000601A0000}"/>
    <cellStyle name="Normal 5 3 4 7 3 2" xfId="14916" xr:uid="{C808D6DB-C08F-4AC6-B288-73CA90E6C4F1}"/>
    <cellStyle name="Normal 5 3 4 7 4" xfId="10698" xr:uid="{6CDD8792-09CD-4E63-8674-DF94B9C852E9}"/>
    <cellStyle name="Normal 5 3 4 8" xfId="2603" xr:uid="{00000000-0005-0000-0000-0000611A0000}"/>
    <cellStyle name="Normal 5 3 4 8 2" xfId="6887" xr:uid="{00000000-0005-0000-0000-0000621A0000}"/>
    <cellStyle name="Normal 5 3 4 8 2 2" xfId="15329" xr:uid="{2FAF20CC-658C-49A2-B834-CBDD180B7B38}"/>
    <cellStyle name="Normal 5 3 4 8 3" xfId="11111" xr:uid="{375987E0-2CC1-423F-B709-1EEF8DE40544}"/>
    <cellStyle name="Normal 5 3 4 9" xfId="4822" xr:uid="{00000000-0005-0000-0000-0000631A0000}"/>
    <cellStyle name="Normal 5 3 4 9 2" xfId="13264" xr:uid="{3BF0C091-2092-4073-981E-B25DB2F00EFE}"/>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2 2 2" xfId="15827" xr:uid="{309573F5-D982-4396-AB81-6FBA6C69C1DB}"/>
    <cellStyle name="Normal 5 3 5 2 2 2 3" xfId="11609" xr:uid="{4DFB1D6F-1771-45EC-9C60-3EE88C6B817C}"/>
    <cellStyle name="Normal 5 3 5 2 2 3" xfId="5240" xr:uid="{00000000-0005-0000-0000-0000691A0000}"/>
    <cellStyle name="Normal 5 3 5 2 2 3 2" xfId="13682" xr:uid="{39F6C4C0-45E0-4A09-B31B-D93C4A7A04DA}"/>
    <cellStyle name="Normal 5 3 5 2 2 4" xfId="9464" xr:uid="{50FF5184-50B3-41C9-A49F-A35EC2241C38}"/>
    <cellStyle name="Normal 5 3 5 2 3" xfId="1345" xr:uid="{00000000-0005-0000-0000-00006A1A0000}"/>
    <cellStyle name="Normal 5 3 5 2 3 2" xfId="3575" xr:uid="{00000000-0005-0000-0000-00006B1A0000}"/>
    <cellStyle name="Normal 5 3 5 2 3 2 2" xfId="7798" xr:uid="{00000000-0005-0000-0000-00006C1A0000}"/>
    <cellStyle name="Normal 5 3 5 2 3 2 2 2" xfId="16240" xr:uid="{ACA33540-9D7A-4FF6-BBF7-45F20B71C31B}"/>
    <cellStyle name="Normal 5 3 5 2 3 2 3" xfId="12022" xr:uid="{002C9DDA-402F-4C69-AB73-1E77C0B894F6}"/>
    <cellStyle name="Normal 5 3 5 2 3 3" xfId="5653" xr:uid="{00000000-0005-0000-0000-00006D1A0000}"/>
    <cellStyle name="Normal 5 3 5 2 3 3 2" xfId="14095" xr:uid="{93CA39D5-9F07-4D1A-825D-01FB6BC66CAA}"/>
    <cellStyle name="Normal 5 3 5 2 3 4" xfId="9877" xr:uid="{3993BF24-6AC8-4B49-96F4-0D2C7D5464BF}"/>
    <cellStyle name="Normal 5 3 5 2 4" xfId="1758" xr:uid="{00000000-0005-0000-0000-00006E1A0000}"/>
    <cellStyle name="Normal 5 3 5 2 4 2" xfId="3988" xr:uid="{00000000-0005-0000-0000-00006F1A0000}"/>
    <cellStyle name="Normal 5 3 5 2 4 2 2" xfId="8211" xr:uid="{00000000-0005-0000-0000-0000701A0000}"/>
    <cellStyle name="Normal 5 3 5 2 4 2 2 2" xfId="16653" xr:uid="{62C72D6B-9FB2-4252-AE83-0340458407A1}"/>
    <cellStyle name="Normal 5 3 5 2 4 2 3" xfId="12435" xr:uid="{EBADD83C-A9A1-4640-836B-1B4AFA1CB9F7}"/>
    <cellStyle name="Normal 5 3 5 2 4 3" xfId="6066" xr:uid="{00000000-0005-0000-0000-0000711A0000}"/>
    <cellStyle name="Normal 5 3 5 2 4 3 2" xfId="14508" xr:uid="{3FCBAC7C-C81E-4E71-9C6B-9D743F593DD1}"/>
    <cellStyle name="Normal 5 3 5 2 4 4" xfId="10290" xr:uid="{4339C23E-FCBF-41DF-B2AE-60B1C4FDBE3A}"/>
    <cellStyle name="Normal 5 3 5 2 5" xfId="2172" xr:uid="{00000000-0005-0000-0000-0000721A0000}"/>
    <cellStyle name="Normal 5 3 5 2 5 2" xfId="4401" xr:uid="{00000000-0005-0000-0000-0000731A0000}"/>
    <cellStyle name="Normal 5 3 5 2 5 2 2" xfId="8624" xr:uid="{00000000-0005-0000-0000-0000741A0000}"/>
    <cellStyle name="Normal 5 3 5 2 5 2 2 2" xfId="17066" xr:uid="{2C99A341-2031-451D-B326-8182BD216610}"/>
    <cellStyle name="Normal 5 3 5 2 5 2 3" xfId="12848" xr:uid="{562E10DE-4CCA-45F4-88C9-7A620DDA7839}"/>
    <cellStyle name="Normal 5 3 5 2 5 3" xfId="6479" xr:uid="{00000000-0005-0000-0000-0000751A0000}"/>
    <cellStyle name="Normal 5 3 5 2 5 3 2" xfId="14921" xr:uid="{ABA02920-6BDA-4277-AB00-C9B82FF71489}"/>
    <cellStyle name="Normal 5 3 5 2 5 4" xfId="10703" xr:uid="{2C5A17F7-A9CA-4FE3-B7E1-1466AB5764DD}"/>
    <cellStyle name="Normal 5 3 5 2 6" xfId="2608" xr:uid="{00000000-0005-0000-0000-0000761A0000}"/>
    <cellStyle name="Normal 5 3 5 2 6 2" xfId="6892" xr:uid="{00000000-0005-0000-0000-0000771A0000}"/>
    <cellStyle name="Normal 5 3 5 2 6 2 2" xfId="15334" xr:uid="{3F8FE9B7-2C01-446A-9395-00F5F735A608}"/>
    <cellStyle name="Normal 5 3 5 2 6 3" xfId="11116" xr:uid="{4405C6C7-688A-49A1-9D73-DDD5FA3E2CAE}"/>
    <cellStyle name="Normal 5 3 5 2 7" xfId="4827" xr:uid="{00000000-0005-0000-0000-0000781A0000}"/>
    <cellStyle name="Normal 5 3 5 2 7 2" xfId="13269" xr:uid="{55588D40-9829-4A11-99B3-EF40FBC734AC}"/>
    <cellStyle name="Normal 5 3 5 2 8" xfId="9051" xr:uid="{2DD5A55A-4273-4812-87FB-AB8A7AD6F056}"/>
    <cellStyle name="Normal 5 3 5 3" xfId="927" xr:uid="{00000000-0005-0000-0000-0000791A0000}"/>
    <cellStyle name="Normal 5 3 5 3 2" xfId="3161" xr:uid="{00000000-0005-0000-0000-00007A1A0000}"/>
    <cellStyle name="Normal 5 3 5 3 2 2" xfId="7384" xr:uid="{00000000-0005-0000-0000-00007B1A0000}"/>
    <cellStyle name="Normal 5 3 5 3 2 2 2" xfId="15826" xr:uid="{FC87D4E1-74F9-43AC-9929-4EC8A7A04F16}"/>
    <cellStyle name="Normal 5 3 5 3 2 3" xfId="11608" xr:uid="{62F3CD76-B9F1-4311-A1E0-736AA0853B85}"/>
    <cellStyle name="Normal 5 3 5 3 3" xfId="5239" xr:uid="{00000000-0005-0000-0000-00007C1A0000}"/>
    <cellStyle name="Normal 5 3 5 3 3 2" xfId="13681" xr:uid="{7B44879C-E33A-4C4C-9FC6-82334F0EF9A2}"/>
    <cellStyle name="Normal 5 3 5 3 4" xfId="9463" xr:uid="{6340C2BD-4795-4A13-A2CA-F8EC3C6F9739}"/>
    <cellStyle name="Normal 5 3 5 4" xfId="1344" xr:uid="{00000000-0005-0000-0000-00007D1A0000}"/>
    <cellStyle name="Normal 5 3 5 4 2" xfId="3574" xr:uid="{00000000-0005-0000-0000-00007E1A0000}"/>
    <cellStyle name="Normal 5 3 5 4 2 2" xfId="7797" xr:uid="{00000000-0005-0000-0000-00007F1A0000}"/>
    <cellStyle name="Normal 5 3 5 4 2 2 2" xfId="16239" xr:uid="{B289403A-DD7A-480D-9F8E-D96CFA88C5F1}"/>
    <cellStyle name="Normal 5 3 5 4 2 3" xfId="12021" xr:uid="{E3C13E1B-1566-43B3-AE7D-6FC040CA1848}"/>
    <cellStyle name="Normal 5 3 5 4 3" xfId="5652" xr:uid="{00000000-0005-0000-0000-0000801A0000}"/>
    <cellStyle name="Normal 5 3 5 4 3 2" xfId="14094" xr:uid="{9FF30D88-739A-4C3C-8370-C8E29C14EFCF}"/>
    <cellStyle name="Normal 5 3 5 4 4" xfId="9876" xr:uid="{F9BB18BB-AD43-4D8A-8A58-1B6E2E0C36D0}"/>
    <cellStyle name="Normal 5 3 5 5" xfId="1757" xr:uid="{00000000-0005-0000-0000-0000811A0000}"/>
    <cellStyle name="Normal 5 3 5 5 2" xfId="3987" xr:uid="{00000000-0005-0000-0000-0000821A0000}"/>
    <cellStyle name="Normal 5 3 5 5 2 2" xfId="8210" xr:uid="{00000000-0005-0000-0000-0000831A0000}"/>
    <cellStyle name="Normal 5 3 5 5 2 2 2" xfId="16652" xr:uid="{0B527A6F-41BD-4DCD-A531-F574EBEE6B3F}"/>
    <cellStyle name="Normal 5 3 5 5 2 3" xfId="12434" xr:uid="{4BE48049-1A7A-4119-91C7-6E6BD0875E5E}"/>
    <cellStyle name="Normal 5 3 5 5 3" xfId="6065" xr:uid="{00000000-0005-0000-0000-0000841A0000}"/>
    <cellStyle name="Normal 5 3 5 5 3 2" xfId="14507" xr:uid="{05C05E1F-6CC4-40B2-B345-131C2CB35871}"/>
    <cellStyle name="Normal 5 3 5 5 4" xfId="10289" xr:uid="{AEDDB064-643C-4027-B32F-CF2AB45D6D4D}"/>
    <cellStyle name="Normal 5 3 5 6" xfId="2171" xr:uid="{00000000-0005-0000-0000-0000851A0000}"/>
    <cellStyle name="Normal 5 3 5 6 2" xfId="4400" xr:uid="{00000000-0005-0000-0000-0000861A0000}"/>
    <cellStyle name="Normal 5 3 5 6 2 2" xfId="8623" xr:uid="{00000000-0005-0000-0000-0000871A0000}"/>
    <cellStyle name="Normal 5 3 5 6 2 2 2" xfId="17065" xr:uid="{06814546-008E-4290-8CE6-94532DC99C17}"/>
    <cellStyle name="Normal 5 3 5 6 2 3" xfId="12847" xr:uid="{FFCCAA60-BAE6-42E6-BB33-F8EDBC5C873F}"/>
    <cellStyle name="Normal 5 3 5 6 3" xfId="6478" xr:uid="{00000000-0005-0000-0000-0000881A0000}"/>
    <cellStyle name="Normal 5 3 5 6 3 2" xfId="14920" xr:uid="{1630A5C1-DD14-4C37-8F51-634D78E3E102}"/>
    <cellStyle name="Normal 5 3 5 6 4" xfId="10702" xr:uid="{88B6F5B1-19C2-4908-AEED-2E11F107FBF0}"/>
    <cellStyle name="Normal 5 3 5 7" xfId="2607" xr:uid="{00000000-0005-0000-0000-0000891A0000}"/>
    <cellStyle name="Normal 5 3 5 7 2" xfId="6891" xr:uid="{00000000-0005-0000-0000-00008A1A0000}"/>
    <cellStyle name="Normal 5 3 5 7 2 2" xfId="15333" xr:uid="{0FACCDD5-6EFA-4876-B665-25760928E243}"/>
    <cellStyle name="Normal 5 3 5 7 3" xfId="11115" xr:uid="{AE90899A-6F9F-4843-B378-DA43CD1BFB1F}"/>
    <cellStyle name="Normal 5 3 5 8" xfId="4826" xr:uid="{00000000-0005-0000-0000-00008B1A0000}"/>
    <cellStyle name="Normal 5 3 5 8 2" xfId="13268" xr:uid="{86B1C683-F139-4A0F-9386-525C02E36FDF}"/>
    <cellStyle name="Normal 5 3 5 9" xfId="9050" xr:uid="{AC5A443E-9855-4BBC-8975-A5DECD70343E}"/>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2 2 2" xfId="15828" xr:uid="{087FF39C-B269-4A7C-908D-3394805012AC}"/>
    <cellStyle name="Normal 5 3 6 2 2 3" xfId="11610" xr:uid="{17237C55-32F3-4139-8225-CF3379A3C52F}"/>
    <cellStyle name="Normal 5 3 6 2 3" xfId="5241" xr:uid="{00000000-0005-0000-0000-0000901A0000}"/>
    <cellStyle name="Normal 5 3 6 2 3 2" xfId="13683" xr:uid="{B2B4215A-B314-4A04-93A1-8A12D77553DF}"/>
    <cellStyle name="Normal 5 3 6 2 4" xfId="9465" xr:uid="{F1F9B79B-4895-476F-ABE7-4ABF71E9AF62}"/>
    <cellStyle name="Normal 5 3 6 3" xfId="1346" xr:uid="{00000000-0005-0000-0000-0000911A0000}"/>
    <cellStyle name="Normal 5 3 6 3 2" xfId="3576" xr:uid="{00000000-0005-0000-0000-0000921A0000}"/>
    <cellStyle name="Normal 5 3 6 3 2 2" xfId="7799" xr:uid="{00000000-0005-0000-0000-0000931A0000}"/>
    <cellStyle name="Normal 5 3 6 3 2 2 2" xfId="16241" xr:uid="{5EB32C8D-ACBB-41FB-A894-5DEDD5BE9116}"/>
    <cellStyle name="Normal 5 3 6 3 2 3" xfId="12023" xr:uid="{7BC0EF84-ECC6-4C7D-B794-22070196D317}"/>
    <cellStyle name="Normal 5 3 6 3 3" xfId="5654" xr:uid="{00000000-0005-0000-0000-0000941A0000}"/>
    <cellStyle name="Normal 5 3 6 3 3 2" xfId="14096" xr:uid="{14C0E370-D67A-42DD-8932-AFF8EE6E739C}"/>
    <cellStyle name="Normal 5 3 6 3 4" xfId="9878" xr:uid="{2AA73C2D-E7FE-4EFC-B507-1CAE1B0926F8}"/>
    <cellStyle name="Normal 5 3 6 4" xfId="1759" xr:uid="{00000000-0005-0000-0000-0000951A0000}"/>
    <cellStyle name="Normal 5 3 6 4 2" xfId="3989" xr:uid="{00000000-0005-0000-0000-0000961A0000}"/>
    <cellStyle name="Normal 5 3 6 4 2 2" xfId="8212" xr:uid="{00000000-0005-0000-0000-0000971A0000}"/>
    <cellStyle name="Normal 5 3 6 4 2 2 2" xfId="16654" xr:uid="{2DB0AE11-D379-421C-8D68-FD1F40E0BFDC}"/>
    <cellStyle name="Normal 5 3 6 4 2 3" xfId="12436" xr:uid="{C08DDD1C-1857-4501-BD40-6B6CC2BED576}"/>
    <cellStyle name="Normal 5 3 6 4 3" xfId="6067" xr:uid="{00000000-0005-0000-0000-0000981A0000}"/>
    <cellStyle name="Normal 5 3 6 4 3 2" xfId="14509" xr:uid="{BC63A540-BC4E-4F3F-A385-E7C17CF242F3}"/>
    <cellStyle name="Normal 5 3 6 4 4" xfId="10291" xr:uid="{174F3C15-AC12-47E1-964F-8C971076F86A}"/>
    <cellStyle name="Normal 5 3 6 5" xfId="2173" xr:uid="{00000000-0005-0000-0000-0000991A0000}"/>
    <cellStyle name="Normal 5 3 6 5 2" xfId="4402" xr:uid="{00000000-0005-0000-0000-00009A1A0000}"/>
    <cellStyle name="Normal 5 3 6 5 2 2" xfId="8625" xr:uid="{00000000-0005-0000-0000-00009B1A0000}"/>
    <cellStyle name="Normal 5 3 6 5 2 2 2" xfId="17067" xr:uid="{CAB1A5FB-1691-4367-BDB7-8E2F71A32DFA}"/>
    <cellStyle name="Normal 5 3 6 5 2 3" xfId="12849" xr:uid="{F9158E8C-AF59-4E35-9688-72AEABDBAC35}"/>
    <cellStyle name="Normal 5 3 6 5 3" xfId="6480" xr:uid="{00000000-0005-0000-0000-00009C1A0000}"/>
    <cellStyle name="Normal 5 3 6 5 3 2" xfId="14922" xr:uid="{00BD0D7D-E0DD-4583-9BA6-19FAFDAD766F}"/>
    <cellStyle name="Normal 5 3 6 5 4" xfId="10704" xr:uid="{43E1511D-C5CC-4C7C-952C-99F72F57E2C3}"/>
    <cellStyle name="Normal 5 3 6 6" xfId="2609" xr:uid="{00000000-0005-0000-0000-00009D1A0000}"/>
    <cellStyle name="Normal 5 3 6 6 2" xfId="6893" xr:uid="{00000000-0005-0000-0000-00009E1A0000}"/>
    <cellStyle name="Normal 5 3 6 6 2 2" xfId="15335" xr:uid="{9BAC4EAB-48AE-4702-AA6C-84BCA36A43A4}"/>
    <cellStyle name="Normal 5 3 6 6 3" xfId="11117" xr:uid="{431D6BC8-1D94-4206-BBFF-E8B26FFE465D}"/>
    <cellStyle name="Normal 5 3 6 7" xfId="4828" xr:uid="{00000000-0005-0000-0000-00009F1A0000}"/>
    <cellStyle name="Normal 5 3 6 7 2" xfId="13270" xr:uid="{F4432CB0-E61C-40A6-BE01-1CF31D2584E2}"/>
    <cellStyle name="Normal 5 3 6 8" xfId="9052" xr:uid="{94AD8F7F-6453-426E-9799-D0C9C977C0ED}"/>
    <cellStyle name="Normal 5 3 7" xfId="913" xr:uid="{00000000-0005-0000-0000-0000A01A0000}"/>
    <cellStyle name="Normal 5 3 7 2" xfId="3148" xr:uid="{00000000-0005-0000-0000-0000A11A0000}"/>
    <cellStyle name="Normal 5 3 7 2 2" xfId="7371" xr:uid="{00000000-0005-0000-0000-0000A21A0000}"/>
    <cellStyle name="Normal 5 3 7 2 2 2" xfId="15813" xr:uid="{8E800647-0CE5-49BD-8FE8-A90825CDEA89}"/>
    <cellStyle name="Normal 5 3 7 2 3" xfId="11595" xr:uid="{73F77C6A-381E-4966-A762-2CA0E1FE11D9}"/>
    <cellStyle name="Normal 5 3 7 3" xfId="5226" xr:uid="{00000000-0005-0000-0000-0000A31A0000}"/>
    <cellStyle name="Normal 5 3 7 3 2" xfId="13668" xr:uid="{27DAF07C-9285-4D87-991A-6C6E53CC2DBE}"/>
    <cellStyle name="Normal 5 3 7 4" xfId="9450" xr:uid="{5BAAD5D1-6650-44EE-BA89-B4ED82942FF7}"/>
    <cellStyle name="Normal 5 3 8" xfId="1331" xr:uid="{00000000-0005-0000-0000-0000A41A0000}"/>
    <cellStyle name="Normal 5 3 8 2" xfId="3561" xr:uid="{00000000-0005-0000-0000-0000A51A0000}"/>
    <cellStyle name="Normal 5 3 8 2 2" xfId="7784" xr:uid="{00000000-0005-0000-0000-0000A61A0000}"/>
    <cellStyle name="Normal 5 3 8 2 2 2" xfId="16226" xr:uid="{EE53DBF6-0121-4F0B-BEF3-C2BBD93D6ECD}"/>
    <cellStyle name="Normal 5 3 8 2 3" xfId="12008" xr:uid="{EFECF6A0-E820-46A5-9258-27CE31A207F8}"/>
    <cellStyle name="Normal 5 3 8 3" xfId="5639" xr:uid="{00000000-0005-0000-0000-0000A71A0000}"/>
    <cellStyle name="Normal 5 3 8 3 2" xfId="14081" xr:uid="{071CE5F6-CEA5-4437-99EB-19968B40AB8D}"/>
    <cellStyle name="Normal 5 3 8 4" xfId="9863" xr:uid="{8D418E51-835A-436C-9FAF-86E740557DB2}"/>
    <cellStyle name="Normal 5 3 9" xfId="1744" xr:uid="{00000000-0005-0000-0000-0000A81A0000}"/>
    <cellStyle name="Normal 5 3 9 2" xfId="3974" xr:uid="{00000000-0005-0000-0000-0000A91A0000}"/>
    <cellStyle name="Normal 5 3 9 2 2" xfId="8197" xr:uid="{00000000-0005-0000-0000-0000AA1A0000}"/>
    <cellStyle name="Normal 5 3 9 2 2 2" xfId="16639" xr:uid="{581A4CDD-7286-496C-9EC6-BDF76DCAE923}"/>
    <cellStyle name="Normal 5 3 9 2 3" xfId="12421" xr:uid="{C181FE44-E811-4FF6-9BEF-3D9F12C5A50B}"/>
    <cellStyle name="Normal 5 3 9 3" xfId="6052" xr:uid="{00000000-0005-0000-0000-0000AB1A0000}"/>
    <cellStyle name="Normal 5 3 9 3 2" xfId="14494" xr:uid="{E6EE2C2F-1640-4DF7-9A26-6B880AA704CD}"/>
    <cellStyle name="Normal 5 3 9 4" xfId="10276" xr:uid="{5221C1DA-687C-4B46-B075-650BF4302CC4}"/>
    <cellStyle name="Normal 5 4" xfId="456" xr:uid="{00000000-0005-0000-0000-0000AC1A0000}"/>
    <cellStyle name="Normal 5 4 10" xfId="4829" xr:uid="{00000000-0005-0000-0000-0000AD1A0000}"/>
    <cellStyle name="Normal 5 4 10 2" xfId="13271" xr:uid="{7C78C590-27B8-4028-BC0B-90E99359FB15}"/>
    <cellStyle name="Normal 5 4 11" xfId="9053" xr:uid="{F16D0278-469F-429F-94CE-D631588FFBAB}"/>
    <cellStyle name="Normal 5 4 2" xfId="457" xr:uid="{00000000-0005-0000-0000-0000AE1A0000}"/>
    <cellStyle name="Normal 5 4 2 10" xfId="9054" xr:uid="{8D84BCC7-9BAA-4862-9C9A-ED16DA731EBC}"/>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2 2 2" xfId="15832" xr:uid="{B0BE3799-E7AB-4A5C-8362-ADB9B37A83A2}"/>
    <cellStyle name="Normal 5 4 2 2 2 2 2 3" xfId="11614" xr:uid="{8E4D16B8-ABC1-4FE8-8C87-15233EA52F27}"/>
    <cellStyle name="Normal 5 4 2 2 2 2 3" xfId="5245" xr:uid="{00000000-0005-0000-0000-0000B41A0000}"/>
    <cellStyle name="Normal 5 4 2 2 2 2 3 2" xfId="13687" xr:uid="{2708BCF3-906E-4490-AEC6-7F5B9C6A6272}"/>
    <cellStyle name="Normal 5 4 2 2 2 2 4" xfId="9469" xr:uid="{96673B46-40A5-4A34-9F28-C095E03BCAF5}"/>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2 2 2" xfId="16245" xr:uid="{5A2AC6F2-B577-4E2C-8D2C-A43993A29456}"/>
    <cellStyle name="Normal 5 4 2 2 2 3 2 3" xfId="12027" xr:uid="{28B9026C-AA03-417F-9A17-13F419589B7E}"/>
    <cellStyle name="Normal 5 4 2 2 2 3 3" xfId="5658" xr:uid="{00000000-0005-0000-0000-0000B81A0000}"/>
    <cellStyle name="Normal 5 4 2 2 2 3 3 2" xfId="14100" xr:uid="{900B41CF-7278-4734-A0E0-29D6FF6590B3}"/>
    <cellStyle name="Normal 5 4 2 2 2 3 4" xfId="9882" xr:uid="{E46BD0E1-BD77-4D3F-AE23-690DB4817998}"/>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2 2 2" xfId="16658" xr:uid="{A988AAC4-7318-4C58-9461-F565F5503149}"/>
    <cellStyle name="Normal 5 4 2 2 2 4 2 3" xfId="12440" xr:uid="{429900A2-8246-49AF-9B1A-A743B5DF4256}"/>
    <cellStyle name="Normal 5 4 2 2 2 4 3" xfId="6071" xr:uid="{00000000-0005-0000-0000-0000BC1A0000}"/>
    <cellStyle name="Normal 5 4 2 2 2 4 3 2" xfId="14513" xr:uid="{4CCFE71F-38B1-42D3-9BDE-0C5A89EE129F}"/>
    <cellStyle name="Normal 5 4 2 2 2 4 4" xfId="10295" xr:uid="{64993BA6-F756-4380-8D7E-FA82A20CC0DA}"/>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2 2 2" xfId="17071" xr:uid="{76B1AC59-D87A-41E3-A86F-6592189E8E8E}"/>
    <cellStyle name="Normal 5 4 2 2 2 5 2 3" xfId="12853" xr:uid="{781E246C-FC00-4D19-8CE6-0A0535CF68A4}"/>
    <cellStyle name="Normal 5 4 2 2 2 5 3" xfId="6484" xr:uid="{00000000-0005-0000-0000-0000C01A0000}"/>
    <cellStyle name="Normal 5 4 2 2 2 5 3 2" xfId="14926" xr:uid="{FA7A1800-AB25-480A-B103-1328B754B8F2}"/>
    <cellStyle name="Normal 5 4 2 2 2 5 4" xfId="10708" xr:uid="{83CA82C6-8E07-4A79-9811-A4C141072282}"/>
    <cellStyle name="Normal 5 4 2 2 2 6" xfId="2613" xr:uid="{00000000-0005-0000-0000-0000C11A0000}"/>
    <cellStyle name="Normal 5 4 2 2 2 6 2" xfId="6897" xr:uid="{00000000-0005-0000-0000-0000C21A0000}"/>
    <cellStyle name="Normal 5 4 2 2 2 6 2 2" xfId="15339" xr:uid="{F5C2C225-A76B-47E4-A4E1-386E23005796}"/>
    <cellStyle name="Normal 5 4 2 2 2 6 3" xfId="11121" xr:uid="{BFC8B45F-0F99-4D18-94D0-7E5C1CB3E7F9}"/>
    <cellStyle name="Normal 5 4 2 2 2 7" xfId="4832" xr:uid="{00000000-0005-0000-0000-0000C31A0000}"/>
    <cellStyle name="Normal 5 4 2 2 2 7 2" xfId="13274" xr:uid="{7548344E-2E92-4098-B450-0840F28FFB44}"/>
    <cellStyle name="Normal 5 4 2 2 2 8" xfId="9056" xr:uid="{8771A54A-CAE0-4153-9F3A-F10500B6E3F3}"/>
    <cellStyle name="Normal 5 4 2 2 3" xfId="932" xr:uid="{00000000-0005-0000-0000-0000C41A0000}"/>
    <cellStyle name="Normal 5 4 2 2 3 2" xfId="3166" xr:uid="{00000000-0005-0000-0000-0000C51A0000}"/>
    <cellStyle name="Normal 5 4 2 2 3 2 2" xfId="7389" xr:uid="{00000000-0005-0000-0000-0000C61A0000}"/>
    <cellStyle name="Normal 5 4 2 2 3 2 2 2" xfId="15831" xr:uid="{BD822697-91E9-4F0A-A0A8-8AF0770A8B75}"/>
    <cellStyle name="Normal 5 4 2 2 3 2 3" xfId="11613" xr:uid="{D89F7982-D3B0-4087-8E76-3BDE7F498D39}"/>
    <cellStyle name="Normal 5 4 2 2 3 3" xfId="5244" xr:uid="{00000000-0005-0000-0000-0000C71A0000}"/>
    <cellStyle name="Normal 5 4 2 2 3 3 2" xfId="13686" xr:uid="{793846CF-7305-4AAC-BA99-2A5CF380E4A1}"/>
    <cellStyle name="Normal 5 4 2 2 3 4" xfId="9468" xr:uid="{0E3F9475-BC25-4DA4-80D1-383A67B443F3}"/>
    <cellStyle name="Normal 5 4 2 2 4" xfId="1349" xr:uid="{00000000-0005-0000-0000-0000C81A0000}"/>
    <cellStyle name="Normal 5 4 2 2 4 2" xfId="3579" xr:uid="{00000000-0005-0000-0000-0000C91A0000}"/>
    <cellStyle name="Normal 5 4 2 2 4 2 2" xfId="7802" xr:uid="{00000000-0005-0000-0000-0000CA1A0000}"/>
    <cellStyle name="Normal 5 4 2 2 4 2 2 2" xfId="16244" xr:uid="{A1ACD5E4-36A1-4807-BEC0-497BD91B1573}"/>
    <cellStyle name="Normal 5 4 2 2 4 2 3" xfId="12026" xr:uid="{5946DFE3-5EC5-4B05-A90E-5CD9330529DE}"/>
    <cellStyle name="Normal 5 4 2 2 4 3" xfId="5657" xr:uid="{00000000-0005-0000-0000-0000CB1A0000}"/>
    <cellStyle name="Normal 5 4 2 2 4 3 2" xfId="14099" xr:uid="{F4E0A20C-D0D8-4959-A95F-9BBB9264A77F}"/>
    <cellStyle name="Normal 5 4 2 2 4 4" xfId="9881" xr:uid="{6C4E49AF-2316-471B-BDA0-512CCE3E9521}"/>
    <cellStyle name="Normal 5 4 2 2 5" xfId="1762" xr:uid="{00000000-0005-0000-0000-0000CC1A0000}"/>
    <cellStyle name="Normal 5 4 2 2 5 2" xfId="3992" xr:uid="{00000000-0005-0000-0000-0000CD1A0000}"/>
    <cellStyle name="Normal 5 4 2 2 5 2 2" xfId="8215" xr:uid="{00000000-0005-0000-0000-0000CE1A0000}"/>
    <cellStyle name="Normal 5 4 2 2 5 2 2 2" xfId="16657" xr:uid="{EFCEF04F-93FB-4274-B43D-655D90826077}"/>
    <cellStyle name="Normal 5 4 2 2 5 2 3" xfId="12439" xr:uid="{E8AE781F-1D1D-427F-85FB-00447BD4B2AF}"/>
    <cellStyle name="Normal 5 4 2 2 5 3" xfId="6070" xr:uid="{00000000-0005-0000-0000-0000CF1A0000}"/>
    <cellStyle name="Normal 5 4 2 2 5 3 2" xfId="14512" xr:uid="{D82F92FC-6FEC-4A77-9178-3339C5F20064}"/>
    <cellStyle name="Normal 5 4 2 2 5 4" xfId="10294" xr:uid="{DECB9929-EC1D-4BD7-9A9E-C51350E3119F}"/>
    <cellStyle name="Normal 5 4 2 2 6" xfId="2176" xr:uid="{00000000-0005-0000-0000-0000D01A0000}"/>
    <cellStyle name="Normal 5 4 2 2 6 2" xfId="4405" xr:uid="{00000000-0005-0000-0000-0000D11A0000}"/>
    <cellStyle name="Normal 5 4 2 2 6 2 2" xfId="8628" xr:uid="{00000000-0005-0000-0000-0000D21A0000}"/>
    <cellStyle name="Normal 5 4 2 2 6 2 2 2" xfId="17070" xr:uid="{47206F78-91A1-4B1F-B092-C4129A289B8A}"/>
    <cellStyle name="Normal 5 4 2 2 6 2 3" xfId="12852" xr:uid="{7C47F230-A190-45A0-B420-74BEB92AF782}"/>
    <cellStyle name="Normal 5 4 2 2 6 3" xfId="6483" xr:uid="{00000000-0005-0000-0000-0000D31A0000}"/>
    <cellStyle name="Normal 5 4 2 2 6 3 2" xfId="14925" xr:uid="{78687C68-6C46-4130-9899-A1EDCABE474D}"/>
    <cellStyle name="Normal 5 4 2 2 6 4" xfId="10707" xr:uid="{E5BE7B1E-88D4-4B5B-8FBA-E046512BA189}"/>
    <cellStyle name="Normal 5 4 2 2 7" xfId="2612" xr:uid="{00000000-0005-0000-0000-0000D41A0000}"/>
    <cellStyle name="Normal 5 4 2 2 7 2" xfId="6896" xr:uid="{00000000-0005-0000-0000-0000D51A0000}"/>
    <cellStyle name="Normal 5 4 2 2 7 2 2" xfId="15338" xr:uid="{C0283A2C-D5A6-4A6A-9A41-79049054416A}"/>
    <cellStyle name="Normal 5 4 2 2 7 3" xfId="11120" xr:uid="{43548CFA-51CB-416A-89AA-E3B7AC4E325E}"/>
    <cellStyle name="Normal 5 4 2 2 8" xfId="4831" xr:uid="{00000000-0005-0000-0000-0000D61A0000}"/>
    <cellStyle name="Normal 5 4 2 2 8 2" xfId="13273" xr:uid="{0A5B3BAB-10A5-4A98-B428-6194F59CD198}"/>
    <cellStyle name="Normal 5 4 2 2 9" xfId="9055" xr:uid="{1E0670B0-F207-4B4D-962A-896B2A0A2BFA}"/>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2 2 2" xfId="15833" xr:uid="{23ECD31C-DCA4-4009-8C47-8F43BEAC581F}"/>
    <cellStyle name="Normal 5 4 2 3 2 2 3" xfId="11615" xr:uid="{2F907215-A3C5-4F45-A002-3D00177E38D9}"/>
    <cellStyle name="Normal 5 4 2 3 2 3" xfId="5246" xr:uid="{00000000-0005-0000-0000-0000DB1A0000}"/>
    <cellStyle name="Normal 5 4 2 3 2 3 2" xfId="13688" xr:uid="{AAD8B00A-EB0B-40B2-8C85-186D70379151}"/>
    <cellStyle name="Normal 5 4 2 3 2 4" xfId="9470" xr:uid="{3B3B4480-2492-48E2-9CA1-BE39ED043916}"/>
    <cellStyle name="Normal 5 4 2 3 3" xfId="1351" xr:uid="{00000000-0005-0000-0000-0000DC1A0000}"/>
    <cellStyle name="Normal 5 4 2 3 3 2" xfId="3581" xr:uid="{00000000-0005-0000-0000-0000DD1A0000}"/>
    <cellStyle name="Normal 5 4 2 3 3 2 2" xfId="7804" xr:uid="{00000000-0005-0000-0000-0000DE1A0000}"/>
    <cellStyle name="Normal 5 4 2 3 3 2 2 2" xfId="16246" xr:uid="{5349CB4E-68BD-418E-8947-F7D26ED38C20}"/>
    <cellStyle name="Normal 5 4 2 3 3 2 3" xfId="12028" xr:uid="{1F4AA623-3247-4146-9F97-484BB30167E4}"/>
    <cellStyle name="Normal 5 4 2 3 3 3" xfId="5659" xr:uid="{00000000-0005-0000-0000-0000DF1A0000}"/>
    <cellStyle name="Normal 5 4 2 3 3 3 2" xfId="14101" xr:uid="{B3239BE9-626B-4094-9CFE-FD81E63D5252}"/>
    <cellStyle name="Normal 5 4 2 3 3 4" xfId="9883" xr:uid="{2C8DDF29-2AC3-4007-80A4-9A12DCB82757}"/>
    <cellStyle name="Normal 5 4 2 3 4" xfId="1764" xr:uid="{00000000-0005-0000-0000-0000E01A0000}"/>
    <cellStyle name="Normal 5 4 2 3 4 2" xfId="3994" xr:uid="{00000000-0005-0000-0000-0000E11A0000}"/>
    <cellStyle name="Normal 5 4 2 3 4 2 2" xfId="8217" xr:uid="{00000000-0005-0000-0000-0000E21A0000}"/>
    <cellStyle name="Normal 5 4 2 3 4 2 2 2" xfId="16659" xr:uid="{4683C765-41AE-40D1-85DE-7AD578EFD0B4}"/>
    <cellStyle name="Normal 5 4 2 3 4 2 3" xfId="12441" xr:uid="{E396B1E2-8D1A-41DE-8324-4F3D7311C2C9}"/>
    <cellStyle name="Normal 5 4 2 3 4 3" xfId="6072" xr:uid="{00000000-0005-0000-0000-0000E31A0000}"/>
    <cellStyle name="Normal 5 4 2 3 4 3 2" xfId="14514" xr:uid="{C06EEA17-C41F-408D-8949-26B8A8529CFE}"/>
    <cellStyle name="Normal 5 4 2 3 4 4" xfId="10296" xr:uid="{C8ABE983-2379-4CB6-8124-6C0CEE4105D9}"/>
    <cellStyle name="Normal 5 4 2 3 5" xfId="2178" xr:uid="{00000000-0005-0000-0000-0000E41A0000}"/>
    <cellStyle name="Normal 5 4 2 3 5 2" xfId="4407" xr:uid="{00000000-0005-0000-0000-0000E51A0000}"/>
    <cellStyle name="Normal 5 4 2 3 5 2 2" xfId="8630" xr:uid="{00000000-0005-0000-0000-0000E61A0000}"/>
    <cellStyle name="Normal 5 4 2 3 5 2 2 2" xfId="17072" xr:uid="{D38398DD-8C82-4E02-9CE2-4EACDFD2156E}"/>
    <cellStyle name="Normal 5 4 2 3 5 2 3" xfId="12854" xr:uid="{DCDE1C18-81F0-4E83-9C4C-3B3CD17BD21B}"/>
    <cellStyle name="Normal 5 4 2 3 5 3" xfId="6485" xr:uid="{00000000-0005-0000-0000-0000E71A0000}"/>
    <cellStyle name="Normal 5 4 2 3 5 3 2" xfId="14927" xr:uid="{60CFDD4D-AF81-4C62-A49E-95A945D7C636}"/>
    <cellStyle name="Normal 5 4 2 3 5 4" xfId="10709" xr:uid="{3BA8D451-DD75-4F8D-AEA7-33C98C08D601}"/>
    <cellStyle name="Normal 5 4 2 3 6" xfId="2614" xr:uid="{00000000-0005-0000-0000-0000E81A0000}"/>
    <cellStyle name="Normal 5 4 2 3 6 2" xfId="6898" xr:uid="{00000000-0005-0000-0000-0000E91A0000}"/>
    <cellStyle name="Normal 5 4 2 3 6 2 2" xfId="15340" xr:uid="{02428730-E593-40FC-B950-E3C48ED6B03E}"/>
    <cellStyle name="Normal 5 4 2 3 6 3" xfId="11122" xr:uid="{F124B4CE-63BA-4306-BADF-F015833F668C}"/>
    <cellStyle name="Normal 5 4 2 3 7" xfId="4833" xr:uid="{00000000-0005-0000-0000-0000EA1A0000}"/>
    <cellStyle name="Normal 5 4 2 3 7 2" xfId="13275" xr:uid="{D642A789-51A3-4B6B-9BA1-9B15EB9B8734}"/>
    <cellStyle name="Normal 5 4 2 3 8" xfId="9057" xr:uid="{CC6183D7-5D00-44F7-B9E7-0CC9AE4D7236}"/>
    <cellStyle name="Normal 5 4 2 4" xfId="931" xr:uid="{00000000-0005-0000-0000-0000EB1A0000}"/>
    <cellStyle name="Normal 5 4 2 4 2" xfId="3165" xr:uid="{00000000-0005-0000-0000-0000EC1A0000}"/>
    <cellStyle name="Normal 5 4 2 4 2 2" xfId="7388" xr:uid="{00000000-0005-0000-0000-0000ED1A0000}"/>
    <cellStyle name="Normal 5 4 2 4 2 2 2" xfId="15830" xr:uid="{D4C81E27-CA68-456F-B688-4045D28DE2DB}"/>
    <cellStyle name="Normal 5 4 2 4 2 3" xfId="11612" xr:uid="{A325637E-2EEA-47A7-BC3F-3A973D472778}"/>
    <cellStyle name="Normal 5 4 2 4 3" xfId="5243" xr:uid="{00000000-0005-0000-0000-0000EE1A0000}"/>
    <cellStyle name="Normal 5 4 2 4 3 2" xfId="13685" xr:uid="{B215789C-7C33-4AF0-ACA5-4D97D9397AC6}"/>
    <cellStyle name="Normal 5 4 2 4 4" xfId="9467" xr:uid="{0B8EB821-54EF-4450-83A7-EC80FF1F0C23}"/>
    <cellStyle name="Normal 5 4 2 5" xfId="1348" xr:uid="{00000000-0005-0000-0000-0000EF1A0000}"/>
    <cellStyle name="Normal 5 4 2 5 2" xfId="3578" xr:uid="{00000000-0005-0000-0000-0000F01A0000}"/>
    <cellStyle name="Normal 5 4 2 5 2 2" xfId="7801" xr:uid="{00000000-0005-0000-0000-0000F11A0000}"/>
    <cellStyle name="Normal 5 4 2 5 2 2 2" xfId="16243" xr:uid="{4D2008D4-DDB8-4556-AC5C-7A2A56064CFC}"/>
    <cellStyle name="Normal 5 4 2 5 2 3" xfId="12025" xr:uid="{71EC522C-A3A9-4EDD-89BB-066002F26B92}"/>
    <cellStyle name="Normal 5 4 2 5 3" xfId="5656" xr:uid="{00000000-0005-0000-0000-0000F21A0000}"/>
    <cellStyle name="Normal 5 4 2 5 3 2" xfId="14098" xr:uid="{D406284E-E2AA-4445-ACF5-0AABB767A629}"/>
    <cellStyle name="Normal 5 4 2 5 4" xfId="9880" xr:uid="{74358591-2878-440B-8D41-5B07B1DC3D0D}"/>
    <cellStyle name="Normal 5 4 2 6" xfId="1761" xr:uid="{00000000-0005-0000-0000-0000F31A0000}"/>
    <cellStyle name="Normal 5 4 2 6 2" xfId="3991" xr:uid="{00000000-0005-0000-0000-0000F41A0000}"/>
    <cellStyle name="Normal 5 4 2 6 2 2" xfId="8214" xr:uid="{00000000-0005-0000-0000-0000F51A0000}"/>
    <cellStyle name="Normal 5 4 2 6 2 2 2" xfId="16656" xr:uid="{A2E44091-3730-409B-8928-E5EB77240C5A}"/>
    <cellStyle name="Normal 5 4 2 6 2 3" xfId="12438" xr:uid="{A5AE42E9-078A-4DBF-BCC0-5853631F0386}"/>
    <cellStyle name="Normal 5 4 2 6 3" xfId="6069" xr:uid="{00000000-0005-0000-0000-0000F61A0000}"/>
    <cellStyle name="Normal 5 4 2 6 3 2" xfId="14511" xr:uid="{6CC097FA-751C-4DD3-8007-217DF5D8DC8B}"/>
    <cellStyle name="Normal 5 4 2 6 4" xfId="10293" xr:uid="{C64F5221-AE86-4A0F-9B25-DDBBA6503BE3}"/>
    <cellStyle name="Normal 5 4 2 7" xfId="2175" xr:uid="{00000000-0005-0000-0000-0000F71A0000}"/>
    <cellStyle name="Normal 5 4 2 7 2" xfId="4404" xr:uid="{00000000-0005-0000-0000-0000F81A0000}"/>
    <cellStyle name="Normal 5 4 2 7 2 2" xfId="8627" xr:uid="{00000000-0005-0000-0000-0000F91A0000}"/>
    <cellStyle name="Normal 5 4 2 7 2 2 2" xfId="17069" xr:uid="{93080892-6240-43EE-BF2B-76DADD7D32DF}"/>
    <cellStyle name="Normal 5 4 2 7 2 3" xfId="12851" xr:uid="{0FBB77A1-372D-4B21-A427-A52E0890E1D6}"/>
    <cellStyle name="Normal 5 4 2 7 3" xfId="6482" xr:uid="{00000000-0005-0000-0000-0000FA1A0000}"/>
    <cellStyle name="Normal 5 4 2 7 3 2" xfId="14924" xr:uid="{475B296B-8E1E-49C6-86B8-8F6693C0B7EB}"/>
    <cellStyle name="Normal 5 4 2 7 4" xfId="10706" xr:uid="{A80C730D-0980-4A5C-8181-6F09874F54F1}"/>
    <cellStyle name="Normal 5 4 2 8" xfId="2611" xr:uid="{00000000-0005-0000-0000-0000FB1A0000}"/>
    <cellStyle name="Normal 5 4 2 8 2" xfId="6895" xr:uid="{00000000-0005-0000-0000-0000FC1A0000}"/>
    <cellStyle name="Normal 5 4 2 8 2 2" xfId="15337" xr:uid="{C7CEBB5D-0AEA-4F1E-AB2F-9A9E415E2BCA}"/>
    <cellStyle name="Normal 5 4 2 8 3" xfId="11119" xr:uid="{3B82682F-320F-4341-974C-4882D457AA68}"/>
    <cellStyle name="Normal 5 4 2 9" xfId="4830" xr:uid="{00000000-0005-0000-0000-0000FD1A0000}"/>
    <cellStyle name="Normal 5 4 2 9 2" xfId="13272" xr:uid="{FEA5BE2F-6E2E-444D-816C-3170943021BA}"/>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2 2 2" xfId="15835" xr:uid="{C9D2C2C0-A49B-4C96-8C63-35F53D62DF3E}"/>
    <cellStyle name="Normal 5 4 3 2 2 2 3" xfId="11617" xr:uid="{260327B0-EEA0-4F34-83E8-FF5FB54BF9FA}"/>
    <cellStyle name="Normal 5 4 3 2 2 3" xfId="5248" xr:uid="{00000000-0005-0000-0000-0000031B0000}"/>
    <cellStyle name="Normal 5 4 3 2 2 3 2" xfId="13690" xr:uid="{A4E0EC87-1612-42EA-BAAE-F2876169B243}"/>
    <cellStyle name="Normal 5 4 3 2 2 4" xfId="9472" xr:uid="{075DC067-8CC6-4CF5-BE8C-C4633CAFB9D6}"/>
    <cellStyle name="Normal 5 4 3 2 3" xfId="1353" xr:uid="{00000000-0005-0000-0000-0000041B0000}"/>
    <cellStyle name="Normal 5 4 3 2 3 2" xfId="3583" xr:uid="{00000000-0005-0000-0000-0000051B0000}"/>
    <cellStyle name="Normal 5 4 3 2 3 2 2" xfId="7806" xr:uid="{00000000-0005-0000-0000-0000061B0000}"/>
    <cellStyle name="Normal 5 4 3 2 3 2 2 2" xfId="16248" xr:uid="{2BB53C32-EFC1-4824-A833-C8C4C9DC5F06}"/>
    <cellStyle name="Normal 5 4 3 2 3 2 3" xfId="12030" xr:uid="{F610AA08-F8C8-461F-84AA-740ED21B581A}"/>
    <cellStyle name="Normal 5 4 3 2 3 3" xfId="5661" xr:uid="{00000000-0005-0000-0000-0000071B0000}"/>
    <cellStyle name="Normal 5 4 3 2 3 3 2" xfId="14103" xr:uid="{837EED4C-6606-49BC-ADA6-A287A97B77A6}"/>
    <cellStyle name="Normal 5 4 3 2 3 4" xfId="9885" xr:uid="{D9EEFF7E-06B0-46C9-B42F-EFF883CBA3D7}"/>
    <cellStyle name="Normal 5 4 3 2 4" xfId="1766" xr:uid="{00000000-0005-0000-0000-0000081B0000}"/>
    <cellStyle name="Normal 5 4 3 2 4 2" xfId="3996" xr:uid="{00000000-0005-0000-0000-0000091B0000}"/>
    <cellStyle name="Normal 5 4 3 2 4 2 2" xfId="8219" xr:uid="{00000000-0005-0000-0000-00000A1B0000}"/>
    <cellStyle name="Normal 5 4 3 2 4 2 2 2" xfId="16661" xr:uid="{7902774E-05AD-4652-960A-070FA8969A1F}"/>
    <cellStyle name="Normal 5 4 3 2 4 2 3" xfId="12443" xr:uid="{71BD90E8-6025-4062-8522-DAABE9C19D18}"/>
    <cellStyle name="Normal 5 4 3 2 4 3" xfId="6074" xr:uid="{00000000-0005-0000-0000-00000B1B0000}"/>
    <cellStyle name="Normal 5 4 3 2 4 3 2" xfId="14516" xr:uid="{4941B5CE-CC74-480B-9AC5-6AE71FD5D0E5}"/>
    <cellStyle name="Normal 5 4 3 2 4 4" xfId="10298" xr:uid="{EE9B5413-9507-477D-ACAC-3925F259673D}"/>
    <cellStyle name="Normal 5 4 3 2 5" xfId="2180" xr:uid="{00000000-0005-0000-0000-00000C1B0000}"/>
    <cellStyle name="Normal 5 4 3 2 5 2" xfId="4409" xr:uid="{00000000-0005-0000-0000-00000D1B0000}"/>
    <cellStyle name="Normal 5 4 3 2 5 2 2" xfId="8632" xr:uid="{00000000-0005-0000-0000-00000E1B0000}"/>
    <cellStyle name="Normal 5 4 3 2 5 2 2 2" xfId="17074" xr:uid="{6ABF8302-1F06-4FA0-9297-7706ADA06CEF}"/>
    <cellStyle name="Normal 5 4 3 2 5 2 3" xfId="12856" xr:uid="{06F99BE0-7BCA-4C9A-97CB-425B1A3A8DC2}"/>
    <cellStyle name="Normal 5 4 3 2 5 3" xfId="6487" xr:uid="{00000000-0005-0000-0000-00000F1B0000}"/>
    <cellStyle name="Normal 5 4 3 2 5 3 2" xfId="14929" xr:uid="{9BC69B37-EF1A-4C04-96DD-1E0C0E0AFD44}"/>
    <cellStyle name="Normal 5 4 3 2 5 4" xfId="10711" xr:uid="{51051777-8530-4120-8A4B-A9D950B8CD25}"/>
    <cellStyle name="Normal 5 4 3 2 6" xfId="2616" xr:uid="{00000000-0005-0000-0000-0000101B0000}"/>
    <cellStyle name="Normal 5 4 3 2 6 2" xfId="6900" xr:uid="{00000000-0005-0000-0000-0000111B0000}"/>
    <cellStyle name="Normal 5 4 3 2 6 2 2" xfId="15342" xr:uid="{5B2D69B9-B98B-42DA-BDBB-C597AE663A6A}"/>
    <cellStyle name="Normal 5 4 3 2 6 3" xfId="11124" xr:uid="{91CA8BCB-911A-4589-A803-9E3200F0B925}"/>
    <cellStyle name="Normal 5 4 3 2 7" xfId="4835" xr:uid="{00000000-0005-0000-0000-0000121B0000}"/>
    <cellStyle name="Normal 5 4 3 2 7 2" xfId="13277" xr:uid="{E3470C5F-64E5-4A6B-964F-4A0ADD72079E}"/>
    <cellStyle name="Normal 5 4 3 2 8" xfId="9059" xr:uid="{A46D6EC0-AA01-4AE8-B5F5-6E554DFFF7A0}"/>
    <cellStyle name="Normal 5 4 3 3" xfId="935" xr:uid="{00000000-0005-0000-0000-0000131B0000}"/>
    <cellStyle name="Normal 5 4 3 3 2" xfId="3169" xr:uid="{00000000-0005-0000-0000-0000141B0000}"/>
    <cellStyle name="Normal 5 4 3 3 2 2" xfId="7392" xr:uid="{00000000-0005-0000-0000-0000151B0000}"/>
    <cellStyle name="Normal 5 4 3 3 2 2 2" xfId="15834" xr:uid="{50C88614-2B15-4AAF-A01E-8A56058810F0}"/>
    <cellStyle name="Normal 5 4 3 3 2 3" xfId="11616" xr:uid="{8B04C965-27B1-4FBF-9A6B-0FAE55D4E712}"/>
    <cellStyle name="Normal 5 4 3 3 3" xfId="5247" xr:uid="{00000000-0005-0000-0000-0000161B0000}"/>
    <cellStyle name="Normal 5 4 3 3 3 2" xfId="13689" xr:uid="{8625D79D-80AC-4CF0-9609-FA9D2695CDB6}"/>
    <cellStyle name="Normal 5 4 3 3 4" xfId="9471" xr:uid="{17AE046A-325F-4B54-BAF9-5CABDEF33B32}"/>
    <cellStyle name="Normal 5 4 3 4" xfId="1352" xr:uid="{00000000-0005-0000-0000-0000171B0000}"/>
    <cellStyle name="Normal 5 4 3 4 2" xfId="3582" xr:uid="{00000000-0005-0000-0000-0000181B0000}"/>
    <cellStyle name="Normal 5 4 3 4 2 2" xfId="7805" xr:uid="{00000000-0005-0000-0000-0000191B0000}"/>
    <cellStyle name="Normal 5 4 3 4 2 2 2" xfId="16247" xr:uid="{7675BA92-31BD-49BF-A7BC-4833CD403F4B}"/>
    <cellStyle name="Normal 5 4 3 4 2 3" xfId="12029" xr:uid="{A528F95A-934D-4F06-A521-D76FD8116C64}"/>
    <cellStyle name="Normal 5 4 3 4 3" xfId="5660" xr:uid="{00000000-0005-0000-0000-00001A1B0000}"/>
    <cellStyle name="Normal 5 4 3 4 3 2" xfId="14102" xr:uid="{5C7F11BE-F573-4A18-BCBE-FD6DDEEB5469}"/>
    <cellStyle name="Normal 5 4 3 4 4" xfId="9884" xr:uid="{E9D2796B-C9D7-4FC0-A13C-F06CC9F4DDB6}"/>
    <cellStyle name="Normal 5 4 3 5" xfId="1765" xr:uid="{00000000-0005-0000-0000-00001B1B0000}"/>
    <cellStyle name="Normal 5 4 3 5 2" xfId="3995" xr:uid="{00000000-0005-0000-0000-00001C1B0000}"/>
    <cellStyle name="Normal 5 4 3 5 2 2" xfId="8218" xr:uid="{00000000-0005-0000-0000-00001D1B0000}"/>
    <cellStyle name="Normal 5 4 3 5 2 2 2" xfId="16660" xr:uid="{08B50B7E-3872-4883-8870-39400C8E4ED6}"/>
    <cellStyle name="Normal 5 4 3 5 2 3" xfId="12442" xr:uid="{DB7E51D1-4D60-47F2-910F-051FBC66F29A}"/>
    <cellStyle name="Normal 5 4 3 5 3" xfId="6073" xr:uid="{00000000-0005-0000-0000-00001E1B0000}"/>
    <cellStyle name="Normal 5 4 3 5 3 2" xfId="14515" xr:uid="{4FA58080-6894-400B-B4B7-6A7FC1BC9ECE}"/>
    <cellStyle name="Normal 5 4 3 5 4" xfId="10297" xr:uid="{5D0415FD-8BD8-4252-A67A-0A27D2024171}"/>
    <cellStyle name="Normal 5 4 3 6" xfId="2179" xr:uid="{00000000-0005-0000-0000-00001F1B0000}"/>
    <cellStyle name="Normal 5 4 3 6 2" xfId="4408" xr:uid="{00000000-0005-0000-0000-0000201B0000}"/>
    <cellStyle name="Normal 5 4 3 6 2 2" xfId="8631" xr:uid="{00000000-0005-0000-0000-0000211B0000}"/>
    <cellStyle name="Normal 5 4 3 6 2 2 2" xfId="17073" xr:uid="{463DF0AB-069C-40B4-A021-CAFEA5F2900E}"/>
    <cellStyle name="Normal 5 4 3 6 2 3" xfId="12855" xr:uid="{14A46B8C-B6C9-4E31-BDBF-F965695C069E}"/>
    <cellStyle name="Normal 5 4 3 6 3" xfId="6486" xr:uid="{00000000-0005-0000-0000-0000221B0000}"/>
    <cellStyle name="Normal 5 4 3 6 3 2" xfId="14928" xr:uid="{2537E79F-CD6F-4B6A-9BA3-EDCF2B6AE6F7}"/>
    <cellStyle name="Normal 5 4 3 6 4" xfId="10710" xr:uid="{7F15C22B-BEF2-42A2-AE55-D49162CB92AF}"/>
    <cellStyle name="Normal 5 4 3 7" xfId="2615" xr:uid="{00000000-0005-0000-0000-0000231B0000}"/>
    <cellStyle name="Normal 5 4 3 7 2" xfId="6899" xr:uid="{00000000-0005-0000-0000-0000241B0000}"/>
    <cellStyle name="Normal 5 4 3 7 2 2" xfId="15341" xr:uid="{750BBC89-DAD6-4FF4-A78C-AAC231F94931}"/>
    <cellStyle name="Normal 5 4 3 7 3" xfId="11123" xr:uid="{45C399A4-D36B-410D-9349-EA7C9AB7E227}"/>
    <cellStyle name="Normal 5 4 3 8" xfId="4834" xr:uid="{00000000-0005-0000-0000-0000251B0000}"/>
    <cellStyle name="Normal 5 4 3 8 2" xfId="13276" xr:uid="{64ED7F8F-1B42-47F9-B1C6-BDA35FD17C1C}"/>
    <cellStyle name="Normal 5 4 3 9" xfId="9058" xr:uid="{9CAE4ABA-55FB-4582-AC1F-AD7982B9CE05}"/>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2 2 2" xfId="15836" xr:uid="{231B15A7-954F-4C97-9B04-121FE8095634}"/>
    <cellStyle name="Normal 5 4 4 2 2 3" xfId="11618" xr:uid="{E19DB519-BC46-4823-885A-20037E619219}"/>
    <cellStyle name="Normal 5 4 4 2 3" xfId="5249" xr:uid="{00000000-0005-0000-0000-00002A1B0000}"/>
    <cellStyle name="Normal 5 4 4 2 3 2" xfId="13691" xr:uid="{68C2FD54-00CA-4EEB-872B-4AD5D429E870}"/>
    <cellStyle name="Normal 5 4 4 2 4" xfId="9473" xr:uid="{66F89113-58F3-4850-9CA6-555E8CF729C7}"/>
    <cellStyle name="Normal 5 4 4 3" xfId="1354" xr:uid="{00000000-0005-0000-0000-00002B1B0000}"/>
    <cellStyle name="Normal 5 4 4 3 2" xfId="3584" xr:uid="{00000000-0005-0000-0000-00002C1B0000}"/>
    <cellStyle name="Normal 5 4 4 3 2 2" xfId="7807" xr:uid="{00000000-0005-0000-0000-00002D1B0000}"/>
    <cellStyle name="Normal 5 4 4 3 2 2 2" xfId="16249" xr:uid="{6068A5B2-F924-4E6A-9AB2-A940DEB7238D}"/>
    <cellStyle name="Normal 5 4 4 3 2 3" xfId="12031" xr:uid="{6FBD9FF9-8919-49A8-B27D-78C4C47A9299}"/>
    <cellStyle name="Normal 5 4 4 3 3" xfId="5662" xr:uid="{00000000-0005-0000-0000-00002E1B0000}"/>
    <cellStyle name="Normal 5 4 4 3 3 2" xfId="14104" xr:uid="{D18DFEE2-C97C-4597-B3D1-55FDE5EBA8C4}"/>
    <cellStyle name="Normal 5 4 4 3 4" xfId="9886" xr:uid="{B62659BD-7AC3-469D-80C2-38EEA845E190}"/>
    <cellStyle name="Normal 5 4 4 4" xfId="1767" xr:uid="{00000000-0005-0000-0000-00002F1B0000}"/>
    <cellStyle name="Normal 5 4 4 4 2" xfId="3997" xr:uid="{00000000-0005-0000-0000-0000301B0000}"/>
    <cellStyle name="Normal 5 4 4 4 2 2" xfId="8220" xr:uid="{00000000-0005-0000-0000-0000311B0000}"/>
    <cellStyle name="Normal 5 4 4 4 2 2 2" xfId="16662" xr:uid="{B9FD07B1-8F1A-414B-BA14-7AD20E2C4DC6}"/>
    <cellStyle name="Normal 5 4 4 4 2 3" xfId="12444" xr:uid="{8DCAFD98-8C71-46D2-B851-4900BB8FE481}"/>
    <cellStyle name="Normal 5 4 4 4 3" xfId="6075" xr:uid="{00000000-0005-0000-0000-0000321B0000}"/>
    <cellStyle name="Normal 5 4 4 4 3 2" xfId="14517" xr:uid="{C8A1CE9A-E08C-44E9-9E39-09891FD6B494}"/>
    <cellStyle name="Normal 5 4 4 4 4" xfId="10299" xr:uid="{B18443AC-82FD-4AEE-9276-54E38BB22CE9}"/>
    <cellStyle name="Normal 5 4 4 5" xfId="2181" xr:uid="{00000000-0005-0000-0000-0000331B0000}"/>
    <cellStyle name="Normal 5 4 4 5 2" xfId="4410" xr:uid="{00000000-0005-0000-0000-0000341B0000}"/>
    <cellStyle name="Normal 5 4 4 5 2 2" xfId="8633" xr:uid="{00000000-0005-0000-0000-0000351B0000}"/>
    <cellStyle name="Normal 5 4 4 5 2 2 2" xfId="17075" xr:uid="{8D6543E9-028E-47A3-84B7-B4276224694D}"/>
    <cellStyle name="Normal 5 4 4 5 2 3" xfId="12857" xr:uid="{18469012-1452-4DC8-8B66-DBB8101F32D8}"/>
    <cellStyle name="Normal 5 4 4 5 3" xfId="6488" xr:uid="{00000000-0005-0000-0000-0000361B0000}"/>
    <cellStyle name="Normal 5 4 4 5 3 2" xfId="14930" xr:uid="{7F658EE2-2469-4C84-84A3-D64E58F3E301}"/>
    <cellStyle name="Normal 5 4 4 5 4" xfId="10712" xr:uid="{4FBCEAC5-AFBF-4BFE-83AB-533BC05B1BC3}"/>
    <cellStyle name="Normal 5 4 4 6" xfId="2617" xr:uid="{00000000-0005-0000-0000-0000371B0000}"/>
    <cellStyle name="Normal 5 4 4 6 2" xfId="6901" xr:uid="{00000000-0005-0000-0000-0000381B0000}"/>
    <cellStyle name="Normal 5 4 4 6 2 2" xfId="15343" xr:uid="{428B659C-CE7B-461A-AD64-7CCA497B13A3}"/>
    <cellStyle name="Normal 5 4 4 6 3" xfId="11125" xr:uid="{68F1ADE0-F59F-42A4-BD11-D2859C2E198A}"/>
    <cellStyle name="Normal 5 4 4 7" xfId="4836" xr:uid="{00000000-0005-0000-0000-0000391B0000}"/>
    <cellStyle name="Normal 5 4 4 7 2" xfId="13278" xr:uid="{EA781850-5F1D-4166-821E-76CD1A395562}"/>
    <cellStyle name="Normal 5 4 4 8" xfId="9060" xr:uid="{58802976-95CB-4C5D-9524-9AF92615F790}"/>
    <cellStyle name="Normal 5 4 5" xfId="930" xr:uid="{00000000-0005-0000-0000-00003A1B0000}"/>
    <cellStyle name="Normal 5 4 5 2" xfId="3164" xr:uid="{00000000-0005-0000-0000-00003B1B0000}"/>
    <cellStyle name="Normal 5 4 5 2 2" xfId="7387" xr:uid="{00000000-0005-0000-0000-00003C1B0000}"/>
    <cellStyle name="Normal 5 4 5 2 2 2" xfId="15829" xr:uid="{F13376BB-F8D8-4A33-AC07-0AF0C6799885}"/>
    <cellStyle name="Normal 5 4 5 2 3" xfId="11611" xr:uid="{72A31182-256B-4F2F-8E0A-9454D7370D82}"/>
    <cellStyle name="Normal 5 4 5 3" xfId="5242" xr:uid="{00000000-0005-0000-0000-00003D1B0000}"/>
    <cellStyle name="Normal 5 4 5 3 2" xfId="13684" xr:uid="{CB13EFB6-D20C-4827-9750-DA1242A8A492}"/>
    <cellStyle name="Normal 5 4 5 4" xfId="9466" xr:uid="{9EAB9C60-06F3-483A-8682-2026C0EA2127}"/>
    <cellStyle name="Normal 5 4 6" xfId="1347" xr:uid="{00000000-0005-0000-0000-00003E1B0000}"/>
    <cellStyle name="Normal 5 4 6 2" xfId="3577" xr:uid="{00000000-0005-0000-0000-00003F1B0000}"/>
    <cellStyle name="Normal 5 4 6 2 2" xfId="7800" xr:uid="{00000000-0005-0000-0000-0000401B0000}"/>
    <cellStyle name="Normal 5 4 6 2 2 2" xfId="16242" xr:uid="{EA33B5FD-1D90-4868-A721-D77698D9F768}"/>
    <cellStyle name="Normal 5 4 6 2 3" xfId="12024" xr:uid="{45184EAD-B430-4E4D-AC64-471AA213DA5A}"/>
    <cellStyle name="Normal 5 4 6 3" xfId="5655" xr:uid="{00000000-0005-0000-0000-0000411B0000}"/>
    <cellStyle name="Normal 5 4 6 3 2" xfId="14097" xr:uid="{2A473348-1A21-45C0-B3F0-5F9A5C4DE5AA}"/>
    <cellStyle name="Normal 5 4 6 4" xfId="9879" xr:uid="{8E3B8786-9648-40E2-AB1E-4C3F566B5468}"/>
    <cellStyle name="Normal 5 4 7" xfId="1760" xr:uid="{00000000-0005-0000-0000-0000421B0000}"/>
    <cellStyle name="Normal 5 4 7 2" xfId="3990" xr:uid="{00000000-0005-0000-0000-0000431B0000}"/>
    <cellStyle name="Normal 5 4 7 2 2" xfId="8213" xr:uid="{00000000-0005-0000-0000-0000441B0000}"/>
    <cellStyle name="Normal 5 4 7 2 2 2" xfId="16655" xr:uid="{FFED1153-8ABE-4935-A57B-F72533D24169}"/>
    <cellStyle name="Normal 5 4 7 2 3" xfId="12437" xr:uid="{332DCDF6-EF7B-4906-BD16-193B7C501BE8}"/>
    <cellStyle name="Normal 5 4 7 3" xfId="6068" xr:uid="{00000000-0005-0000-0000-0000451B0000}"/>
    <cellStyle name="Normal 5 4 7 3 2" xfId="14510" xr:uid="{BBEBB68F-C3AE-41BA-817C-264D77AD3F88}"/>
    <cellStyle name="Normal 5 4 7 4" xfId="10292" xr:uid="{4741CE36-5D96-400E-98F7-8A592B6110A2}"/>
    <cellStyle name="Normal 5 4 8" xfId="2174" xr:uid="{00000000-0005-0000-0000-0000461B0000}"/>
    <cellStyle name="Normal 5 4 8 2" xfId="4403" xr:uid="{00000000-0005-0000-0000-0000471B0000}"/>
    <cellStyle name="Normal 5 4 8 2 2" xfId="8626" xr:uid="{00000000-0005-0000-0000-0000481B0000}"/>
    <cellStyle name="Normal 5 4 8 2 2 2" xfId="17068" xr:uid="{5053FF00-4D94-4B32-82E0-15FE1D569DB9}"/>
    <cellStyle name="Normal 5 4 8 2 3" xfId="12850" xr:uid="{4741C6A3-66E6-431B-8148-DD06F7BA3946}"/>
    <cellStyle name="Normal 5 4 8 3" xfId="6481" xr:uid="{00000000-0005-0000-0000-0000491B0000}"/>
    <cellStyle name="Normal 5 4 8 3 2" xfId="14923" xr:uid="{53C24D3C-F3EC-46AD-A310-F1E7DF271529}"/>
    <cellStyle name="Normal 5 4 8 4" xfId="10705" xr:uid="{F5ACAB3A-37F7-4B6D-8B4C-606888209F27}"/>
    <cellStyle name="Normal 5 4 9" xfId="2610" xr:uid="{00000000-0005-0000-0000-00004A1B0000}"/>
    <cellStyle name="Normal 5 4 9 2" xfId="6894" xr:uid="{00000000-0005-0000-0000-00004B1B0000}"/>
    <cellStyle name="Normal 5 4 9 2 2" xfId="15336" xr:uid="{AD62ACFD-E99E-425A-845C-10AE45FD1E63}"/>
    <cellStyle name="Normal 5 4 9 3" xfId="11118" xr:uid="{FB8D076A-A527-4BCE-8D1E-7E257E2D6149}"/>
    <cellStyle name="Normal 5 5" xfId="464" xr:uid="{00000000-0005-0000-0000-00004C1B0000}"/>
    <cellStyle name="Normal 5 5 10" xfId="9061" xr:uid="{9E21540E-982B-488C-A7B7-66431AC515A7}"/>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2 2 2" xfId="15839" xr:uid="{C94DFBAB-3945-49F7-8802-9C3915A7D93D}"/>
    <cellStyle name="Normal 5 5 2 2 2 2 3" xfId="11621" xr:uid="{D7AC3A8B-7398-49A6-AFB9-CFC54636AA22}"/>
    <cellStyle name="Normal 5 5 2 2 2 3" xfId="5252" xr:uid="{00000000-0005-0000-0000-0000521B0000}"/>
    <cellStyle name="Normal 5 5 2 2 2 3 2" xfId="13694" xr:uid="{3B677CE2-3E17-43A1-827D-742AFD98D0E6}"/>
    <cellStyle name="Normal 5 5 2 2 2 4" xfId="9476" xr:uid="{16AD8728-36D3-47B0-8220-E0D9CBEE211C}"/>
    <cellStyle name="Normal 5 5 2 2 3" xfId="1357" xr:uid="{00000000-0005-0000-0000-0000531B0000}"/>
    <cellStyle name="Normal 5 5 2 2 3 2" xfId="3587" xr:uid="{00000000-0005-0000-0000-0000541B0000}"/>
    <cellStyle name="Normal 5 5 2 2 3 2 2" xfId="7810" xr:uid="{00000000-0005-0000-0000-0000551B0000}"/>
    <cellStyle name="Normal 5 5 2 2 3 2 2 2" xfId="16252" xr:uid="{F2BB70C7-A650-48B2-815D-3CECA31CB502}"/>
    <cellStyle name="Normal 5 5 2 2 3 2 3" xfId="12034" xr:uid="{98003BF5-FA2B-410D-AC84-174DA123BEFB}"/>
    <cellStyle name="Normal 5 5 2 2 3 3" xfId="5665" xr:uid="{00000000-0005-0000-0000-0000561B0000}"/>
    <cellStyle name="Normal 5 5 2 2 3 3 2" xfId="14107" xr:uid="{CCDF613C-7566-4C22-A5A2-82EA8F058108}"/>
    <cellStyle name="Normal 5 5 2 2 3 4" xfId="9889" xr:uid="{CF8B27C2-1C15-4AA1-A79B-BB215B013351}"/>
    <cellStyle name="Normal 5 5 2 2 4" xfId="1770" xr:uid="{00000000-0005-0000-0000-0000571B0000}"/>
    <cellStyle name="Normal 5 5 2 2 4 2" xfId="4000" xr:uid="{00000000-0005-0000-0000-0000581B0000}"/>
    <cellStyle name="Normal 5 5 2 2 4 2 2" xfId="8223" xr:uid="{00000000-0005-0000-0000-0000591B0000}"/>
    <cellStyle name="Normal 5 5 2 2 4 2 2 2" xfId="16665" xr:uid="{BF111B47-BEE5-43D9-AFEA-16523432747A}"/>
    <cellStyle name="Normal 5 5 2 2 4 2 3" xfId="12447" xr:uid="{D9BF2369-D275-4092-ABE1-A60BE3BD65ED}"/>
    <cellStyle name="Normal 5 5 2 2 4 3" xfId="6078" xr:uid="{00000000-0005-0000-0000-00005A1B0000}"/>
    <cellStyle name="Normal 5 5 2 2 4 3 2" xfId="14520" xr:uid="{00C829D8-4478-44DD-A189-623F8F426613}"/>
    <cellStyle name="Normal 5 5 2 2 4 4" xfId="10302" xr:uid="{57EF5789-4A4C-4704-8BEF-A969A8857DC6}"/>
    <cellStyle name="Normal 5 5 2 2 5" xfId="2184" xr:uid="{00000000-0005-0000-0000-00005B1B0000}"/>
    <cellStyle name="Normal 5 5 2 2 5 2" xfId="4413" xr:uid="{00000000-0005-0000-0000-00005C1B0000}"/>
    <cellStyle name="Normal 5 5 2 2 5 2 2" xfId="8636" xr:uid="{00000000-0005-0000-0000-00005D1B0000}"/>
    <cellStyle name="Normal 5 5 2 2 5 2 2 2" xfId="17078" xr:uid="{33DE5077-9B32-456F-9D44-FE4BE4370E86}"/>
    <cellStyle name="Normal 5 5 2 2 5 2 3" xfId="12860" xr:uid="{35F58426-538D-468F-A403-E489E17EC380}"/>
    <cellStyle name="Normal 5 5 2 2 5 3" xfId="6491" xr:uid="{00000000-0005-0000-0000-00005E1B0000}"/>
    <cellStyle name="Normal 5 5 2 2 5 3 2" xfId="14933" xr:uid="{ED820074-15D4-4921-BCFC-E59C8B6F301E}"/>
    <cellStyle name="Normal 5 5 2 2 5 4" xfId="10715" xr:uid="{11526B59-04E9-4881-9D6F-63F9A1FB5E8F}"/>
    <cellStyle name="Normal 5 5 2 2 6" xfId="2620" xr:uid="{00000000-0005-0000-0000-00005F1B0000}"/>
    <cellStyle name="Normal 5 5 2 2 6 2" xfId="6904" xr:uid="{00000000-0005-0000-0000-0000601B0000}"/>
    <cellStyle name="Normal 5 5 2 2 6 2 2" xfId="15346" xr:uid="{D13C5DF9-1BD8-4F0B-B93B-E324744CFE17}"/>
    <cellStyle name="Normal 5 5 2 2 6 3" xfId="11128" xr:uid="{EBFB7660-1ABD-4D5C-9CFE-BCE1DC7348F1}"/>
    <cellStyle name="Normal 5 5 2 2 7" xfId="4839" xr:uid="{00000000-0005-0000-0000-0000611B0000}"/>
    <cellStyle name="Normal 5 5 2 2 7 2" xfId="13281" xr:uid="{E8528128-EFE7-42B3-A7C9-F8D4A8E56A7A}"/>
    <cellStyle name="Normal 5 5 2 2 8" xfId="9063" xr:uid="{E9341D5A-0C81-4576-B9B1-54D0141D6B5F}"/>
    <cellStyle name="Normal 5 5 2 3" xfId="939" xr:uid="{00000000-0005-0000-0000-0000621B0000}"/>
    <cellStyle name="Normal 5 5 2 3 2" xfId="3173" xr:uid="{00000000-0005-0000-0000-0000631B0000}"/>
    <cellStyle name="Normal 5 5 2 3 2 2" xfId="7396" xr:uid="{00000000-0005-0000-0000-0000641B0000}"/>
    <cellStyle name="Normal 5 5 2 3 2 2 2" xfId="15838" xr:uid="{7DED95E0-3FB9-44D0-AEFE-804FE7C10A3C}"/>
    <cellStyle name="Normal 5 5 2 3 2 3" xfId="11620" xr:uid="{C2DE149E-956B-4C89-86D3-D79D53C7B5A5}"/>
    <cellStyle name="Normal 5 5 2 3 3" xfId="5251" xr:uid="{00000000-0005-0000-0000-0000651B0000}"/>
    <cellStyle name="Normal 5 5 2 3 3 2" xfId="13693" xr:uid="{B37B46A0-3E2A-43F2-A9D6-401FA06438FD}"/>
    <cellStyle name="Normal 5 5 2 3 4" xfId="9475" xr:uid="{2F138D17-1E1C-4C58-A210-17F41DD8ED29}"/>
    <cellStyle name="Normal 5 5 2 4" xfId="1356" xr:uid="{00000000-0005-0000-0000-0000661B0000}"/>
    <cellStyle name="Normal 5 5 2 4 2" xfId="3586" xr:uid="{00000000-0005-0000-0000-0000671B0000}"/>
    <cellStyle name="Normal 5 5 2 4 2 2" xfId="7809" xr:uid="{00000000-0005-0000-0000-0000681B0000}"/>
    <cellStyle name="Normal 5 5 2 4 2 2 2" xfId="16251" xr:uid="{57CA2B13-B49C-4911-BCFE-B7F864E4FB3F}"/>
    <cellStyle name="Normal 5 5 2 4 2 3" xfId="12033" xr:uid="{9163D8E9-1900-44EA-B9FA-6EF879F6F1F3}"/>
    <cellStyle name="Normal 5 5 2 4 3" xfId="5664" xr:uid="{00000000-0005-0000-0000-0000691B0000}"/>
    <cellStyle name="Normal 5 5 2 4 3 2" xfId="14106" xr:uid="{C1E319FA-C889-4A45-AAAF-39E8654ABBC6}"/>
    <cellStyle name="Normal 5 5 2 4 4" xfId="9888" xr:uid="{CD4391FE-088E-4897-82C7-3544DDE64BE2}"/>
    <cellStyle name="Normal 5 5 2 5" xfId="1769" xr:uid="{00000000-0005-0000-0000-00006A1B0000}"/>
    <cellStyle name="Normal 5 5 2 5 2" xfId="3999" xr:uid="{00000000-0005-0000-0000-00006B1B0000}"/>
    <cellStyle name="Normal 5 5 2 5 2 2" xfId="8222" xr:uid="{00000000-0005-0000-0000-00006C1B0000}"/>
    <cellStyle name="Normal 5 5 2 5 2 2 2" xfId="16664" xr:uid="{AA6BC0A1-6A2C-4300-A6C1-096E9CACB2CF}"/>
    <cellStyle name="Normal 5 5 2 5 2 3" xfId="12446" xr:uid="{24E20062-1C54-4B5B-8103-E8ADFB282AD7}"/>
    <cellStyle name="Normal 5 5 2 5 3" xfId="6077" xr:uid="{00000000-0005-0000-0000-00006D1B0000}"/>
    <cellStyle name="Normal 5 5 2 5 3 2" xfId="14519" xr:uid="{CD86A707-B69B-41E1-9296-E650CC2B35D2}"/>
    <cellStyle name="Normal 5 5 2 5 4" xfId="10301" xr:uid="{53DFE0E3-6FAE-4666-9062-BAFDF84B6A68}"/>
    <cellStyle name="Normal 5 5 2 6" xfId="2183" xr:uid="{00000000-0005-0000-0000-00006E1B0000}"/>
    <cellStyle name="Normal 5 5 2 6 2" xfId="4412" xr:uid="{00000000-0005-0000-0000-00006F1B0000}"/>
    <cellStyle name="Normal 5 5 2 6 2 2" xfId="8635" xr:uid="{00000000-0005-0000-0000-0000701B0000}"/>
    <cellStyle name="Normal 5 5 2 6 2 2 2" xfId="17077" xr:uid="{3E9BC87D-60EF-4686-960F-194BD21DE0B8}"/>
    <cellStyle name="Normal 5 5 2 6 2 3" xfId="12859" xr:uid="{0DE3AFB1-801D-4310-84F4-8B1FA2469F9F}"/>
    <cellStyle name="Normal 5 5 2 6 3" xfId="6490" xr:uid="{00000000-0005-0000-0000-0000711B0000}"/>
    <cellStyle name="Normal 5 5 2 6 3 2" xfId="14932" xr:uid="{FFCA5980-D2A5-4F8C-8D63-D4B69DC6AAA0}"/>
    <cellStyle name="Normal 5 5 2 6 4" xfId="10714" xr:uid="{300A7F47-AE94-4985-AFA8-9A8A4C6051EC}"/>
    <cellStyle name="Normal 5 5 2 7" xfId="2619" xr:uid="{00000000-0005-0000-0000-0000721B0000}"/>
    <cellStyle name="Normal 5 5 2 7 2" xfId="6903" xr:uid="{00000000-0005-0000-0000-0000731B0000}"/>
    <cellStyle name="Normal 5 5 2 7 2 2" xfId="15345" xr:uid="{B000412B-88F0-451C-AC3F-645288CF0E51}"/>
    <cellStyle name="Normal 5 5 2 7 3" xfId="11127" xr:uid="{53A98A30-F5E3-41CD-BA7F-1939C77D758F}"/>
    <cellStyle name="Normal 5 5 2 8" xfId="4838" xr:uid="{00000000-0005-0000-0000-0000741B0000}"/>
    <cellStyle name="Normal 5 5 2 8 2" xfId="13280" xr:uid="{0A4F2F9C-FD1B-45E8-8174-4D6E361D99C3}"/>
    <cellStyle name="Normal 5 5 2 9" xfId="9062" xr:uid="{548534C1-0893-4436-9D76-48800717AE2D}"/>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2 2 2" xfId="15840" xr:uid="{DF95379F-5DEA-496C-9763-7BA29897E0A4}"/>
    <cellStyle name="Normal 5 5 3 2 2 3" xfId="11622" xr:uid="{9B933212-AD6E-44FA-A303-B116918B81BA}"/>
    <cellStyle name="Normal 5 5 3 2 3" xfId="5253" xr:uid="{00000000-0005-0000-0000-0000791B0000}"/>
    <cellStyle name="Normal 5 5 3 2 3 2" xfId="13695" xr:uid="{B849B90B-7483-4245-9A6F-EF4804632069}"/>
    <cellStyle name="Normal 5 5 3 2 4" xfId="9477" xr:uid="{F8F90FE9-29AA-4ADF-8D1E-648D2F72ACF0}"/>
    <cellStyle name="Normal 5 5 3 3" xfId="1358" xr:uid="{00000000-0005-0000-0000-00007A1B0000}"/>
    <cellStyle name="Normal 5 5 3 3 2" xfId="3588" xr:uid="{00000000-0005-0000-0000-00007B1B0000}"/>
    <cellStyle name="Normal 5 5 3 3 2 2" xfId="7811" xr:uid="{00000000-0005-0000-0000-00007C1B0000}"/>
    <cellStyle name="Normal 5 5 3 3 2 2 2" xfId="16253" xr:uid="{90BC4EDF-B032-4483-A83F-4D57D20C3C1F}"/>
    <cellStyle name="Normal 5 5 3 3 2 3" xfId="12035" xr:uid="{0DB25ACC-4433-4A73-B453-A1EBA0E52EED}"/>
    <cellStyle name="Normal 5 5 3 3 3" xfId="5666" xr:uid="{00000000-0005-0000-0000-00007D1B0000}"/>
    <cellStyle name="Normal 5 5 3 3 3 2" xfId="14108" xr:uid="{9C532431-537C-47C4-B687-B57EC721A9CF}"/>
    <cellStyle name="Normal 5 5 3 3 4" xfId="9890" xr:uid="{25C3923C-1377-40B5-88B3-F6DF3D3985E1}"/>
    <cellStyle name="Normal 5 5 3 4" xfId="1771" xr:uid="{00000000-0005-0000-0000-00007E1B0000}"/>
    <cellStyle name="Normal 5 5 3 4 2" xfId="4001" xr:uid="{00000000-0005-0000-0000-00007F1B0000}"/>
    <cellStyle name="Normal 5 5 3 4 2 2" xfId="8224" xr:uid="{00000000-0005-0000-0000-0000801B0000}"/>
    <cellStyle name="Normal 5 5 3 4 2 2 2" xfId="16666" xr:uid="{BBC29A34-8D5C-4E47-9CD6-445A9C36FFEC}"/>
    <cellStyle name="Normal 5 5 3 4 2 3" xfId="12448" xr:uid="{BAC9C869-AE84-4395-8184-8E92629CE1FF}"/>
    <cellStyle name="Normal 5 5 3 4 3" xfId="6079" xr:uid="{00000000-0005-0000-0000-0000811B0000}"/>
    <cellStyle name="Normal 5 5 3 4 3 2" xfId="14521" xr:uid="{510DA9FE-F38F-4281-A5FB-5B2BAF4E1CDC}"/>
    <cellStyle name="Normal 5 5 3 4 4" xfId="10303" xr:uid="{9655DCB5-6798-4548-8CDA-C95E98A59E0E}"/>
    <cellStyle name="Normal 5 5 3 5" xfId="2185" xr:uid="{00000000-0005-0000-0000-0000821B0000}"/>
    <cellStyle name="Normal 5 5 3 5 2" xfId="4414" xr:uid="{00000000-0005-0000-0000-0000831B0000}"/>
    <cellStyle name="Normal 5 5 3 5 2 2" xfId="8637" xr:uid="{00000000-0005-0000-0000-0000841B0000}"/>
    <cellStyle name="Normal 5 5 3 5 2 2 2" xfId="17079" xr:uid="{B7D30AEA-B7E9-4096-B873-4C6F5021239A}"/>
    <cellStyle name="Normal 5 5 3 5 2 3" xfId="12861" xr:uid="{87CF697B-941D-41D5-8D48-1928CC280E47}"/>
    <cellStyle name="Normal 5 5 3 5 3" xfId="6492" xr:uid="{00000000-0005-0000-0000-0000851B0000}"/>
    <cellStyle name="Normal 5 5 3 5 3 2" xfId="14934" xr:uid="{6BFC7AE5-0B41-4967-BEE2-56453977D0ED}"/>
    <cellStyle name="Normal 5 5 3 5 4" xfId="10716" xr:uid="{0680F17A-DC7D-40E6-B125-796C3A8693EF}"/>
    <cellStyle name="Normal 5 5 3 6" xfId="2621" xr:uid="{00000000-0005-0000-0000-0000861B0000}"/>
    <cellStyle name="Normal 5 5 3 6 2" xfId="6905" xr:uid="{00000000-0005-0000-0000-0000871B0000}"/>
    <cellStyle name="Normal 5 5 3 6 2 2" xfId="15347" xr:uid="{DF0CA70C-407E-421E-A8DD-3C550F5F263F}"/>
    <cellStyle name="Normal 5 5 3 6 3" xfId="11129" xr:uid="{A31C5FED-D6CC-4544-9ADE-8F7AE306EEE4}"/>
    <cellStyle name="Normal 5 5 3 7" xfId="4840" xr:uid="{00000000-0005-0000-0000-0000881B0000}"/>
    <cellStyle name="Normal 5 5 3 7 2" xfId="13282" xr:uid="{934C481E-F395-4675-A16F-E4525DEA18B0}"/>
    <cellStyle name="Normal 5 5 3 8" xfId="9064" xr:uid="{0E36D5B2-D235-4727-A337-E50F9F358781}"/>
    <cellStyle name="Normal 5 5 4" xfId="938" xr:uid="{00000000-0005-0000-0000-0000891B0000}"/>
    <cellStyle name="Normal 5 5 4 2" xfId="3172" xr:uid="{00000000-0005-0000-0000-00008A1B0000}"/>
    <cellStyle name="Normal 5 5 4 2 2" xfId="7395" xr:uid="{00000000-0005-0000-0000-00008B1B0000}"/>
    <cellStyle name="Normal 5 5 4 2 2 2" xfId="15837" xr:uid="{FBABEFF6-0365-4A41-892F-447AB10AC271}"/>
    <cellStyle name="Normal 5 5 4 2 3" xfId="11619" xr:uid="{6B92C31D-3D9A-43E9-BF28-276F3F4E1FD5}"/>
    <cellStyle name="Normal 5 5 4 3" xfId="5250" xr:uid="{00000000-0005-0000-0000-00008C1B0000}"/>
    <cellStyle name="Normal 5 5 4 3 2" xfId="13692" xr:uid="{314B359A-E16D-4DD9-A919-9A7DFCE3849E}"/>
    <cellStyle name="Normal 5 5 4 4" xfId="9474" xr:uid="{6C48EF74-F968-4FF7-A0C8-2ACDF846400B}"/>
    <cellStyle name="Normal 5 5 5" xfId="1355" xr:uid="{00000000-0005-0000-0000-00008D1B0000}"/>
    <cellStyle name="Normal 5 5 5 2" xfId="3585" xr:uid="{00000000-0005-0000-0000-00008E1B0000}"/>
    <cellStyle name="Normal 5 5 5 2 2" xfId="7808" xr:uid="{00000000-0005-0000-0000-00008F1B0000}"/>
    <cellStyle name="Normal 5 5 5 2 2 2" xfId="16250" xr:uid="{322BE0C7-194C-4A74-9C1B-4BAC0D273414}"/>
    <cellStyle name="Normal 5 5 5 2 3" xfId="12032" xr:uid="{26C731E2-4D6E-4A06-A584-818F1609836C}"/>
    <cellStyle name="Normal 5 5 5 3" xfId="5663" xr:uid="{00000000-0005-0000-0000-0000901B0000}"/>
    <cellStyle name="Normal 5 5 5 3 2" xfId="14105" xr:uid="{ACB68436-328B-49F7-8B64-F934E29201B9}"/>
    <cellStyle name="Normal 5 5 5 4" xfId="9887" xr:uid="{8AD13231-0D4B-4017-9048-890BDDAD601E}"/>
    <cellStyle name="Normal 5 5 6" xfId="1768" xr:uid="{00000000-0005-0000-0000-0000911B0000}"/>
    <cellStyle name="Normal 5 5 6 2" xfId="3998" xr:uid="{00000000-0005-0000-0000-0000921B0000}"/>
    <cellStyle name="Normal 5 5 6 2 2" xfId="8221" xr:uid="{00000000-0005-0000-0000-0000931B0000}"/>
    <cellStyle name="Normal 5 5 6 2 2 2" xfId="16663" xr:uid="{AE14B8BD-B567-48C9-B3FA-A5B7FBA49E16}"/>
    <cellStyle name="Normal 5 5 6 2 3" xfId="12445" xr:uid="{7C48C7CB-6705-44B2-9051-3E3F272CA3FD}"/>
    <cellStyle name="Normal 5 5 6 3" xfId="6076" xr:uid="{00000000-0005-0000-0000-0000941B0000}"/>
    <cellStyle name="Normal 5 5 6 3 2" xfId="14518" xr:uid="{35FA4151-2408-4DEE-BB3F-5EA6C4BACA69}"/>
    <cellStyle name="Normal 5 5 6 4" xfId="10300" xr:uid="{7AF25583-32EF-4653-9CC1-CE4E186DB844}"/>
    <cellStyle name="Normal 5 5 7" xfId="2182" xr:uid="{00000000-0005-0000-0000-0000951B0000}"/>
    <cellStyle name="Normal 5 5 7 2" xfId="4411" xr:uid="{00000000-0005-0000-0000-0000961B0000}"/>
    <cellStyle name="Normal 5 5 7 2 2" xfId="8634" xr:uid="{00000000-0005-0000-0000-0000971B0000}"/>
    <cellStyle name="Normal 5 5 7 2 2 2" xfId="17076" xr:uid="{32E1B82E-3F3C-490C-A3E6-215E033C585C}"/>
    <cellStyle name="Normal 5 5 7 2 3" xfId="12858" xr:uid="{9EB0FE3A-3BBF-4C45-A08D-A5BF3A3BBFAD}"/>
    <cellStyle name="Normal 5 5 7 3" xfId="6489" xr:uid="{00000000-0005-0000-0000-0000981B0000}"/>
    <cellStyle name="Normal 5 5 7 3 2" xfId="14931" xr:uid="{DC3F9542-1821-4F40-8AC1-CEF3C6FD775D}"/>
    <cellStyle name="Normal 5 5 7 4" xfId="10713" xr:uid="{9E2084B6-7C46-4C60-9379-A199F08D7EEA}"/>
    <cellStyle name="Normal 5 5 8" xfId="2618" xr:uid="{00000000-0005-0000-0000-0000991B0000}"/>
    <cellStyle name="Normal 5 5 8 2" xfId="6902" xr:uid="{00000000-0005-0000-0000-00009A1B0000}"/>
    <cellStyle name="Normal 5 5 8 2 2" xfId="15344" xr:uid="{EE35BBA0-9AE4-4660-B410-1E08BD51BA87}"/>
    <cellStyle name="Normal 5 5 8 3" xfId="11126" xr:uid="{D5DE9AFA-F312-4741-A1CF-FD01D587C78B}"/>
    <cellStyle name="Normal 5 5 9" xfId="4837" xr:uid="{00000000-0005-0000-0000-00009B1B0000}"/>
    <cellStyle name="Normal 5 5 9 2" xfId="13279" xr:uid="{6723D35F-F8BC-4D59-A74F-E70AAC428CF2}"/>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2 2 2" xfId="15842" xr:uid="{00460E50-D11E-40B0-8B90-90490441FD15}"/>
    <cellStyle name="Normal 5 6 2 2 2 3" xfId="11624" xr:uid="{93BB3082-3645-412F-8FAE-9A975AB38C32}"/>
    <cellStyle name="Normal 5 6 2 2 3" xfId="5255" xr:uid="{00000000-0005-0000-0000-0000A11B0000}"/>
    <cellStyle name="Normal 5 6 2 2 3 2" xfId="13697" xr:uid="{C1F391F5-2AA6-4220-8849-378775223FB1}"/>
    <cellStyle name="Normal 5 6 2 2 4" xfId="9479" xr:uid="{6D0D0C2E-1ABE-4F03-B4A7-711E5D19D104}"/>
    <cellStyle name="Normal 5 6 2 3" xfId="1360" xr:uid="{00000000-0005-0000-0000-0000A21B0000}"/>
    <cellStyle name="Normal 5 6 2 3 2" xfId="3590" xr:uid="{00000000-0005-0000-0000-0000A31B0000}"/>
    <cellStyle name="Normal 5 6 2 3 2 2" xfId="7813" xr:uid="{00000000-0005-0000-0000-0000A41B0000}"/>
    <cellStyle name="Normal 5 6 2 3 2 2 2" xfId="16255" xr:uid="{07F86BCF-9C83-49C1-A33C-D832EC6A8E79}"/>
    <cellStyle name="Normal 5 6 2 3 2 3" xfId="12037" xr:uid="{C35DA7B5-43B5-46E3-A380-B48DEED72CC2}"/>
    <cellStyle name="Normal 5 6 2 3 3" xfId="5668" xr:uid="{00000000-0005-0000-0000-0000A51B0000}"/>
    <cellStyle name="Normal 5 6 2 3 3 2" xfId="14110" xr:uid="{38C8E9C3-2F1C-4F85-AD6F-692C21C07839}"/>
    <cellStyle name="Normal 5 6 2 3 4" xfId="9892" xr:uid="{57D83883-6B1E-4214-9FEA-B51B6EB380C7}"/>
    <cellStyle name="Normal 5 6 2 4" xfId="1773" xr:uid="{00000000-0005-0000-0000-0000A61B0000}"/>
    <cellStyle name="Normal 5 6 2 4 2" xfId="4003" xr:uid="{00000000-0005-0000-0000-0000A71B0000}"/>
    <cellStyle name="Normal 5 6 2 4 2 2" xfId="8226" xr:uid="{00000000-0005-0000-0000-0000A81B0000}"/>
    <cellStyle name="Normal 5 6 2 4 2 2 2" xfId="16668" xr:uid="{023F7310-536D-4014-9214-C6D409053A4A}"/>
    <cellStyle name="Normal 5 6 2 4 2 3" xfId="12450" xr:uid="{DAD74782-8A76-4D02-98DA-7423DEF5954C}"/>
    <cellStyle name="Normal 5 6 2 4 3" xfId="6081" xr:uid="{00000000-0005-0000-0000-0000A91B0000}"/>
    <cellStyle name="Normal 5 6 2 4 3 2" xfId="14523" xr:uid="{5B94BA22-869E-4264-9D2D-D614450F94EB}"/>
    <cellStyle name="Normal 5 6 2 4 4" xfId="10305" xr:uid="{7A32E2CE-0143-44BB-801D-FFAAF5A67795}"/>
    <cellStyle name="Normal 5 6 2 5" xfId="2187" xr:uid="{00000000-0005-0000-0000-0000AA1B0000}"/>
    <cellStyle name="Normal 5 6 2 5 2" xfId="4416" xr:uid="{00000000-0005-0000-0000-0000AB1B0000}"/>
    <cellStyle name="Normal 5 6 2 5 2 2" xfId="8639" xr:uid="{00000000-0005-0000-0000-0000AC1B0000}"/>
    <cellStyle name="Normal 5 6 2 5 2 2 2" xfId="17081" xr:uid="{BD462163-9F94-4369-ADE0-99A3C3E29E57}"/>
    <cellStyle name="Normal 5 6 2 5 2 3" xfId="12863" xr:uid="{7D8AFBDC-2841-4791-B53F-A9E65129C5EC}"/>
    <cellStyle name="Normal 5 6 2 5 3" xfId="6494" xr:uid="{00000000-0005-0000-0000-0000AD1B0000}"/>
    <cellStyle name="Normal 5 6 2 5 3 2" xfId="14936" xr:uid="{3158DB70-C73F-4F77-A0D7-74035A5A853E}"/>
    <cellStyle name="Normal 5 6 2 5 4" xfId="10718" xr:uid="{77811E3F-B061-40E6-9285-F5F77DFEE38D}"/>
    <cellStyle name="Normal 5 6 2 6" xfId="2623" xr:uid="{00000000-0005-0000-0000-0000AE1B0000}"/>
    <cellStyle name="Normal 5 6 2 6 2" xfId="6907" xr:uid="{00000000-0005-0000-0000-0000AF1B0000}"/>
    <cellStyle name="Normal 5 6 2 6 2 2" xfId="15349" xr:uid="{92F5C556-880E-40B1-8E07-32A6DD11B465}"/>
    <cellStyle name="Normal 5 6 2 6 3" xfId="11131" xr:uid="{86C004C3-16B3-4B60-BE8F-A00592BBB063}"/>
    <cellStyle name="Normal 5 6 2 7" xfId="4842" xr:uid="{00000000-0005-0000-0000-0000B01B0000}"/>
    <cellStyle name="Normal 5 6 2 7 2" xfId="13284" xr:uid="{A13CB828-A53C-430A-A3EF-5C5E9AEFF02F}"/>
    <cellStyle name="Normal 5 6 2 8" xfId="9066" xr:uid="{7DB0C0A4-7300-465A-BB9B-6B878AE9FA1B}"/>
    <cellStyle name="Normal 5 6 3" xfId="942" xr:uid="{00000000-0005-0000-0000-0000B11B0000}"/>
    <cellStyle name="Normal 5 6 3 2" xfId="3176" xr:uid="{00000000-0005-0000-0000-0000B21B0000}"/>
    <cellStyle name="Normal 5 6 3 2 2" xfId="7399" xr:uid="{00000000-0005-0000-0000-0000B31B0000}"/>
    <cellStyle name="Normal 5 6 3 2 2 2" xfId="15841" xr:uid="{DCE5A8EA-F463-47B0-8632-3AF5E70AD957}"/>
    <cellStyle name="Normal 5 6 3 2 3" xfId="11623" xr:uid="{D10CEE8F-8047-423F-9679-C811236EAD72}"/>
    <cellStyle name="Normal 5 6 3 3" xfId="5254" xr:uid="{00000000-0005-0000-0000-0000B41B0000}"/>
    <cellStyle name="Normal 5 6 3 3 2" xfId="13696" xr:uid="{54F9FB44-8DE7-456A-BCCF-2B35F642B7E4}"/>
    <cellStyle name="Normal 5 6 3 4" xfId="9478" xr:uid="{BFCB4936-CF73-489F-B1C1-FA595CB23E28}"/>
    <cellStyle name="Normal 5 6 4" xfId="1359" xr:uid="{00000000-0005-0000-0000-0000B51B0000}"/>
    <cellStyle name="Normal 5 6 4 2" xfId="3589" xr:uid="{00000000-0005-0000-0000-0000B61B0000}"/>
    <cellStyle name="Normal 5 6 4 2 2" xfId="7812" xr:uid="{00000000-0005-0000-0000-0000B71B0000}"/>
    <cellStyle name="Normal 5 6 4 2 2 2" xfId="16254" xr:uid="{CBA1CA49-3395-478F-9736-1FEBABDDB2C8}"/>
    <cellStyle name="Normal 5 6 4 2 3" xfId="12036" xr:uid="{7C1D1C4A-327C-44E4-AECB-D1C2792E0B87}"/>
    <cellStyle name="Normal 5 6 4 3" xfId="5667" xr:uid="{00000000-0005-0000-0000-0000B81B0000}"/>
    <cellStyle name="Normal 5 6 4 3 2" xfId="14109" xr:uid="{EE60CCF4-F344-4D9A-9740-343EEF8FD2AA}"/>
    <cellStyle name="Normal 5 6 4 4" xfId="9891" xr:uid="{78AA89F3-0CC9-4D2D-A2D5-88C663C72158}"/>
    <cellStyle name="Normal 5 6 5" xfId="1772" xr:uid="{00000000-0005-0000-0000-0000B91B0000}"/>
    <cellStyle name="Normal 5 6 5 2" xfId="4002" xr:uid="{00000000-0005-0000-0000-0000BA1B0000}"/>
    <cellStyle name="Normal 5 6 5 2 2" xfId="8225" xr:uid="{00000000-0005-0000-0000-0000BB1B0000}"/>
    <cellStyle name="Normal 5 6 5 2 2 2" xfId="16667" xr:uid="{1FD0D3BF-4A2D-40C0-B012-6FF22DA1BE4E}"/>
    <cellStyle name="Normal 5 6 5 2 3" xfId="12449" xr:uid="{46E8EAC8-368B-4770-A5FB-455A28B01A61}"/>
    <cellStyle name="Normal 5 6 5 3" xfId="6080" xr:uid="{00000000-0005-0000-0000-0000BC1B0000}"/>
    <cellStyle name="Normal 5 6 5 3 2" xfId="14522" xr:uid="{789E1D1C-FE81-4024-AAAC-CA1BE7293E9D}"/>
    <cellStyle name="Normal 5 6 5 4" xfId="10304" xr:uid="{9285CD35-785F-4138-AD86-2B66EF3B237A}"/>
    <cellStyle name="Normal 5 6 6" xfId="2186" xr:uid="{00000000-0005-0000-0000-0000BD1B0000}"/>
    <cellStyle name="Normal 5 6 6 2" xfId="4415" xr:uid="{00000000-0005-0000-0000-0000BE1B0000}"/>
    <cellStyle name="Normal 5 6 6 2 2" xfId="8638" xr:uid="{00000000-0005-0000-0000-0000BF1B0000}"/>
    <cellStyle name="Normal 5 6 6 2 2 2" xfId="17080" xr:uid="{A5952DA1-B88D-4366-A844-5D9AC477EE88}"/>
    <cellStyle name="Normal 5 6 6 2 3" xfId="12862" xr:uid="{F4947135-A62A-444F-84D1-2A7C4F0C0DAA}"/>
    <cellStyle name="Normal 5 6 6 3" xfId="6493" xr:uid="{00000000-0005-0000-0000-0000C01B0000}"/>
    <cellStyle name="Normal 5 6 6 3 2" xfId="14935" xr:uid="{3984B37C-4A5F-4C32-9C0C-92A060C36B80}"/>
    <cellStyle name="Normal 5 6 6 4" xfId="10717" xr:uid="{22C67B14-78B7-431D-AB9C-89899066A733}"/>
    <cellStyle name="Normal 5 6 7" xfId="2622" xr:uid="{00000000-0005-0000-0000-0000C11B0000}"/>
    <cellStyle name="Normal 5 6 7 2" xfId="6906" xr:uid="{00000000-0005-0000-0000-0000C21B0000}"/>
    <cellStyle name="Normal 5 6 7 2 2" xfId="15348" xr:uid="{469BEC76-36E7-4719-84F6-AEB82690D26C}"/>
    <cellStyle name="Normal 5 6 7 3" xfId="11130" xr:uid="{80AA0EDC-6682-404E-A844-BBA15C1D3494}"/>
    <cellStyle name="Normal 5 6 8" xfId="4841" xr:uid="{00000000-0005-0000-0000-0000C31B0000}"/>
    <cellStyle name="Normal 5 6 8 2" xfId="13283" xr:uid="{13874FAE-CF85-4F54-A0B1-62CA72B22D06}"/>
    <cellStyle name="Normal 5 6 9" xfId="9065" xr:uid="{9B241366-FD31-43D5-AC02-2445C09E2927}"/>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2 2 2" xfId="15843" xr:uid="{81D67E6A-5CD7-4C9C-B14C-41BD0B7046C9}"/>
    <cellStyle name="Normal 5 7 2 2 3" xfId="11625" xr:uid="{E0135688-B7A1-401C-960F-C142CF00206A}"/>
    <cellStyle name="Normal 5 7 2 3" xfId="5256" xr:uid="{00000000-0005-0000-0000-0000C81B0000}"/>
    <cellStyle name="Normal 5 7 2 3 2" xfId="13698" xr:uid="{40CE7EB7-FE31-4D08-9B92-3388E90AB1F8}"/>
    <cellStyle name="Normal 5 7 2 4" xfId="9480" xr:uid="{AE166350-F621-4A3C-B0BB-8FD69971B82F}"/>
    <cellStyle name="Normal 5 7 3" xfId="1361" xr:uid="{00000000-0005-0000-0000-0000C91B0000}"/>
    <cellStyle name="Normal 5 7 3 2" xfId="3591" xr:uid="{00000000-0005-0000-0000-0000CA1B0000}"/>
    <cellStyle name="Normal 5 7 3 2 2" xfId="7814" xr:uid="{00000000-0005-0000-0000-0000CB1B0000}"/>
    <cellStyle name="Normal 5 7 3 2 2 2" xfId="16256" xr:uid="{9B53195A-CA33-4C42-8ED0-5EECD7673C71}"/>
    <cellStyle name="Normal 5 7 3 2 3" xfId="12038" xr:uid="{1807EA46-0DDC-4E46-8147-F93329AA7EA4}"/>
    <cellStyle name="Normal 5 7 3 3" xfId="5669" xr:uid="{00000000-0005-0000-0000-0000CC1B0000}"/>
    <cellStyle name="Normal 5 7 3 3 2" xfId="14111" xr:uid="{317BDDED-6444-4576-AE62-A09A4765B2EA}"/>
    <cellStyle name="Normal 5 7 3 4" xfId="9893" xr:uid="{F17FA147-260E-4418-B4DD-EF50187A43B6}"/>
    <cellStyle name="Normal 5 7 4" xfId="1774" xr:uid="{00000000-0005-0000-0000-0000CD1B0000}"/>
    <cellStyle name="Normal 5 7 4 2" xfId="4004" xr:uid="{00000000-0005-0000-0000-0000CE1B0000}"/>
    <cellStyle name="Normal 5 7 4 2 2" xfId="8227" xr:uid="{00000000-0005-0000-0000-0000CF1B0000}"/>
    <cellStyle name="Normal 5 7 4 2 2 2" xfId="16669" xr:uid="{7AE50745-9287-42AD-B33F-A38FE1D3B531}"/>
    <cellStyle name="Normal 5 7 4 2 3" xfId="12451" xr:uid="{3BF30F3A-EEA4-4CF9-B586-23AFC7C53CDB}"/>
    <cellStyle name="Normal 5 7 4 3" xfId="6082" xr:uid="{00000000-0005-0000-0000-0000D01B0000}"/>
    <cellStyle name="Normal 5 7 4 3 2" xfId="14524" xr:uid="{53CEC5A8-D68D-4142-A112-A35C211BC0AB}"/>
    <cellStyle name="Normal 5 7 4 4" xfId="10306" xr:uid="{EC93104D-22F8-44E9-9427-34255047E830}"/>
    <cellStyle name="Normal 5 7 5" xfId="2188" xr:uid="{00000000-0005-0000-0000-0000D11B0000}"/>
    <cellStyle name="Normal 5 7 5 2" xfId="4417" xr:uid="{00000000-0005-0000-0000-0000D21B0000}"/>
    <cellStyle name="Normal 5 7 5 2 2" xfId="8640" xr:uid="{00000000-0005-0000-0000-0000D31B0000}"/>
    <cellStyle name="Normal 5 7 5 2 2 2" xfId="17082" xr:uid="{8C8FDB6E-5A66-4DED-85C7-77EB35C1D863}"/>
    <cellStyle name="Normal 5 7 5 2 3" xfId="12864" xr:uid="{878F3BAE-D8D5-4C2C-ABE9-ACFA52D53806}"/>
    <cellStyle name="Normal 5 7 5 3" xfId="6495" xr:uid="{00000000-0005-0000-0000-0000D41B0000}"/>
    <cellStyle name="Normal 5 7 5 3 2" xfId="14937" xr:uid="{4D7426FA-2AEE-47E1-AAF2-D27B1F0BC434}"/>
    <cellStyle name="Normal 5 7 5 4" xfId="10719" xr:uid="{A942ED4A-213C-48FF-8FEC-ED65107C6ACA}"/>
    <cellStyle name="Normal 5 7 6" xfId="2624" xr:uid="{00000000-0005-0000-0000-0000D51B0000}"/>
    <cellStyle name="Normal 5 7 6 2" xfId="6908" xr:uid="{00000000-0005-0000-0000-0000D61B0000}"/>
    <cellStyle name="Normal 5 7 6 2 2" xfId="15350" xr:uid="{F6B08694-D7ED-4EDA-BA0B-28ACDEBABB96}"/>
    <cellStyle name="Normal 5 7 6 3" xfId="11132" xr:uid="{701C7C14-61DB-4A2D-9B4C-C07EDF78D502}"/>
    <cellStyle name="Normal 5 7 7" xfId="4843" xr:uid="{00000000-0005-0000-0000-0000D71B0000}"/>
    <cellStyle name="Normal 5 7 7 2" xfId="13285" xr:uid="{8A80FB0B-995B-4E8C-8064-96BB7F095048}"/>
    <cellStyle name="Normal 5 7 8" xfId="9067" xr:uid="{336C64F8-9FFE-4DBA-A6F1-3B581B36A412}"/>
    <cellStyle name="Normal 5 8" xfId="880" xr:uid="{00000000-0005-0000-0000-0000D81B0000}"/>
    <cellStyle name="Normal 5 8 2" xfId="3115" xr:uid="{00000000-0005-0000-0000-0000D91B0000}"/>
    <cellStyle name="Normal 5 8 2 2" xfId="7338" xr:uid="{00000000-0005-0000-0000-0000DA1B0000}"/>
    <cellStyle name="Normal 5 8 2 2 2" xfId="15780" xr:uid="{E65A4FA6-4718-40C2-9199-E5EE1FCC3A22}"/>
    <cellStyle name="Normal 5 8 2 3" xfId="11562" xr:uid="{D390D068-B44F-44AF-94A0-D85E75DC54B1}"/>
    <cellStyle name="Normal 5 8 3" xfId="5193" xr:uid="{00000000-0005-0000-0000-0000DB1B0000}"/>
    <cellStyle name="Normal 5 8 3 2" xfId="13635" xr:uid="{851D2B4F-EB9E-4971-A7C7-D3C755084746}"/>
    <cellStyle name="Normal 5 8 4" xfId="9417" xr:uid="{DF5B4EEC-A666-4A02-96CC-B6E15AD15089}"/>
    <cellStyle name="Normal 5 9" xfId="1298" xr:uid="{00000000-0005-0000-0000-0000DC1B0000}"/>
    <cellStyle name="Normal 5 9 2" xfId="3528" xr:uid="{00000000-0005-0000-0000-0000DD1B0000}"/>
    <cellStyle name="Normal 5 9 2 2" xfId="7751" xr:uid="{00000000-0005-0000-0000-0000DE1B0000}"/>
    <cellStyle name="Normal 5 9 2 2 2" xfId="16193" xr:uid="{F0034202-422E-4F40-8913-2E183AE8902D}"/>
    <cellStyle name="Normal 5 9 2 3" xfId="11975" xr:uid="{B35D1300-EB93-4087-93A0-36D3B40D39F8}"/>
    <cellStyle name="Normal 5 9 3" xfId="5606" xr:uid="{00000000-0005-0000-0000-0000DF1B0000}"/>
    <cellStyle name="Normal 5 9 3 2" xfId="14048" xr:uid="{9A7D8BB8-627A-4F96-916A-E073C26C7DB0}"/>
    <cellStyle name="Normal 5 9 4" xfId="9830" xr:uid="{ED3565F2-5ECA-4C3E-AD01-B56EA34A0BFE}"/>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2 2 2" xfId="17083" xr:uid="{2A3F98DC-AC7F-4393-8ECF-B461B0031155}"/>
    <cellStyle name="Normal 8 10 2 3" xfId="12865" xr:uid="{689FDB7A-D1E0-4408-BACE-DD963D14C47C}"/>
    <cellStyle name="Normal 8 10 3" xfId="6496" xr:uid="{00000000-0005-0000-0000-0000EB1B0000}"/>
    <cellStyle name="Normal 8 10 3 2" xfId="14938" xr:uid="{B78C20DF-F956-4EF8-99B9-2D2D89D24BF1}"/>
    <cellStyle name="Normal 8 10 4" xfId="10720" xr:uid="{AE647F10-7A21-4E13-94D4-E5EBEFBE1FD5}"/>
    <cellStyle name="Normal 8 11" xfId="2625" xr:uid="{00000000-0005-0000-0000-0000EC1B0000}"/>
    <cellStyle name="Normal 8 11 2" xfId="6909" xr:uid="{00000000-0005-0000-0000-0000ED1B0000}"/>
    <cellStyle name="Normal 8 11 2 2" xfId="15351" xr:uid="{175AF357-D684-406B-9377-EB9409BA379F}"/>
    <cellStyle name="Normal 8 11 3" xfId="11133" xr:uid="{F38AAFDF-75C1-4799-B503-6BF2C7FD8D03}"/>
    <cellStyle name="Normal 8 12" xfId="4844" xr:uid="{00000000-0005-0000-0000-0000EE1B0000}"/>
    <cellStyle name="Normal 8 12 2" xfId="13286" xr:uid="{2AD44CCF-2B8D-46AF-AB51-03D0F86559F1}"/>
    <cellStyle name="Normal 8 13" xfId="9068" xr:uid="{862941A3-A38D-4EF7-BEB6-47B51BE1E573}"/>
    <cellStyle name="Normal 8 2" xfId="479" xr:uid="{00000000-0005-0000-0000-0000EF1B0000}"/>
    <cellStyle name="Normal 8 2 10" xfId="2626" xr:uid="{00000000-0005-0000-0000-0000F01B0000}"/>
    <cellStyle name="Normal 8 2 10 2" xfId="6910" xr:uid="{00000000-0005-0000-0000-0000F11B0000}"/>
    <cellStyle name="Normal 8 2 10 2 2" xfId="15352" xr:uid="{FB869E3F-D9BA-4223-87C7-C2025F0C464B}"/>
    <cellStyle name="Normal 8 2 10 3" xfId="11134" xr:uid="{00435A33-71A7-4D3F-9623-88010D16A899}"/>
    <cellStyle name="Normal 8 2 11" xfId="4845" xr:uid="{00000000-0005-0000-0000-0000F21B0000}"/>
    <cellStyle name="Normal 8 2 11 2" xfId="13287" xr:uid="{04F649F4-4E32-4A36-A422-0F7F52933DA1}"/>
    <cellStyle name="Normal 8 2 12" xfId="9069" xr:uid="{357ED112-2C07-45EC-8B98-1072959DA4FF}"/>
    <cellStyle name="Normal 8 2 2" xfId="480" xr:uid="{00000000-0005-0000-0000-0000F31B0000}"/>
    <cellStyle name="Normal 8 2 2 10" xfId="4846" xr:uid="{00000000-0005-0000-0000-0000F41B0000}"/>
    <cellStyle name="Normal 8 2 2 10 2" xfId="13288" xr:uid="{AEEB6706-57F6-415D-84F1-1355B83F9F8B}"/>
    <cellStyle name="Normal 8 2 2 11" xfId="9070" xr:uid="{489368C2-19CD-423A-A2A7-8723C46E944E}"/>
    <cellStyle name="Normal 8 2 2 2" xfId="481" xr:uid="{00000000-0005-0000-0000-0000F51B0000}"/>
    <cellStyle name="Normal 8 2 2 2 10" xfId="9071" xr:uid="{4148F3BE-599F-490A-851B-A3FFCEEAF0C4}"/>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2 2 2" xfId="15849" xr:uid="{21E9E78C-8B87-4DD7-93C1-2D7182DE7D8D}"/>
    <cellStyle name="Normal 8 2 2 2 2 2 2 2 3" xfId="11631" xr:uid="{71D429B1-2D07-483B-8436-C0CCFA618483}"/>
    <cellStyle name="Normal 8 2 2 2 2 2 2 3" xfId="5262" xr:uid="{00000000-0005-0000-0000-0000FB1B0000}"/>
    <cellStyle name="Normal 8 2 2 2 2 2 2 3 2" xfId="13704" xr:uid="{9A8C4CC4-FBA2-4700-944F-62EF966F904F}"/>
    <cellStyle name="Normal 8 2 2 2 2 2 2 4" xfId="9486" xr:uid="{605FC9D3-F402-46DF-840C-1BC365D62E7A}"/>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2 2 2" xfId="16262" xr:uid="{61785248-F6FD-4CC4-9990-BE21E0BB1696}"/>
    <cellStyle name="Normal 8 2 2 2 2 2 3 2 3" xfId="12044" xr:uid="{1D3466DD-F2E8-47AC-A35E-368DED715D2C}"/>
    <cellStyle name="Normal 8 2 2 2 2 2 3 3" xfId="5675" xr:uid="{00000000-0005-0000-0000-0000FF1B0000}"/>
    <cellStyle name="Normal 8 2 2 2 2 2 3 3 2" xfId="14117" xr:uid="{675362FA-1946-48DD-971B-3D3FC55F5BC4}"/>
    <cellStyle name="Normal 8 2 2 2 2 2 3 4" xfId="9899" xr:uid="{1656FA9E-7F05-4E7F-8A24-834EB94DC762}"/>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2 2 2" xfId="16675" xr:uid="{5A883DF2-A1C0-4FCA-BEDC-69ACC77FF971}"/>
    <cellStyle name="Normal 8 2 2 2 2 2 4 2 3" xfId="12457" xr:uid="{80D45508-B6EE-4234-BC6F-F7ACB50E18BA}"/>
    <cellStyle name="Normal 8 2 2 2 2 2 4 3" xfId="6088" xr:uid="{00000000-0005-0000-0000-0000031C0000}"/>
    <cellStyle name="Normal 8 2 2 2 2 2 4 3 2" xfId="14530" xr:uid="{9952C671-9BAB-4905-A917-289E17014A3A}"/>
    <cellStyle name="Normal 8 2 2 2 2 2 4 4" xfId="10312" xr:uid="{136D7413-2922-436B-B600-0E4D2D4421E7}"/>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2 2 2" xfId="17088" xr:uid="{67E16E88-E72F-470F-AF76-E8B1ED4C01DF}"/>
    <cellStyle name="Normal 8 2 2 2 2 2 5 2 3" xfId="12870" xr:uid="{27FF029A-5B59-4FF6-928A-31C5C8032872}"/>
    <cellStyle name="Normal 8 2 2 2 2 2 5 3" xfId="6501" xr:uid="{00000000-0005-0000-0000-0000071C0000}"/>
    <cellStyle name="Normal 8 2 2 2 2 2 5 3 2" xfId="14943" xr:uid="{C5739C47-B9CB-4BC9-AB85-F3251D76987D}"/>
    <cellStyle name="Normal 8 2 2 2 2 2 5 4" xfId="10725" xr:uid="{CEDE6735-A659-491F-BA9D-D9CD1465FD6D}"/>
    <cellStyle name="Normal 8 2 2 2 2 2 6" xfId="2630" xr:uid="{00000000-0005-0000-0000-0000081C0000}"/>
    <cellStyle name="Normal 8 2 2 2 2 2 6 2" xfId="6914" xr:uid="{00000000-0005-0000-0000-0000091C0000}"/>
    <cellStyle name="Normal 8 2 2 2 2 2 6 2 2" xfId="15356" xr:uid="{334E85F2-CC4B-49D9-92A1-4D8E15CFB795}"/>
    <cellStyle name="Normal 8 2 2 2 2 2 6 3" xfId="11138" xr:uid="{512F43F6-F91C-4FAE-8350-3F0B6E007B03}"/>
    <cellStyle name="Normal 8 2 2 2 2 2 7" xfId="4849" xr:uid="{00000000-0005-0000-0000-00000A1C0000}"/>
    <cellStyle name="Normal 8 2 2 2 2 2 7 2" xfId="13291" xr:uid="{A87665A9-25B7-41C8-A81D-8A1CC9C92FC7}"/>
    <cellStyle name="Normal 8 2 2 2 2 2 8" xfId="9073" xr:uid="{1B4572C0-5F90-45F3-A762-4D159D00C8D7}"/>
    <cellStyle name="Normal 8 2 2 2 2 3" xfId="949" xr:uid="{00000000-0005-0000-0000-00000B1C0000}"/>
    <cellStyle name="Normal 8 2 2 2 2 3 2" xfId="3183" xr:uid="{00000000-0005-0000-0000-00000C1C0000}"/>
    <cellStyle name="Normal 8 2 2 2 2 3 2 2" xfId="7406" xr:uid="{00000000-0005-0000-0000-00000D1C0000}"/>
    <cellStyle name="Normal 8 2 2 2 2 3 2 2 2" xfId="15848" xr:uid="{9FFCFA33-40B8-4BE6-9CAC-C70E32488076}"/>
    <cellStyle name="Normal 8 2 2 2 2 3 2 3" xfId="11630" xr:uid="{6700F181-9AB3-4623-93B3-FE7A7872BB59}"/>
    <cellStyle name="Normal 8 2 2 2 2 3 3" xfId="5261" xr:uid="{00000000-0005-0000-0000-00000E1C0000}"/>
    <cellStyle name="Normal 8 2 2 2 2 3 3 2" xfId="13703" xr:uid="{A737AB4B-A0CA-44EC-83BA-C8F001D04BF7}"/>
    <cellStyle name="Normal 8 2 2 2 2 3 4" xfId="9485" xr:uid="{A7A46C33-4085-42E8-B353-D7767C6FB5B9}"/>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2 2 2" xfId="16261" xr:uid="{91C4FEE6-972F-4CEC-8CFE-B22C411044B4}"/>
    <cellStyle name="Normal 8 2 2 2 2 4 2 3" xfId="12043" xr:uid="{015DAB03-B81A-4612-BEA6-51FA72DAE267}"/>
    <cellStyle name="Normal 8 2 2 2 2 4 3" xfId="5674" xr:uid="{00000000-0005-0000-0000-0000121C0000}"/>
    <cellStyle name="Normal 8 2 2 2 2 4 3 2" xfId="14116" xr:uid="{E3F0C6A8-06A2-424A-8B1F-A2D7CAB31137}"/>
    <cellStyle name="Normal 8 2 2 2 2 4 4" xfId="9898" xr:uid="{2BEBA9DD-F020-4754-8DDF-323892730FDC}"/>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2 2 2" xfId="16674" xr:uid="{FF987BB9-B950-407D-9287-C42D6EBFD806}"/>
    <cellStyle name="Normal 8 2 2 2 2 5 2 3" xfId="12456" xr:uid="{200A8A93-F0FF-47FD-A5CB-A6633F2FE68E}"/>
    <cellStyle name="Normal 8 2 2 2 2 5 3" xfId="6087" xr:uid="{00000000-0005-0000-0000-0000161C0000}"/>
    <cellStyle name="Normal 8 2 2 2 2 5 3 2" xfId="14529" xr:uid="{7CADC92F-577E-4B68-9A36-00AE648CE28C}"/>
    <cellStyle name="Normal 8 2 2 2 2 5 4" xfId="10311" xr:uid="{93B9F4F6-8487-4802-894A-95B9964EAC42}"/>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2 2 2" xfId="17087" xr:uid="{F31467BE-ECCC-4A77-AFE6-520C80054131}"/>
    <cellStyle name="Normal 8 2 2 2 2 6 2 3" xfId="12869" xr:uid="{5174443D-860B-4CC5-9B98-7AE8E5611B14}"/>
    <cellStyle name="Normal 8 2 2 2 2 6 3" xfId="6500" xr:uid="{00000000-0005-0000-0000-00001A1C0000}"/>
    <cellStyle name="Normal 8 2 2 2 2 6 3 2" xfId="14942" xr:uid="{3AD68A6B-FBC7-4EE8-B752-4D1F37994191}"/>
    <cellStyle name="Normal 8 2 2 2 2 6 4" xfId="10724" xr:uid="{EA84741A-A54E-44FA-9540-9D94CA3D276B}"/>
    <cellStyle name="Normal 8 2 2 2 2 7" xfId="2629" xr:uid="{00000000-0005-0000-0000-00001B1C0000}"/>
    <cellStyle name="Normal 8 2 2 2 2 7 2" xfId="6913" xr:uid="{00000000-0005-0000-0000-00001C1C0000}"/>
    <cellStyle name="Normal 8 2 2 2 2 7 2 2" xfId="15355" xr:uid="{DE7BD254-0E30-4211-9CEB-8238FCBEEDA6}"/>
    <cellStyle name="Normal 8 2 2 2 2 7 3" xfId="11137" xr:uid="{234FF2B8-5E0B-43A2-9D49-56CAEA1B6447}"/>
    <cellStyle name="Normal 8 2 2 2 2 8" xfId="4848" xr:uid="{00000000-0005-0000-0000-00001D1C0000}"/>
    <cellStyle name="Normal 8 2 2 2 2 8 2" xfId="13290" xr:uid="{DB3BC10D-8050-4163-9DD0-4B0958C0B3B0}"/>
    <cellStyle name="Normal 8 2 2 2 2 9" xfId="9072" xr:uid="{B310A7FA-672C-4A5A-B0FB-05A00966FA25}"/>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2 2 2" xfId="15850" xr:uid="{BE605E5D-C502-48E2-8563-3B519BB70FAB}"/>
    <cellStyle name="Normal 8 2 2 2 3 2 2 3" xfId="11632" xr:uid="{2EF1521C-72EF-4222-811F-688DB00A59BD}"/>
    <cellStyle name="Normal 8 2 2 2 3 2 3" xfId="5263" xr:uid="{00000000-0005-0000-0000-0000221C0000}"/>
    <cellStyle name="Normal 8 2 2 2 3 2 3 2" xfId="13705" xr:uid="{501F96C5-D33A-4525-97C0-92B6ECE4C51B}"/>
    <cellStyle name="Normal 8 2 2 2 3 2 4" xfId="9487" xr:uid="{2F4E8F01-FCF0-4B55-BA89-D07E77043C3C}"/>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2 2 2" xfId="16263" xr:uid="{7ADFBC24-509B-41CC-B0DF-C6B2BDF06137}"/>
    <cellStyle name="Normal 8 2 2 2 3 3 2 3" xfId="12045" xr:uid="{E77C7AD6-78A4-4763-AB82-A04DC7D8D6D4}"/>
    <cellStyle name="Normal 8 2 2 2 3 3 3" xfId="5676" xr:uid="{00000000-0005-0000-0000-0000261C0000}"/>
    <cellStyle name="Normal 8 2 2 2 3 3 3 2" xfId="14118" xr:uid="{1AA871FC-198A-4539-A9FD-3EB7EE541EC1}"/>
    <cellStyle name="Normal 8 2 2 2 3 3 4" xfId="9900" xr:uid="{204F47F1-096C-4AD8-AA6B-481E370AA024}"/>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2 2 2" xfId="16676" xr:uid="{DC7B2AB8-B76B-484F-9C5A-C97C629DBD27}"/>
    <cellStyle name="Normal 8 2 2 2 3 4 2 3" xfId="12458" xr:uid="{4E8C5C99-D0AD-4542-959B-8F0F87B101BB}"/>
    <cellStyle name="Normal 8 2 2 2 3 4 3" xfId="6089" xr:uid="{00000000-0005-0000-0000-00002A1C0000}"/>
    <cellStyle name="Normal 8 2 2 2 3 4 3 2" xfId="14531" xr:uid="{7497013C-DF1B-46E3-B9A0-951AEAAA92A1}"/>
    <cellStyle name="Normal 8 2 2 2 3 4 4" xfId="10313" xr:uid="{42A5BC3D-D2FD-4187-BFC5-A3A15F65B7D7}"/>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2 2 2" xfId="17089" xr:uid="{C4D2D95B-8321-4B79-8487-83C94DB054C0}"/>
    <cellStyle name="Normal 8 2 2 2 3 5 2 3" xfId="12871" xr:uid="{A54BD7DE-D69F-4208-91B5-3C75E37542FB}"/>
    <cellStyle name="Normal 8 2 2 2 3 5 3" xfId="6502" xr:uid="{00000000-0005-0000-0000-00002E1C0000}"/>
    <cellStyle name="Normal 8 2 2 2 3 5 3 2" xfId="14944" xr:uid="{43B4FFC3-47D4-4C80-8DC6-E8C59BF0C789}"/>
    <cellStyle name="Normal 8 2 2 2 3 5 4" xfId="10726" xr:uid="{E304388A-9F59-4FB0-BBCA-D7826A05F684}"/>
    <cellStyle name="Normal 8 2 2 2 3 6" xfId="2631" xr:uid="{00000000-0005-0000-0000-00002F1C0000}"/>
    <cellStyle name="Normal 8 2 2 2 3 6 2" xfId="6915" xr:uid="{00000000-0005-0000-0000-0000301C0000}"/>
    <cellStyle name="Normal 8 2 2 2 3 6 2 2" xfId="15357" xr:uid="{6D5291AF-6A4E-4BDE-B9C6-53F009EE0115}"/>
    <cellStyle name="Normal 8 2 2 2 3 6 3" xfId="11139" xr:uid="{9E7BE24D-503A-4C19-BC3A-02CA078E922E}"/>
    <cellStyle name="Normal 8 2 2 2 3 7" xfId="4850" xr:uid="{00000000-0005-0000-0000-0000311C0000}"/>
    <cellStyle name="Normal 8 2 2 2 3 7 2" xfId="13292" xr:uid="{FE335BD4-34E8-43EB-B759-F9B746900F1F}"/>
    <cellStyle name="Normal 8 2 2 2 3 8" xfId="9074" xr:uid="{01EDA0B0-7A90-4304-98A0-5FA83B967A9F}"/>
    <cellStyle name="Normal 8 2 2 2 4" xfId="948" xr:uid="{00000000-0005-0000-0000-0000321C0000}"/>
    <cellStyle name="Normal 8 2 2 2 4 2" xfId="3182" xr:uid="{00000000-0005-0000-0000-0000331C0000}"/>
    <cellStyle name="Normal 8 2 2 2 4 2 2" xfId="7405" xr:uid="{00000000-0005-0000-0000-0000341C0000}"/>
    <cellStyle name="Normal 8 2 2 2 4 2 2 2" xfId="15847" xr:uid="{7F6627E3-8554-4C22-8CD1-16E4F2B5F982}"/>
    <cellStyle name="Normal 8 2 2 2 4 2 3" xfId="11629" xr:uid="{3660F833-66DA-4229-BB78-1CF05F0A71B9}"/>
    <cellStyle name="Normal 8 2 2 2 4 3" xfId="5260" xr:uid="{00000000-0005-0000-0000-0000351C0000}"/>
    <cellStyle name="Normal 8 2 2 2 4 3 2" xfId="13702" xr:uid="{8BDA53C7-C946-49C2-B770-987A2F720924}"/>
    <cellStyle name="Normal 8 2 2 2 4 4" xfId="9484" xr:uid="{559BB408-F1D5-4C0C-BE19-1FBB28A207CD}"/>
    <cellStyle name="Normal 8 2 2 2 5" xfId="1365" xr:uid="{00000000-0005-0000-0000-0000361C0000}"/>
    <cellStyle name="Normal 8 2 2 2 5 2" xfId="3595" xr:uid="{00000000-0005-0000-0000-0000371C0000}"/>
    <cellStyle name="Normal 8 2 2 2 5 2 2" xfId="7818" xr:uid="{00000000-0005-0000-0000-0000381C0000}"/>
    <cellStyle name="Normal 8 2 2 2 5 2 2 2" xfId="16260" xr:uid="{27CC1ABC-DFA5-49D6-AD93-2055B42D8F05}"/>
    <cellStyle name="Normal 8 2 2 2 5 2 3" xfId="12042" xr:uid="{23B81536-5ED0-40B1-9D37-B37A0B5282A9}"/>
    <cellStyle name="Normal 8 2 2 2 5 3" xfId="5673" xr:uid="{00000000-0005-0000-0000-0000391C0000}"/>
    <cellStyle name="Normal 8 2 2 2 5 3 2" xfId="14115" xr:uid="{ADD62E9B-CE06-4580-9CEE-2FE19040A57E}"/>
    <cellStyle name="Normal 8 2 2 2 5 4" xfId="9897" xr:uid="{A3A038FB-6945-4BBE-8EB1-0D9DA43544CA}"/>
    <cellStyle name="Normal 8 2 2 2 6" xfId="1778" xr:uid="{00000000-0005-0000-0000-00003A1C0000}"/>
    <cellStyle name="Normal 8 2 2 2 6 2" xfId="4008" xr:uid="{00000000-0005-0000-0000-00003B1C0000}"/>
    <cellStyle name="Normal 8 2 2 2 6 2 2" xfId="8231" xr:uid="{00000000-0005-0000-0000-00003C1C0000}"/>
    <cellStyle name="Normal 8 2 2 2 6 2 2 2" xfId="16673" xr:uid="{DA53517B-B8F4-4147-B282-35294B659121}"/>
    <cellStyle name="Normal 8 2 2 2 6 2 3" xfId="12455" xr:uid="{FBC946B4-E506-48E1-860D-182D8ED8D738}"/>
    <cellStyle name="Normal 8 2 2 2 6 3" xfId="6086" xr:uid="{00000000-0005-0000-0000-00003D1C0000}"/>
    <cellStyle name="Normal 8 2 2 2 6 3 2" xfId="14528" xr:uid="{437BFC1B-A0C3-4632-B042-56F90D0331B0}"/>
    <cellStyle name="Normal 8 2 2 2 6 4" xfId="10310" xr:uid="{23D68E20-0282-4488-A037-5E5B3EFB054B}"/>
    <cellStyle name="Normal 8 2 2 2 7" xfId="2192" xr:uid="{00000000-0005-0000-0000-00003E1C0000}"/>
    <cellStyle name="Normal 8 2 2 2 7 2" xfId="4421" xr:uid="{00000000-0005-0000-0000-00003F1C0000}"/>
    <cellStyle name="Normal 8 2 2 2 7 2 2" xfId="8644" xr:uid="{00000000-0005-0000-0000-0000401C0000}"/>
    <cellStyle name="Normal 8 2 2 2 7 2 2 2" xfId="17086" xr:uid="{02D7AAB7-A0E8-47EA-ACB8-4D3BE7166943}"/>
    <cellStyle name="Normal 8 2 2 2 7 2 3" xfId="12868" xr:uid="{B52A70B6-E99B-4DBD-B842-B74ECD3C3C95}"/>
    <cellStyle name="Normal 8 2 2 2 7 3" xfId="6499" xr:uid="{00000000-0005-0000-0000-0000411C0000}"/>
    <cellStyle name="Normal 8 2 2 2 7 3 2" xfId="14941" xr:uid="{37DE7C88-87FA-429B-8ABF-3F127C879307}"/>
    <cellStyle name="Normal 8 2 2 2 7 4" xfId="10723" xr:uid="{475747EE-7633-486F-9FA2-1447ACB52606}"/>
    <cellStyle name="Normal 8 2 2 2 8" xfId="2628" xr:uid="{00000000-0005-0000-0000-0000421C0000}"/>
    <cellStyle name="Normal 8 2 2 2 8 2" xfId="6912" xr:uid="{00000000-0005-0000-0000-0000431C0000}"/>
    <cellStyle name="Normal 8 2 2 2 8 2 2" xfId="15354" xr:uid="{14C03447-737D-415F-8444-51C8B1452AC4}"/>
    <cellStyle name="Normal 8 2 2 2 8 3" xfId="11136" xr:uid="{6FC19028-0EB3-4B90-BBD3-E106682E61BF}"/>
    <cellStyle name="Normal 8 2 2 2 9" xfId="4847" xr:uid="{00000000-0005-0000-0000-0000441C0000}"/>
    <cellStyle name="Normal 8 2 2 2 9 2" xfId="13289" xr:uid="{044416FF-D30B-45A0-AFD6-B3212AE5ACB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2 2 2" xfId="15852" xr:uid="{3112B12B-9A3A-44DE-8D69-F15595E1A3E7}"/>
    <cellStyle name="Normal 8 2 2 3 2 2 2 3" xfId="11634" xr:uid="{08452CDC-E918-46B7-9A43-45D168D4BCDB}"/>
    <cellStyle name="Normal 8 2 2 3 2 2 3" xfId="5265" xr:uid="{00000000-0005-0000-0000-00004A1C0000}"/>
    <cellStyle name="Normal 8 2 2 3 2 2 3 2" xfId="13707" xr:uid="{36460742-4A3D-47D9-A9AB-FEED3FEF1860}"/>
    <cellStyle name="Normal 8 2 2 3 2 2 4" xfId="9489" xr:uid="{5648D2CD-817C-4BDB-B9F7-2751D6E1BEFC}"/>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2 2 2" xfId="16265" xr:uid="{3760E399-B34F-4545-ADBC-613FA94B284D}"/>
    <cellStyle name="Normal 8 2 2 3 2 3 2 3" xfId="12047" xr:uid="{011D5586-F763-4A10-AC92-8F4B2F1E81E1}"/>
    <cellStyle name="Normal 8 2 2 3 2 3 3" xfId="5678" xr:uid="{00000000-0005-0000-0000-00004E1C0000}"/>
    <cellStyle name="Normal 8 2 2 3 2 3 3 2" xfId="14120" xr:uid="{2CC1E058-CB5A-45C2-A5D3-141A608FAA23}"/>
    <cellStyle name="Normal 8 2 2 3 2 3 4" xfId="9902" xr:uid="{E4D423A9-39BD-4B1F-B7BE-3EE945D67287}"/>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2 2 2" xfId="16678" xr:uid="{72FEEE19-5D58-4908-9A96-39AE0B49FCC1}"/>
    <cellStyle name="Normal 8 2 2 3 2 4 2 3" xfId="12460" xr:uid="{F54A83B0-25D2-4227-A460-410D4459C9DB}"/>
    <cellStyle name="Normal 8 2 2 3 2 4 3" xfId="6091" xr:uid="{00000000-0005-0000-0000-0000521C0000}"/>
    <cellStyle name="Normal 8 2 2 3 2 4 3 2" xfId="14533" xr:uid="{82A7C7A7-F3B8-4B5E-9071-CD445439E643}"/>
    <cellStyle name="Normal 8 2 2 3 2 4 4" xfId="10315" xr:uid="{4EA47612-656E-44F2-AAC2-E8ED7C723E36}"/>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2 2 2" xfId="17091" xr:uid="{C616DF19-64C5-42EB-95CD-47BA2F35F04A}"/>
    <cellStyle name="Normal 8 2 2 3 2 5 2 3" xfId="12873" xr:uid="{2A678B95-4D65-42B2-81D2-1E01B92CD88D}"/>
    <cellStyle name="Normal 8 2 2 3 2 5 3" xfId="6504" xr:uid="{00000000-0005-0000-0000-0000561C0000}"/>
    <cellStyle name="Normal 8 2 2 3 2 5 3 2" xfId="14946" xr:uid="{7CE1232C-06F1-4DAB-B8A1-25EFCB446A83}"/>
    <cellStyle name="Normal 8 2 2 3 2 5 4" xfId="10728" xr:uid="{55D999B5-312C-4A48-8E30-86E541C20E31}"/>
    <cellStyle name="Normal 8 2 2 3 2 6" xfId="2633" xr:uid="{00000000-0005-0000-0000-0000571C0000}"/>
    <cellStyle name="Normal 8 2 2 3 2 6 2" xfId="6917" xr:uid="{00000000-0005-0000-0000-0000581C0000}"/>
    <cellStyle name="Normal 8 2 2 3 2 6 2 2" xfId="15359" xr:uid="{1E0214D4-2543-467E-955D-B6D2BC3B90D3}"/>
    <cellStyle name="Normal 8 2 2 3 2 6 3" xfId="11141" xr:uid="{C8B18787-A42A-42BC-94FF-6D5CE01CABF8}"/>
    <cellStyle name="Normal 8 2 2 3 2 7" xfId="4852" xr:uid="{00000000-0005-0000-0000-0000591C0000}"/>
    <cellStyle name="Normal 8 2 2 3 2 7 2" xfId="13294" xr:uid="{28E8E577-3F93-4BEA-B162-BCABCC177F76}"/>
    <cellStyle name="Normal 8 2 2 3 2 8" xfId="9076" xr:uid="{42ECBE25-7557-470D-B4F9-EBA8C3B84C1E}"/>
    <cellStyle name="Normal 8 2 2 3 3" xfId="952" xr:uid="{00000000-0005-0000-0000-00005A1C0000}"/>
    <cellStyle name="Normal 8 2 2 3 3 2" xfId="3186" xr:uid="{00000000-0005-0000-0000-00005B1C0000}"/>
    <cellStyle name="Normal 8 2 2 3 3 2 2" xfId="7409" xr:uid="{00000000-0005-0000-0000-00005C1C0000}"/>
    <cellStyle name="Normal 8 2 2 3 3 2 2 2" xfId="15851" xr:uid="{36F32C6A-7595-4F3E-B17E-F4778801029E}"/>
    <cellStyle name="Normal 8 2 2 3 3 2 3" xfId="11633" xr:uid="{676F08F6-135B-44AC-8AA4-2E079AE30E73}"/>
    <cellStyle name="Normal 8 2 2 3 3 3" xfId="5264" xr:uid="{00000000-0005-0000-0000-00005D1C0000}"/>
    <cellStyle name="Normal 8 2 2 3 3 3 2" xfId="13706" xr:uid="{A4290610-FA6C-410B-8544-2924BB785D03}"/>
    <cellStyle name="Normal 8 2 2 3 3 4" xfId="9488" xr:uid="{535626B7-5FA7-41CA-9F9E-82498721E478}"/>
    <cellStyle name="Normal 8 2 2 3 4" xfId="1369" xr:uid="{00000000-0005-0000-0000-00005E1C0000}"/>
    <cellStyle name="Normal 8 2 2 3 4 2" xfId="3599" xr:uid="{00000000-0005-0000-0000-00005F1C0000}"/>
    <cellStyle name="Normal 8 2 2 3 4 2 2" xfId="7822" xr:uid="{00000000-0005-0000-0000-0000601C0000}"/>
    <cellStyle name="Normal 8 2 2 3 4 2 2 2" xfId="16264" xr:uid="{647B8B49-95D7-4CCB-B1CB-288B18DBE0C0}"/>
    <cellStyle name="Normal 8 2 2 3 4 2 3" xfId="12046" xr:uid="{06AFFED3-6596-4E3A-92C5-01CF2E3C5B42}"/>
    <cellStyle name="Normal 8 2 2 3 4 3" xfId="5677" xr:uid="{00000000-0005-0000-0000-0000611C0000}"/>
    <cellStyle name="Normal 8 2 2 3 4 3 2" xfId="14119" xr:uid="{C4295C1A-768A-41EB-ACB7-54294257D94F}"/>
    <cellStyle name="Normal 8 2 2 3 4 4" xfId="9901" xr:uid="{96BAB47E-62ED-4A7D-BAB1-7D0BA738FA40}"/>
    <cellStyle name="Normal 8 2 2 3 5" xfId="1782" xr:uid="{00000000-0005-0000-0000-0000621C0000}"/>
    <cellStyle name="Normal 8 2 2 3 5 2" xfId="4012" xr:uid="{00000000-0005-0000-0000-0000631C0000}"/>
    <cellStyle name="Normal 8 2 2 3 5 2 2" xfId="8235" xr:uid="{00000000-0005-0000-0000-0000641C0000}"/>
    <cellStyle name="Normal 8 2 2 3 5 2 2 2" xfId="16677" xr:uid="{FEE4BA2A-B8FB-4734-8186-C18845E5F099}"/>
    <cellStyle name="Normal 8 2 2 3 5 2 3" xfId="12459" xr:uid="{54F2FF5E-B00B-493D-BA63-4C65BE436A98}"/>
    <cellStyle name="Normal 8 2 2 3 5 3" xfId="6090" xr:uid="{00000000-0005-0000-0000-0000651C0000}"/>
    <cellStyle name="Normal 8 2 2 3 5 3 2" xfId="14532" xr:uid="{E64F2C9D-CFD7-4169-8569-87B8A15FEF3F}"/>
    <cellStyle name="Normal 8 2 2 3 5 4" xfId="10314" xr:uid="{94A337E4-0BC1-4F09-BEF2-1E42F1BAB578}"/>
    <cellStyle name="Normal 8 2 2 3 6" xfId="2196" xr:uid="{00000000-0005-0000-0000-0000661C0000}"/>
    <cellStyle name="Normal 8 2 2 3 6 2" xfId="4425" xr:uid="{00000000-0005-0000-0000-0000671C0000}"/>
    <cellStyle name="Normal 8 2 2 3 6 2 2" xfId="8648" xr:uid="{00000000-0005-0000-0000-0000681C0000}"/>
    <cellStyle name="Normal 8 2 2 3 6 2 2 2" xfId="17090" xr:uid="{03E2F6ED-0EE1-4793-AFB7-D03AEB5E28C9}"/>
    <cellStyle name="Normal 8 2 2 3 6 2 3" xfId="12872" xr:uid="{F02B5F05-1A25-4CC4-A7D5-6691E492791A}"/>
    <cellStyle name="Normal 8 2 2 3 6 3" xfId="6503" xr:uid="{00000000-0005-0000-0000-0000691C0000}"/>
    <cellStyle name="Normal 8 2 2 3 6 3 2" xfId="14945" xr:uid="{A1E752BD-9DD0-4E3B-BAE6-2F1312071857}"/>
    <cellStyle name="Normal 8 2 2 3 6 4" xfId="10727" xr:uid="{9C3B29DE-C477-4AC7-8596-32F10012B6D7}"/>
    <cellStyle name="Normal 8 2 2 3 7" xfId="2632" xr:uid="{00000000-0005-0000-0000-00006A1C0000}"/>
    <cellStyle name="Normal 8 2 2 3 7 2" xfId="6916" xr:uid="{00000000-0005-0000-0000-00006B1C0000}"/>
    <cellStyle name="Normal 8 2 2 3 7 2 2" xfId="15358" xr:uid="{75A9194E-D62B-4BF2-92AF-0CE309CD3B58}"/>
    <cellStyle name="Normal 8 2 2 3 7 3" xfId="11140" xr:uid="{82B0461F-D557-4E77-B258-689D6112F381}"/>
    <cellStyle name="Normal 8 2 2 3 8" xfId="4851" xr:uid="{00000000-0005-0000-0000-00006C1C0000}"/>
    <cellStyle name="Normal 8 2 2 3 8 2" xfId="13293" xr:uid="{35776D7C-767A-4626-98CB-DF73572798EA}"/>
    <cellStyle name="Normal 8 2 2 3 9" xfId="9075" xr:uid="{701C31F7-C710-4B27-ADC6-55EE4D545A11}"/>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2 2 2" xfId="15853" xr:uid="{D6C4B1A2-DFC2-4B4E-B483-DE4ECF519EE6}"/>
    <cellStyle name="Normal 8 2 2 4 2 2 3" xfId="11635" xr:uid="{93E9A676-51B4-49CD-99C8-31B8D6534035}"/>
    <cellStyle name="Normal 8 2 2 4 2 3" xfId="5266" xr:uid="{00000000-0005-0000-0000-0000711C0000}"/>
    <cellStyle name="Normal 8 2 2 4 2 3 2" xfId="13708" xr:uid="{BF21A1AD-7130-4706-A58B-6337E0E1E1DB}"/>
    <cellStyle name="Normal 8 2 2 4 2 4" xfId="9490" xr:uid="{150FD502-8D8C-4A95-82CA-27FBAF38E13C}"/>
    <cellStyle name="Normal 8 2 2 4 3" xfId="1371" xr:uid="{00000000-0005-0000-0000-0000721C0000}"/>
    <cellStyle name="Normal 8 2 2 4 3 2" xfId="3601" xr:uid="{00000000-0005-0000-0000-0000731C0000}"/>
    <cellStyle name="Normal 8 2 2 4 3 2 2" xfId="7824" xr:uid="{00000000-0005-0000-0000-0000741C0000}"/>
    <cellStyle name="Normal 8 2 2 4 3 2 2 2" xfId="16266" xr:uid="{1532EFD5-885F-4F98-BE39-E7A8C735C76F}"/>
    <cellStyle name="Normal 8 2 2 4 3 2 3" xfId="12048" xr:uid="{D69FDF84-11B1-4484-BDFC-12DCF8D3FFCC}"/>
    <cellStyle name="Normal 8 2 2 4 3 3" xfId="5679" xr:uid="{00000000-0005-0000-0000-0000751C0000}"/>
    <cellStyle name="Normal 8 2 2 4 3 3 2" xfId="14121" xr:uid="{CBBD0D8B-0578-4F45-A43B-7CA8F20F6F8C}"/>
    <cellStyle name="Normal 8 2 2 4 3 4" xfId="9903" xr:uid="{241E56D7-3C1C-4FB8-AA51-8DB425D3CCBA}"/>
    <cellStyle name="Normal 8 2 2 4 4" xfId="1784" xr:uid="{00000000-0005-0000-0000-0000761C0000}"/>
    <cellStyle name="Normal 8 2 2 4 4 2" xfId="4014" xr:uid="{00000000-0005-0000-0000-0000771C0000}"/>
    <cellStyle name="Normal 8 2 2 4 4 2 2" xfId="8237" xr:uid="{00000000-0005-0000-0000-0000781C0000}"/>
    <cellStyle name="Normal 8 2 2 4 4 2 2 2" xfId="16679" xr:uid="{B156C2C4-E243-4E1D-BC56-96C46B59D206}"/>
    <cellStyle name="Normal 8 2 2 4 4 2 3" xfId="12461" xr:uid="{17CF3AC3-8EA8-4E30-A542-698228AFA9AF}"/>
    <cellStyle name="Normal 8 2 2 4 4 3" xfId="6092" xr:uid="{00000000-0005-0000-0000-0000791C0000}"/>
    <cellStyle name="Normal 8 2 2 4 4 3 2" xfId="14534" xr:uid="{BA0091CF-EC6F-4840-87FD-D1C1AB0BC13E}"/>
    <cellStyle name="Normal 8 2 2 4 4 4" xfId="10316" xr:uid="{B257209F-44BD-435F-8931-864AB08E9337}"/>
    <cellStyle name="Normal 8 2 2 4 5" xfId="2198" xr:uid="{00000000-0005-0000-0000-00007A1C0000}"/>
    <cellStyle name="Normal 8 2 2 4 5 2" xfId="4427" xr:uid="{00000000-0005-0000-0000-00007B1C0000}"/>
    <cellStyle name="Normal 8 2 2 4 5 2 2" xfId="8650" xr:uid="{00000000-0005-0000-0000-00007C1C0000}"/>
    <cellStyle name="Normal 8 2 2 4 5 2 2 2" xfId="17092" xr:uid="{55CF11D6-3968-4DE7-98D9-6483649A4151}"/>
    <cellStyle name="Normal 8 2 2 4 5 2 3" xfId="12874" xr:uid="{7CF54104-1425-44A1-B7E6-5AC9604C56BE}"/>
    <cellStyle name="Normal 8 2 2 4 5 3" xfId="6505" xr:uid="{00000000-0005-0000-0000-00007D1C0000}"/>
    <cellStyle name="Normal 8 2 2 4 5 3 2" xfId="14947" xr:uid="{CEEF250C-1D38-446A-AADE-3A1785A5A63B}"/>
    <cellStyle name="Normal 8 2 2 4 5 4" xfId="10729" xr:uid="{89F41170-26F5-4AE0-8DD3-F9601A8A597C}"/>
    <cellStyle name="Normal 8 2 2 4 6" xfId="2634" xr:uid="{00000000-0005-0000-0000-00007E1C0000}"/>
    <cellStyle name="Normal 8 2 2 4 6 2" xfId="6918" xr:uid="{00000000-0005-0000-0000-00007F1C0000}"/>
    <cellStyle name="Normal 8 2 2 4 6 2 2" xfId="15360" xr:uid="{11259C47-E07B-47E7-B91A-C7AF3AB61F8A}"/>
    <cellStyle name="Normal 8 2 2 4 6 3" xfId="11142" xr:uid="{2979D773-752C-4308-82DE-31ED2A176040}"/>
    <cellStyle name="Normal 8 2 2 4 7" xfId="4853" xr:uid="{00000000-0005-0000-0000-0000801C0000}"/>
    <cellStyle name="Normal 8 2 2 4 7 2" xfId="13295" xr:uid="{E42510B5-B56E-4099-8AB4-8B2379346635}"/>
    <cellStyle name="Normal 8 2 2 4 8" xfId="9077" xr:uid="{16F84DF7-771C-44CD-9425-504F8AA686ED}"/>
    <cellStyle name="Normal 8 2 2 5" xfId="947" xr:uid="{00000000-0005-0000-0000-0000811C0000}"/>
    <cellStyle name="Normal 8 2 2 5 2" xfId="3181" xr:uid="{00000000-0005-0000-0000-0000821C0000}"/>
    <cellStyle name="Normal 8 2 2 5 2 2" xfId="7404" xr:uid="{00000000-0005-0000-0000-0000831C0000}"/>
    <cellStyle name="Normal 8 2 2 5 2 2 2" xfId="15846" xr:uid="{47C41D88-40AC-47A6-A8A8-AA3432F30C6B}"/>
    <cellStyle name="Normal 8 2 2 5 2 3" xfId="11628" xr:uid="{E9B2B2C9-BFB8-4E6D-8EA0-68D2DE132D7B}"/>
    <cellStyle name="Normal 8 2 2 5 3" xfId="5259" xr:uid="{00000000-0005-0000-0000-0000841C0000}"/>
    <cellStyle name="Normal 8 2 2 5 3 2" xfId="13701" xr:uid="{26797D7C-A1ED-4B65-AF1D-52EDCDEDDE13}"/>
    <cellStyle name="Normal 8 2 2 5 4" xfId="9483" xr:uid="{3174E1F2-09BC-4BDF-A45B-255206D10628}"/>
    <cellStyle name="Normal 8 2 2 6" xfId="1364" xr:uid="{00000000-0005-0000-0000-0000851C0000}"/>
    <cellStyle name="Normal 8 2 2 6 2" xfId="3594" xr:uid="{00000000-0005-0000-0000-0000861C0000}"/>
    <cellStyle name="Normal 8 2 2 6 2 2" xfId="7817" xr:uid="{00000000-0005-0000-0000-0000871C0000}"/>
    <cellStyle name="Normal 8 2 2 6 2 2 2" xfId="16259" xr:uid="{0EA9E200-1653-45EF-8F13-DBCD2E2A6722}"/>
    <cellStyle name="Normal 8 2 2 6 2 3" xfId="12041" xr:uid="{E1B1C7E2-4853-474E-A64E-1E454D5F61E6}"/>
    <cellStyle name="Normal 8 2 2 6 3" xfId="5672" xr:uid="{00000000-0005-0000-0000-0000881C0000}"/>
    <cellStyle name="Normal 8 2 2 6 3 2" xfId="14114" xr:uid="{1DDD9C9B-7EB6-4F3C-9A5B-BB91C46416D9}"/>
    <cellStyle name="Normal 8 2 2 6 4" xfId="9896" xr:uid="{2975A05F-32B6-4F07-826F-95EA7453D332}"/>
    <cellStyle name="Normal 8 2 2 7" xfId="1777" xr:uid="{00000000-0005-0000-0000-0000891C0000}"/>
    <cellStyle name="Normal 8 2 2 7 2" xfId="4007" xr:uid="{00000000-0005-0000-0000-00008A1C0000}"/>
    <cellStyle name="Normal 8 2 2 7 2 2" xfId="8230" xr:uid="{00000000-0005-0000-0000-00008B1C0000}"/>
    <cellStyle name="Normal 8 2 2 7 2 2 2" xfId="16672" xr:uid="{4BC1ADA9-9DC4-4B4F-8E80-70394F702196}"/>
    <cellStyle name="Normal 8 2 2 7 2 3" xfId="12454" xr:uid="{42105432-00DB-419B-B2FE-250D83D379CB}"/>
    <cellStyle name="Normal 8 2 2 7 3" xfId="6085" xr:uid="{00000000-0005-0000-0000-00008C1C0000}"/>
    <cellStyle name="Normal 8 2 2 7 3 2" xfId="14527" xr:uid="{80BBB931-2F89-4075-AF37-307D2C3D98A4}"/>
    <cellStyle name="Normal 8 2 2 7 4" xfId="10309" xr:uid="{00981F17-A817-4A56-BB1A-178853B7B7F7}"/>
    <cellStyle name="Normal 8 2 2 8" xfId="2191" xr:uid="{00000000-0005-0000-0000-00008D1C0000}"/>
    <cellStyle name="Normal 8 2 2 8 2" xfId="4420" xr:uid="{00000000-0005-0000-0000-00008E1C0000}"/>
    <cellStyle name="Normal 8 2 2 8 2 2" xfId="8643" xr:uid="{00000000-0005-0000-0000-00008F1C0000}"/>
    <cellStyle name="Normal 8 2 2 8 2 2 2" xfId="17085" xr:uid="{94B820D7-B7B3-48B9-B949-8BCE3D980DDB}"/>
    <cellStyle name="Normal 8 2 2 8 2 3" xfId="12867" xr:uid="{3AAF461C-A6BB-437F-A99B-8B7726470F78}"/>
    <cellStyle name="Normal 8 2 2 8 3" xfId="6498" xr:uid="{00000000-0005-0000-0000-0000901C0000}"/>
    <cellStyle name="Normal 8 2 2 8 3 2" xfId="14940" xr:uid="{94A64F58-B4A1-42CA-B348-1AF9D99651FF}"/>
    <cellStyle name="Normal 8 2 2 8 4" xfId="10722" xr:uid="{AE486B3B-9F8F-4197-914D-4ABAAC4FB6F4}"/>
    <cellStyle name="Normal 8 2 2 9" xfId="2627" xr:uid="{00000000-0005-0000-0000-0000911C0000}"/>
    <cellStyle name="Normal 8 2 2 9 2" xfId="6911" xr:uid="{00000000-0005-0000-0000-0000921C0000}"/>
    <cellStyle name="Normal 8 2 2 9 2 2" xfId="15353" xr:uid="{18BE9146-8CFB-4246-84A3-1999BFD531BE}"/>
    <cellStyle name="Normal 8 2 2 9 3" xfId="11135" xr:uid="{D20B73C8-A24D-4F79-B9BD-E085453DE119}"/>
    <cellStyle name="Normal 8 2 3" xfId="488" xr:uid="{00000000-0005-0000-0000-0000931C0000}"/>
    <cellStyle name="Normal 8 2 3 10" xfId="9078" xr:uid="{352CA7E5-D95C-4CF2-BFA6-08D6E8583991}"/>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2 2 2" xfId="15856" xr:uid="{45690ED0-D61D-4201-9F5F-D494D152E470}"/>
    <cellStyle name="Normal 8 2 3 2 2 2 2 3" xfId="11638" xr:uid="{B4169F2A-321E-4FDE-97D8-D3A46F1B7DF6}"/>
    <cellStyle name="Normal 8 2 3 2 2 2 3" xfId="5269" xr:uid="{00000000-0005-0000-0000-0000991C0000}"/>
    <cellStyle name="Normal 8 2 3 2 2 2 3 2" xfId="13711" xr:uid="{49312604-BE3A-44E8-A2FD-06AB64C7F5CE}"/>
    <cellStyle name="Normal 8 2 3 2 2 2 4" xfId="9493" xr:uid="{4ABAD3D9-6CB1-433E-AD90-F3670FCE2D3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2 2 2" xfId="16269" xr:uid="{BDA2299A-16C3-4A17-8C1B-6A5C0070B807}"/>
    <cellStyle name="Normal 8 2 3 2 2 3 2 3" xfId="12051" xr:uid="{4769015E-40F0-4BE5-93BD-5C2BB5C78FBC}"/>
    <cellStyle name="Normal 8 2 3 2 2 3 3" xfId="5682" xr:uid="{00000000-0005-0000-0000-00009D1C0000}"/>
    <cellStyle name="Normal 8 2 3 2 2 3 3 2" xfId="14124" xr:uid="{663EA7B9-6B81-429B-89A4-155805694214}"/>
    <cellStyle name="Normal 8 2 3 2 2 3 4" xfId="9906" xr:uid="{81A91046-FC12-4015-A211-65EB46A052B7}"/>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2 2 2" xfId="16682" xr:uid="{E5855843-98E7-4B80-B229-6A0042D26E4C}"/>
    <cellStyle name="Normal 8 2 3 2 2 4 2 3" xfId="12464" xr:uid="{BA4E7EE0-A4CA-4C12-B0C3-E96C3AD09C68}"/>
    <cellStyle name="Normal 8 2 3 2 2 4 3" xfId="6095" xr:uid="{00000000-0005-0000-0000-0000A11C0000}"/>
    <cellStyle name="Normal 8 2 3 2 2 4 3 2" xfId="14537" xr:uid="{D6619706-B2FE-4C03-9A86-B6E102F47ACE}"/>
    <cellStyle name="Normal 8 2 3 2 2 4 4" xfId="10319" xr:uid="{08AF1CAF-6EBC-4FDA-8F5E-B5E318B1999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2 2 2" xfId="17095" xr:uid="{46AE22CB-9B3F-4CA6-8FFD-5165A06C43EC}"/>
    <cellStyle name="Normal 8 2 3 2 2 5 2 3" xfId="12877" xr:uid="{0EB582E5-E042-4D77-9655-66ED3FE0B735}"/>
    <cellStyle name="Normal 8 2 3 2 2 5 3" xfId="6508" xr:uid="{00000000-0005-0000-0000-0000A51C0000}"/>
    <cellStyle name="Normal 8 2 3 2 2 5 3 2" xfId="14950" xr:uid="{864D1675-AAA7-462A-BF9A-7B27F7F2F5C5}"/>
    <cellStyle name="Normal 8 2 3 2 2 5 4" xfId="10732" xr:uid="{77B0269A-1090-4CDE-94F5-6DE9BF5B29C0}"/>
    <cellStyle name="Normal 8 2 3 2 2 6" xfId="2637" xr:uid="{00000000-0005-0000-0000-0000A61C0000}"/>
    <cellStyle name="Normal 8 2 3 2 2 6 2" xfId="6921" xr:uid="{00000000-0005-0000-0000-0000A71C0000}"/>
    <cellStyle name="Normal 8 2 3 2 2 6 2 2" xfId="15363" xr:uid="{6CCC41DF-ED0A-4F4C-A06F-83D1031D5C67}"/>
    <cellStyle name="Normal 8 2 3 2 2 6 3" xfId="11145" xr:uid="{B2ADCB6B-DA7A-43F5-87F1-223E782DDBF2}"/>
    <cellStyle name="Normal 8 2 3 2 2 7" xfId="4856" xr:uid="{00000000-0005-0000-0000-0000A81C0000}"/>
    <cellStyle name="Normal 8 2 3 2 2 7 2" xfId="13298" xr:uid="{30385E4A-B731-4ADD-9D86-FA0B38E8B396}"/>
    <cellStyle name="Normal 8 2 3 2 2 8" xfId="9080" xr:uid="{0565ED66-DFCE-4D1A-8EFD-0EBAEFC2E310}"/>
    <cellStyle name="Normal 8 2 3 2 3" xfId="956" xr:uid="{00000000-0005-0000-0000-0000A91C0000}"/>
    <cellStyle name="Normal 8 2 3 2 3 2" xfId="3190" xr:uid="{00000000-0005-0000-0000-0000AA1C0000}"/>
    <cellStyle name="Normal 8 2 3 2 3 2 2" xfId="7413" xr:uid="{00000000-0005-0000-0000-0000AB1C0000}"/>
    <cellStyle name="Normal 8 2 3 2 3 2 2 2" xfId="15855" xr:uid="{52C62985-6D52-4A34-A6BA-21D5F8726C0F}"/>
    <cellStyle name="Normal 8 2 3 2 3 2 3" xfId="11637" xr:uid="{1CD56CFB-11E8-4FF4-AE5F-897B76D514F1}"/>
    <cellStyle name="Normal 8 2 3 2 3 3" xfId="5268" xr:uid="{00000000-0005-0000-0000-0000AC1C0000}"/>
    <cellStyle name="Normal 8 2 3 2 3 3 2" xfId="13710" xr:uid="{6E3E8E26-0A2A-410D-9C94-21882EAD7272}"/>
    <cellStyle name="Normal 8 2 3 2 3 4" xfId="9492" xr:uid="{63B88624-172B-4B72-A2DC-F42858A7D4C1}"/>
    <cellStyle name="Normal 8 2 3 2 4" xfId="1373" xr:uid="{00000000-0005-0000-0000-0000AD1C0000}"/>
    <cellStyle name="Normal 8 2 3 2 4 2" xfId="3603" xr:uid="{00000000-0005-0000-0000-0000AE1C0000}"/>
    <cellStyle name="Normal 8 2 3 2 4 2 2" xfId="7826" xr:uid="{00000000-0005-0000-0000-0000AF1C0000}"/>
    <cellStyle name="Normal 8 2 3 2 4 2 2 2" xfId="16268" xr:uid="{7DB458E2-5808-42D1-AD68-7A93B3E53F8E}"/>
    <cellStyle name="Normal 8 2 3 2 4 2 3" xfId="12050" xr:uid="{9CE72CCC-0488-4357-AE14-E9C004C0FD7C}"/>
    <cellStyle name="Normal 8 2 3 2 4 3" xfId="5681" xr:uid="{00000000-0005-0000-0000-0000B01C0000}"/>
    <cellStyle name="Normal 8 2 3 2 4 3 2" xfId="14123" xr:uid="{0055E3F6-A4E3-4595-B6B5-10E98848B1BB}"/>
    <cellStyle name="Normal 8 2 3 2 4 4" xfId="9905" xr:uid="{B3EC4D99-311C-4E58-96E7-F67371B259CD}"/>
    <cellStyle name="Normal 8 2 3 2 5" xfId="1786" xr:uid="{00000000-0005-0000-0000-0000B11C0000}"/>
    <cellStyle name="Normal 8 2 3 2 5 2" xfId="4016" xr:uid="{00000000-0005-0000-0000-0000B21C0000}"/>
    <cellStyle name="Normal 8 2 3 2 5 2 2" xfId="8239" xr:uid="{00000000-0005-0000-0000-0000B31C0000}"/>
    <cellStyle name="Normal 8 2 3 2 5 2 2 2" xfId="16681" xr:uid="{A68C435D-44A4-47D3-9423-64E986D1820F}"/>
    <cellStyle name="Normal 8 2 3 2 5 2 3" xfId="12463" xr:uid="{4511D8EC-1AB5-44FE-8149-DBEE17FED791}"/>
    <cellStyle name="Normal 8 2 3 2 5 3" xfId="6094" xr:uid="{00000000-0005-0000-0000-0000B41C0000}"/>
    <cellStyle name="Normal 8 2 3 2 5 3 2" xfId="14536" xr:uid="{8A87A4DC-D6D1-4B00-8161-3BEAB6EBDE57}"/>
    <cellStyle name="Normal 8 2 3 2 5 4" xfId="10318" xr:uid="{1B9AAD01-3F62-4F54-9803-76FC7EFAE45F}"/>
    <cellStyle name="Normal 8 2 3 2 6" xfId="2200" xr:uid="{00000000-0005-0000-0000-0000B51C0000}"/>
    <cellStyle name="Normal 8 2 3 2 6 2" xfId="4429" xr:uid="{00000000-0005-0000-0000-0000B61C0000}"/>
    <cellStyle name="Normal 8 2 3 2 6 2 2" xfId="8652" xr:uid="{00000000-0005-0000-0000-0000B71C0000}"/>
    <cellStyle name="Normal 8 2 3 2 6 2 2 2" xfId="17094" xr:uid="{04286DC3-9055-4E42-8A4A-001D17E4E361}"/>
    <cellStyle name="Normal 8 2 3 2 6 2 3" xfId="12876" xr:uid="{BA0BB81F-FA1E-40CC-A2AB-C79857898127}"/>
    <cellStyle name="Normal 8 2 3 2 6 3" xfId="6507" xr:uid="{00000000-0005-0000-0000-0000B81C0000}"/>
    <cellStyle name="Normal 8 2 3 2 6 3 2" xfId="14949" xr:uid="{F84AE5D3-0BDF-4680-BC14-11A15094B255}"/>
    <cellStyle name="Normal 8 2 3 2 6 4" xfId="10731" xr:uid="{34F78FD3-BC53-4A2F-BDC9-38CA17D06F1B}"/>
    <cellStyle name="Normal 8 2 3 2 7" xfId="2636" xr:uid="{00000000-0005-0000-0000-0000B91C0000}"/>
    <cellStyle name="Normal 8 2 3 2 7 2" xfId="6920" xr:uid="{00000000-0005-0000-0000-0000BA1C0000}"/>
    <cellStyle name="Normal 8 2 3 2 7 2 2" xfId="15362" xr:uid="{801BD51C-B3FE-4468-9559-46D3D851BB9F}"/>
    <cellStyle name="Normal 8 2 3 2 7 3" xfId="11144" xr:uid="{88B1F76C-0882-49D9-8897-91BECB0C8619}"/>
    <cellStyle name="Normal 8 2 3 2 8" xfId="4855" xr:uid="{00000000-0005-0000-0000-0000BB1C0000}"/>
    <cellStyle name="Normal 8 2 3 2 8 2" xfId="13297" xr:uid="{D55E22B6-D3B0-472E-9C1E-903C8248291D}"/>
    <cellStyle name="Normal 8 2 3 2 9" xfId="9079" xr:uid="{DE5BCB73-3A57-4BE7-BCB7-8E4A8F39F5EF}"/>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2 2 2" xfId="15857" xr:uid="{F2B1EC77-2F77-4FF5-91B9-E5C7165D100E}"/>
    <cellStyle name="Normal 8 2 3 3 2 2 3" xfId="11639" xr:uid="{0AEB5713-87D5-4EE0-9159-B56552546F59}"/>
    <cellStyle name="Normal 8 2 3 3 2 3" xfId="5270" xr:uid="{00000000-0005-0000-0000-0000C01C0000}"/>
    <cellStyle name="Normal 8 2 3 3 2 3 2" xfId="13712" xr:uid="{C197D883-C822-423E-BA85-01C16F23E332}"/>
    <cellStyle name="Normal 8 2 3 3 2 4" xfId="9494" xr:uid="{66C037CC-D33E-435E-9548-48E1422DDE4D}"/>
    <cellStyle name="Normal 8 2 3 3 3" xfId="1375" xr:uid="{00000000-0005-0000-0000-0000C11C0000}"/>
    <cellStyle name="Normal 8 2 3 3 3 2" xfId="3605" xr:uid="{00000000-0005-0000-0000-0000C21C0000}"/>
    <cellStyle name="Normal 8 2 3 3 3 2 2" xfId="7828" xr:uid="{00000000-0005-0000-0000-0000C31C0000}"/>
    <cellStyle name="Normal 8 2 3 3 3 2 2 2" xfId="16270" xr:uid="{1FF49D23-6CE0-40DB-95F2-38428A4BD04D}"/>
    <cellStyle name="Normal 8 2 3 3 3 2 3" xfId="12052" xr:uid="{7B19DEAE-7240-4264-9395-EA4AE186299D}"/>
    <cellStyle name="Normal 8 2 3 3 3 3" xfId="5683" xr:uid="{00000000-0005-0000-0000-0000C41C0000}"/>
    <cellStyle name="Normal 8 2 3 3 3 3 2" xfId="14125" xr:uid="{9204B5F9-C32F-479F-9B2D-F2D224D53CAA}"/>
    <cellStyle name="Normal 8 2 3 3 3 4" xfId="9907" xr:uid="{20FB96FC-6E10-4706-8347-B9867D1E6D95}"/>
    <cellStyle name="Normal 8 2 3 3 4" xfId="1788" xr:uid="{00000000-0005-0000-0000-0000C51C0000}"/>
    <cellStyle name="Normal 8 2 3 3 4 2" xfId="4018" xr:uid="{00000000-0005-0000-0000-0000C61C0000}"/>
    <cellStyle name="Normal 8 2 3 3 4 2 2" xfId="8241" xr:uid="{00000000-0005-0000-0000-0000C71C0000}"/>
    <cellStyle name="Normal 8 2 3 3 4 2 2 2" xfId="16683" xr:uid="{ABBE32BC-2965-4D9B-9A51-7348EFDFD4DB}"/>
    <cellStyle name="Normal 8 2 3 3 4 2 3" xfId="12465" xr:uid="{14EE152B-6650-45FF-A654-BDD7B1A00C63}"/>
    <cellStyle name="Normal 8 2 3 3 4 3" xfId="6096" xr:uid="{00000000-0005-0000-0000-0000C81C0000}"/>
    <cellStyle name="Normal 8 2 3 3 4 3 2" xfId="14538" xr:uid="{DA5ECDF6-7765-4D7F-864C-C953E7AB0AF0}"/>
    <cellStyle name="Normal 8 2 3 3 4 4" xfId="10320" xr:uid="{A94ABF6F-2606-409C-BE4C-49002C0363ED}"/>
    <cellStyle name="Normal 8 2 3 3 5" xfId="2202" xr:uid="{00000000-0005-0000-0000-0000C91C0000}"/>
    <cellStyle name="Normal 8 2 3 3 5 2" xfId="4431" xr:uid="{00000000-0005-0000-0000-0000CA1C0000}"/>
    <cellStyle name="Normal 8 2 3 3 5 2 2" xfId="8654" xr:uid="{00000000-0005-0000-0000-0000CB1C0000}"/>
    <cellStyle name="Normal 8 2 3 3 5 2 2 2" xfId="17096" xr:uid="{F569D848-DA6C-45E4-9EFB-8AC1DA3C805F}"/>
    <cellStyle name="Normal 8 2 3 3 5 2 3" xfId="12878" xr:uid="{9A9DF1FB-8F83-4779-A2EB-92E6D2134269}"/>
    <cellStyle name="Normal 8 2 3 3 5 3" xfId="6509" xr:uid="{00000000-0005-0000-0000-0000CC1C0000}"/>
    <cellStyle name="Normal 8 2 3 3 5 3 2" xfId="14951" xr:uid="{440D5406-3FCD-473D-B0FA-1459BDEB16B9}"/>
    <cellStyle name="Normal 8 2 3 3 5 4" xfId="10733" xr:uid="{1CFA80FF-6154-4A73-8483-51AEABE8AE90}"/>
    <cellStyle name="Normal 8 2 3 3 6" xfId="2638" xr:uid="{00000000-0005-0000-0000-0000CD1C0000}"/>
    <cellStyle name="Normal 8 2 3 3 6 2" xfId="6922" xr:uid="{00000000-0005-0000-0000-0000CE1C0000}"/>
    <cellStyle name="Normal 8 2 3 3 6 2 2" xfId="15364" xr:uid="{3C654446-1712-47C8-8D4F-37CE5770A22E}"/>
    <cellStyle name="Normal 8 2 3 3 6 3" xfId="11146" xr:uid="{3896C5B2-D613-4B7C-A7B7-2BE96CFA2760}"/>
    <cellStyle name="Normal 8 2 3 3 7" xfId="4857" xr:uid="{00000000-0005-0000-0000-0000CF1C0000}"/>
    <cellStyle name="Normal 8 2 3 3 7 2" xfId="13299" xr:uid="{BF7571CE-16DF-4C80-8B66-1174DE499FD4}"/>
    <cellStyle name="Normal 8 2 3 3 8" xfId="9081" xr:uid="{A66140AA-20A4-477F-B30C-0614B671D2C4}"/>
    <cellStyle name="Normal 8 2 3 4" xfId="955" xr:uid="{00000000-0005-0000-0000-0000D01C0000}"/>
    <cellStyle name="Normal 8 2 3 4 2" xfId="3189" xr:uid="{00000000-0005-0000-0000-0000D11C0000}"/>
    <cellStyle name="Normal 8 2 3 4 2 2" xfId="7412" xr:uid="{00000000-0005-0000-0000-0000D21C0000}"/>
    <cellStyle name="Normal 8 2 3 4 2 2 2" xfId="15854" xr:uid="{C326B0AD-EEC5-4537-811C-4B26CBC42431}"/>
    <cellStyle name="Normal 8 2 3 4 2 3" xfId="11636" xr:uid="{937C951F-C73D-4B2B-950A-2E3DB230DF42}"/>
    <cellStyle name="Normal 8 2 3 4 3" xfId="5267" xr:uid="{00000000-0005-0000-0000-0000D31C0000}"/>
    <cellStyle name="Normal 8 2 3 4 3 2" xfId="13709" xr:uid="{F6265AD1-DC93-4783-B63D-ECD89572708D}"/>
    <cellStyle name="Normal 8 2 3 4 4" xfId="9491" xr:uid="{448FC0D5-6212-43EB-B075-D283270961E2}"/>
    <cellStyle name="Normal 8 2 3 5" xfId="1372" xr:uid="{00000000-0005-0000-0000-0000D41C0000}"/>
    <cellStyle name="Normal 8 2 3 5 2" xfId="3602" xr:uid="{00000000-0005-0000-0000-0000D51C0000}"/>
    <cellStyle name="Normal 8 2 3 5 2 2" xfId="7825" xr:uid="{00000000-0005-0000-0000-0000D61C0000}"/>
    <cellStyle name="Normal 8 2 3 5 2 2 2" xfId="16267" xr:uid="{14E6FD91-F431-4333-829D-A81B2971CACF}"/>
    <cellStyle name="Normal 8 2 3 5 2 3" xfId="12049" xr:uid="{69710952-30B0-40E1-888A-26789BD0658A}"/>
    <cellStyle name="Normal 8 2 3 5 3" xfId="5680" xr:uid="{00000000-0005-0000-0000-0000D71C0000}"/>
    <cellStyle name="Normal 8 2 3 5 3 2" xfId="14122" xr:uid="{326647E1-FD76-44CD-9138-583967A05E01}"/>
    <cellStyle name="Normal 8 2 3 5 4" xfId="9904" xr:uid="{338C2055-32FC-4CEB-B0EB-FD653B188F53}"/>
    <cellStyle name="Normal 8 2 3 6" xfId="1785" xr:uid="{00000000-0005-0000-0000-0000D81C0000}"/>
    <cellStyle name="Normal 8 2 3 6 2" xfId="4015" xr:uid="{00000000-0005-0000-0000-0000D91C0000}"/>
    <cellStyle name="Normal 8 2 3 6 2 2" xfId="8238" xr:uid="{00000000-0005-0000-0000-0000DA1C0000}"/>
    <cellStyle name="Normal 8 2 3 6 2 2 2" xfId="16680" xr:uid="{258E046C-E7DA-45DE-95F3-B5982F090CD1}"/>
    <cellStyle name="Normal 8 2 3 6 2 3" xfId="12462" xr:uid="{EC1CE556-0354-4EFE-9A6A-F5C16927FB58}"/>
    <cellStyle name="Normal 8 2 3 6 3" xfId="6093" xr:uid="{00000000-0005-0000-0000-0000DB1C0000}"/>
    <cellStyle name="Normal 8 2 3 6 3 2" xfId="14535" xr:uid="{DA9999C9-F46E-450E-B969-E66B967377EC}"/>
    <cellStyle name="Normal 8 2 3 6 4" xfId="10317" xr:uid="{F8585D47-BE87-4E60-8F90-08431A285713}"/>
    <cellStyle name="Normal 8 2 3 7" xfId="2199" xr:uid="{00000000-0005-0000-0000-0000DC1C0000}"/>
    <cellStyle name="Normal 8 2 3 7 2" xfId="4428" xr:uid="{00000000-0005-0000-0000-0000DD1C0000}"/>
    <cellStyle name="Normal 8 2 3 7 2 2" xfId="8651" xr:uid="{00000000-0005-0000-0000-0000DE1C0000}"/>
    <cellStyle name="Normal 8 2 3 7 2 2 2" xfId="17093" xr:uid="{126188F9-913E-49BC-99D2-56891337F22F}"/>
    <cellStyle name="Normal 8 2 3 7 2 3" xfId="12875" xr:uid="{0107F019-64C1-4F32-9CF2-03F9A71700E1}"/>
    <cellStyle name="Normal 8 2 3 7 3" xfId="6506" xr:uid="{00000000-0005-0000-0000-0000DF1C0000}"/>
    <cellStyle name="Normal 8 2 3 7 3 2" xfId="14948" xr:uid="{F386812D-4937-4448-B7B8-0AA72789DACA}"/>
    <cellStyle name="Normal 8 2 3 7 4" xfId="10730" xr:uid="{D6C25FDB-6172-4BD6-BA84-E172BC103139}"/>
    <cellStyle name="Normal 8 2 3 8" xfId="2635" xr:uid="{00000000-0005-0000-0000-0000E01C0000}"/>
    <cellStyle name="Normal 8 2 3 8 2" xfId="6919" xr:uid="{00000000-0005-0000-0000-0000E11C0000}"/>
    <cellStyle name="Normal 8 2 3 8 2 2" xfId="15361" xr:uid="{35AE94A9-9362-457F-BA58-17F4EA7ED6AB}"/>
    <cellStyle name="Normal 8 2 3 8 3" xfId="11143" xr:uid="{84CF0AB0-35EF-432C-964F-73D39CD6764D}"/>
    <cellStyle name="Normal 8 2 3 9" xfId="4854" xr:uid="{00000000-0005-0000-0000-0000E21C0000}"/>
    <cellStyle name="Normal 8 2 3 9 2" xfId="13296" xr:uid="{322C3F60-0AA9-4ED0-B6B6-7ADB481E1AF6}"/>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2 2 2" xfId="15859" xr:uid="{63375B22-BEA9-44A9-95A1-B51FE87CB5BF}"/>
    <cellStyle name="Normal 8 2 4 2 2 2 3" xfId="11641" xr:uid="{BE76567C-F836-43DF-9067-D6BD38AB5561}"/>
    <cellStyle name="Normal 8 2 4 2 2 3" xfId="5272" xr:uid="{00000000-0005-0000-0000-0000E81C0000}"/>
    <cellStyle name="Normal 8 2 4 2 2 3 2" xfId="13714" xr:uid="{A811C13C-E248-4904-BBA6-FBEFE28E9591}"/>
    <cellStyle name="Normal 8 2 4 2 2 4" xfId="9496" xr:uid="{B5867218-7B69-4E74-8414-226AFDFBF664}"/>
    <cellStyle name="Normal 8 2 4 2 3" xfId="1377" xr:uid="{00000000-0005-0000-0000-0000E91C0000}"/>
    <cellStyle name="Normal 8 2 4 2 3 2" xfId="3607" xr:uid="{00000000-0005-0000-0000-0000EA1C0000}"/>
    <cellStyle name="Normal 8 2 4 2 3 2 2" xfId="7830" xr:uid="{00000000-0005-0000-0000-0000EB1C0000}"/>
    <cellStyle name="Normal 8 2 4 2 3 2 2 2" xfId="16272" xr:uid="{2246CFB0-2499-460E-A029-7C7D719F920F}"/>
    <cellStyle name="Normal 8 2 4 2 3 2 3" xfId="12054" xr:uid="{78C505AE-7B0D-4E7D-B679-6E8ABE6FC245}"/>
    <cellStyle name="Normal 8 2 4 2 3 3" xfId="5685" xr:uid="{00000000-0005-0000-0000-0000EC1C0000}"/>
    <cellStyle name="Normal 8 2 4 2 3 3 2" xfId="14127" xr:uid="{E9C0BDC2-71C3-4078-9F10-0CCBA6250FF3}"/>
    <cellStyle name="Normal 8 2 4 2 3 4" xfId="9909" xr:uid="{A20CC687-EEAF-46E2-8353-926C1D18F7C5}"/>
    <cellStyle name="Normal 8 2 4 2 4" xfId="1790" xr:uid="{00000000-0005-0000-0000-0000ED1C0000}"/>
    <cellStyle name="Normal 8 2 4 2 4 2" xfId="4020" xr:uid="{00000000-0005-0000-0000-0000EE1C0000}"/>
    <cellStyle name="Normal 8 2 4 2 4 2 2" xfId="8243" xr:uid="{00000000-0005-0000-0000-0000EF1C0000}"/>
    <cellStyle name="Normal 8 2 4 2 4 2 2 2" xfId="16685" xr:uid="{07D43834-53EE-43DE-9D20-6B46B0A68807}"/>
    <cellStyle name="Normal 8 2 4 2 4 2 3" xfId="12467" xr:uid="{06A0E952-2FA5-4E0A-B44B-46B09FD337F3}"/>
    <cellStyle name="Normal 8 2 4 2 4 3" xfId="6098" xr:uid="{00000000-0005-0000-0000-0000F01C0000}"/>
    <cellStyle name="Normal 8 2 4 2 4 3 2" xfId="14540" xr:uid="{2EF70045-61C5-49E3-B273-28014E18B931}"/>
    <cellStyle name="Normal 8 2 4 2 4 4" xfId="10322" xr:uid="{D8EF472D-2410-4A51-BECD-01328D0C0493}"/>
    <cellStyle name="Normal 8 2 4 2 5" xfId="2204" xr:uid="{00000000-0005-0000-0000-0000F11C0000}"/>
    <cellStyle name="Normal 8 2 4 2 5 2" xfId="4433" xr:uid="{00000000-0005-0000-0000-0000F21C0000}"/>
    <cellStyle name="Normal 8 2 4 2 5 2 2" xfId="8656" xr:uid="{00000000-0005-0000-0000-0000F31C0000}"/>
    <cellStyle name="Normal 8 2 4 2 5 2 2 2" xfId="17098" xr:uid="{989543D1-2BEF-445D-8022-417DFD97695E}"/>
    <cellStyle name="Normal 8 2 4 2 5 2 3" xfId="12880" xr:uid="{6D70C604-51B8-44FB-8A0C-96F12CF3E4E0}"/>
    <cellStyle name="Normal 8 2 4 2 5 3" xfId="6511" xr:uid="{00000000-0005-0000-0000-0000F41C0000}"/>
    <cellStyle name="Normal 8 2 4 2 5 3 2" xfId="14953" xr:uid="{1BCB87B6-B3BC-4FC5-ADBE-96EE0F767D3B}"/>
    <cellStyle name="Normal 8 2 4 2 5 4" xfId="10735" xr:uid="{8F92C0B6-8157-416B-BF41-E7BD5C9B3B0D}"/>
    <cellStyle name="Normal 8 2 4 2 6" xfId="2640" xr:uid="{00000000-0005-0000-0000-0000F51C0000}"/>
    <cellStyle name="Normal 8 2 4 2 6 2" xfId="6924" xr:uid="{00000000-0005-0000-0000-0000F61C0000}"/>
    <cellStyle name="Normal 8 2 4 2 6 2 2" xfId="15366" xr:uid="{B382CC97-29D6-4180-84E6-F21BF4A2A4CB}"/>
    <cellStyle name="Normal 8 2 4 2 6 3" xfId="11148" xr:uid="{44A03D4B-4226-4E7E-A795-E4BD18318638}"/>
    <cellStyle name="Normal 8 2 4 2 7" xfId="4859" xr:uid="{00000000-0005-0000-0000-0000F71C0000}"/>
    <cellStyle name="Normal 8 2 4 2 7 2" xfId="13301" xr:uid="{CA952EEA-752C-4E7F-B55B-C27A5EDCEA39}"/>
    <cellStyle name="Normal 8 2 4 2 8" xfId="9083" xr:uid="{AA6EB572-8398-43EF-8304-7E40BC84A3C7}"/>
    <cellStyle name="Normal 8 2 4 3" xfId="959" xr:uid="{00000000-0005-0000-0000-0000F81C0000}"/>
    <cellStyle name="Normal 8 2 4 3 2" xfId="3193" xr:uid="{00000000-0005-0000-0000-0000F91C0000}"/>
    <cellStyle name="Normal 8 2 4 3 2 2" xfId="7416" xr:uid="{00000000-0005-0000-0000-0000FA1C0000}"/>
    <cellStyle name="Normal 8 2 4 3 2 2 2" xfId="15858" xr:uid="{CFE0E911-AC7B-4084-8315-28CD9EBB8029}"/>
    <cellStyle name="Normal 8 2 4 3 2 3" xfId="11640" xr:uid="{94802AA2-8091-49B1-9FFB-505628CD753D}"/>
    <cellStyle name="Normal 8 2 4 3 3" xfId="5271" xr:uid="{00000000-0005-0000-0000-0000FB1C0000}"/>
    <cellStyle name="Normal 8 2 4 3 3 2" xfId="13713" xr:uid="{0E264F3E-306A-45CA-8274-1F282015C7A4}"/>
    <cellStyle name="Normal 8 2 4 3 4" xfId="9495" xr:uid="{6D8E9939-9EC6-420B-86C1-AFB78DD81131}"/>
    <cellStyle name="Normal 8 2 4 4" xfId="1376" xr:uid="{00000000-0005-0000-0000-0000FC1C0000}"/>
    <cellStyle name="Normal 8 2 4 4 2" xfId="3606" xr:uid="{00000000-0005-0000-0000-0000FD1C0000}"/>
    <cellStyle name="Normal 8 2 4 4 2 2" xfId="7829" xr:uid="{00000000-0005-0000-0000-0000FE1C0000}"/>
    <cellStyle name="Normal 8 2 4 4 2 2 2" xfId="16271" xr:uid="{96ABD44E-225C-4063-854A-ACCC92CE325E}"/>
    <cellStyle name="Normal 8 2 4 4 2 3" xfId="12053" xr:uid="{B39D3F67-CCFB-4824-B118-9479AA028828}"/>
    <cellStyle name="Normal 8 2 4 4 3" xfId="5684" xr:uid="{00000000-0005-0000-0000-0000FF1C0000}"/>
    <cellStyle name="Normal 8 2 4 4 3 2" xfId="14126" xr:uid="{49D4631B-5FBD-418D-8C63-A7FEB468036A}"/>
    <cellStyle name="Normal 8 2 4 4 4" xfId="9908" xr:uid="{2F357944-A27F-4153-A920-A69EF34367FB}"/>
    <cellStyle name="Normal 8 2 4 5" xfId="1789" xr:uid="{00000000-0005-0000-0000-0000001D0000}"/>
    <cellStyle name="Normal 8 2 4 5 2" xfId="4019" xr:uid="{00000000-0005-0000-0000-0000011D0000}"/>
    <cellStyle name="Normal 8 2 4 5 2 2" xfId="8242" xr:uid="{00000000-0005-0000-0000-0000021D0000}"/>
    <cellStyle name="Normal 8 2 4 5 2 2 2" xfId="16684" xr:uid="{6648CA55-0F41-4D6A-8930-C0FD71E0DB21}"/>
    <cellStyle name="Normal 8 2 4 5 2 3" xfId="12466" xr:uid="{3B702EB6-1C44-41D5-A744-D12192ABFE22}"/>
    <cellStyle name="Normal 8 2 4 5 3" xfId="6097" xr:uid="{00000000-0005-0000-0000-0000031D0000}"/>
    <cellStyle name="Normal 8 2 4 5 3 2" xfId="14539" xr:uid="{CFC04E2C-CF27-4FEB-8705-1DC40AC87854}"/>
    <cellStyle name="Normal 8 2 4 5 4" xfId="10321" xr:uid="{2BAF2A40-42EF-4EAD-AFD5-52856A5FA83D}"/>
    <cellStyle name="Normal 8 2 4 6" xfId="2203" xr:uid="{00000000-0005-0000-0000-0000041D0000}"/>
    <cellStyle name="Normal 8 2 4 6 2" xfId="4432" xr:uid="{00000000-0005-0000-0000-0000051D0000}"/>
    <cellStyle name="Normal 8 2 4 6 2 2" xfId="8655" xr:uid="{00000000-0005-0000-0000-0000061D0000}"/>
    <cellStyle name="Normal 8 2 4 6 2 2 2" xfId="17097" xr:uid="{93259331-3B2F-4954-BCCD-9BCACBAFF504}"/>
    <cellStyle name="Normal 8 2 4 6 2 3" xfId="12879" xr:uid="{F813A9EE-E147-4D42-8FD7-52A4B87ABEBB}"/>
    <cellStyle name="Normal 8 2 4 6 3" xfId="6510" xr:uid="{00000000-0005-0000-0000-0000071D0000}"/>
    <cellStyle name="Normal 8 2 4 6 3 2" xfId="14952" xr:uid="{AFD219AA-77BE-40D3-A96E-07F88EAA660A}"/>
    <cellStyle name="Normal 8 2 4 6 4" xfId="10734" xr:uid="{6C42EFAF-D5D1-4748-9F93-AE7DC1E3CC2D}"/>
    <cellStyle name="Normal 8 2 4 7" xfId="2639" xr:uid="{00000000-0005-0000-0000-0000081D0000}"/>
    <cellStyle name="Normal 8 2 4 7 2" xfId="6923" xr:uid="{00000000-0005-0000-0000-0000091D0000}"/>
    <cellStyle name="Normal 8 2 4 7 2 2" xfId="15365" xr:uid="{87424AAA-9BDB-41F8-86B4-132A753332FF}"/>
    <cellStyle name="Normal 8 2 4 7 3" xfId="11147" xr:uid="{1DAC597D-EBB4-42AD-9D0F-33D1001E6A5E}"/>
    <cellStyle name="Normal 8 2 4 8" xfId="4858" xr:uid="{00000000-0005-0000-0000-00000A1D0000}"/>
    <cellStyle name="Normal 8 2 4 8 2" xfId="13300" xr:uid="{6B7FE59F-D883-405C-876B-108B60C29B43}"/>
    <cellStyle name="Normal 8 2 4 9" xfId="9082" xr:uid="{2579ED7B-9E9E-42BF-A8A4-FA9E8E8048CC}"/>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2 2 2" xfId="15860" xr:uid="{165BD05A-960E-4FF8-AA36-ECF445A7F0E1}"/>
    <cellStyle name="Normal 8 2 5 2 2 3" xfId="11642" xr:uid="{AD05BFD7-2667-4FAA-A69E-B5307376664B}"/>
    <cellStyle name="Normal 8 2 5 2 3" xfId="5273" xr:uid="{00000000-0005-0000-0000-00000F1D0000}"/>
    <cellStyle name="Normal 8 2 5 2 3 2" xfId="13715" xr:uid="{060A5E58-8FE4-4C7B-BA19-D05020FFB734}"/>
    <cellStyle name="Normal 8 2 5 2 4" xfId="9497" xr:uid="{056EAAD6-6936-4C1A-BF9C-254B33B318F2}"/>
    <cellStyle name="Normal 8 2 5 3" xfId="1378" xr:uid="{00000000-0005-0000-0000-0000101D0000}"/>
    <cellStyle name="Normal 8 2 5 3 2" xfId="3608" xr:uid="{00000000-0005-0000-0000-0000111D0000}"/>
    <cellStyle name="Normal 8 2 5 3 2 2" xfId="7831" xr:uid="{00000000-0005-0000-0000-0000121D0000}"/>
    <cellStyle name="Normal 8 2 5 3 2 2 2" xfId="16273" xr:uid="{281BA941-228C-42D0-BBB2-C0B9E89C16FB}"/>
    <cellStyle name="Normal 8 2 5 3 2 3" xfId="12055" xr:uid="{7439D40B-EAA5-47D1-BBB5-F9D68EC9C669}"/>
    <cellStyle name="Normal 8 2 5 3 3" xfId="5686" xr:uid="{00000000-0005-0000-0000-0000131D0000}"/>
    <cellStyle name="Normal 8 2 5 3 3 2" xfId="14128" xr:uid="{410DB31F-2604-40E6-9535-3ED4F87B5461}"/>
    <cellStyle name="Normal 8 2 5 3 4" xfId="9910" xr:uid="{33780481-A045-418E-A5DA-77D8614E2E7D}"/>
    <cellStyle name="Normal 8 2 5 4" xfId="1791" xr:uid="{00000000-0005-0000-0000-0000141D0000}"/>
    <cellStyle name="Normal 8 2 5 4 2" xfId="4021" xr:uid="{00000000-0005-0000-0000-0000151D0000}"/>
    <cellStyle name="Normal 8 2 5 4 2 2" xfId="8244" xr:uid="{00000000-0005-0000-0000-0000161D0000}"/>
    <cellStyle name="Normal 8 2 5 4 2 2 2" xfId="16686" xr:uid="{4ED45777-6587-49AF-9D73-3D32BF6C2D57}"/>
    <cellStyle name="Normal 8 2 5 4 2 3" xfId="12468" xr:uid="{C7BB212A-DD9B-403A-B2F6-98A7E57A71CA}"/>
    <cellStyle name="Normal 8 2 5 4 3" xfId="6099" xr:uid="{00000000-0005-0000-0000-0000171D0000}"/>
    <cellStyle name="Normal 8 2 5 4 3 2" xfId="14541" xr:uid="{0619ECE3-628C-4E64-BB56-9E0803C1DF60}"/>
    <cellStyle name="Normal 8 2 5 4 4" xfId="10323" xr:uid="{1CA083F4-246A-450B-B7B7-6A20B9C89A6C}"/>
    <cellStyle name="Normal 8 2 5 5" xfId="2205" xr:uid="{00000000-0005-0000-0000-0000181D0000}"/>
    <cellStyle name="Normal 8 2 5 5 2" xfId="4434" xr:uid="{00000000-0005-0000-0000-0000191D0000}"/>
    <cellStyle name="Normal 8 2 5 5 2 2" xfId="8657" xr:uid="{00000000-0005-0000-0000-00001A1D0000}"/>
    <cellStyle name="Normal 8 2 5 5 2 2 2" xfId="17099" xr:uid="{6FF40B70-9008-411A-9B73-DE50A0AE7389}"/>
    <cellStyle name="Normal 8 2 5 5 2 3" xfId="12881" xr:uid="{01B76617-4E8C-436D-811A-E58DF81490AB}"/>
    <cellStyle name="Normal 8 2 5 5 3" xfId="6512" xr:uid="{00000000-0005-0000-0000-00001B1D0000}"/>
    <cellStyle name="Normal 8 2 5 5 3 2" xfId="14954" xr:uid="{FF607BB6-E221-4040-95C8-6971CF9D83FE}"/>
    <cellStyle name="Normal 8 2 5 5 4" xfId="10736" xr:uid="{3C6A31C6-4B47-40E5-8587-1EBB0ADC16EA}"/>
    <cellStyle name="Normal 8 2 5 6" xfId="2641" xr:uid="{00000000-0005-0000-0000-00001C1D0000}"/>
    <cellStyle name="Normal 8 2 5 6 2" xfId="6925" xr:uid="{00000000-0005-0000-0000-00001D1D0000}"/>
    <cellStyle name="Normal 8 2 5 6 2 2" xfId="15367" xr:uid="{D19BEBBD-DAFA-4C7D-AB91-D41826C0B22C}"/>
    <cellStyle name="Normal 8 2 5 6 3" xfId="11149" xr:uid="{93434D82-903F-46DC-A7B5-302C96AD3295}"/>
    <cellStyle name="Normal 8 2 5 7" xfId="4860" xr:uid="{00000000-0005-0000-0000-00001E1D0000}"/>
    <cellStyle name="Normal 8 2 5 7 2" xfId="13302" xr:uid="{EFB34A2C-553A-433F-A7A7-12454B85740D}"/>
    <cellStyle name="Normal 8 2 5 8" xfId="9084" xr:uid="{9ADD0191-DDAE-4674-A542-1291822990D5}"/>
    <cellStyle name="Normal 8 2 6" xfId="946" xr:uid="{00000000-0005-0000-0000-00001F1D0000}"/>
    <cellStyle name="Normal 8 2 6 2" xfId="3180" xr:uid="{00000000-0005-0000-0000-0000201D0000}"/>
    <cellStyle name="Normal 8 2 6 2 2" xfId="7403" xr:uid="{00000000-0005-0000-0000-0000211D0000}"/>
    <cellStyle name="Normal 8 2 6 2 2 2" xfId="15845" xr:uid="{A4033CE6-3BD5-46EC-A124-2C1BDA4A3AD3}"/>
    <cellStyle name="Normal 8 2 6 2 3" xfId="11627" xr:uid="{10DEFDF6-ED1D-4E07-B67D-6376218B7220}"/>
    <cellStyle name="Normal 8 2 6 3" xfId="5258" xr:uid="{00000000-0005-0000-0000-0000221D0000}"/>
    <cellStyle name="Normal 8 2 6 3 2" xfId="13700" xr:uid="{54A00C0A-C3BB-4001-A315-42EE4DE4DA53}"/>
    <cellStyle name="Normal 8 2 6 4" xfId="9482" xr:uid="{A612C07C-8204-4777-928A-1507752FE141}"/>
    <cellStyle name="Normal 8 2 7" xfId="1363" xr:uid="{00000000-0005-0000-0000-0000231D0000}"/>
    <cellStyle name="Normal 8 2 7 2" xfId="3593" xr:uid="{00000000-0005-0000-0000-0000241D0000}"/>
    <cellStyle name="Normal 8 2 7 2 2" xfId="7816" xr:uid="{00000000-0005-0000-0000-0000251D0000}"/>
    <cellStyle name="Normal 8 2 7 2 2 2" xfId="16258" xr:uid="{579F1B14-31DC-4600-B990-5DE6653DFD4A}"/>
    <cellStyle name="Normal 8 2 7 2 3" xfId="12040" xr:uid="{0C220B34-0062-42BF-8F1D-12437C61FEB6}"/>
    <cellStyle name="Normal 8 2 7 3" xfId="5671" xr:uid="{00000000-0005-0000-0000-0000261D0000}"/>
    <cellStyle name="Normal 8 2 7 3 2" xfId="14113" xr:uid="{5FFBD93A-AC21-4358-A04C-0982D0BC5DAA}"/>
    <cellStyle name="Normal 8 2 7 4" xfId="9895" xr:uid="{59489CE4-08CF-4858-B13A-BF0D32A43EED}"/>
    <cellStyle name="Normal 8 2 8" xfId="1776" xr:uid="{00000000-0005-0000-0000-0000271D0000}"/>
    <cellStyle name="Normal 8 2 8 2" xfId="4006" xr:uid="{00000000-0005-0000-0000-0000281D0000}"/>
    <cellStyle name="Normal 8 2 8 2 2" xfId="8229" xr:uid="{00000000-0005-0000-0000-0000291D0000}"/>
    <cellStyle name="Normal 8 2 8 2 2 2" xfId="16671" xr:uid="{69AFAA54-ACFD-4A6F-8611-9C04FC076C1E}"/>
    <cellStyle name="Normal 8 2 8 2 3" xfId="12453" xr:uid="{C7A076BB-3541-4336-B6E3-309AEE5AEC67}"/>
    <cellStyle name="Normal 8 2 8 3" xfId="6084" xr:uid="{00000000-0005-0000-0000-00002A1D0000}"/>
    <cellStyle name="Normal 8 2 8 3 2" xfId="14526" xr:uid="{42535B06-29DE-4CCC-BE52-E433A7090498}"/>
    <cellStyle name="Normal 8 2 8 4" xfId="10308" xr:uid="{866CD682-8C9F-43CC-8272-7D2D3174D1EB}"/>
    <cellStyle name="Normal 8 2 9" xfId="2190" xr:uid="{00000000-0005-0000-0000-00002B1D0000}"/>
    <cellStyle name="Normal 8 2 9 2" xfId="4419" xr:uid="{00000000-0005-0000-0000-00002C1D0000}"/>
    <cellStyle name="Normal 8 2 9 2 2" xfId="8642" xr:uid="{00000000-0005-0000-0000-00002D1D0000}"/>
    <cellStyle name="Normal 8 2 9 2 2 2" xfId="17084" xr:uid="{FC83087C-5DF3-460F-8FC3-3BBAFE979E6F}"/>
    <cellStyle name="Normal 8 2 9 2 3" xfId="12866" xr:uid="{9DD89C77-C6D2-40D9-92E5-C5EF62186A7F}"/>
    <cellStyle name="Normal 8 2 9 3" xfId="6497" xr:uid="{00000000-0005-0000-0000-00002E1D0000}"/>
    <cellStyle name="Normal 8 2 9 3 2" xfId="14939" xr:uid="{B02A5854-AEC7-4F96-AC8E-1646C1B42862}"/>
    <cellStyle name="Normal 8 2 9 4" xfId="10721" xr:uid="{22DA9EB4-495E-425F-9DFF-CBFF2B6CC039}"/>
    <cellStyle name="Normal 8 3" xfId="495" xr:uid="{00000000-0005-0000-0000-00002F1D0000}"/>
    <cellStyle name="Normal 8 3 10" xfId="4861" xr:uid="{00000000-0005-0000-0000-0000301D0000}"/>
    <cellStyle name="Normal 8 3 10 2" xfId="13303" xr:uid="{ED2041D0-E088-42A8-8273-98EACC66220F}"/>
    <cellStyle name="Normal 8 3 11" xfId="9085" xr:uid="{5ACA2E4E-6EAE-4EFB-8B64-5B9859BD06F8}"/>
    <cellStyle name="Normal 8 3 2" xfId="496" xr:uid="{00000000-0005-0000-0000-0000311D0000}"/>
    <cellStyle name="Normal 8 3 2 10" xfId="9086" xr:uid="{0686C3B2-E95A-4045-9A81-B813BA431F36}"/>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2 2 2" xfId="15864" xr:uid="{BC63A87F-1898-4FA1-B61E-33034EF0A17C}"/>
    <cellStyle name="Normal 8 3 2 2 2 2 2 3" xfId="11646" xr:uid="{C4AE4269-DEF1-489C-9150-0BBA05380C04}"/>
    <cellStyle name="Normal 8 3 2 2 2 2 3" xfId="5277" xr:uid="{00000000-0005-0000-0000-0000371D0000}"/>
    <cellStyle name="Normal 8 3 2 2 2 2 3 2" xfId="13719" xr:uid="{FA04FE12-CD0F-4DB5-9AF1-209DABD24654}"/>
    <cellStyle name="Normal 8 3 2 2 2 2 4" xfId="9501" xr:uid="{0A1CF82F-4F7B-4C42-AEF6-820ADA0A4A37}"/>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2 2 2" xfId="16277" xr:uid="{AB9F4CD0-73FC-4B3F-9127-FDF92D2E7E7F}"/>
    <cellStyle name="Normal 8 3 2 2 2 3 2 3" xfId="12059" xr:uid="{18823214-3E29-42BB-8A90-0FE2E6C6277C}"/>
    <cellStyle name="Normal 8 3 2 2 2 3 3" xfId="5690" xr:uid="{00000000-0005-0000-0000-00003B1D0000}"/>
    <cellStyle name="Normal 8 3 2 2 2 3 3 2" xfId="14132" xr:uid="{92F9557F-4E55-45E5-A772-7FB1E0536AFD}"/>
    <cellStyle name="Normal 8 3 2 2 2 3 4" xfId="9914" xr:uid="{64688DD2-0ACE-40C4-A388-20A9569755F2}"/>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2 2 2" xfId="16690" xr:uid="{203AFBC0-5D3E-4F7A-B725-42E4B77E1369}"/>
    <cellStyle name="Normal 8 3 2 2 2 4 2 3" xfId="12472" xr:uid="{FAF4F3EA-8CD9-4269-8959-AC86B8D092AB}"/>
    <cellStyle name="Normal 8 3 2 2 2 4 3" xfId="6103" xr:uid="{00000000-0005-0000-0000-00003F1D0000}"/>
    <cellStyle name="Normal 8 3 2 2 2 4 3 2" xfId="14545" xr:uid="{037985C6-1974-4D2C-8317-9314B7A48951}"/>
    <cellStyle name="Normal 8 3 2 2 2 4 4" xfId="10327" xr:uid="{4CE541A5-3233-4880-8D68-219CDFD9245D}"/>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2 2 2" xfId="17103" xr:uid="{A55FB9D4-2CD3-4402-A457-C7A671385CE8}"/>
    <cellStyle name="Normal 8 3 2 2 2 5 2 3" xfId="12885" xr:uid="{95198449-A8D3-485C-8550-F9B3E3EA09FE}"/>
    <cellStyle name="Normal 8 3 2 2 2 5 3" xfId="6516" xr:uid="{00000000-0005-0000-0000-0000431D0000}"/>
    <cellStyle name="Normal 8 3 2 2 2 5 3 2" xfId="14958" xr:uid="{700923EB-C2E8-49B6-A7AC-C590535A1A01}"/>
    <cellStyle name="Normal 8 3 2 2 2 5 4" xfId="10740" xr:uid="{105758C1-801D-4262-B6C6-C9AF7590BD23}"/>
    <cellStyle name="Normal 8 3 2 2 2 6" xfId="2645" xr:uid="{00000000-0005-0000-0000-0000441D0000}"/>
    <cellStyle name="Normal 8 3 2 2 2 6 2" xfId="6929" xr:uid="{00000000-0005-0000-0000-0000451D0000}"/>
    <cellStyle name="Normal 8 3 2 2 2 6 2 2" xfId="15371" xr:uid="{4DDA0858-DE83-4CEF-84F3-ADAF9B1FDF88}"/>
    <cellStyle name="Normal 8 3 2 2 2 6 3" xfId="11153" xr:uid="{10142564-A171-4BD7-BC3F-0D810F3F149E}"/>
    <cellStyle name="Normal 8 3 2 2 2 7" xfId="4864" xr:uid="{00000000-0005-0000-0000-0000461D0000}"/>
    <cellStyle name="Normal 8 3 2 2 2 7 2" xfId="13306" xr:uid="{32327579-8CC4-42F3-8DB2-935AAD993B83}"/>
    <cellStyle name="Normal 8 3 2 2 2 8" xfId="9088" xr:uid="{E5047F7E-AD60-4B15-8015-8B46233EC66A}"/>
    <cellStyle name="Normal 8 3 2 2 3" xfId="964" xr:uid="{00000000-0005-0000-0000-0000471D0000}"/>
    <cellStyle name="Normal 8 3 2 2 3 2" xfId="3198" xr:uid="{00000000-0005-0000-0000-0000481D0000}"/>
    <cellStyle name="Normal 8 3 2 2 3 2 2" xfId="7421" xr:uid="{00000000-0005-0000-0000-0000491D0000}"/>
    <cellStyle name="Normal 8 3 2 2 3 2 2 2" xfId="15863" xr:uid="{B51BB075-86EE-4C48-B7E7-83D3EA2CC469}"/>
    <cellStyle name="Normal 8 3 2 2 3 2 3" xfId="11645" xr:uid="{3CAEAD97-69D8-4AA1-B96B-28A6B095A111}"/>
    <cellStyle name="Normal 8 3 2 2 3 3" xfId="5276" xr:uid="{00000000-0005-0000-0000-00004A1D0000}"/>
    <cellStyle name="Normal 8 3 2 2 3 3 2" xfId="13718" xr:uid="{7BC8841F-73E9-40E9-A0FD-B907C8AAA9A6}"/>
    <cellStyle name="Normal 8 3 2 2 3 4" xfId="9500" xr:uid="{76BC4982-17AA-41BC-95B8-CE91038F8A95}"/>
    <cellStyle name="Normal 8 3 2 2 4" xfId="1381" xr:uid="{00000000-0005-0000-0000-00004B1D0000}"/>
    <cellStyle name="Normal 8 3 2 2 4 2" xfId="3611" xr:uid="{00000000-0005-0000-0000-00004C1D0000}"/>
    <cellStyle name="Normal 8 3 2 2 4 2 2" xfId="7834" xr:uid="{00000000-0005-0000-0000-00004D1D0000}"/>
    <cellStyle name="Normal 8 3 2 2 4 2 2 2" xfId="16276" xr:uid="{2E7B75C5-B16D-4E5F-ACB1-0545C746A575}"/>
    <cellStyle name="Normal 8 3 2 2 4 2 3" xfId="12058" xr:uid="{B7F713A6-11BC-456C-AA74-590A2CAD7A23}"/>
    <cellStyle name="Normal 8 3 2 2 4 3" xfId="5689" xr:uid="{00000000-0005-0000-0000-00004E1D0000}"/>
    <cellStyle name="Normal 8 3 2 2 4 3 2" xfId="14131" xr:uid="{8B30850F-1627-43C4-A312-F3C2D2D56879}"/>
    <cellStyle name="Normal 8 3 2 2 4 4" xfId="9913" xr:uid="{00A97D5F-71D2-4144-A3DA-00CDE72D1A7B}"/>
    <cellStyle name="Normal 8 3 2 2 5" xfId="1794" xr:uid="{00000000-0005-0000-0000-00004F1D0000}"/>
    <cellStyle name="Normal 8 3 2 2 5 2" xfId="4024" xr:uid="{00000000-0005-0000-0000-0000501D0000}"/>
    <cellStyle name="Normal 8 3 2 2 5 2 2" xfId="8247" xr:uid="{00000000-0005-0000-0000-0000511D0000}"/>
    <cellStyle name="Normal 8 3 2 2 5 2 2 2" xfId="16689" xr:uid="{01251BAD-B8B0-4E10-83EB-9C5F0D1763DF}"/>
    <cellStyle name="Normal 8 3 2 2 5 2 3" xfId="12471" xr:uid="{D7967D6F-7DDF-44CC-9540-DFE641F15E3F}"/>
    <cellStyle name="Normal 8 3 2 2 5 3" xfId="6102" xr:uid="{00000000-0005-0000-0000-0000521D0000}"/>
    <cellStyle name="Normal 8 3 2 2 5 3 2" xfId="14544" xr:uid="{85256973-E77B-4E2D-9D0F-AC559381C4A5}"/>
    <cellStyle name="Normal 8 3 2 2 5 4" xfId="10326" xr:uid="{3563B9E9-4925-47E4-8F99-3427A9732E4A}"/>
    <cellStyle name="Normal 8 3 2 2 6" xfId="2208" xr:uid="{00000000-0005-0000-0000-0000531D0000}"/>
    <cellStyle name="Normal 8 3 2 2 6 2" xfId="4437" xr:uid="{00000000-0005-0000-0000-0000541D0000}"/>
    <cellStyle name="Normal 8 3 2 2 6 2 2" xfId="8660" xr:uid="{00000000-0005-0000-0000-0000551D0000}"/>
    <cellStyle name="Normal 8 3 2 2 6 2 2 2" xfId="17102" xr:uid="{59DFEF9E-30F9-4F61-B538-44B6280FC79F}"/>
    <cellStyle name="Normal 8 3 2 2 6 2 3" xfId="12884" xr:uid="{304AFDA4-8537-43EA-B5F0-40157D22F156}"/>
    <cellStyle name="Normal 8 3 2 2 6 3" xfId="6515" xr:uid="{00000000-0005-0000-0000-0000561D0000}"/>
    <cellStyle name="Normal 8 3 2 2 6 3 2" xfId="14957" xr:uid="{C7C8F6F9-17DD-4F55-88AD-316DE5497475}"/>
    <cellStyle name="Normal 8 3 2 2 6 4" xfId="10739" xr:uid="{5DB8E8E4-07C9-4F54-9786-2F6B1F8663E0}"/>
    <cellStyle name="Normal 8 3 2 2 7" xfId="2644" xr:uid="{00000000-0005-0000-0000-0000571D0000}"/>
    <cellStyle name="Normal 8 3 2 2 7 2" xfId="6928" xr:uid="{00000000-0005-0000-0000-0000581D0000}"/>
    <cellStyle name="Normal 8 3 2 2 7 2 2" xfId="15370" xr:uid="{CE3AB3E4-F640-4C05-8F5B-0083509DDAE6}"/>
    <cellStyle name="Normal 8 3 2 2 7 3" xfId="11152" xr:uid="{9046601D-6922-4FF9-81D5-1AC3B370D7CA}"/>
    <cellStyle name="Normal 8 3 2 2 8" xfId="4863" xr:uid="{00000000-0005-0000-0000-0000591D0000}"/>
    <cellStyle name="Normal 8 3 2 2 8 2" xfId="13305" xr:uid="{0D486C5F-BD4F-4635-9B3C-7B5C29809CB7}"/>
    <cellStyle name="Normal 8 3 2 2 9" xfId="9087" xr:uid="{B141A7AC-C9F7-4A55-B22B-75AFF36213CD}"/>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2 2 2" xfId="15865" xr:uid="{C18D67FF-7971-4783-B923-2D31987BD982}"/>
    <cellStyle name="Normal 8 3 2 3 2 2 3" xfId="11647" xr:uid="{65B1FB70-FDCC-42DF-A7AA-4D37F7954942}"/>
    <cellStyle name="Normal 8 3 2 3 2 3" xfId="5278" xr:uid="{00000000-0005-0000-0000-00005E1D0000}"/>
    <cellStyle name="Normal 8 3 2 3 2 3 2" xfId="13720" xr:uid="{AC50A9E3-F0C0-4B82-BA81-1785AF674FF3}"/>
    <cellStyle name="Normal 8 3 2 3 2 4" xfId="9502" xr:uid="{EB7802C8-9BC0-46C8-9C44-C552EB28250F}"/>
    <cellStyle name="Normal 8 3 2 3 3" xfId="1383" xr:uid="{00000000-0005-0000-0000-00005F1D0000}"/>
    <cellStyle name="Normal 8 3 2 3 3 2" xfId="3613" xr:uid="{00000000-0005-0000-0000-0000601D0000}"/>
    <cellStyle name="Normal 8 3 2 3 3 2 2" xfId="7836" xr:uid="{00000000-0005-0000-0000-0000611D0000}"/>
    <cellStyle name="Normal 8 3 2 3 3 2 2 2" xfId="16278" xr:uid="{5925EEB4-9ACD-4D49-BC22-9709BEC71F46}"/>
    <cellStyle name="Normal 8 3 2 3 3 2 3" xfId="12060" xr:uid="{D5614760-8C25-4F55-AF98-A35B4D079D35}"/>
    <cellStyle name="Normal 8 3 2 3 3 3" xfId="5691" xr:uid="{00000000-0005-0000-0000-0000621D0000}"/>
    <cellStyle name="Normal 8 3 2 3 3 3 2" xfId="14133" xr:uid="{37323B90-1702-4878-BAB9-FF4E57E06C73}"/>
    <cellStyle name="Normal 8 3 2 3 3 4" xfId="9915" xr:uid="{36E84A9C-E308-430F-BAEB-A1A8F1806FDD}"/>
    <cellStyle name="Normal 8 3 2 3 4" xfId="1796" xr:uid="{00000000-0005-0000-0000-0000631D0000}"/>
    <cellStyle name="Normal 8 3 2 3 4 2" xfId="4026" xr:uid="{00000000-0005-0000-0000-0000641D0000}"/>
    <cellStyle name="Normal 8 3 2 3 4 2 2" xfId="8249" xr:uid="{00000000-0005-0000-0000-0000651D0000}"/>
    <cellStyle name="Normal 8 3 2 3 4 2 2 2" xfId="16691" xr:uid="{959A0A63-1D34-4363-B94A-85CB93DFF034}"/>
    <cellStyle name="Normal 8 3 2 3 4 2 3" xfId="12473" xr:uid="{70EAA04C-A296-4CA5-B7D9-D69EE42D5FCD}"/>
    <cellStyle name="Normal 8 3 2 3 4 3" xfId="6104" xr:uid="{00000000-0005-0000-0000-0000661D0000}"/>
    <cellStyle name="Normal 8 3 2 3 4 3 2" xfId="14546" xr:uid="{90F66E90-ADD8-4A7A-A4C1-18364990E0EF}"/>
    <cellStyle name="Normal 8 3 2 3 4 4" xfId="10328" xr:uid="{0F57413D-3B4C-4B0D-A325-39466ABFBFAD}"/>
    <cellStyle name="Normal 8 3 2 3 5" xfId="2210" xr:uid="{00000000-0005-0000-0000-0000671D0000}"/>
    <cellStyle name="Normal 8 3 2 3 5 2" xfId="4439" xr:uid="{00000000-0005-0000-0000-0000681D0000}"/>
    <cellStyle name="Normal 8 3 2 3 5 2 2" xfId="8662" xr:uid="{00000000-0005-0000-0000-0000691D0000}"/>
    <cellStyle name="Normal 8 3 2 3 5 2 2 2" xfId="17104" xr:uid="{64DD953C-936B-4029-AFBB-9711605F7643}"/>
    <cellStyle name="Normal 8 3 2 3 5 2 3" xfId="12886" xr:uid="{7F6AB688-05B7-43B7-8691-C749DC0CCA37}"/>
    <cellStyle name="Normal 8 3 2 3 5 3" xfId="6517" xr:uid="{00000000-0005-0000-0000-00006A1D0000}"/>
    <cellStyle name="Normal 8 3 2 3 5 3 2" xfId="14959" xr:uid="{0197B6C8-1B28-4B85-9367-F2B216EAB03E}"/>
    <cellStyle name="Normal 8 3 2 3 5 4" xfId="10741" xr:uid="{A759672C-0A55-4D94-9787-225915F45F65}"/>
    <cellStyle name="Normal 8 3 2 3 6" xfId="2646" xr:uid="{00000000-0005-0000-0000-00006B1D0000}"/>
    <cellStyle name="Normal 8 3 2 3 6 2" xfId="6930" xr:uid="{00000000-0005-0000-0000-00006C1D0000}"/>
    <cellStyle name="Normal 8 3 2 3 6 2 2" xfId="15372" xr:uid="{21E114C7-6338-43E9-B1B8-6292AAAE00B8}"/>
    <cellStyle name="Normal 8 3 2 3 6 3" xfId="11154" xr:uid="{0B91E007-4DB3-48AB-AAE8-C9A2889D216A}"/>
    <cellStyle name="Normal 8 3 2 3 7" xfId="4865" xr:uid="{00000000-0005-0000-0000-00006D1D0000}"/>
    <cellStyle name="Normal 8 3 2 3 7 2" xfId="13307" xr:uid="{5F3C0DB5-2E2B-4D64-A4A1-ED112C7F28D4}"/>
    <cellStyle name="Normal 8 3 2 3 8" xfId="9089" xr:uid="{BC0389A1-36F8-4786-9E02-2FA8DB0007C9}"/>
    <cellStyle name="Normal 8 3 2 4" xfId="963" xr:uid="{00000000-0005-0000-0000-00006E1D0000}"/>
    <cellStyle name="Normal 8 3 2 4 2" xfId="3197" xr:uid="{00000000-0005-0000-0000-00006F1D0000}"/>
    <cellStyle name="Normal 8 3 2 4 2 2" xfId="7420" xr:uid="{00000000-0005-0000-0000-0000701D0000}"/>
    <cellStyle name="Normal 8 3 2 4 2 2 2" xfId="15862" xr:uid="{25DD0E16-DD28-4F85-B10A-87DD37673DF0}"/>
    <cellStyle name="Normal 8 3 2 4 2 3" xfId="11644" xr:uid="{868861D4-F03F-4353-8BF4-43D669918518}"/>
    <cellStyle name="Normal 8 3 2 4 3" xfId="5275" xr:uid="{00000000-0005-0000-0000-0000711D0000}"/>
    <cellStyle name="Normal 8 3 2 4 3 2" xfId="13717" xr:uid="{8DFBB16B-015A-4A33-86D9-C36EF33BD38F}"/>
    <cellStyle name="Normal 8 3 2 4 4" xfId="9499" xr:uid="{0FB6A484-902F-4EB9-8F05-C28BCEBA0857}"/>
    <cellStyle name="Normal 8 3 2 5" xfId="1380" xr:uid="{00000000-0005-0000-0000-0000721D0000}"/>
    <cellStyle name="Normal 8 3 2 5 2" xfId="3610" xr:uid="{00000000-0005-0000-0000-0000731D0000}"/>
    <cellStyle name="Normal 8 3 2 5 2 2" xfId="7833" xr:uid="{00000000-0005-0000-0000-0000741D0000}"/>
    <cellStyle name="Normal 8 3 2 5 2 2 2" xfId="16275" xr:uid="{4463C5E6-098F-45D2-971F-AF37B840919D}"/>
    <cellStyle name="Normal 8 3 2 5 2 3" xfId="12057" xr:uid="{720A1912-942D-49BE-A75F-AACEB03C5E84}"/>
    <cellStyle name="Normal 8 3 2 5 3" xfId="5688" xr:uid="{00000000-0005-0000-0000-0000751D0000}"/>
    <cellStyle name="Normal 8 3 2 5 3 2" xfId="14130" xr:uid="{9A357B93-CB76-4579-8391-73C7D208D5FB}"/>
    <cellStyle name="Normal 8 3 2 5 4" xfId="9912" xr:uid="{718A6F7A-1946-4454-8690-7406FE4D152E}"/>
    <cellStyle name="Normal 8 3 2 6" xfId="1793" xr:uid="{00000000-0005-0000-0000-0000761D0000}"/>
    <cellStyle name="Normal 8 3 2 6 2" xfId="4023" xr:uid="{00000000-0005-0000-0000-0000771D0000}"/>
    <cellStyle name="Normal 8 3 2 6 2 2" xfId="8246" xr:uid="{00000000-0005-0000-0000-0000781D0000}"/>
    <cellStyle name="Normal 8 3 2 6 2 2 2" xfId="16688" xr:uid="{3B7B4245-FC38-4CC5-AFD4-5FF5961D7D84}"/>
    <cellStyle name="Normal 8 3 2 6 2 3" xfId="12470" xr:uid="{262709B9-2A24-46F3-B740-7FFCE0B7766D}"/>
    <cellStyle name="Normal 8 3 2 6 3" xfId="6101" xr:uid="{00000000-0005-0000-0000-0000791D0000}"/>
    <cellStyle name="Normal 8 3 2 6 3 2" xfId="14543" xr:uid="{9DE88A95-5656-43DC-811F-B74BBA7D000C}"/>
    <cellStyle name="Normal 8 3 2 6 4" xfId="10325" xr:uid="{524EBE3B-B544-4266-A5AC-AA8F270C5AAC}"/>
    <cellStyle name="Normal 8 3 2 7" xfId="2207" xr:uid="{00000000-0005-0000-0000-00007A1D0000}"/>
    <cellStyle name="Normal 8 3 2 7 2" xfId="4436" xr:uid="{00000000-0005-0000-0000-00007B1D0000}"/>
    <cellStyle name="Normal 8 3 2 7 2 2" xfId="8659" xr:uid="{00000000-0005-0000-0000-00007C1D0000}"/>
    <cellStyle name="Normal 8 3 2 7 2 2 2" xfId="17101" xr:uid="{0EF8EDE4-E885-4432-A70A-39A2BFF2D6A5}"/>
    <cellStyle name="Normal 8 3 2 7 2 3" xfId="12883" xr:uid="{E98BC75E-AEA9-4725-B0BE-1B6BA20BA3FD}"/>
    <cellStyle name="Normal 8 3 2 7 3" xfId="6514" xr:uid="{00000000-0005-0000-0000-00007D1D0000}"/>
    <cellStyle name="Normal 8 3 2 7 3 2" xfId="14956" xr:uid="{B2B54EE2-7119-4AC0-8F1A-55D23B2FF2DD}"/>
    <cellStyle name="Normal 8 3 2 7 4" xfId="10738" xr:uid="{B9FF9956-01CE-4705-BAA5-1C333BE1D0F1}"/>
    <cellStyle name="Normal 8 3 2 8" xfId="2643" xr:uid="{00000000-0005-0000-0000-00007E1D0000}"/>
    <cellStyle name="Normal 8 3 2 8 2" xfId="6927" xr:uid="{00000000-0005-0000-0000-00007F1D0000}"/>
    <cellStyle name="Normal 8 3 2 8 2 2" xfId="15369" xr:uid="{0B02D703-3740-4F67-92FF-E275AECB84D0}"/>
    <cellStyle name="Normal 8 3 2 8 3" xfId="11151" xr:uid="{4BE204C6-120E-473A-9726-D30C8216D3BB}"/>
    <cellStyle name="Normal 8 3 2 9" xfId="4862" xr:uid="{00000000-0005-0000-0000-0000801D0000}"/>
    <cellStyle name="Normal 8 3 2 9 2" xfId="13304" xr:uid="{14ED4A1E-A1A6-435C-BCC8-4CEA67920B7E}"/>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2 2 2" xfId="15867" xr:uid="{41F52440-435A-4B7B-97A3-040E6350F4B4}"/>
    <cellStyle name="Normal 8 3 3 2 2 2 3" xfId="11649" xr:uid="{F2461C03-17A8-418E-AB35-B7FC99D08CA4}"/>
    <cellStyle name="Normal 8 3 3 2 2 3" xfId="5280" xr:uid="{00000000-0005-0000-0000-0000861D0000}"/>
    <cellStyle name="Normal 8 3 3 2 2 3 2" xfId="13722" xr:uid="{630A09D0-D0CF-477B-AE7C-6E6819D9F4CA}"/>
    <cellStyle name="Normal 8 3 3 2 2 4" xfId="9504" xr:uid="{7CB7797E-7E6B-4D62-BC5B-9BA3271B8C9E}"/>
    <cellStyle name="Normal 8 3 3 2 3" xfId="1385" xr:uid="{00000000-0005-0000-0000-0000871D0000}"/>
    <cellStyle name="Normal 8 3 3 2 3 2" xfId="3615" xr:uid="{00000000-0005-0000-0000-0000881D0000}"/>
    <cellStyle name="Normal 8 3 3 2 3 2 2" xfId="7838" xr:uid="{00000000-0005-0000-0000-0000891D0000}"/>
    <cellStyle name="Normal 8 3 3 2 3 2 2 2" xfId="16280" xr:uid="{AD8169D7-13BD-4155-8FB8-A2438350B63A}"/>
    <cellStyle name="Normal 8 3 3 2 3 2 3" xfId="12062" xr:uid="{E5190CFB-A1F1-4E0D-BBC3-F22DE2809D04}"/>
    <cellStyle name="Normal 8 3 3 2 3 3" xfId="5693" xr:uid="{00000000-0005-0000-0000-00008A1D0000}"/>
    <cellStyle name="Normal 8 3 3 2 3 3 2" xfId="14135" xr:uid="{F404F814-091F-4084-AF07-8ADD52075A4A}"/>
    <cellStyle name="Normal 8 3 3 2 3 4" xfId="9917" xr:uid="{868850D4-8892-4BB9-B381-BD9A15651786}"/>
    <cellStyle name="Normal 8 3 3 2 4" xfId="1798" xr:uid="{00000000-0005-0000-0000-00008B1D0000}"/>
    <cellStyle name="Normal 8 3 3 2 4 2" xfId="4028" xr:uid="{00000000-0005-0000-0000-00008C1D0000}"/>
    <cellStyle name="Normal 8 3 3 2 4 2 2" xfId="8251" xr:uid="{00000000-0005-0000-0000-00008D1D0000}"/>
    <cellStyle name="Normal 8 3 3 2 4 2 2 2" xfId="16693" xr:uid="{FD41C772-B6D6-4718-A51E-0F01F8765CFC}"/>
    <cellStyle name="Normal 8 3 3 2 4 2 3" xfId="12475" xr:uid="{1B4D198D-A030-433C-B1BB-1658F74099B0}"/>
    <cellStyle name="Normal 8 3 3 2 4 3" xfId="6106" xr:uid="{00000000-0005-0000-0000-00008E1D0000}"/>
    <cellStyle name="Normal 8 3 3 2 4 3 2" xfId="14548" xr:uid="{2D6A76FB-4C10-40B8-BD6C-D54A823A2E10}"/>
    <cellStyle name="Normal 8 3 3 2 4 4" xfId="10330" xr:uid="{5EDC924F-999B-4097-9CD6-CA62AFC396B7}"/>
    <cellStyle name="Normal 8 3 3 2 5" xfId="2212" xr:uid="{00000000-0005-0000-0000-00008F1D0000}"/>
    <cellStyle name="Normal 8 3 3 2 5 2" xfId="4441" xr:uid="{00000000-0005-0000-0000-0000901D0000}"/>
    <cellStyle name="Normal 8 3 3 2 5 2 2" xfId="8664" xr:uid="{00000000-0005-0000-0000-0000911D0000}"/>
    <cellStyle name="Normal 8 3 3 2 5 2 2 2" xfId="17106" xr:uid="{1547A94E-9E34-45AB-9D53-7B89F1900553}"/>
    <cellStyle name="Normal 8 3 3 2 5 2 3" xfId="12888" xr:uid="{D6C8CC62-5322-4E79-A8BD-1AA50FAC799A}"/>
    <cellStyle name="Normal 8 3 3 2 5 3" xfId="6519" xr:uid="{00000000-0005-0000-0000-0000921D0000}"/>
    <cellStyle name="Normal 8 3 3 2 5 3 2" xfId="14961" xr:uid="{7D0D7D19-63CF-470A-99C8-A411607156A0}"/>
    <cellStyle name="Normal 8 3 3 2 5 4" xfId="10743" xr:uid="{326FAD0D-25DD-494C-918F-86CC99E36BE8}"/>
    <cellStyle name="Normal 8 3 3 2 6" xfId="2648" xr:uid="{00000000-0005-0000-0000-0000931D0000}"/>
    <cellStyle name="Normal 8 3 3 2 6 2" xfId="6932" xr:uid="{00000000-0005-0000-0000-0000941D0000}"/>
    <cellStyle name="Normal 8 3 3 2 6 2 2" xfId="15374" xr:uid="{C12D4DA5-6625-42FC-BAAB-341D9A4E45D6}"/>
    <cellStyle name="Normal 8 3 3 2 6 3" xfId="11156" xr:uid="{5670AAD7-3F5D-453C-BB28-C213034AA2FB}"/>
    <cellStyle name="Normal 8 3 3 2 7" xfId="4867" xr:uid="{00000000-0005-0000-0000-0000951D0000}"/>
    <cellStyle name="Normal 8 3 3 2 7 2" xfId="13309" xr:uid="{5DDD8A5B-0721-42A2-98D1-68795D5EB79D}"/>
    <cellStyle name="Normal 8 3 3 2 8" xfId="9091" xr:uid="{70D31146-4CD4-4B0E-8069-D6D21BFFFD92}"/>
    <cellStyle name="Normal 8 3 3 3" xfId="967" xr:uid="{00000000-0005-0000-0000-0000961D0000}"/>
    <cellStyle name="Normal 8 3 3 3 2" xfId="3201" xr:uid="{00000000-0005-0000-0000-0000971D0000}"/>
    <cellStyle name="Normal 8 3 3 3 2 2" xfId="7424" xr:uid="{00000000-0005-0000-0000-0000981D0000}"/>
    <cellStyle name="Normal 8 3 3 3 2 2 2" xfId="15866" xr:uid="{F19898A8-8B63-48A0-8743-46BA7374A5E7}"/>
    <cellStyle name="Normal 8 3 3 3 2 3" xfId="11648" xr:uid="{793C7FAA-9ADD-4F2B-B239-57162FAD5067}"/>
    <cellStyle name="Normal 8 3 3 3 3" xfId="5279" xr:uid="{00000000-0005-0000-0000-0000991D0000}"/>
    <cellStyle name="Normal 8 3 3 3 3 2" xfId="13721" xr:uid="{ACD1FBE1-2885-419F-9E1D-F383FED88267}"/>
    <cellStyle name="Normal 8 3 3 3 4" xfId="9503" xr:uid="{B1B48634-1AAD-4ECC-9445-3B9EAF5B9BD6}"/>
    <cellStyle name="Normal 8 3 3 4" xfId="1384" xr:uid="{00000000-0005-0000-0000-00009A1D0000}"/>
    <cellStyle name="Normal 8 3 3 4 2" xfId="3614" xr:uid="{00000000-0005-0000-0000-00009B1D0000}"/>
    <cellStyle name="Normal 8 3 3 4 2 2" xfId="7837" xr:uid="{00000000-0005-0000-0000-00009C1D0000}"/>
    <cellStyle name="Normal 8 3 3 4 2 2 2" xfId="16279" xr:uid="{D24585D8-686B-4BDB-A1F7-4D411C7A16C1}"/>
    <cellStyle name="Normal 8 3 3 4 2 3" xfId="12061" xr:uid="{E99F845F-6740-4220-A87A-91210B0464D0}"/>
    <cellStyle name="Normal 8 3 3 4 3" xfId="5692" xr:uid="{00000000-0005-0000-0000-00009D1D0000}"/>
    <cellStyle name="Normal 8 3 3 4 3 2" xfId="14134" xr:uid="{3F3E5145-7CC8-4719-BEAB-5D4FBE6138F6}"/>
    <cellStyle name="Normal 8 3 3 4 4" xfId="9916" xr:uid="{28AD7529-A193-452C-A933-FCF9FB5915A3}"/>
    <cellStyle name="Normal 8 3 3 5" xfId="1797" xr:uid="{00000000-0005-0000-0000-00009E1D0000}"/>
    <cellStyle name="Normal 8 3 3 5 2" xfId="4027" xr:uid="{00000000-0005-0000-0000-00009F1D0000}"/>
    <cellStyle name="Normal 8 3 3 5 2 2" xfId="8250" xr:uid="{00000000-0005-0000-0000-0000A01D0000}"/>
    <cellStyle name="Normal 8 3 3 5 2 2 2" xfId="16692" xr:uid="{F05D83FF-815C-4D31-B493-BC5D6F161B48}"/>
    <cellStyle name="Normal 8 3 3 5 2 3" xfId="12474" xr:uid="{94193877-5B13-4F7E-A238-1CC9B7BF0CD3}"/>
    <cellStyle name="Normal 8 3 3 5 3" xfId="6105" xr:uid="{00000000-0005-0000-0000-0000A11D0000}"/>
    <cellStyle name="Normal 8 3 3 5 3 2" xfId="14547" xr:uid="{8A60FA6D-4003-4666-8B12-FB46A2DA478E}"/>
    <cellStyle name="Normal 8 3 3 5 4" xfId="10329" xr:uid="{F2C86F29-B714-4D36-8BB4-DE78894CC05E}"/>
    <cellStyle name="Normal 8 3 3 6" xfId="2211" xr:uid="{00000000-0005-0000-0000-0000A21D0000}"/>
    <cellStyle name="Normal 8 3 3 6 2" xfId="4440" xr:uid="{00000000-0005-0000-0000-0000A31D0000}"/>
    <cellStyle name="Normal 8 3 3 6 2 2" xfId="8663" xr:uid="{00000000-0005-0000-0000-0000A41D0000}"/>
    <cellStyle name="Normal 8 3 3 6 2 2 2" xfId="17105" xr:uid="{1F68F211-AD56-492B-BC29-D337F6399C09}"/>
    <cellStyle name="Normal 8 3 3 6 2 3" xfId="12887" xr:uid="{BCE35878-8B75-40F9-B58F-BC8F9590A72F}"/>
    <cellStyle name="Normal 8 3 3 6 3" xfId="6518" xr:uid="{00000000-0005-0000-0000-0000A51D0000}"/>
    <cellStyle name="Normal 8 3 3 6 3 2" xfId="14960" xr:uid="{FA9D07B5-5C62-4DDD-8CA4-40A8B2147D69}"/>
    <cellStyle name="Normal 8 3 3 6 4" xfId="10742" xr:uid="{C6C5660F-1DC5-475F-8D90-5C4E7C7D5167}"/>
    <cellStyle name="Normal 8 3 3 7" xfId="2647" xr:uid="{00000000-0005-0000-0000-0000A61D0000}"/>
    <cellStyle name="Normal 8 3 3 7 2" xfId="6931" xr:uid="{00000000-0005-0000-0000-0000A71D0000}"/>
    <cellStyle name="Normal 8 3 3 7 2 2" xfId="15373" xr:uid="{44A4828E-7F25-4DC8-AA56-3C6686A3F2CD}"/>
    <cellStyle name="Normal 8 3 3 7 3" xfId="11155" xr:uid="{B513E12E-043F-46ED-B6EC-43E24884497D}"/>
    <cellStyle name="Normal 8 3 3 8" xfId="4866" xr:uid="{00000000-0005-0000-0000-0000A81D0000}"/>
    <cellStyle name="Normal 8 3 3 8 2" xfId="13308" xr:uid="{CA32B31B-3BAF-4D10-AB39-E8805CE1C3EC}"/>
    <cellStyle name="Normal 8 3 3 9" xfId="9090" xr:uid="{F65E6E2C-1D86-40F6-B14C-2C89C3E0ABEE}"/>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2 2 2" xfId="15868" xr:uid="{2C5E346E-B731-403B-8A22-11F6587BD3A4}"/>
    <cellStyle name="Normal 8 3 4 2 2 3" xfId="11650" xr:uid="{28A77286-C9DB-4D74-9847-38F770950E85}"/>
    <cellStyle name="Normal 8 3 4 2 3" xfId="5281" xr:uid="{00000000-0005-0000-0000-0000AD1D0000}"/>
    <cellStyle name="Normal 8 3 4 2 3 2" xfId="13723" xr:uid="{827971AA-7502-4F5C-9C4A-F4EA0D3743C2}"/>
    <cellStyle name="Normal 8 3 4 2 4" xfId="9505" xr:uid="{5D0903FF-2309-4750-9DA3-EFA59B513922}"/>
    <cellStyle name="Normal 8 3 4 3" xfId="1386" xr:uid="{00000000-0005-0000-0000-0000AE1D0000}"/>
    <cellStyle name="Normal 8 3 4 3 2" xfId="3616" xr:uid="{00000000-0005-0000-0000-0000AF1D0000}"/>
    <cellStyle name="Normal 8 3 4 3 2 2" xfId="7839" xr:uid="{00000000-0005-0000-0000-0000B01D0000}"/>
    <cellStyle name="Normal 8 3 4 3 2 2 2" xfId="16281" xr:uid="{904C1C8D-C318-4637-AD4E-DA3DC743D86C}"/>
    <cellStyle name="Normal 8 3 4 3 2 3" xfId="12063" xr:uid="{2DCC279B-364D-4706-8E34-A0C4A6653392}"/>
    <cellStyle name="Normal 8 3 4 3 3" xfId="5694" xr:uid="{00000000-0005-0000-0000-0000B11D0000}"/>
    <cellStyle name="Normal 8 3 4 3 3 2" xfId="14136" xr:uid="{2FC67B05-05D9-4D11-B090-F0312D1AF48E}"/>
    <cellStyle name="Normal 8 3 4 3 4" xfId="9918" xr:uid="{706AB08B-A6F8-402A-88EA-E4DCDB1D31F9}"/>
    <cellStyle name="Normal 8 3 4 4" xfId="1799" xr:uid="{00000000-0005-0000-0000-0000B21D0000}"/>
    <cellStyle name="Normal 8 3 4 4 2" xfId="4029" xr:uid="{00000000-0005-0000-0000-0000B31D0000}"/>
    <cellStyle name="Normal 8 3 4 4 2 2" xfId="8252" xr:uid="{00000000-0005-0000-0000-0000B41D0000}"/>
    <cellStyle name="Normal 8 3 4 4 2 2 2" xfId="16694" xr:uid="{94D447CE-86A1-4BA7-A7D7-5A4A6B68F389}"/>
    <cellStyle name="Normal 8 3 4 4 2 3" xfId="12476" xr:uid="{F3B0880D-D060-4E18-B9FB-B42F77876B59}"/>
    <cellStyle name="Normal 8 3 4 4 3" xfId="6107" xr:uid="{00000000-0005-0000-0000-0000B51D0000}"/>
    <cellStyle name="Normal 8 3 4 4 3 2" xfId="14549" xr:uid="{6980AD73-EFD7-4AE0-9059-A0D4A073330A}"/>
    <cellStyle name="Normal 8 3 4 4 4" xfId="10331" xr:uid="{A0C3D0FB-01A0-42EF-AC26-80B38A43164E}"/>
    <cellStyle name="Normal 8 3 4 5" xfId="2213" xr:uid="{00000000-0005-0000-0000-0000B61D0000}"/>
    <cellStyle name="Normal 8 3 4 5 2" xfId="4442" xr:uid="{00000000-0005-0000-0000-0000B71D0000}"/>
    <cellStyle name="Normal 8 3 4 5 2 2" xfId="8665" xr:uid="{00000000-0005-0000-0000-0000B81D0000}"/>
    <cellStyle name="Normal 8 3 4 5 2 2 2" xfId="17107" xr:uid="{E957F151-C075-4B03-A552-2F77185197C0}"/>
    <cellStyle name="Normal 8 3 4 5 2 3" xfId="12889" xr:uid="{C71634CD-96D5-42D2-B583-EAFBCD239747}"/>
    <cellStyle name="Normal 8 3 4 5 3" xfId="6520" xr:uid="{00000000-0005-0000-0000-0000B91D0000}"/>
    <cellStyle name="Normal 8 3 4 5 3 2" xfId="14962" xr:uid="{D76AF60B-42DD-4EB5-AD31-508D2EFDB243}"/>
    <cellStyle name="Normal 8 3 4 5 4" xfId="10744" xr:uid="{B84B6C62-9338-493E-910D-7CB571E019A1}"/>
    <cellStyle name="Normal 8 3 4 6" xfId="2649" xr:uid="{00000000-0005-0000-0000-0000BA1D0000}"/>
    <cellStyle name="Normal 8 3 4 6 2" xfId="6933" xr:uid="{00000000-0005-0000-0000-0000BB1D0000}"/>
    <cellStyle name="Normal 8 3 4 6 2 2" xfId="15375" xr:uid="{5C4DCD38-0764-4EB1-ACB7-4CBEBFA531BF}"/>
    <cellStyle name="Normal 8 3 4 6 3" xfId="11157" xr:uid="{339580EF-F9F7-4071-895E-8C1671D1DF95}"/>
    <cellStyle name="Normal 8 3 4 7" xfId="4868" xr:uid="{00000000-0005-0000-0000-0000BC1D0000}"/>
    <cellStyle name="Normal 8 3 4 7 2" xfId="13310" xr:uid="{DDC2680C-12EE-4907-9F48-8A5956F7D607}"/>
    <cellStyle name="Normal 8 3 4 8" xfId="9092" xr:uid="{654EE4FB-111D-479A-B62F-0090CCFA3F49}"/>
    <cellStyle name="Normal 8 3 5" xfId="962" xr:uid="{00000000-0005-0000-0000-0000BD1D0000}"/>
    <cellStyle name="Normal 8 3 5 2" xfId="3196" xr:uid="{00000000-0005-0000-0000-0000BE1D0000}"/>
    <cellStyle name="Normal 8 3 5 2 2" xfId="7419" xr:uid="{00000000-0005-0000-0000-0000BF1D0000}"/>
    <cellStyle name="Normal 8 3 5 2 2 2" xfId="15861" xr:uid="{54E3C2D5-F469-48F2-955A-53ABC9B30DB8}"/>
    <cellStyle name="Normal 8 3 5 2 3" xfId="11643" xr:uid="{64D3FB3F-5987-498C-894B-BC027ADFAC18}"/>
    <cellStyle name="Normal 8 3 5 3" xfId="5274" xr:uid="{00000000-0005-0000-0000-0000C01D0000}"/>
    <cellStyle name="Normal 8 3 5 3 2" xfId="13716" xr:uid="{C1E679CF-F0E5-4079-B91B-65134F55ECF5}"/>
    <cellStyle name="Normal 8 3 5 4" xfId="9498" xr:uid="{1FAE243D-B755-4459-B1E2-35CF6DF719FC}"/>
    <cellStyle name="Normal 8 3 6" xfId="1379" xr:uid="{00000000-0005-0000-0000-0000C11D0000}"/>
    <cellStyle name="Normal 8 3 6 2" xfId="3609" xr:uid="{00000000-0005-0000-0000-0000C21D0000}"/>
    <cellStyle name="Normal 8 3 6 2 2" xfId="7832" xr:uid="{00000000-0005-0000-0000-0000C31D0000}"/>
    <cellStyle name="Normal 8 3 6 2 2 2" xfId="16274" xr:uid="{0C07C435-7066-414B-8BB9-31FBDA3DA851}"/>
    <cellStyle name="Normal 8 3 6 2 3" xfId="12056" xr:uid="{829012FC-A3F3-47BB-9BEB-4DBB6990F5AA}"/>
    <cellStyle name="Normal 8 3 6 3" xfId="5687" xr:uid="{00000000-0005-0000-0000-0000C41D0000}"/>
    <cellStyle name="Normal 8 3 6 3 2" xfId="14129" xr:uid="{20DC9080-EA48-4CD0-9A7F-DFA453AF363F}"/>
    <cellStyle name="Normal 8 3 6 4" xfId="9911" xr:uid="{10C3EF63-E5F2-47F1-ABFE-A4EE5884B6B6}"/>
    <cellStyle name="Normal 8 3 7" xfId="1792" xr:uid="{00000000-0005-0000-0000-0000C51D0000}"/>
    <cellStyle name="Normal 8 3 7 2" xfId="4022" xr:uid="{00000000-0005-0000-0000-0000C61D0000}"/>
    <cellStyle name="Normal 8 3 7 2 2" xfId="8245" xr:uid="{00000000-0005-0000-0000-0000C71D0000}"/>
    <cellStyle name="Normal 8 3 7 2 2 2" xfId="16687" xr:uid="{EB755DFC-31C0-4272-B641-C90077C69CD5}"/>
    <cellStyle name="Normal 8 3 7 2 3" xfId="12469" xr:uid="{E99C0A17-EC15-4BAE-A529-A936B1E67CC1}"/>
    <cellStyle name="Normal 8 3 7 3" xfId="6100" xr:uid="{00000000-0005-0000-0000-0000C81D0000}"/>
    <cellStyle name="Normal 8 3 7 3 2" xfId="14542" xr:uid="{1310560A-0A93-42B1-9844-45816E3CB94F}"/>
    <cellStyle name="Normal 8 3 7 4" xfId="10324" xr:uid="{9CC4598B-3DB3-4715-84F5-563AA7E30BE3}"/>
    <cellStyle name="Normal 8 3 8" xfId="2206" xr:uid="{00000000-0005-0000-0000-0000C91D0000}"/>
    <cellStyle name="Normal 8 3 8 2" xfId="4435" xr:uid="{00000000-0005-0000-0000-0000CA1D0000}"/>
    <cellStyle name="Normal 8 3 8 2 2" xfId="8658" xr:uid="{00000000-0005-0000-0000-0000CB1D0000}"/>
    <cellStyle name="Normal 8 3 8 2 2 2" xfId="17100" xr:uid="{8FCAD83F-C41F-42BB-A62B-6F34839C6116}"/>
    <cellStyle name="Normal 8 3 8 2 3" xfId="12882" xr:uid="{1A9BD165-CD7F-4BC6-9FE5-996C21E28AFB}"/>
    <cellStyle name="Normal 8 3 8 3" xfId="6513" xr:uid="{00000000-0005-0000-0000-0000CC1D0000}"/>
    <cellStyle name="Normal 8 3 8 3 2" xfId="14955" xr:uid="{01C29EA6-0CBC-4A12-957A-1E02494E79A9}"/>
    <cellStyle name="Normal 8 3 8 4" xfId="10737" xr:uid="{0A2AD43F-D66C-476B-BA32-A14A08DF7BF6}"/>
    <cellStyle name="Normal 8 3 9" xfId="2642" xr:uid="{00000000-0005-0000-0000-0000CD1D0000}"/>
    <cellStyle name="Normal 8 3 9 2" xfId="6926" xr:uid="{00000000-0005-0000-0000-0000CE1D0000}"/>
    <cellStyle name="Normal 8 3 9 2 2" xfId="15368" xr:uid="{354EC599-29E7-4BD0-8546-777FD4716FAE}"/>
    <cellStyle name="Normal 8 3 9 3" xfId="11150" xr:uid="{B83954FE-588F-4FE9-A731-7CFB3547E7AD}"/>
    <cellStyle name="Normal 8 4" xfId="503" xr:uid="{00000000-0005-0000-0000-0000CF1D0000}"/>
    <cellStyle name="Normal 8 4 10" xfId="9093" xr:uid="{25BC224E-50A2-4981-B89F-A939F26E8E6D}"/>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2 2 2" xfId="15871" xr:uid="{2637D375-2A1C-42BA-B23E-0DA9CFC952ED}"/>
    <cellStyle name="Normal 8 4 2 2 2 2 3" xfId="11653" xr:uid="{0450EAE1-EA1D-4BCC-A2C0-B0AC9F93A7E4}"/>
    <cellStyle name="Normal 8 4 2 2 2 3" xfId="5284" xr:uid="{00000000-0005-0000-0000-0000D51D0000}"/>
    <cellStyle name="Normal 8 4 2 2 2 3 2" xfId="13726" xr:uid="{72BA5590-1089-45B7-A517-37AF887BF74D}"/>
    <cellStyle name="Normal 8 4 2 2 2 4" xfId="9508" xr:uid="{A5E4047A-5167-451E-9E91-CC2274D1727B}"/>
    <cellStyle name="Normal 8 4 2 2 3" xfId="1389" xr:uid="{00000000-0005-0000-0000-0000D61D0000}"/>
    <cellStyle name="Normal 8 4 2 2 3 2" xfId="3619" xr:uid="{00000000-0005-0000-0000-0000D71D0000}"/>
    <cellStyle name="Normal 8 4 2 2 3 2 2" xfId="7842" xr:uid="{00000000-0005-0000-0000-0000D81D0000}"/>
    <cellStyle name="Normal 8 4 2 2 3 2 2 2" xfId="16284" xr:uid="{7665EEFF-BA37-4C17-BF9B-0DBC0EDDCC1D}"/>
    <cellStyle name="Normal 8 4 2 2 3 2 3" xfId="12066" xr:uid="{7EEAFB03-1DE3-4674-92F9-C9BF63866A36}"/>
    <cellStyle name="Normal 8 4 2 2 3 3" xfId="5697" xr:uid="{00000000-0005-0000-0000-0000D91D0000}"/>
    <cellStyle name="Normal 8 4 2 2 3 3 2" xfId="14139" xr:uid="{853C0136-A5B5-4FCA-9F52-7EBCE36B953F}"/>
    <cellStyle name="Normal 8 4 2 2 3 4" xfId="9921" xr:uid="{120CE152-4958-445C-A837-35DC792A5BBF}"/>
    <cellStyle name="Normal 8 4 2 2 4" xfId="1802" xr:uid="{00000000-0005-0000-0000-0000DA1D0000}"/>
    <cellStyle name="Normal 8 4 2 2 4 2" xfId="4032" xr:uid="{00000000-0005-0000-0000-0000DB1D0000}"/>
    <cellStyle name="Normal 8 4 2 2 4 2 2" xfId="8255" xr:uid="{00000000-0005-0000-0000-0000DC1D0000}"/>
    <cellStyle name="Normal 8 4 2 2 4 2 2 2" xfId="16697" xr:uid="{0CE9E7E4-0147-42F1-89DB-AB9170DB0DF5}"/>
    <cellStyle name="Normal 8 4 2 2 4 2 3" xfId="12479" xr:uid="{728C334C-94C5-4E45-BC82-893E7D968DDD}"/>
    <cellStyle name="Normal 8 4 2 2 4 3" xfId="6110" xr:uid="{00000000-0005-0000-0000-0000DD1D0000}"/>
    <cellStyle name="Normal 8 4 2 2 4 3 2" xfId="14552" xr:uid="{5B592717-DECC-4C89-ABDE-36180010FF2A}"/>
    <cellStyle name="Normal 8 4 2 2 4 4" xfId="10334" xr:uid="{C87B60E7-2A3C-4978-BF87-3B39DF1FF32F}"/>
    <cellStyle name="Normal 8 4 2 2 5" xfId="2216" xr:uid="{00000000-0005-0000-0000-0000DE1D0000}"/>
    <cellStyle name="Normal 8 4 2 2 5 2" xfId="4445" xr:uid="{00000000-0005-0000-0000-0000DF1D0000}"/>
    <cellStyle name="Normal 8 4 2 2 5 2 2" xfId="8668" xr:uid="{00000000-0005-0000-0000-0000E01D0000}"/>
    <cellStyle name="Normal 8 4 2 2 5 2 2 2" xfId="17110" xr:uid="{5DCC2166-F67A-4D9B-A486-1936AA84BED9}"/>
    <cellStyle name="Normal 8 4 2 2 5 2 3" xfId="12892" xr:uid="{569F1675-F356-45B5-B07B-1B6C912B55B5}"/>
    <cellStyle name="Normal 8 4 2 2 5 3" xfId="6523" xr:uid="{00000000-0005-0000-0000-0000E11D0000}"/>
    <cellStyle name="Normal 8 4 2 2 5 3 2" xfId="14965" xr:uid="{5ECB83A3-1584-49F0-B328-7D0035E3918F}"/>
    <cellStyle name="Normal 8 4 2 2 5 4" xfId="10747" xr:uid="{0153E58E-FB52-44AD-80F2-9ED7A7B057B1}"/>
    <cellStyle name="Normal 8 4 2 2 6" xfId="2652" xr:uid="{00000000-0005-0000-0000-0000E21D0000}"/>
    <cellStyle name="Normal 8 4 2 2 6 2" xfId="6936" xr:uid="{00000000-0005-0000-0000-0000E31D0000}"/>
    <cellStyle name="Normal 8 4 2 2 6 2 2" xfId="15378" xr:uid="{691AAC32-9099-4CF8-A7E4-7C1DDA23889B}"/>
    <cellStyle name="Normal 8 4 2 2 6 3" xfId="11160" xr:uid="{60ABDE61-6D2E-4BA1-918C-9074C42ADEDA}"/>
    <cellStyle name="Normal 8 4 2 2 7" xfId="4871" xr:uid="{00000000-0005-0000-0000-0000E41D0000}"/>
    <cellStyle name="Normal 8 4 2 2 7 2" xfId="13313" xr:uid="{2DEE87D4-568F-4CEC-BFD7-04C65CEA1C0C}"/>
    <cellStyle name="Normal 8 4 2 2 8" xfId="9095" xr:uid="{49C23FCF-7FB8-438D-A308-80A3C0D3BE29}"/>
    <cellStyle name="Normal 8 4 2 3" xfId="971" xr:uid="{00000000-0005-0000-0000-0000E51D0000}"/>
    <cellStyle name="Normal 8 4 2 3 2" xfId="3205" xr:uid="{00000000-0005-0000-0000-0000E61D0000}"/>
    <cellStyle name="Normal 8 4 2 3 2 2" xfId="7428" xr:uid="{00000000-0005-0000-0000-0000E71D0000}"/>
    <cellStyle name="Normal 8 4 2 3 2 2 2" xfId="15870" xr:uid="{A6FB68BB-3770-47A9-A2F7-7EF236C6460D}"/>
    <cellStyle name="Normal 8 4 2 3 2 3" xfId="11652" xr:uid="{D48E30EA-FE1D-4C19-BAE0-3E070B6ED270}"/>
    <cellStyle name="Normal 8 4 2 3 3" xfId="5283" xr:uid="{00000000-0005-0000-0000-0000E81D0000}"/>
    <cellStyle name="Normal 8 4 2 3 3 2" xfId="13725" xr:uid="{D142FDA1-8C4D-492E-97BF-314F7D2838C3}"/>
    <cellStyle name="Normal 8 4 2 3 4" xfId="9507" xr:uid="{ABE1978F-4F54-4494-B86D-9A033B9702D5}"/>
    <cellStyle name="Normal 8 4 2 4" xfId="1388" xr:uid="{00000000-0005-0000-0000-0000E91D0000}"/>
    <cellStyle name="Normal 8 4 2 4 2" xfId="3618" xr:uid="{00000000-0005-0000-0000-0000EA1D0000}"/>
    <cellStyle name="Normal 8 4 2 4 2 2" xfId="7841" xr:uid="{00000000-0005-0000-0000-0000EB1D0000}"/>
    <cellStyle name="Normal 8 4 2 4 2 2 2" xfId="16283" xr:uid="{810D1BD6-D856-44E8-B469-BE406AB511F4}"/>
    <cellStyle name="Normal 8 4 2 4 2 3" xfId="12065" xr:uid="{765125EE-B2C1-43BE-8DB0-4BAF9DA762EE}"/>
    <cellStyle name="Normal 8 4 2 4 3" xfId="5696" xr:uid="{00000000-0005-0000-0000-0000EC1D0000}"/>
    <cellStyle name="Normal 8 4 2 4 3 2" xfId="14138" xr:uid="{69589A69-8A70-4174-BB6B-F17D6E2358AD}"/>
    <cellStyle name="Normal 8 4 2 4 4" xfId="9920" xr:uid="{C1956859-3B78-4D19-8E9A-7FFF225EF964}"/>
    <cellStyle name="Normal 8 4 2 5" xfId="1801" xr:uid="{00000000-0005-0000-0000-0000ED1D0000}"/>
    <cellStyle name="Normal 8 4 2 5 2" xfId="4031" xr:uid="{00000000-0005-0000-0000-0000EE1D0000}"/>
    <cellStyle name="Normal 8 4 2 5 2 2" xfId="8254" xr:uid="{00000000-0005-0000-0000-0000EF1D0000}"/>
    <cellStyle name="Normal 8 4 2 5 2 2 2" xfId="16696" xr:uid="{1A0B6F2D-1B63-4A17-9A5E-4DE5CC2AA476}"/>
    <cellStyle name="Normal 8 4 2 5 2 3" xfId="12478" xr:uid="{58ABBFFB-A3F8-4231-BF6E-601A8D427C88}"/>
    <cellStyle name="Normal 8 4 2 5 3" xfId="6109" xr:uid="{00000000-0005-0000-0000-0000F01D0000}"/>
    <cellStyle name="Normal 8 4 2 5 3 2" xfId="14551" xr:uid="{C7C4C348-9C08-41E9-B4F5-BB3801CB0309}"/>
    <cellStyle name="Normal 8 4 2 5 4" xfId="10333" xr:uid="{13BA4678-8618-434F-A71B-5489EF7F91EF}"/>
    <cellStyle name="Normal 8 4 2 6" xfId="2215" xr:uid="{00000000-0005-0000-0000-0000F11D0000}"/>
    <cellStyle name="Normal 8 4 2 6 2" xfId="4444" xr:uid="{00000000-0005-0000-0000-0000F21D0000}"/>
    <cellStyle name="Normal 8 4 2 6 2 2" xfId="8667" xr:uid="{00000000-0005-0000-0000-0000F31D0000}"/>
    <cellStyle name="Normal 8 4 2 6 2 2 2" xfId="17109" xr:uid="{C7D9E432-5826-4024-A186-E61892B0A8F1}"/>
    <cellStyle name="Normal 8 4 2 6 2 3" xfId="12891" xr:uid="{1AADC85B-0E8A-44E3-8468-74A870CAA4D4}"/>
    <cellStyle name="Normal 8 4 2 6 3" xfId="6522" xr:uid="{00000000-0005-0000-0000-0000F41D0000}"/>
    <cellStyle name="Normal 8 4 2 6 3 2" xfId="14964" xr:uid="{8F2A88D8-ACF4-424B-8826-93B207F3CFA1}"/>
    <cellStyle name="Normal 8 4 2 6 4" xfId="10746" xr:uid="{00E484BF-D4A6-4BD9-BC6B-0F3C7C76CDE6}"/>
    <cellStyle name="Normal 8 4 2 7" xfId="2651" xr:uid="{00000000-0005-0000-0000-0000F51D0000}"/>
    <cellStyle name="Normal 8 4 2 7 2" xfId="6935" xr:uid="{00000000-0005-0000-0000-0000F61D0000}"/>
    <cellStyle name="Normal 8 4 2 7 2 2" xfId="15377" xr:uid="{EABF9CA2-651E-4AA0-BE06-E6F549CECFF6}"/>
    <cellStyle name="Normal 8 4 2 7 3" xfId="11159" xr:uid="{F0312F52-6D63-4ACF-9C40-32F31D91A87B}"/>
    <cellStyle name="Normal 8 4 2 8" xfId="4870" xr:uid="{00000000-0005-0000-0000-0000F71D0000}"/>
    <cellStyle name="Normal 8 4 2 8 2" xfId="13312" xr:uid="{8FC2C53A-4872-4CD2-A3CE-A60CD87235FF}"/>
    <cellStyle name="Normal 8 4 2 9" xfId="9094" xr:uid="{EE313B83-D930-492F-A416-314D3B148BB1}"/>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2 2 2" xfId="15872" xr:uid="{8E2C72C5-9B07-47EE-AF7B-41E9863A1CA5}"/>
    <cellStyle name="Normal 8 4 3 2 2 3" xfId="11654" xr:uid="{824F5B5A-F04B-4058-8805-8C9A239FF363}"/>
    <cellStyle name="Normal 8 4 3 2 3" xfId="5285" xr:uid="{00000000-0005-0000-0000-0000FC1D0000}"/>
    <cellStyle name="Normal 8 4 3 2 3 2" xfId="13727" xr:uid="{4F5929C8-2E49-43B8-8537-4DFE55F84755}"/>
    <cellStyle name="Normal 8 4 3 2 4" xfId="9509" xr:uid="{7A6BC9F9-F3E9-4710-992D-27CAE8701BE8}"/>
    <cellStyle name="Normal 8 4 3 3" xfId="1390" xr:uid="{00000000-0005-0000-0000-0000FD1D0000}"/>
    <cellStyle name="Normal 8 4 3 3 2" xfId="3620" xr:uid="{00000000-0005-0000-0000-0000FE1D0000}"/>
    <cellStyle name="Normal 8 4 3 3 2 2" xfId="7843" xr:uid="{00000000-0005-0000-0000-0000FF1D0000}"/>
    <cellStyle name="Normal 8 4 3 3 2 2 2" xfId="16285" xr:uid="{48D5D6CD-71EA-4151-9684-199A2EACD4EB}"/>
    <cellStyle name="Normal 8 4 3 3 2 3" xfId="12067" xr:uid="{20DDBA28-41B6-4003-85E3-0E9C910D81C9}"/>
    <cellStyle name="Normal 8 4 3 3 3" xfId="5698" xr:uid="{00000000-0005-0000-0000-0000001E0000}"/>
    <cellStyle name="Normal 8 4 3 3 3 2" xfId="14140" xr:uid="{71CF5F65-13F0-4C7E-AEB3-19AF86787788}"/>
    <cellStyle name="Normal 8 4 3 3 4" xfId="9922" xr:uid="{0397FCAF-178E-41F1-A2D4-835331E49E6C}"/>
    <cellStyle name="Normal 8 4 3 4" xfId="1803" xr:uid="{00000000-0005-0000-0000-0000011E0000}"/>
    <cellStyle name="Normal 8 4 3 4 2" xfId="4033" xr:uid="{00000000-0005-0000-0000-0000021E0000}"/>
    <cellStyle name="Normal 8 4 3 4 2 2" xfId="8256" xr:uid="{00000000-0005-0000-0000-0000031E0000}"/>
    <cellStyle name="Normal 8 4 3 4 2 2 2" xfId="16698" xr:uid="{2903BB91-1CE1-4FAB-AAD6-CFBCC0FF5C1B}"/>
    <cellStyle name="Normal 8 4 3 4 2 3" xfId="12480" xr:uid="{97F2752D-C23D-41A7-9C01-D03371948F8E}"/>
    <cellStyle name="Normal 8 4 3 4 3" xfId="6111" xr:uid="{00000000-0005-0000-0000-0000041E0000}"/>
    <cellStyle name="Normal 8 4 3 4 3 2" xfId="14553" xr:uid="{5C98ACE8-AC2D-41DD-8B84-C4B0F9743D7D}"/>
    <cellStyle name="Normal 8 4 3 4 4" xfId="10335" xr:uid="{FF7C9898-5D2E-4DFF-B617-B5B8238C8984}"/>
    <cellStyle name="Normal 8 4 3 5" xfId="2217" xr:uid="{00000000-0005-0000-0000-0000051E0000}"/>
    <cellStyle name="Normal 8 4 3 5 2" xfId="4446" xr:uid="{00000000-0005-0000-0000-0000061E0000}"/>
    <cellStyle name="Normal 8 4 3 5 2 2" xfId="8669" xr:uid="{00000000-0005-0000-0000-0000071E0000}"/>
    <cellStyle name="Normal 8 4 3 5 2 2 2" xfId="17111" xr:uid="{6781F017-06F0-438B-A233-9CC3F0C1E1B9}"/>
    <cellStyle name="Normal 8 4 3 5 2 3" xfId="12893" xr:uid="{F9784AEF-0981-4A61-B719-6EE46CFE97CD}"/>
    <cellStyle name="Normal 8 4 3 5 3" xfId="6524" xr:uid="{00000000-0005-0000-0000-0000081E0000}"/>
    <cellStyle name="Normal 8 4 3 5 3 2" xfId="14966" xr:uid="{B1E7F9CB-615F-4425-82C4-EC91B967C02B}"/>
    <cellStyle name="Normal 8 4 3 5 4" xfId="10748" xr:uid="{BEBA4D28-5D5D-4A85-ACDD-ECD45F388EBC}"/>
    <cellStyle name="Normal 8 4 3 6" xfId="2653" xr:uid="{00000000-0005-0000-0000-0000091E0000}"/>
    <cellStyle name="Normal 8 4 3 6 2" xfId="6937" xr:uid="{00000000-0005-0000-0000-00000A1E0000}"/>
    <cellStyle name="Normal 8 4 3 6 2 2" xfId="15379" xr:uid="{D537B6DC-D600-4D91-9CFA-BC0B018AD565}"/>
    <cellStyle name="Normal 8 4 3 6 3" xfId="11161" xr:uid="{6E2238A0-7BCA-4155-86BA-78BE0341D0B1}"/>
    <cellStyle name="Normal 8 4 3 7" xfId="4872" xr:uid="{00000000-0005-0000-0000-00000B1E0000}"/>
    <cellStyle name="Normal 8 4 3 7 2" xfId="13314" xr:uid="{7A829378-6D03-41F8-9800-3E0F86A8D169}"/>
    <cellStyle name="Normal 8 4 3 8" xfId="9096" xr:uid="{EEB116DA-3601-40ED-83FF-69E6FD234962}"/>
    <cellStyle name="Normal 8 4 4" xfId="970" xr:uid="{00000000-0005-0000-0000-00000C1E0000}"/>
    <cellStyle name="Normal 8 4 4 2" xfId="3204" xr:uid="{00000000-0005-0000-0000-00000D1E0000}"/>
    <cellStyle name="Normal 8 4 4 2 2" xfId="7427" xr:uid="{00000000-0005-0000-0000-00000E1E0000}"/>
    <cellStyle name="Normal 8 4 4 2 2 2" xfId="15869" xr:uid="{2BAB2160-1F18-4635-8880-8A7E0E406978}"/>
    <cellStyle name="Normal 8 4 4 2 3" xfId="11651" xr:uid="{D8A583C4-B8C2-4920-9EAC-7C0A0E55BCF0}"/>
    <cellStyle name="Normal 8 4 4 3" xfId="5282" xr:uid="{00000000-0005-0000-0000-00000F1E0000}"/>
    <cellStyle name="Normal 8 4 4 3 2" xfId="13724" xr:uid="{3ED5BBF8-B6FE-4B75-8DEA-EBC2C22E185F}"/>
    <cellStyle name="Normal 8 4 4 4" xfId="9506" xr:uid="{9AB570BF-23DD-462A-B871-E4B46FCA6A21}"/>
    <cellStyle name="Normal 8 4 5" xfId="1387" xr:uid="{00000000-0005-0000-0000-0000101E0000}"/>
    <cellStyle name="Normal 8 4 5 2" xfId="3617" xr:uid="{00000000-0005-0000-0000-0000111E0000}"/>
    <cellStyle name="Normal 8 4 5 2 2" xfId="7840" xr:uid="{00000000-0005-0000-0000-0000121E0000}"/>
    <cellStyle name="Normal 8 4 5 2 2 2" xfId="16282" xr:uid="{37B3084A-87CF-4761-AFE7-3A162D1B9933}"/>
    <cellStyle name="Normal 8 4 5 2 3" xfId="12064" xr:uid="{FF5BAB68-0093-43BD-9B9E-6D862A6DF5FB}"/>
    <cellStyle name="Normal 8 4 5 3" xfId="5695" xr:uid="{00000000-0005-0000-0000-0000131E0000}"/>
    <cellStyle name="Normal 8 4 5 3 2" xfId="14137" xr:uid="{8A42B187-4C84-4FDB-AB8B-128DAE465417}"/>
    <cellStyle name="Normal 8 4 5 4" xfId="9919" xr:uid="{1207B894-5C14-4AB4-A6B2-9C24898CC727}"/>
    <cellStyle name="Normal 8 4 6" xfId="1800" xr:uid="{00000000-0005-0000-0000-0000141E0000}"/>
    <cellStyle name="Normal 8 4 6 2" xfId="4030" xr:uid="{00000000-0005-0000-0000-0000151E0000}"/>
    <cellStyle name="Normal 8 4 6 2 2" xfId="8253" xr:uid="{00000000-0005-0000-0000-0000161E0000}"/>
    <cellStyle name="Normal 8 4 6 2 2 2" xfId="16695" xr:uid="{11207CED-ACD6-42EB-A951-B9EA7BC47654}"/>
    <cellStyle name="Normal 8 4 6 2 3" xfId="12477" xr:uid="{5FCCE828-2A2B-4E4D-87C8-538BA295DF47}"/>
    <cellStyle name="Normal 8 4 6 3" xfId="6108" xr:uid="{00000000-0005-0000-0000-0000171E0000}"/>
    <cellStyle name="Normal 8 4 6 3 2" xfId="14550" xr:uid="{CC7DD10C-D2C9-43B5-8685-06B6405397D9}"/>
    <cellStyle name="Normal 8 4 6 4" xfId="10332" xr:uid="{46B48AB3-B8DA-4DBC-801F-2F9AD1FECB79}"/>
    <cellStyle name="Normal 8 4 7" xfId="2214" xr:uid="{00000000-0005-0000-0000-0000181E0000}"/>
    <cellStyle name="Normal 8 4 7 2" xfId="4443" xr:uid="{00000000-0005-0000-0000-0000191E0000}"/>
    <cellStyle name="Normal 8 4 7 2 2" xfId="8666" xr:uid="{00000000-0005-0000-0000-00001A1E0000}"/>
    <cellStyle name="Normal 8 4 7 2 2 2" xfId="17108" xr:uid="{0FF32F03-0930-4BB6-94DC-9CD6AFA9E06C}"/>
    <cellStyle name="Normal 8 4 7 2 3" xfId="12890" xr:uid="{2A75AE81-6D95-4977-940F-A86478979751}"/>
    <cellStyle name="Normal 8 4 7 3" xfId="6521" xr:uid="{00000000-0005-0000-0000-00001B1E0000}"/>
    <cellStyle name="Normal 8 4 7 3 2" xfId="14963" xr:uid="{5B68E94B-C64A-4C48-B1E5-947890B544F8}"/>
    <cellStyle name="Normal 8 4 7 4" xfId="10745" xr:uid="{B727CAD1-6E22-4A34-91BB-53ED8E1A3590}"/>
    <cellStyle name="Normal 8 4 8" xfId="2650" xr:uid="{00000000-0005-0000-0000-00001C1E0000}"/>
    <cellStyle name="Normal 8 4 8 2" xfId="6934" xr:uid="{00000000-0005-0000-0000-00001D1E0000}"/>
    <cellStyle name="Normal 8 4 8 2 2" xfId="15376" xr:uid="{76BA7ADB-191E-470B-92A7-2B0599085EA3}"/>
    <cellStyle name="Normal 8 4 8 3" xfId="11158" xr:uid="{7AABF66B-7B7F-4E61-B739-AEF1767E6264}"/>
    <cellStyle name="Normal 8 4 9" xfId="4869" xr:uid="{00000000-0005-0000-0000-00001E1E0000}"/>
    <cellStyle name="Normal 8 4 9 2" xfId="13311" xr:uid="{0FB9ABFD-B84A-48D1-97D2-E71424B520B8}"/>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2 2 2" xfId="15874" xr:uid="{107350C1-7146-41BB-B993-4DCA407CB738}"/>
    <cellStyle name="Normal 8 5 2 2 2 3" xfId="11656" xr:uid="{B74B596C-C643-4D60-A9CF-5558A32674A1}"/>
    <cellStyle name="Normal 8 5 2 2 3" xfId="5287" xr:uid="{00000000-0005-0000-0000-0000241E0000}"/>
    <cellStyle name="Normal 8 5 2 2 3 2" xfId="13729" xr:uid="{45202221-BDA3-4BF4-A02B-C65FCD4747BE}"/>
    <cellStyle name="Normal 8 5 2 2 4" xfId="9511" xr:uid="{108CC04F-E65E-44B6-94CB-C0F369B52C38}"/>
    <cellStyle name="Normal 8 5 2 3" xfId="1392" xr:uid="{00000000-0005-0000-0000-0000251E0000}"/>
    <cellStyle name="Normal 8 5 2 3 2" xfId="3622" xr:uid="{00000000-0005-0000-0000-0000261E0000}"/>
    <cellStyle name="Normal 8 5 2 3 2 2" xfId="7845" xr:uid="{00000000-0005-0000-0000-0000271E0000}"/>
    <cellStyle name="Normal 8 5 2 3 2 2 2" xfId="16287" xr:uid="{A88D932E-0252-4FAC-8567-7FA06A326EE9}"/>
    <cellStyle name="Normal 8 5 2 3 2 3" xfId="12069" xr:uid="{94547295-976C-4BE6-A928-251ED7B4CD6B}"/>
    <cellStyle name="Normal 8 5 2 3 3" xfId="5700" xr:uid="{00000000-0005-0000-0000-0000281E0000}"/>
    <cellStyle name="Normal 8 5 2 3 3 2" xfId="14142" xr:uid="{C3686B97-6933-4AD1-ACC1-BE1ECBC41BEE}"/>
    <cellStyle name="Normal 8 5 2 3 4" xfId="9924" xr:uid="{D770CA40-3EE6-4B7E-8585-D00B405FDB30}"/>
    <cellStyle name="Normal 8 5 2 4" xfId="1805" xr:uid="{00000000-0005-0000-0000-0000291E0000}"/>
    <cellStyle name="Normal 8 5 2 4 2" xfId="4035" xr:uid="{00000000-0005-0000-0000-00002A1E0000}"/>
    <cellStyle name="Normal 8 5 2 4 2 2" xfId="8258" xr:uid="{00000000-0005-0000-0000-00002B1E0000}"/>
    <cellStyle name="Normal 8 5 2 4 2 2 2" xfId="16700" xr:uid="{EA62232B-E122-40E0-A8B0-B58F211E3B6F}"/>
    <cellStyle name="Normal 8 5 2 4 2 3" xfId="12482" xr:uid="{B23121A1-6656-447F-9374-ABB05A93F22D}"/>
    <cellStyle name="Normal 8 5 2 4 3" xfId="6113" xr:uid="{00000000-0005-0000-0000-00002C1E0000}"/>
    <cellStyle name="Normal 8 5 2 4 3 2" xfId="14555" xr:uid="{96C9A338-360F-4EC8-B148-FCEFF639FA14}"/>
    <cellStyle name="Normal 8 5 2 4 4" xfId="10337" xr:uid="{52B79F06-4C65-4A32-9E64-680AFCBA0389}"/>
    <cellStyle name="Normal 8 5 2 5" xfId="2219" xr:uid="{00000000-0005-0000-0000-00002D1E0000}"/>
    <cellStyle name="Normal 8 5 2 5 2" xfId="4448" xr:uid="{00000000-0005-0000-0000-00002E1E0000}"/>
    <cellStyle name="Normal 8 5 2 5 2 2" xfId="8671" xr:uid="{00000000-0005-0000-0000-00002F1E0000}"/>
    <cellStyle name="Normal 8 5 2 5 2 2 2" xfId="17113" xr:uid="{0243D128-5953-4552-A0DA-B333CB047E83}"/>
    <cellStyle name="Normal 8 5 2 5 2 3" xfId="12895" xr:uid="{5714973E-B4F2-47C3-B04A-A4F04AE1883A}"/>
    <cellStyle name="Normal 8 5 2 5 3" xfId="6526" xr:uid="{00000000-0005-0000-0000-0000301E0000}"/>
    <cellStyle name="Normal 8 5 2 5 3 2" xfId="14968" xr:uid="{C73BA786-042B-4531-920A-B4147F919A34}"/>
    <cellStyle name="Normal 8 5 2 5 4" xfId="10750" xr:uid="{7821E0F2-89BB-4CF3-B208-69CDBA9359F4}"/>
    <cellStyle name="Normal 8 5 2 6" xfId="2655" xr:uid="{00000000-0005-0000-0000-0000311E0000}"/>
    <cellStyle name="Normal 8 5 2 6 2" xfId="6939" xr:uid="{00000000-0005-0000-0000-0000321E0000}"/>
    <cellStyle name="Normal 8 5 2 6 2 2" xfId="15381" xr:uid="{2429E497-D75E-4691-AF5A-4301BE3B9980}"/>
    <cellStyle name="Normal 8 5 2 6 3" xfId="11163" xr:uid="{4A5B04D7-2F90-47CC-84F6-9B8EF55EA1DC}"/>
    <cellStyle name="Normal 8 5 2 7" xfId="4874" xr:uid="{00000000-0005-0000-0000-0000331E0000}"/>
    <cellStyle name="Normal 8 5 2 7 2" xfId="13316" xr:uid="{55BF1CF7-06C8-430E-9137-8938302B2C56}"/>
    <cellStyle name="Normal 8 5 2 8" xfId="9098" xr:uid="{41FBDBE8-D235-4567-BB8B-A324EEC1268B}"/>
    <cellStyle name="Normal 8 5 3" xfId="974" xr:uid="{00000000-0005-0000-0000-0000341E0000}"/>
    <cellStyle name="Normal 8 5 3 2" xfId="3208" xr:uid="{00000000-0005-0000-0000-0000351E0000}"/>
    <cellStyle name="Normal 8 5 3 2 2" xfId="7431" xr:uid="{00000000-0005-0000-0000-0000361E0000}"/>
    <cellStyle name="Normal 8 5 3 2 2 2" xfId="15873" xr:uid="{3322BFC5-8C6E-4031-859F-56539F6F70DD}"/>
    <cellStyle name="Normal 8 5 3 2 3" xfId="11655" xr:uid="{F9618FCE-DFFD-4479-9475-D38670DEC9D8}"/>
    <cellStyle name="Normal 8 5 3 3" xfId="5286" xr:uid="{00000000-0005-0000-0000-0000371E0000}"/>
    <cellStyle name="Normal 8 5 3 3 2" xfId="13728" xr:uid="{4CA78840-4334-4524-BC55-E607158139EC}"/>
    <cellStyle name="Normal 8 5 3 4" xfId="9510" xr:uid="{F4800985-8529-49DF-8C84-BCE370C84739}"/>
    <cellStyle name="Normal 8 5 4" xfId="1391" xr:uid="{00000000-0005-0000-0000-0000381E0000}"/>
    <cellStyle name="Normal 8 5 4 2" xfId="3621" xr:uid="{00000000-0005-0000-0000-0000391E0000}"/>
    <cellStyle name="Normal 8 5 4 2 2" xfId="7844" xr:uid="{00000000-0005-0000-0000-00003A1E0000}"/>
    <cellStyle name="Normal 8 5 4 2 2 2" xfId="16286" xr:uid="{38F26CB9-D1C6-454C-B3DD-3D030B2E76D8}"/>
    <cellStyle name="Normal 8 5 4 2 3" xfId="12068" xr:uid="{12D83A93-AEFA-4A6F-8E94-C06A799AFA38}"/>
    <cellStyle name="Normal 8 5 4 3" xfId="5699" xr:uid="{00000000-0005-0000-0000-00003B1E0000}"/>
    <cellStyle name="Normal 8 5 4 3 2" xfId="14141" xr:uid="{D972FD61-5C5F-4145-9BD6-95002D7C030D}"/>
    <cellStyle name="Normal 8 5 4 4" xfId="9923" xr:uid="{4420057F-9340-4B75-8974-45CA77334D11}"/>
    <cellStyle name="Normal 8 5 5" xfId="1804" xr:uid="{00000000-0005-0000-0000-00003C1E0000}"/>
    <cellStyle name="Normal 8 5 5 2" xfId="4034" xr:uid="{00000000-0005-0000-0000-00003D1E0000}"/>
    <cellStyle name="Normal 8 5 5 2 2" xfId="8257" xr:uid="{00000000-0005-0000-0000-00003E1E0000}"/>
    <cellStyle name="Normal 8 5 5 2 2 2" xfId="16699" xr:uid="{E4C190B0-1321-4D16-A719-1285D35BA0CD}"/>
    <cellStyle name="Normal 8 5 5 2 3" xfId="12481" xr:uid="{09F42FE1-1589-46CF-8A29-7D6FF04E4D76}"/>
    <cellStyle name="Normal 8 5 5 3" xfId="6112" xr:uid="{00000000-0005-0000-0000-00003F1E0000}"/>
    <cellStyle name="Normal 8 5 5 3 2" xfId="14554" xr:uid="{9A7517D0-70B8-4C61-9025-B1AD282D4722}"/>
    <cellStyle name="Normal 8 5 5 4" xfId="10336" xr:uid="{582E3CDB-2730-41AB-A83A-1C646F8C6F81}"/>
    <cellStyle name="Normal 8 5 6" xfId="2218" xr:uid="{00000000-0005-0000-0000-0000401E0000}"/>
    <cellStyle name="Normal 8 5 6 2" xfId="4447" xr:uid="{00000000-0005-0000-0000-0000411E0000}"/>
    <cellStyle name="Normal 8 5 6 2 2" xfId="8670" xr:uid="{00000000-0005-0000-0000-0000421E0000}"/>
    <cellStyle name="Normal 8 5 6 2 2 2" xfId="17112" xr:uid="{678783FA-A2D0-4D42-91A8-94EA7BA7084A}"/>
    <cellStyle name="Normal 8 5 6 2 3" xfId="12894" xr:uid="{3DF29698-2FBA-4338-9CB1-6195C40232C3}"/>
    <cellStyle name="Normal 8 5 6 3" xfId="6525" xr:uid="{00000000-0005-0000-0000-0000431E0000}"/>
    <cellStyle name="Normal 8 5 6 3 2" xfId="14967" xr:uid="{D309959D-0F35-40CB-AFC2-A4413F5B5A96}"/>
    <cellStyle name="Normal 8 5 6 4" xfId="10749" xr:uid="{5C8A34E6-7F41-496F-B0D3-AF738B35C07D}"/>
    <cellStyle name="Normal 8 5 7" xfId="2654" xr:uid="{00000000-0005-0000-0000-0000441E0000}"/>
    <cellStyle name="Normal 8 5 7 2" xfId="6938" xr:uid="{00000000-0005-0000-0000-0000451E0000}"/>
    <cellStyle name="Normal 8 5 7 2 2" xfId="15380" xr:uid="{96FBE655-726C-4BD7-84FD-6A118955ABED}"/>
    <cellStyle name="Normal 8 5 7 3" xfId="11162" xr:uid="{C898FB2F-B4E5-47FA-9916-BE54E8B2CA6C}"/>
    <cellStyle name="Normal 8 5 8" xfId="4873" xr:uid="{00000000-0005-0000-0000-0000461E0000}"/>
    <cellStyle name="Normal 8 5 8 2" xfId="13315" xr:uid="{66DCB9A7-46C8-4293-B704-0A986FC8DE68}"/>
    <cellStyle name="Normal 8 5 9" xfId="9097" xr:uid="{22FDB484-5C57-40CA-985B-72C5BE1B1485}"/>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2 2 2" xfId="15875" xr:uid="{B79B4E69-E105-4AAD-AAAB-ECF81C2D6615}"/>
    <cellStyle name="Normal 8 6 2 2 3" xfId="11657" xr:uid="{B41123D7-6D18-47D3-9E86-F319E23507A1}"/>
    <cellStyle name="Normal 8 6 2 3" xfId="5288" xr:uid="{00000000-0005-0000-0000-00004B1E0000}"/>
    <cellStyle name="Normal 8 6 2 3 2" xfId="13730" xr:uid="{2E5FBA31-F346-4113-B1B6-2CCA3F0B2BE1}"/>
    <cellStyle name="Normal 8 6 2 4" xfId="9512" xr:uid="{FCDA9A6E-66E6-4698-B634-2F2BE5249FA9}"/>
    <cellStyle name="Normal 8 6 3" xfId="1393" xr:uid="{00000000-0005-0000-0000-00004C1E0000}"/>
    <cellStyle name="Normal 8 6 3 2" xfId="3623" xr:uid="{00000000-0005-0000-0000-00004D1E0000}"/>
    <cellStyle name="Normal 8 6 3 2 2" xfId="7846" xr:uid="{00000000-0005-0000-0000-00004E1E0000}"/>
    <cellStyle name="Normal 8 6 3 2 2 2" xfId="16288" xr:uid="{5C899247-81F1-44CC-9C69-962DB6EB5B69}"/>
    <cellStyle name="Normal 8 6 3 2 3" xfId="12070" xr:uid="{23C309F9-DA12-4C56-AA8E-B76F651AFCB6}"/>
    <cellStyle name="Normal 8 6 3 3" xfId="5701" xr:uid="{00000000-0005-0000-0000-00004F1E0000}"/>
    <cellStyle name="Normal 8 6 3 3 2" xfId="14143" xr:uid="{F7C109A9-7A93-4B1A-9E67-5E8F5743648E}"/>
    <cellStyle name="Normal 8 6 3 4" xfId="9925" xr:uid="{D5DFACF4-A196-4056-863E-B4712513F14E}"/>
    <cellStyle name="Normal 8 6 4" xfId="1806" xr:uid="{00000000-0005-0000-0000-0000501E0000}"/>
    <cellStyle name="Normal 8 6 4 2" xfId="4036" xr:uid="{00000000-0005-0000-0000-0000511E0000}"/>
    <cellStyle name="Normal 8 6 4 2 2" xfId="8259" xr:uid="{00000000-0005-0000-0000-0000521E0000}"/>
    <cellStyle name="Normal 8 6 4 2 2 2" xfId="16701" xr:uid="{DA78B056-F198-41A4-ADB2-6A2260385835}"/>
    <cellStyle name="Normal 8 6 4 2 3" xfId="12483" xr:uid="{F923C0A7-0B43-41CE-BF13-3E7CDFCD0A6C}"/>
    <cellStyle name="Normal 8 6 4 3" xfId="6114" xr:uid="{00000000-0005-0000-0000-0000531E0000}"/>
    <cellStyle name="Normal 8 6 4 3 2" xfId="14556" xr:uid="{4FD9139F-9967-400B-BB7B-491D57FF70D9}"/>
    <cellStyle name="Normal 8 6 4 4" xfId="10338" xr:uid="{C9F33CC9-E2B5-41E0-B254-CEAEFF9A0A0E}"/>
    <cellStyle name="Normal 8 6 5" xfId="2220" xr:uid="{00000000-0005-0000-0000-0000541E0000}"/>
    <cellStyle name="Normal 8 6 5 2" xfId="4449" xr:uid="{00000000-0005-0000-0000-0000551E0000}"/>
    <cellStyle name="Normal 8 6 5 2 2" xfId="8672" xr:uid="{00000000-0005-0000-0000-0000561E0000}"/>
    <cellStyle name="Normal 8 6 5 2 2 2" xfId="17114" xr:uid="{4B2AA2C7-6B5E-484A-863B-B59F79E80BD5}"/>
    <cellStyle name="Normal 8 6 5 2 3" xfId="12896" xr:uid="{82680CBD-06D0-4442-8BFF-24DDE6AD5CC7}"/>
    <cellStyle name="Normal 8 6 5 3" xfId="6527" xr:uid="{00000000-0005-0000-0000-0000571E0000}"/>
    <cellStyle name="Normal 8 6 5 3 2" xfId="14969" xr:uid="{EDAAD29F-1BF3-4122-A4C7-EEECE1116EA3}"/>
    <cellStyle name="Normal 8 6 5 4" xfId="10751" xr:uid="{DD9DF2AE-5577-4E84-846E-0CD9C37DB319}"/>
    <cellStyle name="Normal 8 6 6" xfId="2656" xr:uid="{00000000-0005-0000-0000-0000581E0000}"/>
    <cellStyle name="Normal 8 6 6 2" xfId="6940" xr:uid="{00000000-0005-0000-0000-0000591E0000}"/>
    <cellStyle name="Normal 8 6 6 2 2" xfId="15382" xr:uid="{19B3230E-73B2-48B5-8CC6-A4D0B3F1B0B7}"/>
    <cellStyle name="Normal 8 6 6 3" xfId="11164" xr:uid="{9083BC8C-8D31-4D18-90F3-98FFEB5F635E}"/>
    <cellStyle name="Normal 8 6 7" xfId="4875" xr:uid="{00000000-0005-0000-0000-00005A1E0000}"/>
    <cellStyle name="Normal 8 6 7 2" xfId="13317" xr:uid="{4A6C7EAF-9A81-4F06-BF66-ABCFFA2437ED}"/>
    <cellStyle name="Normal 8 6 8" xfId="9099" xr:uid="{40BB9F86-81C0-4782-A5C6-3EDE3ED76F80}"/>
    <cellStyle name="Normal 8 7" xfId="945" xr:uid="{00000000-0005-0000-0000-00005B1E0000}"/>
    <cellStyle name="Normal 8 7 2" xfId="3179" xr:uid="{00000000-0005-0000-0000-00005C1E0000}"/>
    <cellStyle name="Normal 8 7 2 2" xfId="7402" xr:uid="{00000000-0005-0000-0000-00005D1E0000}"/>
    <cellStyle name="Normal 8 7 2 2 2" xfId="15844" xr:uid="{5A394E30-C206-4782-A2B6-DE445492176A}"/>
    <cellStyle name="Normal 8 7 2 3" xfId="11626" xr:uid="{825284A1-AEBD-42AC-8515-0D2BAD49CAB0}"/>
    <cellStyle name="Normal 8 7 3" xfId="5257" xr:uid="{00000000-0005-0000-0000-00005E1E0000}"/>
    <cellStyle name="Normal 8 7 3 2" xfId="13699" xr:uid="{80F09F01-D7E2-47B3-B8FA-A38DA136A665}"/>
    <cellStyle name="Normal 8 7 4" xfId="9481" xr:uid="{6AD1E8AC-62F8-4B32-8FF7-DCD463062220}"/>
    <cellStyle name="Normal 8 8" xfId="1362" xr:uid="{00000000-0005-0000-0000-00005F1E0000}"/>
    <cellStyle name="Normal 8 8 2" xfId="3592" xr:uid="{00000000-0005-0000-0000-0000601E0000}"/>
    <cellStyle name="Normal 8 8 2 2" xfId="7815" xr:uid="{00000000-0005-0000-0000-0000611E0000}"/>
    <cellStyle name="Normal 8 8 2 2 2" xfId="16257" xr:uid="{203E6705-EF1C-4233-B378-42EF479DC578}"/>
    <cellStyle name="Normal 8 8 2 3" xfId="12039" xr:uid="{74F43C82-7255-4060-89B7-EB09D01EA4EE}"/>
    <cellStyle name="Normal 8 8 3" xfId="5670" xr:uid="{00000000-0005-0000-0000-0000621E0000}"/>
    <cellStyle name="Normal 8 8 3 2" xfId="14112" xr:uid="{B2F1D5C8-55B1-40C9-ADBD-726E0A312F45}"/>
    <cellStyle name="Normal 8 8 4" xfId="9894" xr:uid="{28396E09-ABBE-4410-BEDA-CAF3A66A7C32}"/>
    <cellStyle name="Normal 8 9" xfId="1775" xr:uid="{00000000-0005-0000-0000-0000631E0000}"/>
    <cellStyle name="Normal 8 9 2" xfId="4005" xr:uid="{00000000-0005-0000-0000-0000641E0000}"/>
    <cellStyle name="Normal 8 9 2 2" xfId="8228" xr:uid="{00000000-0005-0000-0000-0000651E0000}"/>
    <cellStyle name="Normal 8 9 2 2 2" xfId="16670" xr:uid="{1F92D8C8-0247-41A8-9E70-00BCA4E5F97B}"/>
    <cellStyle name="Normal 8 9 2 3" xfId="12452" xr:uid="{821E27E4-BEBB-4ABF-9C00-82054AD1BA02}"/>
    <cellStyle name="Normal 8 9 3" xfId="6083" xr:uid="{00000000-0005-0000-0000-0000661E0000}"/>
    <cellStyle name="Normal 8 9 3 2" xfId="14525" xr:uid="{788C7AEE-E3CD-4B47-B03F-B81E185CED15}"/>
    <cellStyle name="Normal 8 9 4" xfId="10307" xr:uid="{56EBF165-06BF-4B44-93ED-31B5D6708707}"/>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0 2 2" xfId="15383" xr:uid="{0377B927-93ED-4631-A4A0-381D14D5EDD1}"/>
    <cellStyle name="Normal 9 2 10 3" xfId="11165" xr:uid="{A00B2F49-5A4F-4D3E-9B8D-056DC0E86AF6}"/>
    <cellStyle name="Normal 9 2 11" xfId="4876" xr:uid="{00000000-0005-0000-0000-00006B1E0000}"/>
    <cellStyle name="Normal 9 2 11 2" xfId="13318" xr:uid="{44ADC3F6-2EF9-428C-9742-9AF7F523E000}"/>
    <cellStyle name="Normal 9 2 12" xfId="9100" xr:uid="{21613FE2-7627-442A-A639-7170C8393347}"/>
    <cellStyle name="Normal 9 2 2" xfId="512" xr:uid="{00000000-0005-0000-0000-00006C1E0000}"/>
    <cellStyle name="Normal 9 2 2 10" xfId="4877" xr:uid="{00000000-0005-0000-0000-00006D1E0000}"/>
    <cellStyle name="Normal 9 2 2 10 2" xfId="13319" xr:uid="{7F4EDCF0-7888-4576-8717-D3FBFFBD283F}"/>
    <cellStyle name="Normal 9 2 2 11" xfId="9101" xr:uid="{CBCEEA27-FBAF-4A09-A61D-12F09161AC9C}"/>
    <cellStyle name="Normal 9 2 2 2" xfId="513" xr:uid="{00000000-0005-0000-0000-00006E1E0000}"/>
    <cellStyle name="Normal 9 2 2 2 10" xfId="9102" xr:uid="{DF9B4AEB-5D57-4A0C-945A-E5E9A353F4EE}"/>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2 2 2" xfId="15880" xr:uid="{2C9FDA77-CF6F-41DE-AD2C-F3A15249EE6B}"/>
    <cellStyle name="Normal 9 2 2 2 2 2 2 2 3" xfId="11662" xr:uid="{96EECBA0-88C9-4C04-9D74-92A169DB5172}"/>
    <cellStyle name="Normal 9 2 2 2 2 2 2 3" xfId="5293" xr:uid="{00000000-0005-0000-0000-0000741E0000}"/>
    <cellStyle name="Normal 9 2 2 2 2 2 2 3 2" xfId="13735" xr:uid="{E864DCE0-8EBE-4693-A0DE-1A6995F5977C}"/>
    <cellStyle name="Normal 9 2 2 2 2 2 2 4" xfId="9517" xr:uid="{986399E8-7D5D-43ED-96F4-56AC43CF303A}"/>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2 2 2" xfId="16293" xr:uid="{2BEC184B-7044-42EA-9486-25BE3FC13836}"/>
    <cellStyle name="Normal 9 2 2 2 2 2 3 2 3" xfId="12075" xr:uid="{F4DCE642-FB44-49B5-9A20-D434C9B41C30}"/>
    <cellStyle name="Normal 9 2 2 2 2 2 3 3" xfId="5706" xr:uid="{00000000-0005-0000-0000-0000781E0000}"/>
    <cellStyle name="Normal 9 2 2 2 2 2 3 3 2" xfId="14148" xr:uid="{8C8DA0FF-E639-4F76-849E-2B1040903617}"/>
    <cellStyle name="Normal 9 2 2 2 2 2 3 4" xfId="9930" xr:uid="{20C8C553-0267-417D-8FBD-C6488B1D8026}"/>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2 2 2" xfId="16706" xr:uid="{92FEEF9D-4ADC-4D00-8016-EC575DCF9F1D}"/>
    <cellStyle name="Normal 9 2 2 2 2 2 4 2 3" xfId="12488" xr:uid="{FB0408C4-56C6-4E4A-A9AB-3F4E56F7AF18}"/>
    <cellStyle name="Normal 9 2 2 2 2 2 4 3" xfId="6119" xr:uid="{00000000-0005-0000-0000-00007C1E0000}"/>
    <cellStyle name="Normal 9 2 2 2 2 2 4 3 2" xfId="14561" xr:uid="{6DAD4765-361B-4A36-B8BB-AA62307C0417}"/>
    <cellStyle name="Normal 9 2 2 2 2 2 4 4" xfId="10343" xr:uid="{CC1FFEA2-6C82-4C69-9B27-7C28EF6DE085}"/>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2 2 2" xfId="17119" xr:uid="{81B3C505-682E-42BD-B090-8A2D8D404CDF}"/>
    <cellStyle name="Normal 9 2 2 2 2 2 5 2 3" xfId="12901" xr:uid="{C26BAE7C-43A2-44AE-949B-7501904D4253}"/>
    <cellStyle name="Normal 9 2 2 2 2 2 5 3" xfId="6532" xr:uid="{00000000-0005-0000-0000-0000801E0000}"/>
    <cellStyle name="Normal 9 2 2 2 2 2 5 3 2" xfId="14974" xr:uid="{25D4ADB5-B0DC-42FB-98E4-2CFE1369ED9B}"/>
    <cellStyle name="Normal 9 2 2 2 2 2 5 4" xfId="10756" xr:uid="{17CB7729-AB05-409B-B68F-87CD28B42198}"/>
    <cellStyle name="Normal 9 2 2 2 2 2 6" xfId="2661" xr:uid="{00000000-0005-0000-0000-0000811E0000}"/>
    <cellStyle name="Normal 9 2 2 2 2 2 6 2" xfId="6945" xr:uid="{00000000-0005-0000-0000-0000821E0000}"/>
    <cellStyle name="Normal 9 2 2 2 2 2 6 2 2" xfId="15387" xr:uid="{4D712023-BF56-45F4-AC57-8046720C0169}"/>
    <cellStyle name="Normal 9 2 2 2 2 2 6 3" xfId="11169" xr:uid="{094DEA6A-BDE3-4F0F-961F-1F91824B5D48}"/>
    <cellStyle name="Normal 9 2 2 2 2 2 7" xfId="4880" xr:uid="{00000000-0005-0000-0000-0000831E0000}"/>
    <cellStyle name="Normal 9 2 2 2 2 2 7 2" xfId="13322" xr:uid="{D832FB94-E1DD-4A9F-8EF9-71EBA578C5C9}"/>
    <cellStyle name="Normal 9 2 2 2 2 2 8" xfId="9104" xr:uid="{2F3DC5BE-B71D-4928-B017-BE0908285C18}"/>
    <cellStyle name="Normal 9 2 2 2 2 3" xfId="981" xr:uid="{00000000-0005-0000-0000-0000841E0000}"/>
    <cellStyle name="Normal 9 2 2 2 2 3 2" xfId="3214" xr:uid="{00000000-0005-0000-0000-0000851E0000}"/>
    <cellStyle name="Normal 9 2 2 2 2 3 2 2" xfId="7437" xr:uid="{00000000-0005-0000-0000-0000861E0000}"/>
    <cellStyle name="Normal 9 2 2 2 2 3 2 2 2" xfId="15879" xr:uid="{2018A965-9EF6-49EE-841F-47B087112264}"/>
    <cellStyle name="Normal 9 2 2 2 2 3 2 3" xfId="11661" xr:uid="{6FC4C6A8-F860-4836-8F9A-0F913A95BFB6}"/>
    <cellStyle name="Normal 9 2 2 2 2 3 3" xfId="5292" xr:uid="{00000000-0005-0000-0000-0000871E0000}"/>
    <cellStyle name="Normal 9 2 2 2 2 3 3 2" xfId="13734" xr:uid="{58F98D13-149E-4245-B112-9F623840F0AD}"/>
    <cellStyle name="Normal 9 2 2 2 2 3 4" xfId="9516" xr:uid="{ACC5F467-6E7D-43C5-A331-B71D9F4F5FB6}"/>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2 2 2" xfId="16292" xr:uid="{F8D12D16-12DE-46B4-9109-3ACDAB9A1A55}"/>
    <cellStyle name="Normal 9 2 2 2 2 4 2 3" xfId="12074" xr:uid="{31ED6703-D2B0-4A83-9291-E89E8D319E4F}"/>
    <cellStyle name="Normal 9 2 2 2 2 4 3" xfId="5705" xr:uid="{00000000-0005-0000-0000-00008B1E0000}"/>
    <cellStyle name="Normal 9 2 2 2 2 4 3 2" xfId="14147" xr:uid="{D5BF4647-DD1C-41AC-AAAD-63A07B037495}"/>
    <cellStyle name="Normal 9 2 2 2 2 4 4" xfId="9929" xr:uid="{1E1A6BD3-0D84-4BB4-BCC1-79B6D1237F23}"/>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2 2 2" xfId="16705" xr:uid="{1FE14DF6-7C0B-4964-B3E1-78699F174E98}"/>
    <cellStyle name="Normal 9 2 2 2 2 5 2 3" xfId="12487" xr:uid="{D0F7431A-25B8-4ACC-A3AE-C72171CD8363}"/>
    <cellStyle name="Normal 9 2 2 2 2 5 3" xfId="6118" xr:uid="{00000000-0005-0000-0000-00008F1E0000}"/>
    <cellStyle name="Normal 9 2 2 2 2 5 3 2" xfId="14560" xr:uid="{E4577B8E-5AED-40AD-A45A-DD62768749EF}"/>
    <cellStyle name="Normal 9 2 2 2 2 5 4" xfId="10342" xr:uid="{6AD55D83-E64C-4B88-BC41-1A0C5A6FC00B}"/>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2 2 2" xfId="17118" xr:uid="{9910D27E-43BD-42DC-8D90-B8CD79D7EEEC}"/>
    <cellStyle name="Normal 9 2 2 2 2 6 2 3" xfId="12900" xr:uid="{B8187AFD-32BC-47AA-804D-FBAF8D75A88F}"/>
    <cellStyle name="Normal 9 2 2 2 2 6 3" xfId="6531" xr:uid="{00000000-0005-0000-0000-0000931E0000}"/>
    <cellStyle name="Normal 9 2 2 2 2 6 3 2" xfId="14973" xr:uid="{D8A6F9BD-4EF1-43B7-92FF-FCBA16309E8B}"/>
    <cellStyle name="Normal 9 2 2 2 2 6 4" xfId="10755" xr:uid="{D458292B-6498-4602-A7BA-C2A84A2C62D9}"/>
    <cellStyle name="Normal 9 2 2 2 2 7" xfId="2660" xr:uid="{00000000-0005-0000-0000-0000941E0000}"/>
    <cellStyle name="Normal 9 2 2 2 2 7 2" xfId="6944" xr:uid="{00000000-0005-0000-0000-0000951E0000}"/>
    <cellStyle name="Normal 9 2 2 2 2 7 2 2" xfId="15386" xr:uid="{C6E93900-190C-4889-B661-133A109CDB23}"/>
    <cellStyle name="Normal 9 2 2 2 2 7 3" xfId="11168" xr:uid="{96247EEF-07A5-4B11-9D58-68E3108704C3}"/>
    <cellStyle name="Normal 9 2 2 2 2 8" xfId="4879" xr:uid="{00000000-0005-0000-0000-0000961E0000}"/>
    <cellStyle name="Normal 9 2 2 2 2 8 2" xfId="13321" xr:uid="{52F4B5A5-6300-4A31-BC23-5D1850E85361}"/>
    <cellStyle name="Normal 9 2 2 2 2 9" xfId="9103" xr:uid="{49B40C52-36EB-4B9A-A9B6-5B5F263AB508}"/>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2 2 2" xfId="15881" xr:uid="{B8B1D442-5D3F-4B87-B663-8D1A1DAD499D}"/>
    <cellStyle name="Normal 9 2 2 2 3 2 2 3" xfId="11663" xr:uid="{C77CBFEC-8719-4DE5-978E-F973509EA445}"/>
    <cellStyle name="Normal 9 2 2 2 3 2 3" xfId="5294" xr:uid="{00000000-0005-0000-0000-00009B1E0000}"/>
    <cellStyle name="Normal 9 2 2 2 3 2 3 2" xfId="13736" xr:uid="{8B3200C7-7060-4D56-A1BB-9CB02B883C0B}"/>
    <cellStyle name="Normal 9 2 2 2 3 2 4" xfId="9518" xr:uid="{640BC234-6E1A-4C2C-B7F2-FD3240254B17}"/>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2 2 2" xfId="16294" xr:uid="{DDA5C3D3-5540-402E-9741-6942022AC7C8}"/>
    <cellStyle name="Normal 9 2 2 2 3 3 2 3" xfId="12076" xr:uid="{B14B1008-1C26-4D8B-AFAB-6B708490FB90}"/>
    <cellStyle name="Normal 9 2 2 2 3 3 3" xfId="5707" xr:uid="{00000000-0005-0000-0000-00009F1E0000}"/>
    <cellStyle name="Normal 9 2 2 2 3 3 3 2" xfId="14149" xr:uid="{5759C9D5-8099-4E31-A561-D252D06DC188}"/>
    <cellStyle name="Normal 9 2 2 2 3 3 4" xfId="9931" xr:uid="{60ED5FC7-D460-49ED-8E8B-C0A415C9198E}"/>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2 2 2" xfId="16707" xr:uid="{B9252F65-875A-4E51-B68B-FE3A5F14D683}"/>
    <cellStyle name="Normal 9 2 2 2 3 4 2 3" xfId="12489" xr:uid="{F058CD2D-10A0-4D5C-85FE-9673B4DCC7E3}"/>
    <cellStyle name="Normal 9 2 2 2 3 4 3" xfId="6120" xr:uid="{00000000-0005-0000-0000-0000A31E0000}"/>
    <cellStyle name="Normal 9 2 2 2 3 4 3 2" xfId="14562" xr:uid="{6E2B142B-A74E-4F75-8BBD-D4D837863DB9}"/>
    <cellStyle name="Normal 9 2 2 2 3 4 4" xfId="10344" xr:uid="{A63E64F6-274D-424E-A4F1-B595BBE234D7}"/>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2 2 2" xfId="17120" xr:uid="{CFE25503-4CA1-4BCD-B795-18BFBA36318D}"/>
    <cellStyle name="Normal 9 2 2 2 3 5 2 3" xfId="12902" xr:uid="{890D6D9B-61C9-46C4-BC55-BC53A9C239EB}"/>
    <cellStyle name="Normal 9 2 2 2 3 5 3" xfId="6533" xr:uid="{00000000-0005-0000-0000-0000A71E0000}"/>
    <cellStyle name="Normal 9 2 2 2 3 5 3 2" xfId="14975" xr:uid="{A30178E0-E661-4EAF-9838-FCBC5EA5A12E}"/>
    <cellStyle name="Normal 9 2 2 2 3 5 4" xfId="10757" xr:uid="{2C67254D-D40D-4CF7-B1BC-FE47FA12B579}"/>
    <cellStyle name="Normal 9 2 2 2 3 6" xfId="2662" xr:uid="{00000000-0005-0000-0000-0000A81E0000}"/>
    <cellStyle name="Normal 9 2 2 2 3 6 2" xfId="6946" xr:uid="{00000000-0005-0000-0000-0000A91E0000}"/>
    <cellStyle name="Normal 9 2 2 2 3 6 2 2" xfId="15388" xr:uid="{60A03C2F-7837-4635-98DE-53118526E783}"/>
    <cellStyle name="Normal 9 2 2 2 3 6 3" xfId="11170" xr:uid="{1C85E048-F8E8-49DF-B6C0-79AE7C7529CE}"/>
    <cellStyle name="Normal 9 2 2 2 3 7" xfId="4881" xr:uid="{00000000-0005-0000-0000-0000AA1E0000}"/>
    <cellStyle name="Normal 9 2 2 2 3 7 2" xfId="13323" xr:uid="{4DD0D08D-FADE-4C69-8371-922BD795976D}"/>
    <cellStyle name="Normal 9 2 2 2 3 8" xfId="9105" xr:uid="{61821974-0718-4D23-9D2A-7D74F5D6402C}"/>
    <cellStyle name="Normal 9 2 2 2 4" xfId="980" xr:uid="{00000000-0005-0000-0000-0000AB1E0000}"/>
    <cellStyle name="Normal 9 2 2 2 4 2" xfId="3213" xr:uid="{00000000-0005-0000-0000-0000AC1E0000}"/>
    <cellStyle name="Normal 9 2 2 2 4 2 2" xfId="7436" xr:uid="{00000000-0005-0000-0000-0000AD1E0000}"/>
    <cellStyle name="Normal 9 2 2 2 4 2 2 2" xfId="15878" xr:uid="{2AD0F448-0025-496C-ACB8-206E868FFBEF}"/>
    <cellStyle name="Normal 9 2 2 2 4 2 3" xfId="11660" xr:uid="{6E5B2D53-E5CC-49E0-9EC2-B12E2F615C7C}"/>
    <cellStyle name="Normal 9 2 2 2 4 3" xfId="5291" xr:uid="{00000000-0005-0000-0000-0000AE1E0000}"/>
    <cellStyle name="Normal 9 2 2 2 4 3 2" xfId="13733" xr:uid="{3F5581FF-4D8B-4853-929B-4DFEBE98C6E0}"/>
    <cellStyle name="Normal 9 2 2 2 4 4" xfId="9515" xr:uid="{8306D7F2-7439-4C02-877A-4211BBCADEBB}"/>
    <cellStyle name="Normal 9 2 2 2 5" xfId="1396" xr:uid="{00000000-0005-0000-0000-0000AF1E0000}"/>
    <cellStyle name="Normal 9 2 2 2 5 2" xfId="3626" xr:uid="{00000000-0005-0000-0000-0000B01E0000}"/>
    <cellStyle name="Normal 9 2 2 2 5 2 2" xfId="7849" xr:uid="{00000000-0005-0000-0000-0000B11E0000}"/>
    <cellStyle name="Normal 9 2 2 2 5 2 2 2" xfId="16291" xr:uid="{DA44643E-58D4-477E-A078-6723B2052D11}"/>
    <cellStyle name="Normal 9 2 2 2 5 2 3" xfId="12073" xr:uid="{9212AB73-566C-4CA9-8807-D360479B017B}"/>
    <cellStyle name="Normal 9 2 2 2 5 3" xfId="5704" xr:uid="{00000000-0005-0000-0000-0000B21E0000}"/>
    <cellStyle name="Normal 9 2 2 2 5 3 2" xfId="14146" xr:uid="{6E530237-993A-4643-9487-49A82F35E011}"/>
    <cellStyle name="Normal 9 2 2 2 5 4" xfId="9928" xr:uid="{36A822B1-0E3E-486E-9465-F73D5F8A7D3F}"/>
    <cellStyle name="Normal 9 2 2 2 6" xfId="1809" xr:uid="{00000000-0005-0000-0000-0000B31E0000}"/>
    <cellStyle name="Normal 9 2 2 2 6 2" xfId="4039" xr:uid="{00000000-0005-0000-0000-0000B41E0000}"/>
    <cellStyle name="Normal 9 2 2 2 6 2 2" xfId="8262" xr:uid="{00000000-0005-0000-0000-0000B51E0000}"/>
    <cellStyle name="Normal 9 2 2 2 6 2 2 2" xfId="16704" xr:uid="{EB990BF0-8138-4D8C-9227-B3581D9C1BD4}"/>
    <cellStyle name="Normal 9 2 2 2 6 2 3" xfId="12486" xr:uid="{2B5D9B74-1F2E-43E1-AD5B-70830A1ECBC0}"/>
    <cellStyle name="Normal 9 2 2 2 6 3" xfId="6117" xr:uid="{00000000-0005-0000-0000-0000B61E0000}"/>
    <cellStyle name="Normal 9 2 2 2 6 3 2" xfId="14559" xr:uid="{627B55B8-0658-417E-9FF2-AF71DE5A925C}"/>
    <cellStyle name="Normal 9 2 2 2 6 4" xfId="10341" xr:uid="{802FB0C7-62AF-42D4-AC61-6DEBB5233EB7}"/>
    <cellStyle name="Normal 9 2 2 2 7" xfId="2223" xr:uid="{00000000-0005-0000-0000-0000B71E0000}"/>
    <cellStyle name="Normal 9 2 2 2 7 2" xfId="4452" xr:uid="{00000000-0005-0000-0000-0000B81E0000}"/>
    <cellStyle name="Normal 9 2 2 2 7 2 2" xfId="8675" xr:uid="{00000000-0005-0000-0000-0000B91E0000}"/>
    <cellStyle name="Normal 9 2 2 2 7 2 2 2" xfId="17117" xr:uid="{046CB68A-D86A-43B7-8395-3692622ACFFA}"/>
    <cellStyle name="Normal 9 2 2 2 7 2 3" xfId="12899" xr:uid="{9D0B8E9D-5EEA-43AF-8FF5-301B2BE483E9}"/>
    <cellStyle name="Normal 9 2 2 2 7 3" xfId="6530" xr:uid="{00000000-0005-0000-0000-0000BA1E0000}"/>
    <cellStyle name="Normal 9 2 2 2 7 3 2" xfId="14972" xr:uid="{4F16870B-146B-4882-A8AD-75945C9DA107}"/>
    <cellStyle name="Normal 9 2 2 2 7 4" xfId="10754" xr:uid="{29B66907-BD25-47C4-9817-DA2CD2A908DF}"/>
    <cellStyle name="Normal 9 2 2 2 8" xfId="2659" xr:uid="{00000000-0005-0000-0000-0000BB1E0000}"/>
    <cellStyle name="Normal 9 2 2 2 8 2" xfId="6943" xr:uid="{00000000-0005-0000-0000-0000BC1E0000}"/>
    <cellStyle name="Normal 9 2 2 2 8 2 2" xfId="15385" xr:uid="{B1D802AD-4A14-4327-854D-23FB9367FFA9}"/>
    <cellStyle name="Normal 9 2 2 2 8 3" xfId="11167" xr:uid="{6B7BA7BE-347A-4435-8D02-387F0A789CED}"/>
    <cellStyle name="Normal 9 2 2 2 9" xfId="4878" xr:uid="{00000000-0005-0000-0000-0000BD1E0000}"/>
    <cellStyle name="Normal 9 2 2 2 9 2" xfId="13320" xr:uid="{F6537DDA-977D-4C1B-9EDD-7DA56A455B11}"/>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2 2 2" xfId="15883" xr:uid="{39327380-CABC-473F-AD10-C127EF867B8D}"/>
    <cellStyle name="Normal 9 2 2 3 2 2 2 3" xfId="11665" xr:uid="{2D744C96-A100-4FCB-9CDB-45A1FBDCC944}"/>
    <cellStyle name="Normal 9 2 2 3 2 2 3" xfId="5296" xr:uid="{00000000-0005-0000-0000-0000C31E0000}"/>
    <cellStyle name="Normal 9 2 2 3 2 2 3 2" xfId="13738" xr:uid="{4B0A3E61-2B0C-4238-B5E1-88AB416D2B07}"/>
    <cellStyle name="Normal 9 2 2 3 2 2 4" xfId="9520" xr:uid="{DEE7E19B-5513-46BA-8AFE-71653E32DB51}"/>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2 2 2" xfId="16296" xr:uid="{FB103D63-CB84-47CC-9E94-11789A0661AB}"/>
    <cellStyle name="Normal 9 2 2 3 2 3 2 3" xfId="12078" xr:uid="{88699DAB-A9BB-4B1F-B296-58B8EDC87509}"/>
    <cellStyle name="Normal 9 2 2 3 2 3 3" xfId="5709" xr:uid="{00000000-0005-0000-0000-0000C71E0000}"/>
    <cellStyle name="Normal 9 2 2 3 2 3 3 2" xfId="14151" xr:uid="{D98ABC36-F91F-4C25-9B86-981AFC127454}"/>
    <cellStyle name="Normal 9 2 2 3 2 3 4" xfId="9933" xr:uid="{D5C844BC-C1BF-4AD9-B191-E02D25A73DAC}"/>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2 2 2" xfId="16709" xr:uid="{0D1A9092-E36A-4EEE-859A-96A953665C37}"/>
    <cellStyle name="Normal 9 2 2 3 2 4 2 3" xfId="12491" xr:uid="{E71FE437-9683-4853-80A2-15971112B37A}"/>
    <cellStyle name="Normal 9 2 2 3 2 4 3" xfId="6122" xr:uid="{00000000-0005-0000-0000-0000CB1E0000}"/>
    <cellStyle name="Normal 9 2 2 3 2 4 3 2" xfId="14564" xr:uid="{0C22F36B-9929-4A66-9CC6-DEE6F55ECBF5}"/>
    <cellStyle name="Normal 9 2 2 3 2 4 4" xfId="10346" xr:uid="{EF0DA714-DE95-4DEB-8485-6BE3AD571DD9}"/>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2 2 2" xfId="17122" xr:uid="{A687E5DE-5E5E-4ED3-BC80-6C5CB524424F}"/>
    <cellStyle name="Normal 9 2 2 3 2 5 2 3" xfId="12904" xr:uid="{79CB715A-C343-4E92-BD05-99FA539AFB30}"/>
    <cellStyle name="Normal 9 2 2 3 2 5 3" xfId="6535" xr:uid="{00000000-0005-0000-0000-0000CF1E0000}"/>
    <cellStyle name="Normal 9 2 2 3 2 5 3 2" xfId="14977" xr:uid="{D85FF898-8D90-484C-853E-749C8E0E1C16}"/>
    <cellStyle name="Normal 9 2 2 3 2 5 4" xfId="10759" xr:uid="{57EF7B78-4DA9-4803-B20D-0A207AEDB2F6}"/>
    <cellStyle name="Normal 9 2 2 3 2 6" xfId="2664" xr:uid="{00000000-0005-0000-0000-0000D01E0000}"/>
    <cellStyle name="Normal 9 2 2 3 2 6 2" xfId="6948" xr:uid="{00000000-0005-0000-0000-0000D11E0000}"/>
    <cellStyle name="Normal 9 2 2 3 2 6 2 2" xfId="15390" xr:uid="{AADA0617-B142-46DF-81FB-AF7B78BFD088}"/>
    <cellStyle name="Normal 9 2 2 3 2 6 3" xfId="11172" xr:uid="{B17DE181-7A01-4F0F-B306-0A7C5AF8E3A6}"/>
    <cellStyle name="Normal 9 2 2 3 2 7" xfId="4883" xr:uid="{00000000-0005-0000-0000-0000D21E0000}"/>
    <cellStyle name="Normal 9 2 2 3 2 7 2" xfId="13325" xr:uid="{BB66CEBF-FBFB-4341-A93D-E8EF99D448D3}"/>
    <cellStyle name="Normal 9 2 2 3 2 8" xfId="9107" xr:uid="{8061A654-67E5-41AC-B6C4-2DA26FC3C405}"/>
    <cellStyle name="Normal 9 2 2 3 3" xfId="984" xr:uid="{00000000-0005-0000-0000-0000D31E0000}"/>
    <cellStyle name="Normal 9 2 2 3 3 2" xfId="3217" xr:uid="{00000000-0005-0000-0000-0000D41E0000}"/>
    <cellStyle name="Normal 9 2 2 3 3 2 2" xfId="7440" xr:uid="{00000000-0005-0000-0000-0000D51E0000}"/>
    <cellStyle name="Normal 9 2 2 3 3 2 2 2" xfId="15882" xr:uid="{6A232D45-3F38-41BB-9C7F-6D914EC18D52}"/>
    <cellStyle name="Normal 9 2 2 3 3 2 3" xfId="11664" xr:uid="{CF92A38B-BB2B-46DB-97AA-0C02CD09355D}"/>
    <cellStyle name="Normal 9 2 2 3 3 3" xfId="5295" xr:uid="{00000000-0005-0000-0000-0000D61E0000}"/>
    <cellStyle name="Normal 9 2 2 3 3 3 2" xfId="13737" xr:uid="{0A840C8F-C23C-4C44-A37F-BB6C2C4D53F7}"/>
    <cellStyle name="Normal 9 2 2 3 3 4" xfId="9519" xr:uid="{5825370A-37BA-46FE-BB0D-AEF1BDC94C35}"/>
    <cellStyle name="Normal 9 2 2 3 4" xfId="1400" xr:uid="{00000000-0005-0000-0000-0000D71E0000}"/>
    <cellStyle name="Normal 9 2 2 3 4 2" xfId="3630" xr:uid="{00000000-0005-0000-0000-0000D81E0000}"/>
    <cellStyle name="Normal 9 2 2 3 4 2 2" xfId="7853" xr:uid="{00000000-0005-0000-0000-0000D91E0000}"/>
    <cellStyle name="Normal 9 2 2 3 4 2 2 2" xfId="16295" xr:uid="{5A3901A4-4E28-4C97-8E49-A5482AA6A8CD}"/>
    <cellStyle name="Normal 9 2 2 3 4 2 3" xfId="12077" xr:uid="{DFC39793-56E8-453C-96F3-1855D26D3F36}"/>
    <cellStyle name="Normal 9 2 2 3 4 3" xfId="5708" xr:uid="{00000000-0005-0000-0000-0000DA1E0000}"/>
    <cellStyle name="Normal 9 2 2 3 4 3 2" xfId="14150" xr:uid="{D7E3A5B5-C673-4408-A460-6B1E29C324B4}"/>
    <cellStyle name="Normal 9 2 2 3 4 4" xfId="9932" xr:uid="{3106B479-B736-4FB2-ADAA-8A04635880B7}"/>
    <cellStyle name="Normal 9 2 2 3 5" xfId="1813" xr:uid="{00000000-0005-0000-0000-0000DB1E0000}"/>
    <cellStyle name="Normal 9 2 2 3 5 2" xfId="4043" xr:uid="{00000000-0005-0000-0000-0000DC1E0000}"/>
    <cellStyle name="Normal 9 2 2 3 5 2 2" xfId="8266" xr:uid="{00000000-0005-0000-0000-0000DD1E0000}"/>
    <cellStyle name="Normal 9 2 2 3 5 2 2 2" xfId="16708" xr:uid="{3E7DBD8D-AC32-49CF-828F-273DEAA5F8C8}"/>
    <cellStyle name="Normal 9 2 2 3 5 2 3" xfId="12490" xr:uid="{858BA630-74AE-4B0F-9959-441129E3F9C5}"/>
    <cellStyle name="Normal 9 2 2 3 5 3" xfId="6121" xr:uid="{00000000-0005-0000-0000-0000DE1E0000}"/>
    <cellStyle name="Normal 9 2 2 3 5 3 2" xfId="14563" xr:uid="{A7B2F60A-A17F-47C4-8EA7-05DF293ADBD1}"/>
    <cellStyle name="Normal 9 2 2 3 5 4" xfId="10345" xr:uid="{1C5705A4-2EAC-4D85-9C06-0200B5F56170}"/>
    <cellStyle name="Normal 9 2 2 3 6" xfId="2227" xr:uid="{00000000-0005-0000-0000-0000DF1E0000}"/>
    <cellStyle name="Normal 9 2 2 3 6 2" xfId="4456" xr:uid="{00000000-0005-0000-0000-0000E01E0000}"/>
    <cellStyle name="Normal 9 2 2 3 6 2 2" xfId="8679" xr:uid="{00000000-0005-0000-0000-0000E11E0000}"/>
    <cellStyle name="Normal 9 2 2 3 6 2 2 2" xfId="17121" xr:uid="{CBFC5FD6-3E1A-4BE4-A591-6FA73E3EEA40}"/>
    <cellStyle name="Normal 9 2 2 3 6 2 3" xfId="12903" xr:uid="{FACC0B90-9461-435E-B9A3-7566B4C01A98}"/>
    <cellStyle name="Normal 9 2 2 3 6 3" xfId="6534" xr:uid="{00000000-0005-0000-0000-0000E21E0000}"/>
    <cellStyle name="Normal 9 2 2 3 6 3 2" xfId="14976" xr:uid="{3A1B9A9E-51F7-41C9-9290-A7B7E451F684}"/>
    <cellStyle name="Normal 9 2 2 3 6 4" xfId="10758" xr:uid="{0F84A565-E6C4-4589-B0F3-BB65325C4DBC}"/>
    <cellStyle name="Normal 9 2 2 3 7" xfId="2663" xr:uid="{00000000-0005-0000-0000-0000E31E0000}"/>
    <cellStyle name="Normal 9 2 2 3 7 2" xfId="6947" xr:uid="{00000000-0005-0000-0000-0000E41E0000}"/>
    <cellStyle name="Normal 9 2 2 3 7 2 2" xfId="15389" xr:uid="{B123A0F1-FBD2-42AB-A467-C744F800CD69}"/>
    <cellStyle name="Normal 9 2 2 3 7 3" xfId="11171" xr:uid="{39C880C0-A18E-459C-A88C-2806AA662457}"/>
    <cellStyle name="Normal 9 2 2 3 8" xfId="4882" xr:uid="{00000000-0005-0000-0000-0000E51E0000}"/>
    <cellStyle name="Normal 9 2 2 3 8 2" xfId="13324" xr:uid="{2803F8F3-AFB1-42C8-9EED-C236FA97897A}"/>
    <cellStyle name="Normal 9 2 2 3 9" xfId="9106" xr:uid="{24EC0B7C-29AA-4BD7-81F4-B7529F1638DA}"/>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2 2 2" xfId="15884" xr:uid="{3192D4AE-9C92-4B8B-ABA4-45B3726249C8}"/>
    <cellStyle name="Normal 9 2 2 4 2 2 3" xfId="11666" xr:uid="{768E890A-EFDB-4D3E-A634-69C95DF048A4}"/>
    <cellStyle name="Normal 9 2 2 4 2 3" xfId="5297" xr:uid="{00000000-0005-0000-0000-0000EA1E0000}"/>
    <cellStyle name="Normal 9 2 2 4 2 3 2" xfId="13739" xr:uid="{973BB321-9C62-46AA-8F58-8BE281023AB7}"/>
    <cellStyle name="Normal 9 2 2 4 2 4" xfId="9521" xr:uid="{F85450AC-722E-4A64-A6D0-43C0D7AFE764}"/>
    <cellStyle name="Normal 9 2 2 4 3" xfId="1402" xr:uid="{00000000-0005-0000-0000-0000EB1E0000}"/>
    <cellStyle name="Normal 9 2 2 4 3 2" xfId="3632" xr:uid="{00000000-0005-0000-0000-0000EC1E0000}"/>
    <cellStyle name="Normal 9 2 2 4 3 2 2" xfId="7855" xr:uid="{00000000-0005-0000-0000-0000ED1E0000}"/>
    <cellStyle name="Normal 9 2 2 4 3 2 2 2" xfId="16297" xr:uid="{48C6A42E-C6C2-4A01-90C8-2742CE6D979C}"/>
    <cellStyle name="Normal 9 2 2 4 3 2 3" xfId="12079" xr:uid="{6F81634E-632D-43C8-8E5B-782DFC66FBCD}"/>
    <cellStyle name="Normal 9 2 2 4 3 3" xfId="5710" xr:uid="{00000000-0005-0000-0000-0000EE1E0000}"/>
    <cellStyle name="Normal 9 2 2 4 3 3 2" xfId="14152" xr:uid="{D2F00F7E-A054-44EF-9B0B-A9DDEF7AAFB9}"/>
    <cellStyle name="Normal 9 2 2 4 3 4" xfId="9934" xr:uid="{4425E6FC-17CB-40D0-A068-B61C7DA2C2E6}"/>
    <cellStyle name="Normal 9 2 2 4 4" xfId="1815" xr:uid="{00000000-0005-0000-0000-0000EF1E0000}"/>
    <cellStyle name="Normal 9 2 2 4 4 2" xfId="4045" xr:uid="{00000000-0005-0000-0000-0000F01E0000}"/>
    <cellStyle name="Normal 9 2 2 4 4 2 2" xfId="8268" xr:uid="{00000000-0005-0000-0000-0000F11E0000}"/>
    <cellStyle name="Normal 9 2 2 4 4 2 2 2" xfId="16710" xr:uid="{8324E52F-46FD-4946-9B63-5C9E984B7314}"/>
    <cellStyle name="Normal 9 2 2 4 4 2 3" xfId="12492" xr:uid="{A79A94E8-A94C-44BB-A275-503A9318322C}"/>
    <cellStyle name="Normal 9 2 2 4 4 3" xfId="6123" xr:uid="{00000000-0005-0000-0000-0000F21E0000}"/>
    <cellStyle name="Normal 9 2 2 4 4 3 2" xfId="14565" xr:uid="{B3B5E41D-E6F9-482E-9D20-B2723A869F4C}"/>
    <cellStyle name="Normal 9 2 2 4 4 4" xfId="10347" xr:uid="{21B16F34-D6BB-481A-AD0E-A3295EFB3A5E}"/>
    <cellStyle name="Normal 9 2 2 4 5" xfId="2229" xr:uid="{00000000-0005-0000-0000-0000F31E0000}"/>
    <cellStyle name="Normal 9 2 2 4 5 2" xfId="4458" xr:uid="{00000000-0005-0000-0000-0000F41E0000}"/>
    <cellStyle name="Normal 9 2 2 4 5 2 2" xfId="8681" xr:uid="{00000000-0005-0000-0000-0000F51E0000}"/>
    <cellStyle name="Normal 9 2 2 4 5 2 2 2" xfId="17123" xr:uid="{8FBE31C2-190B-41BB-A898-EC943DD26128}"/>
    <cellStyle name="Normal 9 2 2 4 5 2 3" xfId="12905" xr:uid="{AA7A167D-5BCF-4B78-A575-B46371BB539E}"/>
    <cellStyle name="Normal 9 2 2 4 5 3" xfId="6536" xr:uid="{00000000-0005-0000-0000-0000F61E0000}"/>
    <cellStyle name="Normal 9 2 2 4 5 3 2" xfId="14978" xr:uid="{4ED7D9AD-C5E5-491E-BB3D-6A16864E247B}"/>
    <cellStyle name="Normal 9 2 2 4 5 4" xfId="10760" xr:uid="{DF29C952-0E49-49A4-AE92-0DCBABDD128E}"/>
    <cellStyle name="Normal 9 2 2 4 6" xfId="2665" xr:uid="{00000000-0005-0000-0000-0000F71E0000}"/>
    <cellStyle name="Normal 9 2 2 4 6 2" xfId="6949" xr:uid="{00000000-0005-0000-0000-0000F81E0000}"/>
    <cellStyle name="Normal 9 2 2 4 6 2 2" xfId="15391" xr:uid="{E368EDEA-6F02-4E69-97A4-AB396D4DE19C}"/>
    <cellStyle name="Normal 9 2 2 4 6 3" xfId="11173" xr:uid="{BA1A3954-5535-4E1F-A1E4-3122A0D79FC5}"/>
    <cellStyle name="Normal 9 2 2 4 7" xfId="4884" xr:uid="{00000000-0005-0000-0000-0000F91E0000}"/>
    <cellStyle name="Normal 9 2 2 4 7 2" xfId="13326" xr:uid="{EB2A1022-CE61-4A86-B2BD-A3641A549F5B}"/>
    <cellStyle name="Normal 9 2 2 4 8" xfId="9108" xr:uid="{3CE73AC5-3A01-4943-906B-2EDCA5A29BB0}"/>
    <cellStyle name="Normal 9 2 2 5" xfId="979" xr:uid="{00000000-0005-0000-0000-0000FA1E0000}"/>
    <cellStyle name="Normal 9 2 2 5 2" xfId="3212" xr:uid="{00000000-0005-0000-0000-0000FB1E0000}"/>
    <cellStyle name="Normal 9 2 2 5 2 2" xfId="7435" xr:uid="{00000000-0005-0000-0000-0000FC1E0000}"/>
    <cellStyle name="Normal 9 2 2 5 2 2 2" xfId="15877" xr:uid="{D2DA9D86-D0CE-46F6-A84C-1C77F27C97F6}"/>
    <cellStyle name="Normal 9 2 2 5 2 3" xfId="11659" xr:uid="{C931CFFD-E7B7-4CDE-9542-37E9DF01F158}"/>
    <cellStyle name="Normal 9 2 2 5 3" xfId="5290" xr:uid="{00000000-0005-0000-0000-0000FD1E0000}"/>
    <cellStyle name="Normal 9 2 2 5 3 2" xfId="13732" xr:uid="{5FADB94D-02C7-4AC8-BA30-DAA9DAB6B395}"/>
    <cellStyle name="Normal 9 2 2 5 4" xfId="9514" xr:uid="{220DEA4E-88AE-4FB7-BF9B-9E254351D264}"/>
    <cellStyle name="Normal 9 2 2 6" xfId="1395" xr:uid="{00000000-0005-0000-0000-0000FE1E0000}"/>
    <cellStyle name="Normal 9 2 2 6 2" xfId="3625" xr:uid="{00000000-0005-0000-0000-0000FF1E0000}"/>
    <cellStyle name="Normal 9 2 2 6 2 2" xfId="7848" xr:uid="{00000000-0005-0000-0000-0000001F0000}"/>
    <cellStyle name="Normal 9 2 2 6 2 2 2" xfId="16290" xr:uid="{65F4CF94-E651-47E8-95CA-D991FA083F29}"/>
    <cellStyle name="Normal 9 2 2 6 2 3" xfId="12072" xr:uid="{682F5952-17F2-409F-BC41-A0C63F3B6467}"/>
    <cellStyle name="Normal 9 2 2 6 3" xfId="5703" xr:uid="{00000000-0005-0000-0000-0000011F0000}"/>
    <cellStyle name="Normal 9 2 2 6 3 2" xfId="14145" xr:uid="{72DD76A2-1127-407E-AFF7-45B49B85C75A}"/>
    <cellStyle name="Normal 9 2 2 6 4" xfId="9927" xr:uid="{CCB6B301-3A4A-4DB5-AE4A-573F8F07AE12}"/>
    <cellStyle name="Normal 9 2 2 7" xfId="1808" xr:uid="{00000000-0005-0000-0000-0000021F0000}"/>
    <cellStyle name="Normal 9 2 2 7 2" xfId="4038" xr:uid="{00000000-0005-0000-0000-0000031F0000}"/>
    <cellStyle name="Normal 9 2 2 7 2 2" xfId="8261" xr:uid="{00000000-0005-0000-0000-0000041F0000}"/>
    <cellStyle name="Normal 9 2 2 7 2 2 2" xfId="16703" xr:uid="{11287DA8-2891-4F3D-8494-D414B68EC06F}"/>
    <cellStyle name="Normal 9 2 2 7 2 3" xfId="12485" xr:uid="{0A0A1E92-BFC3-4D51-BCC1-F8135BA34097}"/>
    <cellStyle name="Normal 9 2 2 7 3" xfId="6116" xr:uid="{00000000-0005-0000-0000-0000051F0000}"/>
    <cellStyle name="Normal 9 2 2 7 3 2" xfId="14558" xr:uid="{F5F43496-E9AF-468A-AF2C-2DEF66A67DF7}"/>
    <cellStyle name="Normal 9 2 2 7 4" xfId="10340" xr:uid="{1850A397-8554-4DE7-9D7B-9BC31C1894FC}"/>
    <cellStyle name="Normal 9 2 2 8" xfId="2222" xr:uid="{00000000-0005-0000-0000-0000061F0000}"/>
    <cellStyle name="Normal 9 2 2 8 2" xfId="4451" xr:uid="{00000000-0005-0000-0000-0000071F0000}"/>
    <cellStyle name="Normal 9 2 2 8 2 2" xfId="8674" xr:uid="{00000000-0005-0000-0000-0000081F0000}"/>
    <cellStyle name="Normal 9 2 2 8 2 2 2" xfId="17116" xr:uid="{F91DA83D-BCB2-469E-81BD-F9D8707BD254}"/>
    <cellStyle name="Normal 9 2 2 8 2 3" xfId="12898" xr:uid="{506F58CD-71AE-4333-B473-0D04A69B85DF}"/>
    <cellStyle name="Normal 9 2 2 8 3" xfId="6529" xr:uid="{00000000-0005-0000-0000-0000091F0000}"/>
    <cellStyle name="Normal 9 2 2 8 3 2" xfId="14971" xr:uid="{46DF2825-6851-4AF5-A9B1-CE3388D53CE6}"/>
    <cellStyle name="Normal 9 2 2 8 4" xfId="10753" xr:uid="{BB6A7F1B-F6B4-4A8A-9B31-AD93AEA8A493}"/>
    <cellStyle name="Normal 9 2 2 9" xfId="2658" xr:uid="{00000000-0005-0000-0000-00000A1F0000}"/>
    <cellStyle name="Normal 9 2 2 9 2" xfId="6942" xr:uid="{00000000-0005-0000-0000-00000B1F0000}"/>
    <cellStyle name="Normal 9 2 2 9 2 2" xfId="15384" xr:uid="{36DA566B-3D20-4E45-BA29-202CE6D1F98A}"/>
    <cellStyle name="Normal 9 2 2 9 3" xfId="11166" xr:uid="{0207E5D9-F1F6-44EA-A8BD-7C0E07BBEAD9}"/>
    <cellStyle name="Normal 9 2 3" xfId="520" xr:uid="{00000000-0005-0000-0000-00000C1F0000}"/>
    <cellStyle name="Normal 9 2 3 10" xfId="9109" xr:uid="{32B0CD76-5557-445A-813E-CD5CB09A9F2F}"/>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2 2 2" xfId="15887" xr:uid="{503F2DA9-75D3-491F-AD33-E1BDFD1EA40E}"/>
    <cellStyle name="Normal 9 2 3 2 2 2 2 3" xfId="11669" xr:uid="{2B0DD994-18F7-4E63-B426-A5D12F097CAF}"/>
    <cellStyle name="Normal 9 2 3 2 2 2 3" xfId="5300" xr:uid="{00000000-0005-0000-0000-0000121F0000}"/>
    <cellStyle name="Normal 9 2 3 2 2 2 3 2" xfId="13742" xr:uid="{C65A6038-9F0C-47FC-A44E-371945DA291D}"/>
    <cellStyle name="Normal 9 2 3 2 2 2 4" xfId="9524" xr:uid="{139E5377-54CA-47AD-9939-C2070132B9B8}"/>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2 2 2" xfId="16300" xr:uid="{5BC71504-80A4-4C35-8D68-F25AB7309DD7}"/>
    <cellStyle name="Normal 9 2 3 2 2 3 2 3" xfId="12082" xr:uid="{6271A366-21D7-40FC-B7A7-DF996585A72E}"/>
    <cellStyle name="Normal 9 2 3 2 2 3 3" xfId="5713" xr:uid="{00000000-0005-0000-0000-0000161F0000}"/>
    <cellStyle name="Normal 9 2 3 2 2 3 3 2" xfId="14155" xr:uid="{7A0B2470-47D4-427A-A113-D11166E255BD}"/>
    <cellStyle name="Normal 9 2 3 2 2 3 4" xfId="9937" xr:uid="{DBFFB92C-ED9D-4417-A2FD-640403A1A29C}"/>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2 2 2" xfId="16713" xr:uid="{A3E9C11A-E08F-4E17-91FD-1C6DDCA70012}"/>
    <cellStyle name="Normal 9 2 3 2 2 4 2 3" xfId="12495" xr:uid="{C98B63E0-8ED2-4CA4-B118-873788F3503A}"/>
    <cellStyle name="Normal 9 2 3 2 2 4 3" xfId="6126" xr:uid="{00000000-0005-0000-0000-00001A1F0000}"/>
    <cellStyle name="Normal 9 2 3 2 2 4 3 2" xfId="14568" xr:uid="{49EA13DE-9FAF-4177-B6C9-43801CFA9079}"/>
    <cellStyle name="Normal 9 2 3 2 2 4 4" xfId="10350" xr:uid="{05388AC7-CCA2-406E-8394-3F8C25F65094}"/>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2 2 2" xfId="17126" xr:uid="{C2A74E60-BCDB-46B3-BEFD-A6AFF717A996}"/>
    <cellStyle name="Normal 9 2 3 2 2 5 2 3" xfId="12908" xr:uid="{4F6D61ED-F5B0-4A0D-A429-02FEF5C82F52}"/>
    <cellStyle name="Normal 9 2 3 2 2 5 3" xfId="6539" xr:uid="{00000000-0005-0000-0000-00001E1F0000}"/>
    <cellStyle name="Normal 9 2 3 2 2 5 3 2" xfId="14981" xr:uid="{49821E30-EE1E-4620-BF97-547087110809}"/>
    <cellStyle name="Normal 9 2 3 2 2 5 4" xfId="10763" xr:uid="{FD0852DB-D90E-43AC-9B6D-702353718F1D}"/>
    <cellStyle name="Normal 9 2 3 2 2 6" xfId="2668" xr:uid="{00000000-0005-0000-0000-00001F1F0000}"/>
    <cellStyle name="Normal 9 2 3 2 2 6 2" xfId="6952" xr:uid="{00000000-0005-0000-0000-0000201F0000}"/>
    <cellStyle name="Normal 9 2 3 2 2 6 2 2" xfId="15394" xr:uid="{005274BD-A94F-4171-8999-E55EF02DDB8D}"/>
    <cellStyle name="Normal 9 2 3 2 2 6 3" xfId="11176" xr:uid="{CCE031EE-C549-491A-9C3D-8B7198B59BD1}"/>
    <cellStyle name="Normal 9 2 3 2 2 7" xfId="4887" xr:uid="{00000000-0005-0000-0000-0000211F0000}"/>
    <cellStyle name="Normal 9 2 3 2 2 7 2" xfId="13329" xr:uid="{6305EC8B-6BE6-4117-8FBC-1B31B98A52B3}"/>
    <cellStyle name="Normal 9 2 3 2 2 8" xfId="9111" xr:uid="{C37F50FB-F04E-44CE-996E-029D10C67749}"/>
    <cellStyle name="Normal 9 2 3 2 3" xfId="988" xr:uid="{00000000-0005-0000-0000-0000221F0000}"/>
    <cellStyle name="Normal 9 2 3 2 3 2" xfId="3221" xr:uid="{00000000-0005-0000-0000-0000231F0000}"/>
    <cellStyle name="Normal 9 2 3 2 3 2 2" xfId="7444" xr:uid="{00000000-0005-0000-0000-0000241F0000}"/>
    <cellStyle name="Normal 9 2 3 2 3 2 2 2" xfId="15886" xr:uid="{BDCE3BFE-7842-4EAC-AAD4-5EC512E52E24}"/>
    <cellStyle name="Normal 9 2 3 2 3 2 3" xfId="11668" xr:uid="{3BB5CDB1-0A4D-416E-9EA1-1FECF6A42D03}"/>
    <cellStyle name="Normal 9 2 3 2 3 3" xfId="5299" xr:uid="{00000000-0005-0000-0000-0000251F0000}"/>
    <cellStyle name="Normal 9 2 3 2 3 3 2" xfId="13741" xr:uid="{1783754A-1831-4047-A505-A7CADE1E2E3B}"/>
    <cellStyle name="Normal 9 2 3 2 3 4" xfId="9523" xr:uid="{409120E5-711A-4051-B2F0-223142DE1941}"/>
    <cellStyle name="Normal 9 2 3 2 4" xfId="1404" xr:uid="{00000000-0005-0000-0000-0000261F0000}"/>
    <cellStyle name="Normal 9 2 3 2 4 2" xfId="3634" xr:uid="{00000000-0005-0000-0000-0000271F0000}"/>
    <cellStyle name="Normal 9 2 3 2 4 2 2" xfId="7857" xr:uid="{00000000-0005-0000-0000-0000281F0000}"/>
    <cellStyle name="Normal 9 2 3 2 4 2 2 2" xfId="16299" xr:uid="{4CEF86DB-3A3C-45A5-ADCB-858D0694DA0B}"/>
    <cellStyle name="Normal 9 2 3 2 4 2 3" xfId="12081" xr:uid="{6226BAEF-B70D-47BA-AE0C-16CF34730425}"/>
    <cellStyle name="Normal 9 2 3 2 4 3" xfId="5712" xr:uid="{00000000-0005-0000-0000-0000291F0000}"/>
    <cellStyle name="Normal 9 2 3 2 4 3 2" xfId="14154" xr:uid="{F2D7A8BE-6DDD-49CE-A92F-907CCBBCFF4F}"/>
    <cellStyle name="Normal 9 2 3 2 4 4" xfId="9936" xr:uid="{1EEC8889-1310-4BF9-911A-8B1CBC2C8565}"/>
    <cellStyle name="Normal 9 2 3 2 5" xfId="1817" xr:uid="{00000000-0005-0000-0000-00002A1F0000}"/>
    <cellStyle name="Normal 9 2 3 2 5 2" xfId="4047" xr:uid="{00000000-0005-0000-0000-00002B1F0000}"/>
    <cellStyle name="Normal 9 2 3 2 5 2 2" xfId="8270" xr:uid="{00000000-0005-0000-0000-00002C1F0000}"/>
    <cellStyle name="Normal 9 2 3 2 5 2 2 2" xfId="16712" xr:uid="{41AA0604-5DC8-4401-8583-6EB34AB92C28}"/>
    <cellStyle name="Normal 9 2 3 2 5 2 3" xfId="12494" xr:uid="{A5384CDD-5D45-4AFE-AC3F-813DB219F197}"/>
    <cellStyle name="Normal 9 2 3 2 5 3" xfId="6125" xr:uid="{00000000-0005-0000-0000-00002D1F0000}"/>
    <cellStyle name="Normal 9 2 3 2 5 3 2" xfId="14567" xr:uid="{AB19E163-7B1E-42DD-A7E3-9B18527F75FD}"/>
    <cellStyle name="Normal 9 2 3 2 5 4" xfId="10349" xr:uid="{FAB9D99D-5E90-407D-8AF8-17D3EBDBB318}"/>
    <cellStyle name="Normal 9 2 3 2 6" xfId="2231" xr:uid="{00000000-0005-0000-0000-00002E1F0000}"/>
    <cellStyle name="Normal 9 2 3 2 6 2" xfId="4460" xr:uid="{00000000-0005-0000-0000-00002F1F0000}"/>
    <cellStyle name="Normal 9 2 3 2 6 2 2" xfId="8683" xr:uid="{00000000-0005-0000-0000-0000301F0000}"/>
    <cellStyle name="Normal 9 2 3 2 6 2 2 2" xfId="17125" xr:uid="{1B2EFDD4-BEDD-4877-9C07-652CD058AC5E}"/>
    <cellStyle name="Normal 9 2 3 2 6 2 3" xfId="12907" xr:uid="{FDEB9BE1-EFE7-4371-9EB0-C49EE59E1D29}"/>
    <cellStyle name="Normal 9 2 3 2 6 3" xfId="6538" xr:uid="{00000000-0005-0000-0000-0000311F0000}"/>
    <cellStyle name="Normal 9 2 3 2 6 3 2" xfId="14980" xr:uid="{AD66DF48-4489-477E-B1D2-A5A52D906BA9}"/>
    <cellStyle name="Normal 9 2 3 2 6 4" xfId="10762" xr:uid="{BE4E4956-FB24-4501-A971-50377928D9E1}"/>
    <cellStyle name="Normal 9 2 3 2 7" xfId="2667" xr:uid="{00000000-0005-0000-0000-0000321F0000}"/>
    <cellStyle name="Normal 9 2 3 2 7 2" xfId="6951" xr:uid="{00000000-0005-0000-0000-0000331F0000}"/>
    <cellStyle name="Normal 9 2 3 2 7 2 2" xfId="15393" xr:uid="{AE631706-C6C8-415B-B48E-A5F75E905597}"/>
    <cellStyle name="Normal 9 2 3 2 7 3" xfId="11175" xr:uid="{1AAEAE8F-076F-424B-8234-6C15BC86BA79}"/>
    <cellStyle name="Normal 9 2 3 2 8" xfId="4886" xr:uid="{00000000-0005-0000-0000-0000341F0000}"/>
    <cellStyle name="Normal 9 2 3 2 8 2" xfId="13328" xr:uid="{AE17440E-FC1D-4CE5-B265-1EE0937BACA8}"/>
    <cellStyle name="Normal 9 2 3 2 9" xfId="9110" xr:uid="{5221E764-5535-4D4C-A492-FDC5FF33AC13}"/>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2 2 2" xfId="15888" xr:uid="{3D72CEE5-754D-4FA5-A919-666A091896E0}"/>
    <cellStyle name="Normal 9 2 3 3 2 2 3" xfId="11670" xr:uid="{294EF66A-B582-4744-84CD-A8CE028D8A91}"/>
    <cellStyle name="Normal 9 2 3 3 2 3" xfId="5301" xr:uid="{00000000-0005-0000-0000-0000391F0000}"/>
    <cellStyle name="Normal 9 2 3 3 2 3 2" xfId="13743" xr:uid="{3900C361-FD8D-46A6-AB36-C24EA088976C}"/>
    <cellStyle name="Normal 9 2 3 3 2 4" xfId="9525" xr:uid="{39EE7AC5-FCE7-46EA-9537-93C9AD2A5405}"/>
    <cellStyle name="Normal 9 2 3 3 3" xfId="1406" xr:uid="{00000000-0005-0000-0000-00003A1F0000}"/>
    <cellStyle name="Normal 9 2 3 3 3 2" xfId="3636" xr:uid="{00000000-0005-0000-0000-00003B1F0000}"/>
    <cellStyle name="Normal 9 2 3 3 3 2 2" xfId="7859" xr:uid="{00000000-0005-0000-0000-00003C1F0000}"/>
    <cellStyle name="Normal 9 2 3 3 3 2 2 2" xfId="16301" xr:uid="{8FB8EE71-0962-4845-B845-B1D457BB019E}"/>
    <cellStyle name="Normal 9 2 3 3 3 2 3" xfId="12083" xr:uid="{07B52804-3A0C-4539-B93E-A9BEB8E737BD}"/>
    <cellStyle name="Normal 9 2 3 3 3 3" xfId="5714" xr:uid="{00000000-0005-0000-0000-00003D1F0000}"/>
    <cellStyle name="Normal 9 2 3 3 3 3 2" xfId="14156" xr:uid="{7EA02CB3-2DA1-47C2-9A09-2EBFD112DE26}"/>
    <cellStyle name="Normal 9 2 3 3 3 4" xfId="9938" xr:uid="{BCB899D9-E760-4DF9-BE52-D5E70529828F}"/>
    <cellStyle name="Normal 9 2 3 3 4" xfId="1819" xr:uid="{00000000-0005-0000-0000-00003E1F0000}"/>
    <cellStyle name="Normal 9 2 3 3 4 2" xfId="4049" xr:uid="{00000000-0005-0000-0000-00003F1F0000}"/>
    <cellStyle name="Normal 9 2 3 3 4 2 2" xfId="8272" xr:uid="{00000000-0005-0000-0000-0000401F0000}"/>
    <cellStyle name="Normal 9 2 3 3 4 2 2 2" xfId="16714" xr:uid="{64D43922-5172-4133-840D-788DBE855C1D}"/>
    <cellStyle name="Normal 9 2 3 3 4 2 3" xfId="12496" xr:uid="{FEDCC617-CE4C-46CD-BB8E-58584C623ACB}"/>
    <cellStyle name="Normal 9 2 3 3 4 3" xfId="6127" xr:uid="{00000000-0005-0000-0000-0000411F0000}"/>
    <cellStyle name="Normal 9 2 3 3 4 3 2" xfId="14569" xr:uid="{6286FF07-FAE7-44F0-B5CE-AF555439274B}"/>
    <cellStyle name="Normal 9 2 3 3 4 4" xfId="10351" xr:uid="{94F41B0C-68F3-4C54-A1FB-60CCAFE92875}"/>
    <cellStyle name="Normal 9 2 3 3 5" xfId="2233" xr:uid="{00000000-0005-0000-0000-0000421F0000}"/>
    <cellStyle name="Normal 9 2 3 3 5 2" xfId="4462" xr:uid="{00000000-0005-0000-0000-0000431F0000}"/>
    <cellStyle name="Normal 9 2 3 3 5 2 2" xfId="8685" xr:uid="{00000000-0005-0000-0000-0000441F0000}"/>
    <cellStyle name="Normal 9 2 3 3 5 2 2 2" xfId="17127" xr:uid="{03D06341-5D6D-48C4-8162-381C168784E9}"/>
    <cellStyle name="Normal 9 2 3 3 5 2 3" xfId="12909" xr:uid="{F753686E-9D4E-43A2-BB38-62155563C720}"/>
    <cellStyle name="Normal 9 2 3 3 5 3" xfId="6540" xr:uid="{00000000-0005-0000-0000-0000451F0000}"/>
    <cellStyle name="Normal 9 2 3 3 5 3 2" xfId="14982" xr:uid="{DECBAD55-74A0-45B5-80A8-D9A6BFE14051}"/>
    <cellStyle name="Normal 9 2 3 3 5 4" xfId="10764" xr:uid="{49110B87-80B0-4557-BFB1-773034F11FF9}"/>
    <cellStyle name="Normal 9 2 3 3 6" xfId="2669" xr:uid="{00000000-0005-0000-0000-0000461F0000}"/>
    <cellStyle name="Normal 9 2 3 3 6 2" xfId="6953" xr:uid="{00000000-0005-0000-0000-0000471F0000}"/>
    <cellStyle name="Normal 9 2 3 3 6 2 2" xfId="15395" xr:uid="{571E4F78-A51E-40A4-8C85-35A6E2BA8DEA}"/>
    <cellStyle name="Normal 9 2 3 3 6 3" xfId="11177" xr:uid="{8471475F-112D-4A6E-84E2-CAA090E691BF}"/>
    <cellStyle name="Normal 9 2 3 3 7" xfId="4888" xr:uid="{00000000-0005-0000-0000-0000481F0000}"/>
    <cellStyle name="Normal 9 2 3 3 7 2" xfId="13330" xr:uid="{A139ABB8-BFDC-4DBF-B539-FDEF43188803}"/>
    <cellStyle name="Normal 9 2 3 3 8" xfId="9112" xr:uid="{BE2706D3-868E-4BEF-9658-921E69882213}"/>
    <cellStyle name="Normal 9 2 3 4" xfId="987" xr:uid="{00000000-0005-0000-0000-0000491F0000}"/>
    <cellStyle name="Normal 9 2 3 4 2" xfId="3220" xr:uid="{00000000-0005-0000-0000-00004A1F0000}"/>
    <cellStyle name="Normal 9 2 3 4 2 2" xfId="7443" xr:uid="{00000000-0005-0000-0000-00004B1F0000}"/>
    <cellStyle name="Normal 9 2 3 4 2 2 2" xfId="15885" xr:uid="{7DEF9B5D-C296-4E75-8F84-BE430D60610C}"/>
    <cellStyle name="Normal 9 2 3 4 2 3" xfId="11667" xr:uid="{1BC9A268-D3C9-4C79-B6AA-4F1097C557B3}"/>
    <cellStyle name="Normal 9 2 3 4 3" xfId="5298" xr:uid="{00000000-0005-0000-0000-00004C1F0000}"/>
    <cellStyle name="Normal 9 2 3 4 3 2" xfId="13740" xr:uid="{09EF7AA3-738E-4B63-9833-7370426161D7}"/>
    <cellStyle name="Normal 9 2 3 4 4" xfId="9522" xr:uid="{E2AA9612-D603-4AC9-B673-B2A3D0FDEDC7}"/>
    <cellStyle name="Normal 9 2 3 5" xfId="1403" xr:uid="{00000000-0005-0000-0000-00004D1F0000}"/>
    <cellStyle name="Normal 9 2 3 5 2" xfId="3633" xr:uid="{00000000-0005-0000-0000-00004E1F0000}"/>
    <cellStyle name="Normal 9 2 3 5 2 2" xfId="7856" xr:uid="{00000000-0005-0000-0000-00004F1F0000}"/>
    <cellStyle name="Normal 9 2 3 5 2 2 2" xfId="16298" xr:uid="{1991F5CE-4525-4217-A3D0-A64F9717027B}"/>
    <cellStyle name="Normal 9 2 3 5 2 3" xfId="12080" xr:uid="{8F06D3EC-E25C-449A-AE97-639DB46BED55}"/>
    <cellStyle name="Normal 9 2 3 5 3" xfId="5711" xr:uid="{00000000-0005-0000-0000-0000501F0000}"/>
    <cellStyle name="Normal 9 2 3 5 3 2" xfId="14153" xr:uid="{57788F02-71FF-47BB-B1DD-8471E131E26A}"/>
    <cellStyle name="Normal 9 2 3 5 4" xfId="9935" xr:uid="{8D736DFB-62F8-409F-BB50-825E96F72EE2}"/>
    <cellStyle name="Normal 9 2 3 6" xfId="1816" xr:uid="{00000000-0005-0000-0000-0000511F0000}"/>
    <cellStyle name="Normal 9 2 3 6 2" xfId="4046" xr:uid="{00000000-0005-0000-0000-0000521F0000}"/>
    <cellStyle name="Normal 9 2 3 6 2 2" xfId="8269" xr:uid="{00000000-0005-0000-0000-0000531F0000}"/>
    <cellStyle name="Normal 9 2 3 6 2 2 2" xfId="16711" xr:uid="{CF33E105-E073-4AC0-8D75-EC4A1E5CA802}"/>
    <cellStyle name="Normal 9 2 3 6 2 3" xfId="12493" xr:uid="{72D74CD9-C8CB-4974-AAE2-B9FFA826AC57}"/>
    <cellStyle name="Normal 9 2 3 6 3" xfId="6124" xr:uid="{00000000-0005-0000-0000-0000541F0000}"/>
    <cellStyle name="Normal 9 2 3 6 3 2" xfId="14566" xr:uid="{DA73B040-C75D-4CB2-8DD4-FF45D0CDDEAA}"/>
    <cellStyle name="Normal 9 2 3 6 4" xfId="10348" xr:uid="{8A07BE35-7AEF-40C8-988C-0ADB64F5C3C6}"/>
    <cellStyle name="Normal 9 2 3 7" xfId="2230" xr:uid="{00000000-0005-0000-0000-0000551F0000}"/>
    <cellStyle name="Normal 9 2 3 7 2" xfId="4459" xr:uid="{00000000-0005-0000-0000-0000561F0000}"/>
    <cellStyle name="Normal 9 2 3 7 2 2" xfId="8682" xr:uid="{00000000-0005-0000-0000-0000571F0000}"/>
    <cellStyle name="Normal 9 2 3 7 2 2 2" xfId="17124" xr:uid="{08C142BA-F77A-4528-A75F-08D512408F2F}"/>
    <cellStyle name="Normal 9 2 3 7 2 3" xfId="12906" xr:uid="{2F94C267-75F2-4291-A166-B23EA839BB40}"/>
    <cellStyle name="Normal 9 2 3 7 3" xfId="6537" xr:uid="{00000000-0005-0000-0000-0000581F0000}"/>
    <cellStyle name="Normal 9 2 3 7 3 2" xfId="14979" xr:uid="{DA755AD4-47B1-4358-A6B1-07DA914EFDAE}"/>
    <cellStyle name="Normal 9 2 3 7 4" xfId="10761" xr:uid="{83EE77E8-C1D8-4CCC-8D3B-5CE2DDE98DAC}"/>
    <cellStyle name="Normal 9 2 3 8" xfId="2666" xr:uid="{00000000-0005-0000-0000-0000591F0000}"/>
    <cellStyle name="Normal 9 2 3 8 2" xfId="6950" xr:uid="{00000000-0005-0000-0000-00005A1F0000}"/>
    <cellStyle name="Normal 9 2 3 8 2 2" xfId="15392" xr:uid="{879459C0-4BAA-4842-BC37-DCA43BBA2DEE}"/>
    <cellStyle name="Normal 9 2 3 8 3" xfId="11174" xr:uid="{B98398EB-5EDD-4DD6-801C-A78D95BFC9B0}"/>
    <cellStyle name="Normal 9 2 3 9" xfId="4885" xr:uid="{00000000-0005-0000-0000-00005B1F0000}"/>
    <cellStyle name="Normal 9 2 3 9 2" xfId="13327" xr:uid="{AFAFBAF7-28B3-42FB-A9C6-5F83267DA515}"/>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2 2 2" xfId="15890" xr:uid="{04A7944A-AFEE-4479-A33C-8465E4BDACA4}"/>
    <cellStyle name="Normal 9 2 4 2 2 2 3" xfId="11672" xr:uid="{B9E8374E-C725-46C6-B925-03CEA6EA4999}"/>
    <cellStyle name="Normal 9 2 4 2 2 3" xfId="5303" xr:uid="{00000000-0005-0000-0000-0000611F0000}"/>
    <cellStyle name="Normal 9 2 4 2 2 3 2" xfId="13745" xr:uid="{74CAC309-80F8-4439-A9DF-8EA8DF905570}"/>
    <cellStyle name="Normal 9 2 4 2 2 4" xfId="9527" xr:uid="{E34E8957-6108-4897-A7E4-6B0CAF5D2D8A}"/>
    <cellStyle name="Normal 9 2 4 2 3" xfId="1408" xr:uid="{00000000-0005-0000-0000-0000621F0000}"/>
    <cellStyle name="Normal 9 2 4 2 3 2" xfId="3638" xr:uid="{00000000-0005-0000-0000-0000631F0000}"/>
    <cellStyle name="Normal 9 2 4 2 3 2 2" xfId="7861" xr:uid="{00000000-0005-0000-0000-0000641F0000}"/>
    <cellStyle name="Normal 9 2 4 2 3 2 2 2" xfId="16303" xr:uid="{6AFCCE4D-569C-456E-85D9-87FC6CCA9690}"/>
    <cellStyle name="Normal 9 2 4 2 3 2 3" xfId="12085" xr:uid="{DD2F9EB7-CF40-47DF-BDBD-18DE0E20F122}"/>
    <cellStyle name="Normal 9 2 4 2 3 3" xfId="5716" xr:uid="{00000000-0005-0000-0000-0000651F0000}"/>
    <cellStyle name="Normal 9 2 4 2 3 3 2" xfId="14158" xr:uid="{5F6357FC-F725-4E4A-A37A-D26AEC8AD2ED}"/>
    <cellStyle name="Normal 9 2 4 2 3 4" xfId="9940" xr:uid="{B4C761E4-B4B5-4E9E-8727-BF827B5746BC}"/>
    <cellStyle name="Normal 9 2 4 2 4" xfId="1821" xr:uid="{00000000-0005-0000-0000-0000661F0000}"/>
    <cellStyle name="Normal 9 2 4 2 4 2" xfId="4051" xr:uid="{00000000-0005-0000-0000-0000671F0000}"/>
    <cellStyle name="Normal 9 2 4 2 4 2 2" xfId="8274" xr:uid="{00000000-0005-0000-0000-0000681F0000}"/>
    <cellStyle name="Normal 9 2 4 2 4 2 2 2" xfId="16716" xr:uid="{83539B99-6480-4CEC-B89E-F47E5B4D75FB}"/>
    <cellStyle name="Normal 9 2 4 2 4 2 3" xfId="12498" xr:uid="{172D2856-C07C-454E-9775-A43CC1AA3573}"/>
    <cellStyle name="Normal 9 2 4 2 4 3" xfId="6129" xr:uid="{00000000-0005-0000-0000-0000691F0000}"/>
    <cellStyle name="Normal 9 2 4 2 4 3 2" xfId="14571" xr:uid="{0379BF43-65D8-42FA-B24C-8904F1BACC21}"/>
    <cellStyle name="Normal 9 2 4 2 4 4" xfId="10353" xr:uid="{85F8978B-1EB0-402B-9620-1FB0B755B40E}"/>
    <cellStyle name="Normal 9 2 4 2 5" xfId="2235" xr:uid="{00000000-0005-0000-0000-00006A1F0000}"/>
    <cellStyle name="Normal 9 2 4 2 5 2" xfId="4464" xr:uid="{00000000-0005-0000-0000-00006B1F0000}"/>
    <cellStyle name="Normal 9 2 4 2 5 2 2" xfId="8687" xr:uid="{00000000-0005-0000-0000-00006C1F0000}"/>
    <cellStyle name="Normal 9 2 4 2 5 2 2 2" xfId="17129" xr:uid="{16EA37F5-8E5D-4F2D-8E69-B3A0D1DBA8F4}"/>
    <cellStyle name="Normal 9 2 4 2 5 2 3" xfId="12911" xr:uid="{FC320D7A-ABE5-4CB8-90D2-88FD35729B14}"/>
    <cellStyle name="Normal 9 2 4 2 5 3" xfId="6542" xr:uid="{00000000-0005-0000-0000-00006D1F0000}"/>
    <cellStyle name="Normal 9 2 4 2 5 3 2" xfId="14984" xr:uid="{5A0C90F6-8923-409B-A46E-CCEC5198D278}"/>
    <cellStyle name="Normal 9 2 4 2 5 4" xfId="10766" xr:uid="{C23591F6-8BB5-446E-8DF5-ED6E5B75B260}"/>
    <cellStyle name="Normal 9 2 4 2 6" xfId="2671" xr:uid="{00000000-0005-0000-0000-00006E1F0000}"/>
    <cellStyle name="Normal 9 2 4 2 6 2" xfId="6955" xr:uid="{00000000-0005-0000-0000-00006F1F0000}"/>
    <cellStyle name="Normal 9 2 4 2 6 2 2" xfId="15397" xr:uid="{4566E402-BFB5-40CF-AFE0-D2A068E49D28}"/>
    <cellStyle name="Normal 9 2 4 2 6 3" xfId="11179" xr:uid="{80FB5E26-54A8-4CE9-B0A6-8C991E2F4568}"/>
    <cellStyle name="Normal 9 2 4 2 7" xfId="4890" xr:uid="{00000000-0005-0000-0000-0000701F0000}"/>
    <cellStyle name="Normal 9 2 4 2 7 2" xfId="13332" xr:uid="{F92E3566-3440-4EBB-B983-28F6F826AC3E}"/>
    <cellStyle name="Normal 9 2 4 2 8" xfId="9114" xr:uid="{1C2D10BC-C1B9-4C43-9166-10095C9E6AE4}"/>
    <cellStyle name="Normal 9 2 4 3" xfId="991" xr:uid="{00000000-0005-0000-0000-0000711F0000}"/>
    <cellStyle name="Normal 9 2 4 3 2" xfId="3224" xr:uid="{00000000-0005-0000-0000-0000721F0000}"/>
    <cellStyle name="Normal 9 2 4 3 2 2" xfId="7447" xr:uid="{00000000-0005-0000-0000-0000731F0000}"/>
    <cellStyle name="Normal 9 2 4 3 2 2 2" xfId="15889" xr:uid="{D7D3B379-7E00-4334-9C8E-9CBF5194D506}"/>
    <cellStyle name="Normal 9 2 4 3 2 3" xfId="11671" xr:uid="{E16AFA2F-6929-49E5-A442-F248A1CE57B6}"/>
    <cellStyle name="Normal 9 2 4 3 3" xfId="5302" xr:uid="{00000000-0005-0000-0000-0000741F0000}"/>
    <cellStyle name="Normal 9 2 4 3 3 2" xfId="13744" xr:uid="{CC74CB01-16D7-4EDF-80BB-D1A7DBC09538}"/>
    <cellStyle name="Normal 9 2 4 3 4" xfId="9526" xr:uid="{55A73BD6-B838-46C3-B00C-E91C418C6D86}"/>
    <cellStyle name="Normal 9 2 4 4" xfId="1407" xr:uid="{00000000-0005-0000-0000-0000751F0000}"/>
    <cellStyle name="Normal 9 2 4 4 2" xfId="3637" xr:uid="{00000000-0005-0000-0000-0000761F0000}"/>
    <cellStyle name="Normal 9 2 4 4 2 2" xfId="7860" xr:uid="{00000000-0005-0000-0000-0000771F0000}"/>
    <cellStyle name="Normal 9 2 4 4 2 2 2" xfId="16302" xr:uid="{0BACAE4C-EC43-48B0-90D4-E5B05F9AC2D0}"/>
    <cellStyle name="Normal 9 2 4 4 2 3" xfId="12084" xr:uid="{FEDE6C22-95F2-4E7A-8415-86B88EF0A177}"/>
    <cellStyle name="Normal 9 2 4 4 3" xfId="5715" xr:uid="{00000000-0005-0000-0000-0000781F0000}"/>
    <cellStyle name="Normal 9 2 4 4 3 2" xfId="14157" xr:uid="{A836A43C-0833-47C2-A926-6087D74BD0B3}"/>
    <cellStyle name="Normal 9 2 4 4 4" xfId="9939" xr:uid="{C8C4EB88-6984-4CA2-B03E-50E7C444621C}"/>
    <cellStyle name="Normal 9 2 4 5" xfId="1820" xr:uid="{00000000-0005-0000-0000-0000791F0000}"/>
    <cellStyle name="Normal 9 2 4 5 2" xfId="4050" xr:uid="{00000000-0005-0000-0000-00007A1F0000}"/>
    <cellStyle name="Normal 9 2 4 5 2 2" xfId="8273" xr:uid="{00000000-0005-0000-0000-00007B1F0000}"/>
    <cellStyle name="Normal 9 2 4 5 2 2 2" xfId="16715" xr:uid="{26F82042-5375-4E2B-9EEB-83AF796FFB14}"/>
    <cellStyle name="Normal 9 2 4 5 2 3" xfId="12497" xr:uid="{71A0A6AB-BC52-481C-9E7D-412F4CE9BF3F}"/>
    <cellStyle name="Normal 9 2 4 5 3" xfId="6128" xr:uid="{00000000-0005-0000-0000-00007C1F0000}"/>
    <cellStyle name="Normal 9 2 4 5 3 2" xfId="14570" xr:uid="{0EF7B7A8-1404-489E-886A-E1F7AF734436}"/>
    <cellStyle name="Normal 9 2 4 5 4" xfId="10352" xr:uid="{E600FD72-FC18-48DB-9FD5-EF953423C397}"/>
    <cellStyle name="Normal 9 2 4 6" xfId="2234" xr:uid="{00000000-0005-0000-0000-00007D1F0000}"/>
    <cellStyle name="Normal 9 2 4 6 2" xfId="4463" xr:uid="{00000000-0005-0000-0000-00007E1F0000}"/>
    <cellStyle name="Normal 9 2 4 6 2 2" xfId="8686" xr:uid="{00000000-0005-0000-0000-00007F1F0000}"/>
    <cellStyle name="Normal 9 2 4 6 2 2 2" xfId="17128" xr:uid="{F1E01D4A-C97A-47D5-87C4-1F3E3E3060F1}"/>
    <cellStyle name="Normal 9 2 4 6 2 3" xfId="12910" xr:uid="{BFE5FA97-10E2-47F8-90AC-A3DD96A8EAF9}"/>
    <cellStyle name="Normal 9 2 4 6 3" xfId="6541" xr:uid="{00000000-0005-0000-0000-0000801F0000}"/>
    <cellStyle name="Normal 9 2 4 6 3 2" xfId="14983" xr:uid="{08E7FC28-2C68-41D0-87E5-BDB7267D5662}"/>
    <cellStyle name="Normal 9 2 4 6 4" xfId="10765" xr:uid="{ED645DC3-0728-4F8F-9E5B-237556A6A80E}"/>
    <cellStyle name="Normal 9 2 4 7" xfId="2670" xr:uid="{00000000-0005-0000-0000-0000811F0000}"/>
    <cellStyle name="Normal 9 2 4 7 2" xfId="6954" xr:uid="{00000000-0005-0000-0000-0000821F0000}"/>
    <cellStyle name="Normal 9 2 4 7 2 2" xfId="15396" xr:uid="{CE64BA21-0E9A-4400-BFE8-D094D6A54296}"/>
    <cellStyle name="Normal 9 2 4 7 3" xfId="11178" xr:uid="{7665C42B-B496-4931-9E34-994653035913}"/>
    <cellStyle name="Normal 9 2 4 8" xfId="4889" xr:uid="{00000000-0005-0000-0000-0000831F0000}"/>
    <cellStyle name="Normal 9 2 4 8 2" xfId="13331" xr:uid="{A02BF7A5-65BF-4FD7-BAA6-2D88B7DD72FB}"/>
    <cellStyle name="Normal 9 2 4 9" xfId="9113" xr:uid="{7FC5E408-61B6-40BC-8EFE-1F2FDC72164E}"/>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2 2 2" xfId="15891" xr:uid="{A31B9CA2-67BA-4CF5-8C6B-B60F250CF3DD}"/>
    <cellStyle name="Normal 9 2 5 2 2 3" xfId="11673" xr:uid="{CCE7B788-8075-4680-812F-DF3A2B240F98}"/>
    <cellStyle name="Normal 9 2 5 2 3" xfId="5304" xr:uid="{00000000-0005-0000-0000-0000881F0000}"/>
    <cellStyle name="Normal 9 2 5 2 3 2" xfId="13746" xr:uid="{F31E6116-CBEC-4A8D-AD35-F683F3B9F10B}"/>
    <cellStyle name="Normal 9 2 5 2 4" xfId="9528" xr:uid="{6B32B7BC-C606-4CED-81FF-B5C904A18B80}"/>
    <cellStyle name="Normal 9 2 5 3" xfId="1409" xr:uid="{00000000-0005-0000-0000-0000891F0000}"/>
    <cellStyle name="Normal 9 2 5 3 2" xfId="3639" xr:uid="{00000000-0005-0000-0000-00008A1F0000}"/>
    <cellStyle name="Normal 9 2 5 3 2 2" xfId="7862" xr:uid="{00000000-0005-0000-0000-00008B1F0000}"/>
    <cellStyle name="Normal 9 2 5 3 2 2 2" xfId="16304" xr:uid="{D0473C9F-7D6E-4567-8F01-9680A9F7C137}"/>
    <cellStyle name="Normal 9 2 5 3 2 3" xfId="12086" xr:uid="{8A8F5F95-A0EF-4A73-B0C3-4C48292B8D8A}"/>
    <cellStyle name="Normal 9 2 5 3 3" xfId="5717" xr:uid="{00000000-0005-0000-0000-00008C1F0000}"/>
    <cellStyle name="Normal 9 2 5 3 3 2" xfId="14159" xr:uid="{610E3331-9496-47EE-8D6D-451B55CB0488}"/>
    <cellStyle name="Normal 9 2 5 3 4" xfId="9941" xr:uid="{10138CEC-0300-4068-B2F9-9EBC8DD84594}"/>
    <cellStyle name="Normal 9 2 5 4" xfId="1822" xr:uid="{00000000-0005-0000-0000-00008D1F0000}"/>
    <cellStyle name="Normal 9 2 5 4 2" xfId="4052" xr:uid="{00000000-0005-0000-0000-00008E1F0000}"/>
    <cellStyle name="Normal 9 2 5 4 2 2" xfId="8275" xr:uid="{00000000-0005-0000-0000-00008F1F0000}"/>
    <cellStyle name="Normal 9 2 5 4 2 2 2" xfId="16717" xr:uid="{9730E13B-C9A8-4EFF-A6B6-1BD13AFCCDB7}"/>
    <cellStyle name="Normal 9 2 5 4 2 3" xfId="12499" xr:uid="{3F923848-DBC3-405F-A1B2-2FF763C1D1A5}"/>
    <cellStyle name="Normal 9 2 5 4 3" xfId="6130" xr:uid="{00000000-0005-0000-0000-0000901F0000}"/>
    <cellStyle name="Normal 9 2 5 4 3 2" xfId="14572" xr:uid="{3D7ED84C-5C71-4902-A2DA-19684C1F8BCE}"/>
    <cellStyle name="Normal 9 2 5 4 4" xfId="10354" xr:uid="{087E90B8-B2B1-4760-9658-0370B31B1F30}"/>
    <cellStyle name="Normal 9 2 5 5" xfId="2236" xr:uid="{00000000-0005-0000-0000-0000911F0000}"/>
    <cellStyle name="Normal 9 2 5 5 2" xfId="4465" xr:uid="{00000000-0005-0000-0000-0000921F0000}"/>
    <cellStyle name="Normal 9 2 5 5 2 2" xfId="8688" xr:uid="{00000000-0005-0000-0000-0000931F0000}"/>
    <cellStyle name="Normal 9 2 5 5 2 2 2" xfId="17130" xr:uid="{808B29B9-3EE7-4E2E-99D4-6B50D998F4F8}"/>
    <cellStyle name="Normal 9 2 5 5 2 3" xfId="12912" xr:uid="{D382744D-73F1-4A12-B68C-4EA007BC66EE}"/>
    <cellStyle name="Normal 9 2 5 5 3" xfId="6543" xr:uid="{00000000-0005-0000-0000-0000941F0000}"/>
    <cellStyle name="Normal 9 2 5 5 3 2" xfId="14985" xr:uid="{3583D5A2-6EF7-47DF-AAFD-FB4FF5AD0A18}"/>
    <cellStyle name="Normal 9 2 5 5 4" xfId="10767" xr:uid="{D1B28750-229B-49BF-830E-1F4F0F4045E1}"/>
    <cellStyle name="Normal 9 2 5 6" xfId="2672" xr:uid="{00000000-0005-0000-0000-0000951F0000}"/>
    <cellStyle name="Normal 9 2 5 6 2" xfId="6956" xr:uid="{00000000-0005-0000-0000-0000961F0000}"/>
    <cellStyle name="Normal 9 2 5 6 2 2" xfId="15398" xr:uid="{19DB3337-8334-47D6-8A1D-A211A1784251}"/>
    <cellStyle name="Normal 9 2 5 6 3" xfId="11180" xr:uid="{D102348B-10B3-495E-A7A1-7FD5289BB048}"/>
    <cellStyle name="Normal 9 2 5 7" xfId="4891" xr:uid="{00000000-0005-0000-0000-0000971F0000}"/>
    <cellStyle name="Normal 9 2 5 7 2" xfId="13333" xr:uid="{AC6005BF-FE01-49B4-96E0-188517440491}"/>
    <cellStyle name="Normal 9 2 5 8" xfId="9115" xr:uid="{6E011E9E-FCFC-4C5C-B73D-7CC2A8AFE037}"/>
    <cellStyle name="Normal 9 2 6" xfId="978" xr:uid="{00000000-0005-0000-0000-0000981F0000}"/>
    <cellStyle name="Normal 9 2 6 2" xfId="3211" xr:uid="{00000000-0005-0000-0000-0000991F0000}"/>
    <cellStyle name="Normal 9 2 6 2 2" xfId="7434" xr:uid="{00000000-0005-0000-0000-00009A1F0000}"/>
    <cellStyle name="Normal 9 2 6 2 2 2" xfId="15876" xr:uid="{BCC50D94-B57E-424F-BF06-BD55DFB375A9}"/>
    <cellStyle name="Normal 9 2 6 2 3" xfId="11658" xr:uid="{796AD39F-F2B0-49C4-A6CD-B3EE090AE86A}"/>
    <cellStyle name="Normal 9 2 6 3" xfId="5289" xr:uid="{00000000-0005-0000-0000-00009B1F0000}"/>
    <cellStyle name="Normal 9 2 6 3 2" xfId="13731" xr:uid="{6EF64481-1D33-471C-B5D7-D5AE2D359BA3}"/>
    <cellStyle name="Normal 9 2 6 4" xfId="9513" xr:uid="{DA341466-A3C6-4A81-862F-70CFA6BD2689}"/>
    <cellStyle name="Normal 9 2 7" xfId="1394" xr:uid="{00000000-0005-0000-0000-00009C1F0000}"/>
    <cellStyle name="Normal 9 2 7 2" xfId="3624" xr:uid="{00000000-0005-0000-0000-00009D1F0000}"/>
    <cellStyle name="Normal 9 2 7 2 2" xfId="7847" xr:uid="{00000000-0005-0000-0000-00009E1F0000}"/>
    <cellStyle name="Normal 9 2 7 2 2 2" xfId="16289" xr:uid="{23C35F81-F0C8-430D-88D0-7BB8B6D52D7A}"/>
    <cellStyle name="Normal 9 2 7 2 3" xfId="12071" xr:uid="{7CD16980-EC7B-43BB-B913-213EA2BA9D37}"/>
    <cellStyle name="Normal 9 2 7 3" xfId="5702" xr:uid="{00000000-0005-0000-0000-00009F1F0000}"/>
    <cellStyle name="Normal 9 2 7 3 2" xfId="14144" xr:uid="{D249E3C3-B0C7-40C1-A7FA-7211A30646A5}"/>
    <cellStyle name="Normal 9 2 7 4" xfId="9926" xr:uid="{C37F4BAD-D3DD-4578-A88B-1B8BC8465BF1}"/>
    <cellStyle name="Normal 9 2 8" xfId="1807" xr:uid="{00000000-0005-0000-0000-0000A01F0000}"/>
    <cellStyle name="Normal 9 2 8 2" xfId="4037" xr:uid="{00000000-0005-0000-0000-0000A11F0000}"/>
    <cellStyle name="Normal 9 2 8 2 2" xfId="8260" xr:uid="{00000000-0005-0000-0000-0000A21F0000}"/>
    <cellStyle name="Normal 9 2 8 2 2 2" xfId="16702" xr:uid="{1E487756-7CD0-4F9A-B760-34FCF2978FF3}"/>
    <cellStyle name="Normal 9 2 8 2 3" xfId="12484" xr:uid="{17C14F8C-7A28-4C51-92D4-0C827A54F071}"/>
    <cellStyle name="Normal 9 2 8 3" xfId="6115" xr:uid="{00000000-0005-0000-0000-0000A31F0000}"/>
    <cellStyle name="Normal 9 2 8 3 2" xfId="14557" xr:uid="{C3ABDD47-2EB6-4308-831A-C150BDFB71A0}"/>
    <cellStyle name="Normal 9 2 8 4" xfId="10339" xr:uid="{6721C818-2C74-4386-8DE5-4D0A232D1237}"/>
    <cellStyle name="Normal 9 2 9" xfId="2221" xr:uid="{00000000-0005-0000-0000-0000A41F0000}"/>
    <cellStyle name="Normal 9 2 9 2" xfId="4450" xr:uid="{00000000-0005-0000-0000-0000A51F0000}"/>
    <cellStyle name="Normal 9 2 9 2 2" xfId="8673" xr:uid="{00000000-0005-0000-0000-0000A61F0000}"/>
    <cellStyle name="Normal 9 2 9 2 2 2" xfId="17115" xr:uid="{EBCB3FE7-8FC5-4BCD-8081-1CB01171EE01}"/>
    <cellStyle name="Normal 9 2 9 2 3" xfId="12897" xr:uid="{6A3C2EB1-747B-4319-8FC8-C990FC3C836A}"/>
    <cellStyle name="Normal 9 2 9 3" xfId="6528" xr:uid="{00000000-0005-0000-0000-0000A71F0000}"/>
    <cellStyle name="Normal 9 2 9 3 2" xfId="14970" xr:uid="{11838B45-873F-4F65-998F-327D4172768F}"/>
    <cellStyle name="Normal 9 2 9 4" xfId="10752" xr:uid="{74327E57-70C8-457A-A60D-1DA18B7ADDA7}"/>
    <cellStyle name="Normal 9 3" xfId="527" xr:uid="{00000000-0005-0000-0000-0000A81F0000}"/>
    <cellStyle name="Normal 9 3 10" xfId="4892" xr:uid="{00000000-0005-0000-0000-0000A91F0000}"/>
    <cellStyle name="Normal 9 3 10 2" xfId="13334" xr:uid="{8F84A993-7376-479D-A593-2F51A1EB4B44}"/>
    <cellStyle name="Normal 9 3 11" xfId="9116" xr:uid="{09A69ED7-AA48-47F3-A4E6-AC776128C58E}"/>
    <cellStyle name="Normal 9 3 2" xfId="528" xr:uid="{00000000-0005-0000-0000-0000AA1F0000}"/>
    <cellStyle name="Normal 9 3 2 10" xfId="9117" xr:uid="{6F3082AF-A283-4526-BCFC-F56CF3A9B834}"/>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2 2 2" xfId="15895" xr:uid="{CD54D5D7-CBAB-466C-8ACA-0720B9337D17}"/>
    <cellStyle name="Normal 9 3 2 2 2 2 2 3" xfId="11677" xr:uid="{8CAA7AC9-CA72-455D-A1DB-1D28ADC40FB6}"/>
    <cellStyle name="Normal 9 3 2 2 2 2 3" xfId="5308" xr:uid="{00000000-0005-0000-0000-0000B01F0000}"/>
    <cellStyle name="Normal 9 3 2 2 2 2 3 2" xfId="13750" xr:uid="{7AD62DBA-8B42-420D-91DD-077A1583BEC6}"/>
    <cellStyle name="Normal 9 3 2 2 2 2 4" xfId="9532" xr:uid="{F2EDB63A-0648-42B9-973D-9D7C0AA1DABE}"/>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2 2 2" xfId="16308" xr:uid="{057631AF-6D9C-4E49-A06B-2CC384B82312}"/>
    <cellStyle name="Normal 9 3 2 2 2 3 2 3" xfId="12090" xr:uid="{48209FA3-EB37-40E3-9C7C-F6E2A3044D3B}"/>
    <cellStyle name="Normal 9 3 2 2 2 3 3" xfId="5721" xr:uid="{00000000-0005-0000-0000-0000B41F0000}"/>
    <cellStyle name="Normal 9 3 2 2 2 3 3 2" xfId="14163" xr:uid="{F766CC3C-90CF-47F8-B707-5304E005280D}"/>
    <cellStyle name="Normal 9 3 2 2 2 3 4" xfId="9945" xr:uid="{A9F0F127-9449-40D3-9064-87F9C74CD393}"/>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2 2 2" xfId="16721" xr:uid="{4325DAF3-6507-40BA-9510-975D551359D4}"/>
    <cellStyle name="Normal 9 3 2 2 2 4 2 3" xfId="12503" xr:uid="{18393C2C-35F6-4581-B3AC-D65FD90C2EE9}"/>
    <cellStyle name="Normal 9 3 2 2 2 4 3" xfId="6134" xr:uid="{00000000-0005-0000-0000-0000B81F0000}"/>
    <cellStyle name="Normal 9 3 2 2 2 4 3 2" xfId="14576" xr:uid="{2000F6C6-88BE-424F-8FF7-790C4636FA4D}"/>
    <cellStyle name="Normal 9 3 2 2 2 4 4" xfId="10358" xr:uid="{8F3F98F2-0510-4397-8D95-C77CB5D873F2}"/>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2 2 2" xfId="17134" xr:uid="{FACA8F87-6D3A-4B1D-8E21-7E7DCC17E086}"/>
    <cellStyle name="Normal 9 3 2 2 2 5 2 3" xfId="12916" xr:uid="{486DADD7-3E7D-4F48-9F20-B7C36575DD66}"/>
    <cellStyle name="Normal 9 3 2 2 2 5 3" xfId="6547" xr:uid="{00000000-0005-0000-0000-0000BC1F0000}"/>
    <cellStyle name="Normal 9 3 2 2 2 5 3 2" xfId="14989" xr:uid="{E91669B5-035D-4B27-BA5B-571DA2A70587}"/>
    <cellStyle name="Normal 9 3 2 2 2 5 4" xfId="10771" xr:uid="{5F798E64-2505-46E1-BF1F-55666BEC3C3D}"/>
    <cellStyle name="Normal 9 3 2 2 2 6" xfId="2676" xr:uid="{00000000-0005-0000-0000-0000BD1F0000}"/>
    <cellStyle name="Normal 9 3 2 2 2 6 2" xfId="6960" xr:uid="{00000000-0005-0000-0000-0000BE1F0000}"/>
    <cellStyle name="Normal 9 3 2 2 2 6 2 2" xfId="15402" xr:uid="{B90AC56C-0D14-4B30-9130-4AA22D491F29}"/>
    <cellStyle name="Normal 9 3 2 2 2 6 3" xfId="11184" xr:uid="{AC0F84C4-14D4-4854-922A-B01CC4F1E589}"/>
    <cellStyle name="Normal 9 3 2 2 2 7" xfId="4895" xr:uid="{00000000-0005-0000-0000-0000BF1F0000}"/>
    <cellStyle name="Normal 9 3 2 2 2 7 2" xfId="13337" xr:uid="{C3D7F7A4-3729-452D-A9DE-0A0659D794FB}"/>
    <cellStyle name="Normal 9 3 2 2 2 8" xfId="9119" xr:uid="{0D180528-BC38-4EDC-8F80-72B9A0F90E2D}"/>
    <cellStyle name="Normal 9 3 2 2 3" xfId="996" xr:uid="{00000000-0005-0000-0000-0000C01F0000}"/>
    <cellStyle name="Normal 9 3 2 2 3 2" xfId="3229" xr:uid="{00000000-0005-0000-0000-0000C11F0000}"/>
    <cellStyle name="Normal 9 3 2 2 3 2 2" xfId="7452" xr:uid="{00000000-0005-0000-0000-0000C21F0000}"/>
    <cellStyle name="Normal 9 3 2 2 3 2 2 2" xfId="15894" xr:uid="{5504D271-C99E-4606-A949-9BA119301956}"/>
    <cellStyle name="Normal 9 3 2 2 3 2 3" xfId="11676" xr:uid="{05EEF135-FB4C-46D5-8B16-6982F6A7C027}"/>
    <cellStyle name="Normal 9 3 2 2 3 3" xfId="5307" xr:uid="{00000000-0005-0000-0000-0000C31F0000}"/>
    <cellStyle name="Normal 9 3 2 2 3 3 2" xfId="13749" xr:uid="{D21A0E85-1BDC-4A16-A0D4-0ADACA445DCD}"/>
    <cellStyle name="Normal 9 3 2 2 3 4" xfId="9531" xr:uid="{68BF4484-AE6D-42EE-86C4-E38C800B253A}"/>
    <cellStyle name="Normal 9 3 2 2 4" xfId="1412" xr:uid="{00000000-0005-0000-0000-0000C41F0000}"/>
    <cellStyle name="Normal 9 3 2 2 4 2" xfId="3642" xr:uid="{00000000-0005-0000-0000-0000C51F0000}"/>
    <cellStyle name="Normal 9 3 2 2 4 2 2" xfId="7865" xr:uid="{00000000-0005-0000-0000-0000C61F0000}"/>
    <cellStyle name="Normal 9 3 2 2 4 2 2 2" xfId="16307" xr:uid="{4204DC9C-8334-444E-AB6A-595C9A5BD9D1}"/>
    <cellStyle name="Normal 9 3 2 2 4 2 3" xfId="12089" xr:uid="{8A13D86B-4076-486E-82A7-6C0AA4034CC1}"/>
    <cellStyle name="Normal 9 3 2 2 4 3" xfId="5720" xr:uid="{00000000-0005-0000-0000-0000C71F0000}"/>
    <cellStyle name="Normal 9 3 2 2 4 3 2" xfId="14162" xr:uid="{B7412921-F820-4914-91FF-2B96CA591D83}"/>
    <cellStyle name="Normal 9 3 2 2 4 4" xfId="9944" xr:uid="{D803B698-5BAE-4369-8E94-7E379BDA099E}"/>
    <cellStyle name="Normal 9 3 2 2 5" xfId="1825" xr:uid="{00000000-0005-0000-0000-0000C81F0000}"/>
    <cellStyle name="Normal 9 3 2 2 5 2" xfId="4055" xr:uid="{00000000-0005-0000-0000-0000C91F0000}"/>
    <cellStyle name="Normal 9 3 2 2 5 2 2" xfId="8278" xr:uid="{00000000-0005-0000-0000-0000CA1F0000}"/>
    <cellStyle name="Normal 9 3 2 2 5 2 2 2" xfId="16720" xr:uid="{A3FDD3B2-F941-4418-B91D-BA6B82C5D2F1}"/>
    <cellStyle name="Normal 9 3 2 2 5 2 3" xfId="12502" xr:uid="{6733D781-F442-4A19-BF2F-AAE4DA4A5D3E}"/>
    <cellStyle name="Normal 9 3 2 2 5 3" xfId="6133" xr:uid="{00000000-0005-0000-0000-0000CB1F0000}"/>
    <cellStyle name="Normal 9 3 2 2 5 3 2" xfId="14575" xr:uid="{D411B06A-743D-4D7E-942B-DF828F7D91B1}"/>
    <cellStyle name="Normal 9 3 2 2 5 4" xfId="10357" xr:uid="{41DCDF6C-DC54-46E1-ABD5-5F6ED570A5DA}"/>
    <cellStyle name="Normal 9 3 2 2 6" xfId="2239" xr:uid="{00000000-0005-0000-0000-0000CC1F0000}"/>
    <cellStyle name="Normal 9 3 2 2 6 2" xfId="4468" xr:uid="{00000000-0005-0000-0000-0000CD1F0000}"/>
    <cellStyle name="Normal 9 3 2 2 6 2 2" xfId="8691" xr:uid="{00000000-0005-0000-0000-0000CE1F0000}"/>
    <cellStyle name="Normal 9 3 2 2 6 2 2 2" xfId="17133" xr:uid="{EF6391D0-6F84-483B-A6A3-1D9928B5274F}"/>
    <cellStyle name="Normal 9 3 2 2 6 2 3" xfId="12915" xr:uid="{5D73371A-A9CB-4BE9-AA4B-F0E332FF45A7}"/>
    <cellStyle name="Normal 9 3 2 2 6 3" xfId="6546" xr:uid="{00000000-0005-0000-0000-0000CF1F0000}"/>
    <cellStyle name="Normal 9 3 2 2 6 3 2" xfId="14988" xr:uid="{F7FE9784-8220-4D7B-B06C-BAF6A1E58F27}"/>
    <cellStyle name="Normal 9 3 2 2 6 4" xfId="10770" xr:uid="{662B3DD4-21DC-4783-B634-62A6304A5B56}"/>
    <cellStyle name="Normal 9 3 2 2 7" xfId="2675" xr:uid="{00000000-0005-0000-0000-0000D01F0000}"/>
    <cellStyle name="Normal 9 3 2 2 7 2" xfId="6959" xr:uid="{00000000-0005-0000-0000-0000D11F0000}"/>
    <cellStyle name="Normal 9 3 2 2 7 2 2" xfId="15401" xr:uid="{E59077F5-878C-4E5C-9291-635FE4F007C8}"/>
    <cellStyle name="Normal 9 3 2 2 7 3" xfId="11183" xr:uid="{0D0A1B89-E395-490B-858C-092B266448F5}"/>
    <cellStyle name="Normal 9 3 2 2 8" xfId="4894" xr:uid="{00000000-0005-0000-0000-0000D21F0000}"/>
    <cellStyle name="Normal 9 3 2 2 8 2" xfId="13336" xr:uid="{43A05998-C658-411B-951F-044B991DE1E0}"/>
    <cellStyle name="Normal 9 3 2 2 9" xfId="9118" xr:uid="{7E1506A3-D024-4B99-9892-BF4E3F6E1692}"/>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2 2 2" xfId="15896" xr:uid="{0C0FF815-8D02-4C31-A070-08742A9C9117}"/>
    <cellStyle name="Normal 9 3 2 3 2 2 3" xfId="11678" xr:uid="{605A5CF0-1017-44AC-9699-3EF6FC6D6E62}"/>
    <cellStyle name="Normal 9 3 2 3 2 3" xfId="5309" xr:uid="{00000000-0005-0000-0000-0000D71F0000}"/>
    <cellStyle name="Normal 9 3 2 3 2 3 2" xfId="13751" xr:uid="{D80666F2-0ED5-4BF3-A7B8-D5D05FA8B610}"/>
    <cellStyle name="Normal 9 3 2 3 2 4" xfId="9533" xr:uid="{A48AAB34-9C24-4A44-9E57-CA8041815E39}"/>
    <cellStyle name="Normal 9 3 2 3 3" xfId="1414" xr:uid="{00000000-0005-0000-0000-0000D81F0000}"/>
    <cellStyle name="Normal 9 3 2 3 3 2" xfId="3644" xr:uid="{00000000-0005-0000-0000-0000D91F0000}"/>
    <cellStyle name="Normal 9 3 2 3 3 2 2" xfId="7867" xr:uid="{00000000-0005-0000-0000-0000DA1F0000}"/>
    <cellStyle name="Normal 9 3 2 3 3 2 2 2" xfId="16309" xr:uid="{BF584667-4CD7-4EE6-9DFB-9401CA4A006A}"/>
    <cellStyle name="Normal 9 3 2 3 3 2 3" xfId="12091" xr:uid="{52A1838C-E634-45E0-8762-8A97005CCAFD}"/>
    <cellStyle name="Normal 9 3 2 3 3 3" xfId="5722" xr:uid="{00000000-0005-0000-0000-0000DB1F0000}"/>
    <cellStyle name="Normal 9 3 2 3 3 3 2" xfId="14164" xr:uid="{1BF8BF96-AFAD-49D9-B1C3-76729D6E25AE}"/>
    <cellStyle name="Normal 9 3 2 3 3 4" xfId="9946" xr:uid="{05853D66-FFE2-4165-BFDA-F0436B3995E4}"/>
    <cellStyle name="Normal 9 3 2 3 4" xfId="1827" xr:uid="{00000000-0005-0000-0000-0000DC1F0000}"/>
    <cellStyle name="Normal 9 3 2 3 4 2" xfId="4057" xr:uid="{00000000-0005-0000-0000-0000DD1F0000}"/>
    <cellStyle name="Normal 9 3 2 3 4 2 2" xfId="8280" xr:uid="{00000000-0005-0000-0000-0000DE1F0000}"/>
    <cellStyle name="Normal 9 3 2 3 4 2 2 2" xfId="16722" xr:uid="{620BF651-D412-47F6-8B33-69BA7AB8FA54}"/>
    <cellStyle name="Normal 9 3 2 3 4 2 3" xfId="12504" xr:uid="{E177D39E-1873-4BE4-831E-6FA878EEDCED}"/>
    <cellStyle name="Normal 9 3 2 3 4 3" xfId="6135" xr:uid="{00000000-0005-0000-0000-0000DF1F0000}"/>
    <cellStyle name="Normal 9 3 2 3 4 3 2" xfId="14577" xr:uid="{957B7DB1-93A4-4468-9EF0-79C407158E61}"/>
    <cellStyle name="Normal 9 3 2 3 4 4" xfId="10359" xr:uid="{B73357EE-8679-4B0E-A9EF-9874EA0139B9}"/>
    <cellStyle name="Normal 9 3 2 3 5" xfId="2241" xr:uid="{00000000-0005-0000-0000-0000E01F0000}"/>
    <cellStyle name="Normal 9 3 2 3 5 2" xfId="4470" xr:uid="{00000000-0005-0000-0000-0000E11F0000}"/>
    <cellStyle name="Normal 9 3 2 3 5 2 2" xfId="8693" xr:uid="{00000000-0005-0000-0000-0000E21F0000}"/>
    <cellStyle name="Normal 9 3 2 3 5 2 2 2" xfId="17135" xr:uid="{9E3B502F-CD93-4539-98FF-C0CC9AF03ADD}"/>
    <cellStyle name="Normal 9 3 2 3 5 2 3" xfId="12917" xr:uid="{B8153AC4-40C4-4447-9DA0-15A2C8157304}"/>
    <cellStyle name="Normal 9 3 2 3 5 3" xfId="6548" xr:uid="{00000000-0005-0000-0000-0000E31F0000}"/>
    <cellStyle name="Normal 9 3 2 3 5 3 2" xfId="14990" xr:uid="{C0D3160E-97A4-4075-8820-88D671DF9C12}"/>
    <cellStyle name="Normal 9 3 2 3 5 4" xfId="10772" xr:uid="{233CAE65-9797-4075-B77F-52471F989CB0}"/>
    <cellStyle name="Normal 9 3 2 3 6" xfId="2677" xr:uid="{00000000-0005-0000-0000-0000E41F0000}"/>
    <cellStyle name="Normal 9 3 2 3 6 2" xfId="6961" xr:uid="{00000000-0005-0000-0000-0000E51F0000}"/>
    <cellStyle name="Normal 9 3 2 3 6 2 2" xfId="15403" xr:uid="{AE3F1AB4-6379-4C4B-81EE-4757C8AD3405}"/>
    <cellStyle name="Normal 9 3 2 3 6 3" xfId="11185" xr:uid="{38C0F647-6730-488E-BEE8-666B99E9A4B0}"/>
    <cellStyle name="Normal 9 3 2 3 7" xfId="4896" xr:uid="{00000000-0005-0000-0000-0000E61F0000}"/>
    <cellStyle name="Normal 9 3 2 3 7 2" xfId="13338" xr:uid="{48BA11CE-9992-43FA-B6AF-AB0500C65029}"/>
    <cellStyle name="Normal 9 3 2 3 8" xfId="9120" xr:uid="{B85BF4FD-7842-4BA0-A85A-13F1001C51DB}"/>
    <cellStyle name="Normal 9 3 2 4" xfId="995" xr:uid="{00000000-0005-0000-0000-0000E71F0000}"/>
    <cellStyle name="Normal 9 3 2 4 2" xfId="3228" xr:uid="{00000000-0005-0000-0000-0000E81F0000}"/>
    <cellStyle name="Normal 9 3 2 4 2 2" xfId="7451" xr:uid="{00000000-0005-0000-0000-0000E91F0000}"/>
    <cellStyle name="Normal 9 3 2 4 2 2 2" xfId="15893" xr:uid="{CB3E5EA7-EFAE-44B2-A185-463ED852D686}"/>
    <cellStyle name="Normal 9 3 2 4 2 3" xfId="11675" xr:uid="{822615B1-2ADB-46D2-A039-7244196419CB}"/>
    <cellStyle name="Normal 9 3 2 4 3" xfId="5306" xr:uid="{00000000-0005-0000-0000-0000EA1F0000}"/>
    <cellStyle name="Normal 9 3 2 4 3 2" xfId="13748" xr:uid="{ED6DFB22-4D68-49CB-A56F-626D43FD6BF6}"/>
    <cellStyle name="Normal 9 3 2 4 4" xfId="9530" xr:uid="{B50EF4E1-A0AB-4385-830B-6E828B0AC78C}"/>
    <cellStyle name="Normal 9 3 2 5" xfId="1411" xr:uid="{00000000-0005-0000-0000-0000EB1F0000}"/>
    <cellStyle name="Normal 9 3 2 5 2" xfId="3641" xr:uid="{00000000-0005-0000-0000-0000EC1F0000}"/>
    <cellStyle name="Normal 9 3 2 5 2 2" xfId="7864" xr:uid="{00000000-0005-0000-0000-0000ED1F0000}"/>
    <cellStyle name="Normal 9 3 2 5 2 2 2" xfId="16306" xr:uid="{F00B7CBA-625E-4310-830E-542CA61E568A}"/>
    <cellStyle name="Normal 9 3 2 5 2 3" xfId="12088" xr:uid="{AA537FD7-ED68-45FA-AFCC-51BA0134B9CE}"/>
    <cellStyle name="Normal 9 3 2 5 3" xfId="5719" xr:uid="{00000000-0005-0000-0000-0000EE1F0000}"/>
    <cellStyle name="Normal 9 3 2 5 3 2" xfId="14161" xr:uid="{14F85408-F5C9-4D11-A906-F478D2BF8628}"/>
    <cellStyle name="Normal 9 3 2 5 4" xfId="9943" xr:uid="{C19A9DA5-F354-4FC0-B7E9-15CBBFEC8F08}"/>
    <cellStyle name="Normal 9 3 2 6" xfId="1824" xr:uid="{00000000-0005-0000-0000-0000EF1F0000}"/>
    <cellStyle name="Normal 9 3 2 6 2" xfId="4054" xr:uid="{00000000-0005-0000-0000-0000F01F0000}"/>
    <cellStyle name="Normal 9 3 2 6 2 2" xfId="8277" xr:uid="{00000000-0005-0000-0000-0000F11F0000}"/>
    <cellStyle name="Normal 9 3 2 6 2 2 2" xfId="16719" xr:uid="{E85B36AA-44C6-4E53-B1D3-81CFD818B542}"/>
    <cellStyle name="Normal 9 3 2 6 2 3" xfId="12501" xr:uid="{43F741B1-5B53-40CB-84A3-8F7E9FF865B0}"/>
    <cellStyle name="Normal 9 3 2 6 3" xfId="6132" xr:uid="{00000000-0005-0000-0000-0000F21F0000}"/>
    <cellStyle name="Normal 9 3 2 6 3 2" xfId="14574" xr:uid="{20960217-FAFC-447A-9AA7-D30F160D5DF3}"/>
    <cellStyle name="Normal 9 3 2 6 4" xfId="10356" xr:uid="{6536FB77-AD9F-4AE8-8049-1E133DF2DB34}"/>
    <cellStyle name="Normal 9 3 2 7" xfId="2238" xr:uid="{00000000-0005-0000-0000-0000F31F0000}"/>
    <cellStyle name="Normal 9 3 2 7 2" xfId="4467" xr:uid="{00000000-0005-0000-0000-0000F41F0000}"/>
    <cellStyle name="Normal 9 3 2 7 2 2" xfId="8690" xr:uid="{00000000-0005-0000-0000-0000F51F0000}"/>
    <cellStyle name="Normal 9 3 2 7 2 2 2" xfId="17132" xr:uid="{6B5D7A61-4EB4-4AD2-AE9C-1FA6B453F2B7}"/>
    <cellStyle name="Normal 9 3 2 7 2 3" xfId="12914" xr:uid="{95099807-D759-422F-80E9-F8D918FB193F}"/>
    <cellStyle name="Normal 9 3 2 7 3" xfId="6545" xr:uid="{00000000-0005-0000-0000-0000F61F0000}"/>
    <cellStyle name="Normal 9 3 2 7 3 2" xfId="14987" xr:uid="{7536A0F6-348B-4F4F-8A30-781C77DF030E}"/>
    <cellStyle name="Normal 9 3 2 7 4" xfId="10769" xr:uid="{F2946784-9D0B-4737-9AF1-B9D544C9A30B}"/>
    <cellStyle name="Normal 9 3 2 8" xfId="2674" xr:uid="{00000000-0005-0000-0000-0000F71F0000}"/>
    <cellStyle name="Normal 9 3 2 8 2" xfId="6958" xr:uid="{00000000-0005-0000-0000-0000F81F0000}"/>
    <cellStyle name="Normal 9 3 2 8 2 2" xfId="15400" xr:uid="{81594B39-905A-47D7-9ECB-F239C403C71F}"/>
    <cellStyle name="Normal 9 3 2 8 3" xfId="11182" xr:uid="{38E50A7F-4DA5-40CA-9A7D-406BA4C082C2}"/>
    <cellStyle name="Normal 9 3 2 9" xfId="4893" xr:uid="{00000000-0005-0000-0000-0000F91F0000}"/>
    <cellStyle name="Normal 9 3 2 9 2" xfId="13335" xr:uid="{02E797F4-C677-4F1E-90EF-C34849593C52}"/>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2 2 2" xfId="15898" xr:uid="{03460FE7-FAAF-4340-BFBC-034B1E977D16}"/>
    <cellStyle name="Normal 9 3 3 2 2 2 3" xfId="11680" xr:uid="{6A69F1FF-2A09-46CD-A3F0-C0F7A8C4F363}"/>
    <cellStyle name="Normal 9 3 3 2 2 3" xfId="5311" xr:uid="{00000000-0005-0000-0000-0000FF1F0000}"/>
    <cellStyle name="Normal 9 3 3 2 2 3 2" xfId="13753" xr:uid="{0FF00164-8BA3-4847-A3F7-E26D4AACFEFA}"/>
    <cellStyle name="Normal 9 3 3 2 2 4" xfId="9535" xr:uid="{6E45553B-EB6B-4CE1-A4B3-59FD9ABFD8D1}"/>
    <cellStyle name="Normal 9 3 3 2 3" xfId="1416" xr:uid="{00000000-0005-0000-0000-000000200000}"/>
    <cellStyle name="Normal 9 3 3 2 3 2" xfId="3646" xr:uid="{00000000-0005-0000-0000-000001200000}"/>
    <cellStyle name="Normal 9 3 3 2 3 2 2" xfId="7869" xr:uid="{00000000-0005-0000-0000-000002200000}"/>
    <cellStyle name="Normal 9 3 3 2 3 2 2 2" xfId="16311" xr:uid="{E4516000-DD98-4765-9554-F39162E05660}"/>
    <cellStyle name="Normal 9 3 3 2 3 2 3" xfId="12093" xr:uid="{65D6B6F5-6396-4013-98C0-BBBF7B41D98B}"/>
    <cellStyle name="Normal 9 3 3 2 3 3" xfId="5724" xr:uid="{00000000-0005-0000-0000-000003200000}"/>
    <cellStyle name="Normal 9 3 3 2 3 3 2" xfId="14166" xr:uid="{F84C2ED4-0FAF-467D-AF9C-EF3F6C647F33}"/>
    <cellStyle name="Normal 9 3 3 2 3 4" xfId="9948" xr:uid="{5DDDF45C-0963-4F1E-9847-6110DDB71E07}"/>
    <cellStyle name="Normal 9 3 3 2 4" xfId="1829" xr:uid="{00000000-0005-0000-0000-000004200000}"/>
    <cellStyle name="Normal 9 3 3 2 4 2" xfId="4059" xr:uid="{00000000-0005-0000-0000-000005200000}"/>
    <cellStyle name="Normal 9 3 3 2 4 2 2" xfId="8282" xr:uid="{00000000-0005-0000-0000-000006200000}"/>
    <cellStyle name="Normal 9 3 3 2 4 2 2 2" xfId="16724" xr:uid="{3634EE29-5D62-4B83-8C63-384C7CA5AC7E}"/>
    <cellStyle name="Normal 9 3 3 2 4 2 3" xfId="12506" xr:uid="{A27C3944-B368-4553-9F12-A058B40BF22B}"/>
    <cellStyle name="Normal 9 3 3 2 4 3" xfId="6137" xr:uid="{00000000-0005-0000-0000-000007200000}"/>
    <cellStyle name="Normal 9 3 3 2 4 3 2" xfId="14579" xr:uid="{33FF7EA2-0C64-4650-86D6-60A7B97F0187}"/>
    <cellStyle name="Normal 9 3 3 2 4 4" xfId="10361" xr:uid="{8C682D36-1B63-4511-99A3-DFFCEAD1ECCD}"/>
    <cellStyle name="Normal 9 3 3 2 5" xfId="2243" xr:uid="{00000000-0005-0000-0000-000008200000}"/>
    <cellStyle name="Normal 9 3 3 2 5 2" xfId="4472" xr:uid="{00000000-0005-0000-0000-000009200000}"/>
    <cellStyle name="Normal 9 3 3 2 5 2 2" xfId="8695" xr:uid="{00000000-0005-0000-0000-00000A200000}"/>
    <cellStyle name="Normal 9 3 3 2 5 2 2 2" xfId="17137" xr:uid="{7F18EC37-725D-48DB-A97B-85E630E9778D}"/>
    <cellStyle name="Normal 9 3 3 2 5 2 3" xfId="12919" xr:uid="{30AF7960-7D5F-4211-A7E4-61CCCE02BF1B}"/>
    <cellStyle name="Normal 9 3 3 2 5 3" xfId="6550" xr:uid="{00000000-0005-0000-0000-00000B200000}"/>
    <cellStyle name="Normal 9 3 3 2 5 3 2" xfId="14992" xr:uid="{D31DDC3E-A6EE-4FFF-802A-012BA3AD1CCC}"/>
    <cellStyle name="Normal 9 3 3 2 5 4" xfId="10774" xr:uid="{60356947-9CC4-45C9-A68D-DD057EA2CEC5}"/>
    <cellStyle name="Normal 9 3 3 2 6" xfId="2679" xr:uid="{00000000-0005-0000-0000-00000C200000}"/>
    <cellStyle name="Normal 9 3 3 2 6 2" xfId="6963" xr:uid="{00000000-0005-0000-0000-00000D200000}"/>
    <cellStyle name="Normal 9 3 3 2 6 2 2" xfId="15405" xr:uid="{70A590D7-EEDA-41BF-B270-F08564E99EA7}"/>
    <cellStyle name="Normal 9 3 3 2 6 3" xfId="11187" xr:uid="{4148A7EC-3414-4759-BB60-6D5D42BE9C2F}"/>
    <cellStyle name="Normal 9 3 3 2 7" xfId="4898" xr:uid="{00000000-0005-0000-0000-00000E200000}"/>
    <cellStyle name="Normal 9 3 3 2 7 2" xfId="13340" xr:uid="{2D35967D-17EA-4110-B20A-51A7A8904BB1}"/>
    <cellStyle name="Normal 9 3 3 2 8" xfId="9122" xr:uid="{00A92904-4E5D-4A15-BA7A-F4DCE98E8B9F}"/>
    <cellStyle name="Normal 9 3 3 3" xfId="999" xr:uid="{00000000-0005-0000-0000-00000F200000}"/>
    <cellStyle name="Normal 9 3 3 3 2" xfId="3232" xr:uid="{00000000-0005-0000-0000-000010200000}"/>
    <cellStyle name="Normal 9 3 3 3 2 2" xfId="7455" xr:uid="{00000000-0005-0000-0000-000011200000}"/>
    <cellStyle name="Normal 9 3 3 3 2 2 2" xfId="15897" xr:uid="{7D8BF33C-626F-4CCE-A8F3-D381A33E2FAA}"/>
    <cellStyle name="Normal 9 3 3 3 2 3" xfId="11679" xr:uid="{7B592533-1A5A-4AA7-B1F5-C1FDD02DECAE}"/>
    <cellStyle name="Normal 9 3 3 3 3" xfId="5310" xr:uid="{00000000-0005-0000-0000-000012200000}"/>
    <cellStyle name="Normal 9 3 3 3 3 2" xfId="13752" xr:uid="{2CB880B2-836E-4F97-8289-86D4731CDA5F}"/>
    <cellStyle name="Normal 9 3 3 3 4" xfId="9534" xr:uid="{99E42448-76D0-49CB-AF6E-353A8BD884DD}"/>
    <cellStyle name="Normal 9 3 3 4" xfId="1415" xr:uid="{00000000-0005-0000-0000-000013200000}"/>
    <cellStyle name="Normal 9 3 3 4 2" xfId="3645" xr:uid="{00000000-0005-0000-0000-000014200000}"/>
    <cellStyle name="Normal 9 3 3 4 2 2" xfId="7868" xr:uid="{00000000-0005-0000-0000-000015200000}"/>
    <cellStyle name="Normal 9 3 3 4 2 2 2" xfId="16310" xr:uid="{48B355CC-1FAA-4996-BB28-43FEEA7E0E1C}"/>
    <cellStyle name="Normal 9 3 3 4 2 3" xfId="12092" xr:uid="{DEF84BA2-32E2-4376-9E77-82E24791B093}"/>
    <cellStyle name="Normal 9 3 3 4 3" xfId="5723" xr:uid="{00000000-0005-0000-0000-000016200000}"/>
    <cellStyle name="Normal 9 3 3 4 3 2" xfId="14165" xr:uid="{F32DE319-DE53-45E6-A73E-805BA9F74670}"/>
    <cellStyle name="Normal 9 3 3 4 4" xfId="9947" xr:uid="{E160AE49-6633-4305-AC03-7C0CB8081827}"/>
    <cellStyle name="Normal 9 3 3 5" xfId="1828" xr:uid="{00000000-0005-0000-0000-000017200000}"/>
    <cellStyle name="Normal 9 3 3 5 2" xfId="4058" xr:uid="{00000000-0005-0000-0000-000018200000}"/>
    <cellStyle name="Normal 9 3 3 5 2 2" xfId="8281" xr:uid="{00000000-0005-0000-0000-000019200000}"/>
    <cellStyle name="Normal 9 3 3 5 2 2 2" xfId="16723" xr:uid="{849FAC2A-B5FB-441C-867B-98B993A4A3DE}"/>
    <cellStyle name="Normal 9 3 3 5 2 3" xfId="12505" xr:uid="{B4915AB9-6696-43E8-A1A6-35227DB05264}"/>
    <cellStyle name="Normal 9 3 3 5 3" xfId="6136" xr:uid="{00000000-0005-0000-0000-00001A200000}"/>
    <cellStyle name="Normal 9 3 3 5 3 2" xfId="14578" xr:uid="{C197A956-F762-40BD-BAF5-1BB1585CD769}"/>
    <cellStyle name="Normal 9 3 3 5 4" xfId="10360" xr:uid="{A85DE898-4AED-4D9D-AA7B-065973885E92}"/>
    <cellStyle name="Normal 9 3 3 6" xfId="2242" xr:uid="{00000000-0005-0000-0000-00001B200000}"/>
    <cellStyle name="Normal 9 3 3 6 2" xfId="4471" xr:uid="{00000000-0005-0000-0000-00001C200000}"/>
    <cellStyle name="Normal 9 3 3 6 2 2" xfId="8694" xr:uid="{00000000-0005-0000-0000-00001D200000}"/>
    <cellStyle name="Normal 9 3 3 6 2 2 2" xfId="17136" xr:uid="{D6761371-91D7-4107-9E4F-23D355161504}"/>
    <cellStyle name="Normal 9 3 3 6 2 3" xfId="12918" xr:uid="{D58697F7-F402-4D0D-9117-5A279F30561F}"/>
    <cellStyle name="Normal 9 3 3 6 3" xfId="6549" xr:uid="{00000000-0005-0000-0000-00001E200000}"/>
    <cellStyle name="Normal 9 3 3 6 3 2" xfId="14991" xr:uid="{11142D1B-FF20-4C4C-A725-9EDA5BDDC977}"/>
    <cellStyle name="Normal 9 3 3 6 4" xfId="10773" xr:uid="{A9297E48-43FC-4387-BA39-10FD47BD5A8A}"/>
    <cellStyle name="Normal 9 3 3 7" xfId="2678" xr:uid="{00000000-0005-0000-0000-00001F200000}"/>
    <cellStyle name="Normal 9 3 3 7 2" xfId="6962" xr:uid="{00000000-0005-0000-0000-000020200000}"/>
    <cellStyle name="Normal 9 3 3 7 2 2" xfId="15404" xr:uid="{3161DCEE-9FC7-450A-A834-43DEA61ACB2B}"/>
    <cellStyle name="Normal 9 3 3 7 3" xfId="11186" xr:uid="{CA9650EE-A260-4F56-B283-BF800A7C067B}"/>
    <cellStyle name="Normal 9 3 3 8" xfId="4897" xr:uid="{00000000-0005-0000-0000-000021200000}"/>
    <cellStyle name="Normal 9 3 3 8 2" xfId="13339" xr:uid="{432FC9F9-7AB1-4827-B2EC-B74CD209B9B5}"/>
    <cellStyle name="Normal 9 3 3 9" xfId="9121" xr:uid="{3727DF89-8404-4211-B86A-9F0656B66689}"/>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2 2 2" xfId="15899" xr:uid="{FAC8CF41-F288-4E31-B19D-F5D37B26DD86}"/>
    <cellStyle name="Normal 9 3 4 2 2 3" xfId="11681" xr:uid="{B3211589-6152-4624-941D-128D81DA630F}"/>
    <cellStyle name="Normal 9 3 4 2 3" xfId="5312" xr:uid="{00000000-0005-0000-0000-000026200000}"/>
    <cellStyle name="Normal 9 3 4 2 3 2" xfId="13754" xr:uid="{D35D713C-9789-4D7E-9E52-394762E94C42}"/>
    <cellStyle name="Normal 9 3 4 2 4" xfId="9536" xr:uid="{D6FD11C1-4DAE-4B98-BA54-A445A25EB0FB}"/>
    <cellStyle name="Normal 9 3 4 3" xfId="1417" xr:uid="{00000000-0005-0000-0000-000027200000}"/>
    <cellStyle name="Normal 9 3 4 3 2" xfId="3647" xr:uid="{00000000-0005-0000-0000-000028200000}"/>
    <cellStyle name="Normal 9 3 4 3 2 2" xfId="7870" xr:uid="{00000000-0005-0000-0000-000029200000}"/>
    <cellStyle name="Normal 9 3 4 3 2 2 2" xfId="16312" xr:uid="{6EBB2C3F-950F-4F20-A50B-B5B5F90B3A36}"/>
    <cellStyle name="Normal 9 3 4 3 2 3" xfId="12094" xr:uid="{7158618E-F8CC-47C5-A128-41003D8EE4E6}"/>
    <cellStyle name="Normal 9 3 4 3 3" xfId="5725" xr:uid="{00000000-0005-0000-0000-00002A200000}"/>
    <cellStyle name="Normal 9 3 4 3 3 2" xfId="14167" xr:uid="{C45DBC35-80B4-401E-A90E-852B7B9DE50C}"/>
    <cellStyle name="Normal 9 3 4 3 4" xfId="9949" xr:uid="{186D6A2D-DBA9-4A23-B810-FAE8CAD354E0}"/>
    <cellStyle name="Normal 9 3 4 4" xfId="1830" xr:uid="{00000000-0005-0000-0000-00002B200000}"/>
    <cellStyle name="Normal 9 3 4 4 2" xfId="4060" xr:uid="{00000000-0005-0000-0000-00002C200000}"/>
    <cellStyle name="Normal 9 3 4 4 2 2" xfId="8283" xr:uid="{00000000-0005-0000-0000-00002D200000}"/>
    <cellStyle name="Normal 9 3 4 4 2 2 2" xfId="16725" xr:uid="{00073120-879F-4DE8-8870-A45840D57EA0}"/>
    <cellStyle name="Normal 9 3 4 4 2 3" xfId="12507" xr:uid="{94F843D9-643B-42A5-83DD-3BC01C42500D}"/>
    <cellStyle name="Normal 9 3 4 4 3" xfId="6138" xr:uid="{00000000-0005-0000-0000-00002E200000}"/>
    <cellStyle name="Normal 9 3 4 4 3 2" xfId="14580" xr:uid="{539FB6B9-5117-468C-B69B-2D59491652BB}"/>
    <cellStyle name="Normal 9 3 4 4 4" xfId="10362" xr:uid="{4CB31ED8-2311-4255-BF62-B58052127E79}"/>
    <cellStyle name="Normal 9 3 4 5" xfId="2244" xr:uid="{00000000-0005-0000-0000-00002F200000}"/>
    <cellStyle name="Normal 9 3 4 5 2" xfId="4473" xr:uid="{00000000-0005-0000-0000-000030200000}"/>
    <cellStyle name="Normal 9 3 4 5 2 2" xfId="8696" xr:uid="{00000000-0005-0000-0000-000031200000}"/>
    <cellStyle name="Normal 9 3 4 5 2 2 2" xfId="17138" xr:uid="{155686C2-3512-4224-8A39-5FAB5D09C069}"/>
    <cellStyle name="Normal 9 3 4 5 2 3" xfId="12920" xr:uid="{11AAE60B-AC62-4BEB-B814-099DC84539E2}"/>
    <cellStyle name="Normal 9 3 4 5 3" xfId="6551" xr:uid="{00000000-0005-0000-0000-000032200000}"/>
    <cellStyle name="Normal 9 3 4 5 3 2" xfId="14993" xr:uid="{6A580702-03DE-4C20-ADA2-5A9093A3D4C4}"/>
    <cellStyle name="Normal 9 3 4 5 4" xfId="10775" xr:uid="{DFD952C1-1A1C-443D-9603-5E2ED75FC507}"/>
    <cellStyle name="Normal 9 3 4 6" xfId="2680" xr:uid="{00000000-0005-0000-0000-000033200000}"/>
    <cellStyle name="Normal 9 3 4 6 2" xfId="6964" xr:uid="{00000000-0005-0000-0000-000034200000}"/>
    <cellStyle name="Normal 9 3 4 6 2 2" xfId="15406" xr:uid="{F12B4E5D-0A88-4514-AAC7-3E080EF28831}"/>
    <cellStyle name="Normal 9 3 4 6 3" xfId="11188" xr:uid="{016157F0-7753-410F-8528-AFC348841075}"/>
    <cellStyle name="Normal 9 3 4 7" xfId="4899" xr:uid="{00000000-0005-0000-0000-000035200000}"/>
    <cellStyle name="Normal 9 3 4 7 2" xfId="13341" xr:uid="{76736E5B-6254-4A60-973C-D9A13BDD99EA}"/>
    <cellStyle name="Normal 9 3 4 8" xfId="9123" xr:uid="{294261AB-21AE-4738-B87B-A54826F7C24F}"/>
    <cellStyle name="Normal 9 3 5" xfId="994" xr:uid="{00000000-0005-0000-0000-000036200000}"/>
    <cellStyle name="Normal 9 3 5 2" xfId="3227" xr:uid="{00000000-0005-0000-0000-000037200000}"/>
    <cellStyle name="Normal 9 3 5 2 2" xfId="7450" xr:uid="{00000000-0005-0000-0000-000038200000}"/>
    <cellStyle name="Normal 9 3 5 2 2 2" xfId="15892" xr:uid="{4D381517-9352-4205-97E4-45636E01FD3F}"/>
    <cellStyle name="Normal 9 3 5 2 3" xfId="11674" xr:uid="{1C778D40-BB42-4556-B180-31D4CAF27DD8}"/>
    <cellStyle name="Normal 9 3 5 3" xfId="5305" xr:uid="{00000000-0005-0000-0000-000039200000}"/>
    <cellStyle name="Normal 9 3 5 3 2" xfId="13747" xr:uid="{1F26BE16-3F8E-4D1B-AA58-054060E65A6E}"/>
    <cellStyle name="Normal 9 3 5 4" xfId="9529" xr:uid="{8296C152-E4F1-408F-93C2-C1AEB5C15617}"/>
    <cellStyle name="Normal 9 3 6" xfId="1410" xr:uid="{00000000-0005-0000-0000-00003A200000}"/>
    <cellStyle name="Normal 9 3 6 2" xfId="3640" xr:uid="{00000000-0005-0000-0000-00003B200000}"/>
    <cellStyle name="Normal 9 3 6 2 2" xfId="7863" xr:uid="{00000000-0005-0000-0000-00003C200000}"/>
    <cellStyle name="Normal 9 3 6 2 2 2" xfId="16305" xr:uid="{EA9AEB38-1D2F-408F-AB1D-ECD6E20B504E}"/>
    <cellStyle name="Normal 9 3 6 2 3" xfId="12087" xr:uid="{6E4900AA-5521-4082-BAE2-E1092D561AB9}"/>
    <cellStyle name="Normal 9 3 6 3" xfId="5718" xr:uid="{00000000-0005-0000-0000-00003D200000}"/>
    <cellStyle name="Normal 9 3 6 3 2" xfId="14160" xr:uid="{45908C1C-459B-4D9F-9612-54199AFA02ED}"/>
    <cellStyle name="Normal 9 3 6 4" xfId="9942" xr:uid="{BB08A990-7668-459D-9050-5293DDD9D2EB}"/>
    <cellStyle name="Normal 9 3 7" xfId="1823" xr:uid="{00000000-0005-0000-0000-00003E200000}"/>
    <cellStyle name="Normal 9 3 7 2" xfId="4053" xr:uid="{00000000-0005-0000-0000-00003F200000}"/>
    <cellStyle name="Normal 9 3 7 2 2" xfId="8276" xr:uid="{00000000-0005-0000-0000-000040200000}"/>
    <cellStyle name="Normal 9 3 7 2 2 2" xfId="16718" xr:uid="{7643F182-4EBD-4027-B0A7-6EF28747ADBE}"/>
    <cellStyle name="Normal 9 3 7 2 3" xfId="12500" xr:uid="{00194D7A-8D5C-4634-8822-054ED1AF684A}"/>
    <cellStyle name="Normal 9 3 7 3" xfId="6131" xr:uid="{00000000-0005-0000-0000-000041200000}"/>
    <cellStyle name="Normal 9 3 7 3 2" xfId="14573" xr:uid="{C33B5CDD-E724-410E-B394-DDD21913EF36}"/>
    <cellStyle name="Normal 9 3 7 4" xfId="10355" xr:uid="{8ADCA4D6-F112-412F-A528-73A8F713106A}"/>
    <cellStyle name="Normal 9 3 8" xfId="2237" xr:uid="{00000000-0005-0000-0000-000042200000}"/>
    <cellStyle name="Normal 9 3 8 2" xfId="4466" xr:uid="{00000000-0005-0000-0000-000043200000}"/>
    <cellStyle name="Normal 9 3 8 2 2" xfId="8689" xr:uid="{00000000-0005-0000-0000-000044200000}"/>
    <cellStyle name="Normal 9 3 8 2 2 2" xfId="17131" xr:uid="{911E02E9-84AC-413D-A124-FD1161C9D7FF}"/>
    <cellStyle name="Normal 9 3 8 2 3" xfId="12913" xr:uid="{793268C6-E6AC-4701-B3A6-C1F3922F1066}"/>
    <cellStyle name="Normal 9 3 8 3" xfId="6544" xr:uid="{00000000-0005-0000-0000-000045200000}"/>
    <cellStyle name="Normal 9 3 8 3 2" xfId="14986" xr:uid="{8FE3A401-883A-4E2F-970C-D0D08DD9F2E1}"/>
    <cellStyle name="Normal 9 3 8 4" xfId="10768" xr:uid="{835059C3-8A1C-46B1-8924-2A195459C139}"/>
    <cellStyle name="Normal 9 3 9" xfId="2673" xr:uid="{00000000-0005-0000-0000-000046200000}"/>
    <cellStyle name="Normal 9 3 9 2" xfId="6957" xr:uid="{00000000-0005-0000-0000-000047200000}"/>
    <cellStyle name="Normal 9 3 9 2 2" xfId="15399" xr:uid="{463779D2-D465-40F0-97BA-6CC57743086E}"/>
    <cellStyle name="Normal 9 3 9 3" xfId="11181" xr:uid="{2B004380-AFCD-442A-8D06-E1588C094836}"/>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2 2 2" xfId="15901" xr:uid="{03B28814-777F-487A-9736-1A269DED9188}"/>
    <cellStyle name="Normal 9 5 2 2 2 3" xfId="11683" xr:uid="{8FAC18C6-CDD7-40FB-80F6-2328E0D11181}"/>
    <cellStyle name="Normal 9 5 2 2 3" xfId="5314" xr:uid="{00000000-0005-0000-0000-00004F200000}"/>
    <cellStyle name="Normal 9 5 2 2 3 2" xfId="13756" xr:uid="{9A62FA00-4924-4207-8ECF-036F99C200A0}"/>
    <cellStyle name="Normal 9 5 2 2 4" xfId="9538" xr:uid="{B32E71AE-1E39-4608-B7FD-05049A14127F}"/>
    <cellStyle name="Normal 9 5 2 3" xfId="1419" xr:uid="{00000000-0005-0000-0000-000050200000}"/>
    <cellStyle name="Normal 9 5 2 3 2" xfId="3649" xr:uid="{00000000-0005-0000-0000-000051200000}"/>
    <cellStyle name="Normal 9 5 2 3 2 2" xfId="7872" xr:uid="{00000000-0005-0000-0000-000052200000}"/>
    <cellStyle name="Normal 9 5 2 3 2 2 2" xfId="16314" xr:uid="{F4C8EC4C-5043-474E-9092-C37C9A3C4A01}"/>
    <cellStyle name="Normal 9 5 2 3 2 3" xfId="12096" xr:uid="{1DA6D7CC-64B0-45D4-B1A6-2BEBE63B784C}"/>
    <cellStyle name="Normal 9 5 2 3 3" xfId="5727" xr:uid="{00000000-0005-0000-0000-000053200000}"/>
    <cellStyle name="Normal 9 5 2 3 3 2" xfId="14169" xr:uid="{7C863AC4-ACC6-45DA-B5C4-E28954D742E7}"/>
    <cellStyle name="Normal 9 5 2 3 4" xfId="9951" xr:uid="{B01A7238-80C5-4E27-9EED-F5E546F1A0FC}"/>
    <cellStyle name="Normal 9 5 2 4" xfId="1832" xr:uid="{00000000-0005-0000-0000-000054200000}"/>
    <cellStyle name="Normal 9 5 2 4 2" xfId="4062" xr:uid="{00000000-0005-0000-0000-000055200000}"/>
    <cellStyle name="Normal 9 5 2 4 2 2" xfId="8285" xr:uid="{00000000-0005-0000-0000-000056200000}"/>
    <cellStyle name="Normal 9 5 2 4 2 2 2" xfId="16727" xr:uid="{5DA0D0E9-66B8-4832-9215-35C6306B2055}"/>
    <cellStyle name="Normal 9 5 2 4 2 3" xfId="12509" xr:uid="{66FB7673-BDEB-4A55-BD7E-7CBD22BB2F80}"/>
    <cellStyle name="Normal 9 5 2 4 3" xfId="6140" xr:uid="{00000000-0005-0000-0000-000057200000}"/>
    <cellStyle name="Normal 9 5 2 4 3 2" xfId="14582" xr:uid="{A9292256-C4DC-475B-B977-83B6A47C6AF1}"/>
    <cellStyle name="Normal 9 5 2 4 4" xfId="10364" xr:uid="{10783E3F-9CCB-47EC-BD36-700F3AB1B10E}"/>
    <cellStyle name="Normal 9 5 2 5" xfId="2246" xr:uid="{00000000-0005-0000-0000-000058200000}"/>
    <cellStyle name="Normal 9 5 2 5 2" xfId="4475" xr:uid="{00000000-0005-0000-0000-000059200000}"/>
    <cellStyle name="Normal 9 5 2 5 2 2" xfId="8698" xr:uid="{00000000-0005-0000-0000-00005A200000}"/>
    <cellStyle name="Normal 9 5 2 5 2 2 2" xfId="17140" xr:uid="{4CE2F5A5-28AF-48EF-AE4C-72A588F396D5}"/>
    <cellStyle name="Normal 9 5 2 5 2 3" xfId="12922" xr:uid="{301AA141-A0F0-412A-9525-0FF3B02B3398}"/>
    <cellStyle name="Normal 9 5 2 5 3" xfId="6553" xr:uid="{00000000-0005-0000-0000-00005B200000}"/>
    <cellStyle name="Normal 9 5 2 5 3 2" xfId="14995" xr:uid="{83BB61E6-D2A1-4FD0-A56D-10AA5316EFA1}"/>
    <cellStyle name="Normal 9 5 2 5 4" xfId="10777" xr:uid="{C8111936-C366-46E2-A1E5-A78F2E4210B5}"/>
    <cellStyle name="Normal 9 5 2 6" xfId="2682" xr:uid="{00000000-0005-0000-0000-00005C200000}"/>
    <cellStyle name="Normal 9 5 2 6 2" xfId="6966" xr:uid="{00000000-0005-0000-0000-00005D200000}"/>
    <cellStyle name="Normal 9 5 2 6 2 2" xfId="15408" xr:uid="{417DB3EA-76A7-4226-8941-C13D53DD8598}"/>
    <cellStyle name="Normal 9 5 2 6 3" xfId="11190" xr:uid="{CAD1CA9F-A530-4E0E-8913-B2F1D274795F}"/>
    <cellStyle name="Normal 9 5 2 7" xfId="4901" xr:uid="{00000000-0005-0000-0000-00005E200000}"/>
    <cellStyle name="Normal 9 5 2 7 2" xfId="13343" xr:uid="{4F0BB368-A7D2-4E0C-B454-483CBAE952DC}"/>
    <cellStyle name="Normal 9 5 2 8" xfId="9125" xr:uid="{1BD10070-95D0-43D6-8109-BEE814C44766}"/>
    <cellStyle name="Normal 9 5 3" xfId="1003" xr:uid="{00000000-0005-0000-0000-00005F200000}"/>
    <cellStyle name="Normal 9 5 3 2" xfId="3235" xr:uid="{00000000-0005-0000-0000-000060200000}"/>
    <cellStyle name="Normal 9 5 3 2 2" xfId="7458" xr:uid="{00000000-0005-0000-0000-000061200000}"/>
    <cellStyle name="Normal 9 5 3 2 2 2" xfId="15900" xr:uid="{951BB760-208E-4077-A4BE-F2E213A2CE8A}"/>
    <cellStyle name="Normal 9 5 3 2 3" xfId="11682" xr:uid="{BA388FEA-9F25-4850-8CA3-821CC7A1DC33}"/>
    <cellStyle name="Normal 9 5 3 3" xfId="5313" xr:uid="{00000000-0005-0000-0000-000062200000}"/>
    <cellStyle name="Normal 9 5 3 3 2" xfId="13755" xr:uid="{60474673-171F-4C94-BF7F-10B5E9D7D938}"/>
    <cellStyle name="Normal 9 5 3 4" xfId="9537" xr:uid="{3004351D-8A56-4DB2-8B90-BA310C39729D}"/>
    <cellStyle name="Normal 9 5 4" xfId="1418" xr:uid="{00000000-0005-0000-0000-000063200000}"/>
    <cellStyle name="Normal 9 5 4 2" xfId="3648" xr:uid="{00000000-0005-0000-0000-000064200000}"/>
    <cellStyle name="Normal 9 5 4 2 2" xfId="7871" xr:uid="{00000000-0005-0000-0000-000065200000}"/>
    <cellStyle name="Normal 9 5 4 2 2 2" xfId="16313" xr:uid="{717A432F-BF0F-4795-BD9B-49870E6CA6CE}"/>
    <cellStyle name="Normal 9 5 4 2 3" xfId="12095" xr:uid="{09C6632E-0EF3-416F-A1B1-7A9F9E79C430}"/>
    <cellStyle name="Normal 9 5 4 3" xfId="5726" xr:uid="{00000000-0005-0000-0000-000066200000}"/>
    <cellStyle name="Normal 9 5 4 3 2" xfId="14168" xr:uid="{82A98AB0-D592-465A-B355-FBB85BF154A5}"/>
    <cellStyle name="Normal 9 5 4 4" xfId="9950" xr:uid="{094B73FD-5FC1-48B3-A894-9F9FC95F9157}"/>
    <cellStyle name="Normal 9 5 5" xfId="1831" xr:uid="{00000000-0005-0000-0000-000067200000}"/>
    <cellStyle name="Normal 9 5 5 2" xfId="4061" xr:uid="{00000000-0005-0000-0000-000068200000}"/>
    <cellStyle name="Normal 9 5 5 2 2" xfId="8284" xr:uid="{00000000-0005-0000-0000-000069200000}"/>
    <cellStyle name="Normal 9 5 5 2 2 2" xfId="16726" xr:uid="{B797337F-6B42-4DB5-AD78-66F1EFEE6E84}"/>
    <cellStyle name="Normal 9 5 5 2 3" xfId="12508" xr:uid="{461DC5EF-F40C-43CC-8E5D-606A720F50B0}"/>
    <cellStyle name="Normal 9 5 5 3" xfId="6139" xr:uid="{00000000-0005-0000-0000-00006A200000}"/>
    <cellStyle name="Normal 9 5 5 3 2" xfId="14581" xr:uid="{2E3C9EAA-9201-4355-B52E-DC9D287F8697}"/>
    <cellStyle name="Normal 9 5 5 4" xfId="10363" xr:uid="{CA0A6CB9-D712-44E3-BE3C-7EBE82C56CAC}"/>
    <cellStyle name="Normal 9 5 6" xfId="2245" xr:uid="{00000000-0005-0000-0000-00006B200000}"/>
    <cellStyle name="Normal 9 5 6 2" xfId="4474" xr:uid="{00000000-0005-0000-0000-00006C200000}"/>
    <cellStyle name="Normal 9 5 6 2 2" xfId="8697" xr:uid="{00000000-0005-0000-0000-00006D200000}"/>
    <cellStyle name="Normal 9 5 6 2 2 2" xfId="17139" xr:uid="{5C7DFE60-7F65-4D9A-AF05-1E6484F677DB}"/>
    <cellStyle name="Normal 9 5 6 2 3" xfId="12921" xr:uid="{74A56B75-B304-4FCF-8350-84ED6EF8F61C}"/>
    <cellStyle name="Normal 9 5 6 3" xfId="6552" xr:uid="{00000000-0005-0000-0000-00006E200000}"/>
    <cellStyle name="Normal 9 5 6 3 2" xfId="14994" xr:uid="{18A74975-C772-4FD9-9B66-E5C19A3FB8E6}"/>
    <cellStyle name="Normal 9 5 6 4" xfId="10776" xr:uid="{A3469402-A31C-48D6-A514-C4D1E9B6D52B}"/>
    <cellStyle name="Normal 9 5 7" xfId="2681" xr:uid="{00000000-0005-0000-0000-00006F200000}"/>
    <cellStyle name="Normal 9 5 7 2" xfId="6965" xr:uid="{00000000-0005-0000-0000-000070200000}"/>
    <cellStyle name="Normal 9 5 7 2 2" xfId="15407" xr:uid="{D04B51C1-2F90-494C-9734-32B44D6BD43F}"/>
    <cellStyle name="Normal 9 5 7 3" xfId="11189" xr:uid="{9C96593E-708E-46C5-8891-106C5868584A}"/>
    <cellStyle name="Normal 9 5 8" xfId="4900" xr:uid="{00000000-0005-0000-0000-000071200000}"/>
    <cellStyle name="Normal 9 5 8 2" xfId="13342" xr:uid="{EF8B4AF4-293E-4B1D-B4DD-71B4E9126108}"/>
    <cellStyle name="Normal 9 5 9" xfId="9124" xr:uid="{79FE8BBB-9757-4570-BD2D-0A377537CA6E}"/>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2 2 2" xfId="15902" xr:uid="{455F42DC-A034-43E4-B1C3-B91CD266F4FB}"/>
    <cellStyle name="Normal 9 6 2 2 3" xfId="11684" xr:uid="{8C4E0DFD-24B3-4645-A05D-8843A93BE318}"/>
    <cellStyle name="Normal 9 6 2 3" xfId="5315" xr:uid="{00000000-0005-0000-0000-000076200000}"/>
    <cellStyle name="Normal 9 6 2 3 2" xfId="13757" xr:uid="{D3F2B5D7-8B53-482C-8E25-6D1B6DA144F2}"/>
    <cellStyle name="Normal 9 6 2 4" xfId="9539" xr:uid="{C2980578-88D0-4459-B6FC-2EDA033A41BC}"/>
    <cellStyle name="Normal 9 6 3" xfId="1420" xr:uid="{00000000-0005-0000-0000-000077200000}"/>
    <cellStyle name="Normal 9 6 3 2" xfId="3650" xr:uid="{00000000-0005-0000-0000-000078200000}"/>
    <cellStyle name="Normal 9 6 3 2 2" xfId="7873" xr:uid="{00000000-0005-0000-0000-000079200000}"/>
    <cellStyle name="Normal 9 6 3 2 2 2" xfId="16315" xr:uid="{F03E3439-A3D2-48EE-A122-7E05107F57F1}"/>
    <cellStyle name="Normal 9 6 3 2 3" xfId="12097" xr:uid="{BEA01929-50B3-4BA2-8A45-4874BF4529B9}"/>
    <cellStyle name="Normal 9 6 3 3" xfId="5728" xr:uid="{00000000-0005-0000-0000-00007A200000}"/>
    <cellStyle name="Normal 9 6 3 3 2" xfId="14170" xr:uid="{FF1B9A37-AE6F-493C-B626-28522F077BD8}"/>
    <cellStyle name="Normal 9 6 3 4" xfId="9952" xr:uid="{17026753-F5A2-4365-9CCC-C878BE96CB55}"/>
    <cellStyle name="Normal 9 6 4" xfId="1833" xr:uid="{00000000-0005-0000-0000-00007B200000}"/>
    <cellStyle name="Normal 9 6 4 2" xfId="4063" xr:uid="{00000000-0005-0000-0000-00007C200000}"/>
    <cellStyle name="Normal 9 6 4 2 2" xfId="8286" xr:uid="{00000000-0005-0000-0000-00007D200000}"/>
    <cellStyle name="Normal 9 6 4 2 2 2" xfId="16728" xr:uid="{B23F1393-859C-4CCF-AE2A-F0F50E33596F}"/>
    <cellStyle name="Normal 9 6 4 2 3" xfId="12510" xr:uid="{D6D372C8-1C4D-4D6C-BCFD-4309BEE60C97}"/>
    <cellStyle name="Normal 9 6 4 3" xfId="6141" xr:uid="{00000000-0005-0000-0000-00007E200000}"/>
    <cellStyle name="Normal 9 6 4 3 2" xfId="14583" xr:uid="{3D21A0D0-B3AC-4325-8578-49688F622A01}"/>
    <cellStyle name="Normal 9 6 4 4" xfId="10365" xr:uid="{6993D9A6-AF90-43EB-81F6-955BAE10003A}"/>
    <cellStyle name="Normal 9 6 5" xfId="2247" xr:uid="{00000000-0005-0000-0000-00007F200000}"/>
    <cellStyle name="Normal 9 6 5 2" xfId="4476" xr:uid="{00000000-0005-0000-0000-000080200000}"/>
    <cellStyle name="Normal 9 6 5 2 2" xfId="8699" xr:uid="{00000000-0005-0000-0000-000081200000}"/>
    <cellStyle name="Normal 9 6 5 2 2 2" xfId="17141" xr:uid="{62BFCB5E-5B88-4D66-8E02-465B945B82F9}"/>
    <cellStyle name="Normal 9 6 5 2 3" xfId="12923" xr:uid="{6DAA9E91-AD9C-4FF2-AF28-4EE63BE08296}"/>
    <cellStyle name="Normal 9 6 5 3" xfId="6554" xr:uid="{00000000-0005-0000-0000-000082200000}"/>
    <cellStyle name="Normal 9 6 5 3 2" xfId="14996" xr:uid="{53F3AE07-B406-47BE-AFED-712C5A6C6EAB}"/>
    <cellStyle name="Normal 9 6 5 4" xfId="10778" xr:uid="{57E99A33-0F6C-47BD-8BB4-48C112343701}"/>
    <cellStyle name="Normal 9 6 6" xfId="2683" xr:uid="{00000000-0005-0000-0000-000083200000}"/>
    <cellStyle name="Normal 9 6 6 2" xfId="6967" xr:uid="{00000000-0005-0000-0000-000084200000}"/>
    <cellStyle name="Normal 9 6 6 2 2" xfId="15409" xr:uid="{A187567C-6F96-4159-BB1B-F3ABA694F898}"/>
    <cellStyle name="Normal 9 6 6 3" xfId="11191" xr:uid="{864569F0-588D-4C4B-AC9B-A5FE74A4C69E}"/>
    <cellStyle name="Normal 9 6 7" xfId="4902" xr:uid="{00000000-0005-0000-0000-000085200000}"/>
    <cellStyle name="Normal 9 6 7 2" xfId="13344" xr:uid="{35454743-BEA2-4EB2-9E68-1F2B9CA98FB3}"/>
    <cellStyle name="Normal 9 6 8" xfId="9126" xr:uid="{077C3BCF-A5FF-4D55-AECF-5231A4140AE6}"/>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0 2 2" xfId="15490" xr:uid="{ABAE2CE6-1D7F-49E2-955E-932E109F70FE}"/>
    <cellStyle name="Note 2 2 10 3" xfId="11272" xr:uid="{931746AD-8D4E-45B6-B603-25B52B313E36}"/>
    <cellStyle name="Note 2 2 11" xfId="4903" xr:uid="{00000000-0005-0000-0000-000094200000}"/>
    <cellStyle name="Note 2 2 11 2" xfId="13345" xr:uid="{0B325909-E2B2-462C-9D4D-C6DA5B8596A8}"/>
    <cellStyle name="Note 2 2 12" xfId="9127" xr:uid="{65AACE28-4CCE-45AC-8141-961068046ED9}"/>
    <cellStyle name="Note 2 2 2" xfId="546" xr:uid="{00000000-0005-0000-0000-000095200000}"/>
    <cellStyle name="Note 2 2 2 10" xfId="4904" xr:uid="{00000000-0005-0000-0000-000096200000}"/>
    <cellStyle name="Note 2 2 2 10 2" xfId="13346" xr:uid="{542B5E11-F7B4-4977-BFF1-63CFC3FCC2D3}"/>
    <cellStyle name="Note 2 2 2 11" xfId="9128" xr:uid="{595DE447-98F6-4E53-BDE4-35462646F54C}"/>
    <cellStyle name="Note 2 2 2 2" xfId="547" xr:uid="{00000000-0005-0000-0000-000097200000}"/>
    <cellStyle name="Note 2 2 2 2 10" xfId="9129" xr:uid="{F6058EB8-C75D-400D-928A-EF113BA083AA}"/>
    <cellStyle name="Note 2 2 2 2 2" xfId="1008" xr:uid="{00000000-0005-0000-0000-000098200000}"/>
    <cellStyle name="Note 2 2 2 2 2 2" xfId="3240" xr:uid="{00000000-0005-0000-0000-000099200000}"/>
    <cellStyle name="Note 2 2 2 2 2 2 2" xfId="7463" xr:uid="{00000000-0005-0000-0000-00009A200000}"/>
    <cellStyle name="Note 2 2 2 2 2 2 2 2" xfId="15905" xr:uid="{65C1DAC2-0FBE-4C4D-B497-F023CCD94650}"/>
    <cellStyle name="Note 2 2 2 2 2 2 3" xfId="11687" xr:uid="{B2E02AD2-78CF-4FFC-ACE4-E94EB5DAF68D}"/>
    <cellStyle name="Note 2 2 2 2 2 3" xfId="5318" xr:uid="{00000000-0005-0000-0000-00009B200000}"/>
    <cellStyle name="Note 2 2 2 2 2 3 2" xfId="13760" xr:uid="{FCF6E995-D4E8-405E-80B6-2302D6044E90}"/>
    <cellStyle name="Note 2 2 2 2 2 4" xfId="9542" xr:uid="{5E414912-E1D1-4545-854D-487EF2734E13}"/>
    <cellStyle name="Note 2 2 2 2 3" xfId="1423" xr:uid="{00000000-0005-0000-0000-00009C200000}"/>
    <cellStyle name="Note 2 2 2 2 3 2" xfId="3653" xr:uid="{00000000-0005-0000-0000-00009D200000}"/>
    <cellStyle name="Note 2 2 2 2 3 2 2" xfId="7876" xr:uid="{00000000-0005-0000-0000-00009E200000}"/>
    <cellStyle name="Note 2 2 2 2 3 2 2 2" xfId="16318" xr:uid="{ACE416F7-A92A-42E3-AACD-ACF311042AD8}"/>
    <cellStyle name="Note 2 2 2 2 3 2 3" xfId="12100" xr:uid="{1FA1A293-CC05-4B3C-A4A8-CF4EB688B106}"/>
    <cellStyle name="Note 2 2 2 2 3 3" xfId="5731" xr:uid="{00000000-0005-0000-0000-00009F200000}"/>
    <cellStyle name="Note 2 2 2 2 3 3 2" xfId="14173" xr:uid="{C3AD61DF-43A3-4734-BC9B-2CAD421EC738}"/>
    <cellStyle name="Note 2 2 2 2 3 4" xfId="9955" xr:uid="{26A03860-72A6-4CE0-845A-1CF2B6AD4486}"/>
    <cellStyle name="Note 2 2 2 2 4" xfId="1837" xr:uid="{00000000-0005-0000-0000-0000A0200000}"/>
    <cellStyle name="Note 2 2 2 2 4 2" xfId="4066" xr:uid="{00000000-0005-0000-0000-0000A1200000}"/>
    <cellStyle name="Note 2 2 2 2 4 2 2" xfId="8289" xr:uid="{00000000-0005-0000-0000-0000A2200000}"/>
    <cellStyle name="Note 2 2 2 2 4 2 2 2" xfId="16731" xr:uid="{D82BCE35-A9C1-4A73-AFB9-7EC212942C2A}"/>
    <cellStyle name="Note 2 2 2 2 4 2 3" xfId="12513" xr:uid="{CF1BE79B-14EE-4061-8479-4533946F241C}"/>
    <cellStyle name="Note 2 2 2 2 4 3" xfId="6144" xr:uid="{00000000-0005-0000-0000-0000A3200000}"/>
    <cellStyle name="Note 2 2 2 2 4 3 2" xfId="14586" xr:uid="{6F9079D5-7BB4-4329-9CEF-233C1A1F15C5}"/>
    <cellStyle name="Note 2 2 2 2 4 4" xfId="10368" xr:uid="{82095ACE-472B-4E6C-9B37-A092DE046FBB}"/>
    <cellStyle name="Note 2 2 2 2 5" xfId="2250" xr:uid="{00000000-0005-0000-0000-0000A4200000}"/>
    <cellStyle name="Note 2 2 2 2 5 2" xfId="4479" xr:uid="{00000000-0005-0000-0000-0000A5200000}"/>
    <cellStyle name="Note 2 2 2 2 5 2 2" xfId="8702" xr:uid="{00000000-0005-0000-0000-0000A6200000}"/>
    <cellStyle name="Note 2 2 2 2 5 2 2 2" xfId="17144" xr:uid="{0CE1519C-1788-4385-AD88-28311033FEDC}"/>
    <cellStyle name="Note 2 2 2 2 5 2 3" xfId="12926" xr:uid="{B3973BE7-CF9C-431F-89C3-BEE8036C2752}"/>
    <cellStyle name="Note 2 2 2 2 5 3" xfId="6557" xr:uid="{00000000-0005-0000-0000-0000A7200000}"/>
    <cellStyle name="Note 2 2 2 2 5 3 2" xfId="14999" xr:uid="{153F5C47-4C34-472E-A5A4-539DC8CFD9FC}"/>
    <cellStyle name="Note 2 2 2 2 5 4" xfId="10781" xr:uid="{014D6405-0EB7-48AD-9D84-0CC47B44D697}"/>
    <cellStyle name="Note 2 2 2 2 6" xfId="2686" xr:uid="{00000000-0005-0000-0000-0000A8200000}"/>
    <cellStyle name="Note 2 2 2 2 6 2" xfId="6970" xr:uid="{00000000-0005-0000-0000-0000A9200000}"/>
    <cellStyle name="Note 2 2 2 2 6 2 2" xfId="15412" xr:uid="{0CAA31D5-1AF9-4788-BCC1-24CB01B8D1A8}"/>
    <cellStyle name="Note 2 2 2 2 6 3" xfId="11194" xr:uid="{B865F065-94F3-45CC-B0C8-A423CC48ABB0}"/>
    <cellStyle name="Note 2 2 2 2 7" xfId="2745" xr:uid="{00000000-0005-0000-0000-0000AA200000}"/>
    <cellStyle name="Note 2 2 2 2 8" xfId="2826" xr:uid="{00000000-0005-0000-0000-0000AB200000}"/>
    <cellStyle name="Note 2 2 2 2 8 2" xfId="7050" xr:uid="{00000000-0005-0000-0000-0000AC200000}"/>
    <cellStyle name="Note 2 2 2 2 8 2 2" xfId="15492" xr:uid="{9F94AE78-4F7F-48D3-BD3E-6B324577EFF5}"/>
    <cellStyle name="Note 2 2 2 2 8 3" xfId="11274" xr:uid="{7D0D8B58-D071-4DF9-B776-BE57FC1F59BF}"/>
    <cellStyle name="Note 2 2 2 2 9" xfId="4905" xr:uid="{00000000-0005-0000-0000-0000AD200000}"/>
    <cellStyle name="Note 2 2 2 2 9 2" xfId="13347" xr:uid="{45A32A23-A96A-4D29-BF5A-81BEFE550790}"/>
    <cellStyle name="Note 2 2 2 3" xfId="1007" xr:uid="{00000000-0005-0000-0000-0000AE200000}"/>
    <cellStyle name="Note 2 2 2 3 2" xfId="3239" xr:uid="{00000000-0005-0000-0000-0000AF200000}"/>
    <cellStyle name="Note 2 2 2 3 2 2" xfId="7462" xr:uid="{00000000-0005-0000-0000-0000B0200000}"/>
    <cellStyle name="Note 2 2 2 3 2 2 2" xfId="15904" xr:uid="{647FF6D2-748F-4658-A71C-0C87A8B1367C}"/>
    <cellStyle name="Note 2 2 2 3 2 3" xfId="11686" xr:uid="{50927DA2-1D5F-43DB-9E68-477239D88E6D}"/>
    <cellStyle name="Note 2 2 2 3 3" xfId="5317" xr:uid="{00000000-0005-0000-0000-0000B1200000}"/>
    <cellStyle name="Note 2 2 2 3 3 2" xfId="13759" xr:uid="{148F86A0-9A35-4880-851E-1E3F58E1AA95}"/>
    <cellStyle name="Note 2 2 2 3 4" xfId="9541" xr:uid="{E6CCD9CA-6715-4A2F-ACF6-D13B401892E3}"/>
    <cellStyle name="Note 2 2 2 4" xfId="1422" xr:uid="{00000000-0005-0000-0000-0000B2200000}"/>
    <cellStyle name="Note 2 2 2 4 2" xfId="3652" xr:uid="{00000000-0005-0000-0000-0000B3200000}"/>
    <cellStyle name="Note 2 2 2 4 2 2" xfId="7875" xr:uid="{00000000-0005-0000-0000-0000B4200000}"/>
    <cellStyle name="Note 2 2 2 4 2 2 2" xfId="16317" xr:uid="{67925173-4B66-45F4-9E0C-784B65E4DECB}"/>
    <cellStyle name="Note 2 2 2 4 2 3" xfId="12099" xr:uid="{36A37DCA-7933-4A3E-BD7C-BD53D0B4691B}"/>
    <cellStyle name="Note 2 2 2 4 3" xfId="5730" xr:uid="{00000000-0005-0000-0000-0000B5200000}"/>
    <cellStyle name="Note 2 2 2 4 3 2" xfId="14172" xr:uid="{AB028B35-754E-4914-BCF9-3D0ADE1C2849}"/>
    <cellStyle name="Note 2 2 2 4 4" xfId="9954" xr:uid="{6D082A00-3796-49BA-B2B4-855B425EF93B}"/>
    <cellStyle name="Note 2 2 2 5" xfId="1836" xr:uid="{00000000-0005-0000-0000-0000B6200000}"/>
    <cellStyle name="Note 2 2 2 5 2" xfId="4065" xr:uid="{00000000-0005-0000-0000-0000B7200000}"/>
    <cellStyle name="Note 2 2 2 5 2 2" xfId="8288" xr:uid="{00000000-0005-0000-0000-0000B8200000}"/>
    <cellStyle name="Note 2 2 2 5 2 2 2" xfId="16730" xr:uid="{31C6AD12-4479-4A2C-B815-F72DDFFFC60D}"/>
    <cellStyle name="Note 2 2 2 5 2 3" xfId="12512" xr:uid="{2A40498A-02D2-4FA0-AB2E-2209E69428C4}"/>
    <cellStyle name="Note 2 2 2 5 3" xfId="6143" xr:uid="{00000000-0005-0000-0000-0000B9200000}"/>
    <cellStyle name="Note 2 2 2 5 3 2" xfId="14585" xr:uid="{B25B105C-1B9E-469F-8A9E-5F68982B40C7}"/>
    <cellStyle name="Note 2 2 2 5 4" xfId="10367" xr:uid="{E6B28A01-42BD-4CBD-B8AC-0286AC49D1B9}"/>
    <cellStyle name="Note 2 2 2 6" xfId="2249" xr:uid="{00000000-0005-0000-0000-0000BA200000}"/>
    <cellStyle name="Note 2 2 2 6 2" xfId="4478" xr:uid="{00000000-0005-0000-0000-0000BB200000}"/>
    <cellStyle name="Note 2 2 2 6 2 2" xfId="8701" xr:uid="{00000000-0005-0000-0000-0000BC200000}"/>
    <cellStyle name="Note 2 2 2 6 2 2 2" xfId="17143" xr:uid="{AA07DE3F-B380-4B92-9551-C486BA57041B}"/>
    <cellStyle name="Note 2 2 2 6 2 3" xfId="12925" xr:uid="{238D9277-7013-4666-A747-D30F2F6CBE4F}"/>
    <cellStyle name="Note 2 2 2 6 3" xfId="6556" xr:uid="{00000000-0005-0000-0000-0000BD200000}"/>
    <cellStyle name="Note 2 2 2 6 3 2" xfId="14998" xr:uid="{93ACF3F2-E0DD-4524-8043-2AB61331B8E2}"/>
    <cellStyle name="Note 2 2 2 6 4" xfId="10780" xr:uid="{87255959-EDF0-4E91-8E5B-9D41C25BEE83}"/>
    <cellStyle name="Note 2 2 2 7" xfId="2685" xr:uid="{00000000-0005-0000-0000-0000BE200000}"/>
    <cellStyle name="Note 2 2 2 7 2" xfId="6969" xr:uid="{00000000-0005-0000-0000-0000BF200000}"/>
    <cellStyle name="Note 2 2 2 7 2 2" xfId="15411" xr:uid="{C042ECF1-2493-487B-8AED-F89F32EF8963}"/>
    <cellStyle name="Note 2 2 2 7 3" xfId="11193" xr:uid="{31717BB9-409C-40E5-9059-E8280FABC628}"/>
    <cellStyle name="Note 2 2 2 8" xfId="2744" xr:uid="{00000000-0005-0000-0000-0000C0200000}"/>
    <cellStyle name="Note 2 2 2 9" xfId="2825" xr:uid="{00000000-0005-0000-0000-0000C1200000}"/>
    <cellStyle name="Note 2 2 2 9 2" xfId="7049" xr:uid="{00000000-0005-0000-0000-0000C2200000}"/>
    <cellStyle name="Note 2 2 2 9 2 2" xfId="15491" xr:uid="{8D6A9B5F-BC6B-4F03-97C4-D1D1484114C1}"/>
    <cellStyle name="Note 2 2 2 9 3" xfId="11273" xr:uid="{C7FF7728-30D8-411D-89DA-0F0837CCC6FA}"/>
    <cellStyle name="Note 2 2 3" xfId="548" xr:uid="{00000000-0005-0000-0000-0000C3200000}"/>
    <cellStyle name="Note 2 2 3 10" xfId="9130" xr:uid="{B3FEDDEF-38AF-44D6-BEF5-46C1D040C507}"/>
    <cellStyle name="Note 2 2 3 2" xfId="1009" xr:uid="{00000000-0005-0000-0000-0000C4200000}"/>
    <cellStyle name="Note 2 2 3 2 2" xfId="3241" xr:uid="{00000000-0005-0000-0000-0000C5200000}"/>
    <cellStyle name="Note 2 2 3 2 2 2" xfId="7464" xr:uid="{00000000-0005-0000-0000-0000C6200000}"/>
    <cellStyle name="Note 2 2 3 2 2 2 2" xfId="15906" xr:uid="{F8345B9D-6654-46B5-8882-C6E59D0A1249}"/>
    <cellStyle name="Note 2 2 3 2 2 3" xfId="11688" xr:uid="{2A613BD1-BE53-4EA7-A687-875C075E1BE5}"/>
    <cellStyle name="Note 2 2 3 2 3" xfId="5319" xr:uid="{00000000-0005-0000-0000-0000C7200000}"/>
    <cellStyle name="Note 2 2 3 2 3 2" xfId="13761" xr:uid="{BF5B780F-C876-4071-BD90-81152B94DE35}"/>
    <cellStyle name="Note 2 2 3 2 4" xfId="9543" xr:uid="{6E889A29-FD91-4DDC-8C42-C007D365DB97}"/>
    <cellStyle name="Note 2 2 3 3" xfId="1424" xr:uid="{00000000-0005-0000-0000-0000C8200000}"/>
    <cellStyle name="Note 2 2 3 3 2" xfId="3654" xr:uid="{00000000-0005-0000-0000-0000C9200000}"/>
    <cellStyle name="Note 2 2 3 3 2 2" xfId="7877" xr:uid="{00000000-0005-0000-0000-0000CA200000}"/>
    <cellStyle name="Note 2 2 3 3 2 2 2" xfId="16319" xr:uid="{C0233893-D63A-4E74-AC02-29AD7B16B4F5}"/>
    <cellStyle name="Note 2 2 3 3 2 3" xfId="12101" xr:uid="{B23E2F2F-7CB9-48A1-B04D-0C9309CB35B2}"/>
    <cellStyle name="Note 2 2 3 3 3" xfId="5732" xr:uid="{00000000-0005-0000-0000-0000CB200000}"/>
    <cellStyle name="Note 2 2 3 3 3 2" xfId="14174" xr:uid="{8A23A0B9-AEAF-4084-87BC-3AFC1D56A5D7}"/>
    <cellStyle name="Note 2 2 3 3 4" xfId="9956" xr:uid="{22BF8C30-019C-46F2-9185-F657BBFF3FFA}"/>
    <cellStyle name="Note 2 2 3 4" xfId="1838" xr:uid="{00000000-0005-0000-0000-0000CC200000}"/>
    <cellStyle name="Note 2 2 3 4 2" xfId="4067" xr:uid="{00000000-0005-0000-0000-0000CD200000}"/>
    <cellStyle name="Note 2 2 3 4 2 2" xfId="8290" xr:uid="{00000000-0005-0000-0000-0000CE200000}"/>
    <cellStyle name="Note 2 2 3 4 2 2 2" xfId="16732" xr:uid="{41A8CCF1-48B4-425E-8A47-ADA9C1E873F5}"/>
    <cellStyle name="Note 2 2 3 4 2 3" xfId="12514" xr:uid="{62F8C260-7E64-4C01-962A-97121D442B6D}"/>
    <cellStyle name="Note 2 2 3 4 3" xfId="6145" xr:uid="{00000000-0005-0000-0000-0000CF200000}"/>
    <cellStyle name="Note 2 2 3 4 3 2" xfId="14587" xr:uid="{F414C400-D033-4731-AEEE-40784A2C58C8}"/>
    <cellStyle name="Note 2 2 3 4 4" xfId="10369" xr:uid="{8850FB7B-0897-4E73-8CCE-5C8CC1FC67B0}"/>
    <cellStyle name="Note 2 2 3 5" xfId="2251" xr:uid="{00000000-0005-0000-0000-0000D0200000}"/>
    <cellStyle name="Note 2 2 3 5 2" xfId="4480" xr:uid="{00000000-0005-0000-0000-0000D1200000}"/>
    <cellStyle name="Note 2 2 3 5 2 2" xfId="8703" xr:uid="{00000000-0005-0000-0000-0000D2200000}"/>
    <cellStyle name="Note 2 2 3 5 2 2 2" xfId="17145" xr:uid="{FA8E73F6-38FB-43E7-8EBB-8C2FD132BA6F}"/>
    <cellStyle name="Note 2 2 3 5 2 3" xfId="12927" xr:uid="{0AED1B53-F4B0-4585-8CC7-1A94B46AAAF5}"/>
    <cellStyle name="Note 2 2 3 5 3" xfId="6558" xr:uid="{00000000-0005-0000-0000-0000D3200000}"/>
    <cellStyle name="Note 2 2 3 5 3 2" xfId="15000" xr:uid="{D9056DBE-E749-401E-99E0-4143A0B46E0E}"/>
    <cellStyle name="Note 2 2 3 5 4" xfId="10782" xr:uid="{8F811C6A-1125-439C-A121-B6EF456C7E79}"/>
    <cellStyle name="Note 2 2 3 6" xfId="2687" xr:uid="{00000000-0005-0000-0000-0000D4200000}"/>
    <cellStyle name="Note 2 2 3 6 2" xfId="6971" xr:uid="{00000000-0005-0000-0000-0000D5200000}"/>
    <cellStyle name="Note 2 2 3 6 2 2" xfId="15413" xr:uid="{705A2FEA-12A8-4854-B021-520362097349}"/>
    <cellStyle name="Note 2 2 3 6 3" xfId="11195" xr:uid="{09C6EFA3-3AA4-49CA-AC46-614F86772B3A}"/>
    <cellStyle name="Note 2 2 3 7" xfId="2746" xr:uid="{00000000-0005-0000-0000-0000D6200000}"/>
    <cellStyle name="Note 2 2 3 8" xfId="2827" xr:uid="{00000000-0005-0000-0000-0000D7200000}"/>
    <cellStyle name="Note 2 2 3 8 2" xfId="7051" xr:uid="{00000000-0005-0000-0000-0000D8200000}"/>
    <cellStyle name="Note 2 2 3 8 2 2" xfId="15493" xr:uid="{909AC8F2-C024-411D-8FED-D8B127A75B65}"/>
    <cellStyle name="Note 2 2 3 8 3" xfId="11275" xr:uid="{64C709AD-1E25-4369-AB77-13D6FB548D73}"/>
    <cellStyle name="Note 2 2 3 9" xfId="4906" xr:uid="{00000000-0005-0000-0000-0000D9200000}"/>
    <cellStyle name="Note 2 2 3 9 2" xfId="13348" xr:uid="{1D55930C-3F5B-4DB4-9F0E-959D41BAAA21}"/>
    <cellStyle name="Note 2 2 4" xfId="1006" xr:uid="{00000000-0005-0000-0000-0000DA200000}"/>
    <cellStyle name="Note 2 2 4 2" xfId="3238" xr:uid="{00000000-0005-0000-0000-0000DB200000}"/>
    <cellStyle name="Note 2 2 4 2 2" xfId="7461" xr:uid="{00000000-0005-0000-0000-0000DC200000}"/>
    <cellStyle name="Note 2 2 4 2 2 2" xfId="15903" xr:uid="{9CAB4651-B93B-4780-9A3A-AE3ED3797A14}"/>
    <cellStyle name="Note 2 2 4 2 3" xfId="11685" xr:uid="{036AD6D7-97A3-44C3-ABDF-FC5E200F4031}"/>
    <cellStyle name="Note 2 2 4 3" xfId="5316" xr:uid="{00000000-0005-0000-0000-0000DD200000}"/>
    <cellStyle name="Note 2 2 4 3 2" xfId="13758" xr:uid="{7FEDF617-D156-4C4B-AB4D-B64246495865}"/>
    <cellStyle name="Note 2 2 4 4" xfId="9540" xr:uid="{6F6CF3D5-8379-41B4-8759-545D194C0D6E}"/>
    <cellStyle name="Note 2 2 5" xfId="1421" xr:uid="{00000000-0005-0000-0000-0000DE200000}"/>
    <cellStyle name="Note 2 2 5 2" xfId="3651" xr:uid="{00000000-0005-0000-0000-0000DF200000}"/>
    <cellStyle name="Note 2 2 5 2 2" xfId="7874" xr:uid="{00000000-0005-0000-0000-0000E0200000}"/>
    <cellStyle name="Note 2 2 5 2 2 2" xfId="16316" xr:uid="{14C7E81E-64FF-4D69-B0C2-A18AD9023BFD}"/>
    <cellStyle name="Note 2 2 5 2 3" xfId="12098" xr:uid="{52AFD73F-754A-4275-AC72-0AB882BA7B68}"/>
    <cellStyle name="Note 2 2 5 3" xfId="5729" xr:uid="{00000000-0005-0000-0000-0000E1200000}"/>
    <cellStyle name="Note 2 2 5 3 2" xfId="14171" xr:uid="{36A0F9F3-4EB1-4538-ACD2-9F04B02D78FA}"/>
    <cellStyle name="Note 2 2 5 4" xfId="9953" xr:uid="{67E6CF11-B086-42F2-B0DE-2669E3FF6232}"/>
    <cellStyle name="Note 2 2 6" xfId="1835" xr:uid="{00000000-0005-0000-0000-0000E2200000}"/>
    <cellStyle name="Note 2 2 6 2" xfId="4064" xr:uid="{00000000-0005-0000-0000-0000E3200000}"/>
    <cellStyle name="Note 2 2 6 2 2" xfId="8287" xr:uid="{00000000-0005-0000-0000-0000E4200000}"/>
    <cellStyle name="Note 2 2 6 2 2 2" xfId="16729" xr:uid="{9AC9B955-03F6-4356-B362-006529DAD1CD}"/>
    <cellStyle name="Note 2 2 6 2 3" xfId="12511" xr:uid="{C56DA92E-316D-4C5A-BB39-D076F66B2D3F}"/>
    <cellStyle name="Note 2 2 6 3" xfId="6142" xr:uid="{00000000-0005-0000-0000-0000E5200000}"/>
    <cellStyle name="Note 2 2 6 3 2" xfId="14584" xr:uid="{68045FE9-6417-49DF-A906-5D169BF79592}"/>
    <cellStyle name="Note 2 2 6 4" xfId="10366" xr:uid="{32FA1157-9FC3-4355-8E61-1DCEDD9B02DA}"/>
    <cellStyle name="Note 2 2 7" xfId="2248" xr:uid="{00000000-0005-0000-0000-0000E6200000}"/>
    <cellStyle name="Note 2 2 7 2" xfId="4477" xr:uid="{00000000-0005-0000-0000-0000E7200000}"/>
    <cellStyle name="Note 2 2 7 2 2" xfId="8700" xr:uid="{00000000-0005-0000-0000-0000E8200000}"/>
    <cellStyle name="Note 2 2 7 2 2 2" xfId="17142" xr:uid="{7999D64A-374B-43C1-84BA-7B62A6D4970F}"/>
    <cellStyle name="Note 2 2 7 2 3" xfId="12924" xr:uid="{AD4C0619-D088-49BB-AEE6-487410499B18}"/>
    <cellStyle name="Note 2 2 7 3" xfId="6555" xr:uid="{00000000-0005-0000-0000-0000E9200000}"/>
    <cellStyle name="Note 2 2 7 3 2" xfId="14997" xr:uid="{3D43209C-DA62-455E-B79B-8BCF72080DB2}"/>
    <cellStyle name="Note 2 2 7 4" xfId="10779" xr:uid="{2CC6733C-9D83-4A2E-BF14-15ED4ED5B164}"/>
    <cellStyle name="Note 2 2 8" xfId="2684" xr:uid="{00000000-0005-0000-0000-0000EA200000}"/>
    <cellStyle name="Note 2 2 8 2" xfId="6968" xr:uid="{00000000-0005-0000-0000-0000EB200000}"/>
    <cellStyle name="Note 2 2 8 2 2" xfId="15410" xr:uid="{21980329-0965-4E46-9723-8BB7E8345BA0}"/>
    <cellStyle name="Note 2 2 8 3" xfId="11192" xr:uid="{B852059F-FAEE-4FBF-B2B1-BF501E47883A}"/>
    <cellStyle name="Note 2 2 9" xfId="2743" xr:uid="{00000000-0005-0000-0000-0000EC200000}"/>
    <cellStyle name="Note 2 3" xfId="549" xr:uid="{00000000-0005-0000-0000-0000ED200000}"/>
    <cellStyle name="Note 2 3 10" xfId="4907" xr:uid="{00000000-0005-0000-0000-0000EE200000}"/>
    <cellStyle name="Note 2 3 10 2" xfId="13349" xr:uid="{778362C6-EB80-4FBD-88D6-3CC0C3616687}"/>
    <cellStyle name="Note 2 3 11" xfId="9131" xr:uid="{94BAD723-3472-4A08-AFF4-203E1482EFCF}"/>
    <cellStyle name="Note 2 3 2" xfId="550" xr:uid="{00000000-0005-0000-0000-0000EF200000}"/>
    <cellStyle name="Note 2 3 2 10" xfId="9132" xr:uid="{F163B0E2-338E-4429-A52B-2371D52EBC87}"/>
    <cellStyle name="Note 2 3 2 2" xfId="1011" xr:uid="{00000000-0005-0000-0000-0000F0200000}"/>
    <cellStyle name="Note 2 3 2 2 2" xfId="3243" xr:uid="{00000000-0005-0000-0000-0000F1200000}"/>
    <cellStyle name="Note 2 3 2 2 2 2" xfId="7466" xr:uid="{00000000-0005-0000-0000-0000F2200000}"/>
    <cellStyle name="Note 2 3 2 2 2 2 2" xfId="15908" xr:uid="{A4359D81-824C-43A7-A8C9-5E3083AB0CD7}"/>
    <cellStyle name="Note 2 3 2 2 2 3" xfId="11690" xr:uid="{C3BF6CEB-BB1F-4769-95BF-76EB3B544B68}"/>
    <cellStyle name="Note 2 3 2 2 3" xfId="5321" xr:uid="{00000000-0005-0000-0000-0000F3200000}"/>
    <cellStyle name="Note 2 3 2 2 3 2" xfId="13763" xr:uid="{DC7CFBF3-2DE8-4FBE-91A6-2A3A186B6A36}"/>
    <cellStyle name="Note 2 3 2 2 4" xfId="9545" xr:uid="{31B84048-5CAA-480F-914D-FAB60D048E38}"/>
    <cellStyle name="Note 2 3 2 3" xfId="1426" xr:uid="{00000000-0005-0000-0000-0000F4200000}"/>
    <cellStyle name="Note 2 3 2 3 2" xfId="3656" xr:uid="{00000000-0005-0000-0000-0000F5200000}"/>
    <cellStyle name="Note 2 3 2 3 2 2" xfId="7879" xr:uid="{00000000-0005-0000-0000-0000F6200000}"/>
    <cellStyle name="Note 2 3 2 3 2 2 2" xfId="16321" xr:uid="{F3941B4D-CAB2-450B-9936-3CECC16E4799}"/>
    <cellStyle name="Note 2 3 2 3 2 3" xfId="12103" xr:uid="{187CC954-1886-4213-8B51-F5B3FF436223}"/>
    <cellStyle name="Note 2 3 2 3 3" xfId="5734" xr:uid="{00000000-0005-0000-0000-0000F7200000}"/>
    <cellStyle name="Note 2 3 2 3 3 2" xfId="14176" xr:uid="{3AA438F9-D822-4144-9CF1-9F7F298C5E97}"/>
    <cellStyle name="Note 2 3 2 3 4" xfId="9958" xr:uid="{6A77FFD9-788D-4FE8-AC9B-4068AA1272A9}"/>
    <cellStyle name="Note 2 3 2 4" xfId="1840" xr:uid="{00000000-0005-0000-0000-0000F8200000}"/>
    <cellStyle name="Note 2 3 2 4 2" xfId="4069" xr:uid="{00000000-0005-0000-0000-0000F9200000}"/>
    <cellStyle name="Note 2 3 2 4 2 2" xfId="8292" xr:uid="{00000000-0005-0000-0000-0000FA200000}"/>
    <cellStyle name="Note 2 3 2 4 2 2 2" xfId="16734" xr:uid="{7744B931-EBC2-456D-A3B0-ADC5B8E44879}"/>
    <cellStyle name="Note 2 3 2 4 2 3" xfId="12516" xr:uid="{E8554304-CD26-497A-972D-B4E8AB0B980C}"/>
    <cellStyle name="Note 2 3 2 4 3" xfId="6147" xr:uid="{00000000-0005-0000-0000-0000FB200000}"/>
    <cellStyle name="Note 2 3 2 4 3 2" xfId="14589" xr:uid="{6BE45837-9B3E-43FD-936C-0B425E99647C}"/>
    <cellStyle name="Note 2 3 2 4 4" xfId="10371" xr:uid="{2E8D5C40-C170-40B1-8B58-B7AD1F8ECE55}"/>
    <cellStyle name="Note 2 3 2 5" xfId="2253" xr:uid="{00000000-0005-0000-0000-0000FC200000}"/>
    <cellStyle name="Note 2 3 2 5 2" xfId="4482" xr:uid="{00000000-0005-0000-0000-0000FD200000}"/>
    <cellStyle name="Note 2 3 2 5 2 2" xfId="8705" xr:uid="{00000000-0005-0000-0000-0000FE200000}"/>
    <cellStyle name="Note 2 3 2 5 2 2 2" xfId="17147" xr:uid="{4E73FC06-4965-46BF-A6D5-19D3237A8B23}"/>
    <cellStyle name="Note 2 3 2 5 2 3" xfId="12929" xr:uid="{0EA7FFD1-AE27-4B7A-B2FD-FBF67DC0DCDD}"/>
    <cellStyle name="Note 2 3 2 5 3" xfId="6560" xr:uid="{00000000-0005-0000-0000-0000FF200000}"/>
    <cellStyle name="Note 2 3 2 5 3 2" xfId="15002" xr:uid="{DF4BBE9C-E3F1-43D7-BF63-398D6747D8E2}"/>
    <cellStyle name="Note 2 3 2 5 4" xfId="10784" xr:uid="{D6C5E6E9-2B0D-4548-A422-01408237C7F9}"/>
    <cellStyle name="Note 2 3 2 6" xfId="2689" xr:uid="{00000000-0005-0000-0000-000000210000}"/>
    <cellStyle name="Note 2 3 2 6 2" xfId="6973" xr:uid="{00000000-0005-0000-0000-000001210000}"/>
    <cellStyle name="Note 2 3 2 6 2 2" xfId="15415" xr:uid="{915E5EC5-1669-4641-893A-A87A826B9E09}"/>
    <cellStyle name="Note 2 3 2 6 3" xfId="11197" xr:uid="{95C8C37A-4355-4157-9184-D0EE84CEB1B3}"/>
    <cellStyle name="Note 2 3 2 7" xfId="2748" xr:uid="{00000000-0005-0000-0000-000002210000}"/>
    <cellStyle name="Note 2 3 2 8" xfId="2829" xr:uid="{00000000-0005-0000-0000-000003210000}"/>
    <cellStyle name="Note 2 3 2 8 2" xfId="7053" xr:uid="{00000000-0005-0000-0000-000004210000}"/>
    <cellStyle name="Note 2 3 2 8 2 2" xfId="15495" xr:uid="{238FAC16-5524-4E29-8693-FD13D4CEC3C9}"/>
    <cellStyle name="Note 2 3 2 8 3" xfId="11277" xr:uid="{B1704E7B-32AE-429B-A57E-C927E98F0249}"/>
    <cellStyle name="Note 2 3 2 9" xfId="4908" xr:uid="{00000000-0005-0000-0000-000005210000}"/>
    <cellStyle name="Note 2 3 2 9 2" xfId="13350" xr:uid="{B53A7AD1-4CCF-47D7-9563-574A5B8E9B51}"/>
    <cellStyle name="Note 2 3 3" xfId="1010" xr:uid="{00000000-0005-0000-0000-000006210000}"/>
    <cellStyle name="Note 2 3 3 2" xfId="3242" xr:uid="{00000000-0005-0000-0000-000007210000}"/>
    <cellStyle name="Note 2 3 3 2 2" xfId="7465" xr:uid="{00000000-0005-0000-0000-000008210000}"/>
    <cellStyle name="Note 2 3 3 2 2 2" xfId="15907" xr:uid="{9CA676A9-2963-4ADF-9BCE-BB73F4066499}"/>
    <cellStyle name="Note 2 3 3 2 3" xfId="11689" xr:uid="{B7D0EC4F-858F-47DA-9F90-8BC616B678E7}"/>
    <cellStyle name="Note 2 3 3 3" xfId="5320" xr:uid="{00000000-0005-0000-0000-000009210000}"/>
    <cellStyle name="Note 2 3 3 3 2" xfId="13762" xr:uid="{83487348-A4BA-4381-B695-C64CDFCEBE4E}"/>
    <cellStyle name="Note 2 3 3 4" xfId="9544" xr:uid="{4757EA99-B57B-478C-9CE0-B816E163B153}"/>
    <cellStyle name="Note 2 3 4" xfId="1425" xr:uid="{00000000-0005-0000-0000-00000A210000}"/>
    <cellStyle name="Note 2 3 4 2" xfId="3655" xr:uid="{00000000-0005-0000-0000-00000B210000}"/>
    <cellStyle name="Note 2 3 4 2 2" xfId="7878" xr:uid="{00000000-0005-0000-0000-00000C210000}"/>
    <cellStyle name="Note 2 3 4 2 2 2" xfId="16320" xr:uid="{23E9DD43-D80B-4597-BE1E-1181679BBA28}"/>
    <cellStyle name="Note 2 3 4 2 3" xfId="12102" xr:uid="{6EDE7122-0843-4EEF-9E9F-A18E3C1FEF99}"/>
    <cellStyle name="Note 2 3 4 3" xfId="5733" xr:uid="{00000000-0005-0000-0000-00000D210000}"/>
    <cellStyle name="Note 2 3 4 3 2" xfId="14175" xr:uid="{317BA6C3-0BFF-44FF-98B1-ED85BDDAD15A}"/>
    <cellStyle name="Note 2 3 4 4" xfId="9957" xr:uid="{90F6197F-021E-4F37-8DE9-3D42DD309498}"/>
    <cellStyle name="Note 2 3 5" xfId="1839" xr:uid="{00000000-0005-0000-0000-00000E210000}"/>
    <cellStyle name="Note 2 3 5 2" xfId="4068" xr:uid="{00000000-0005-0000-0000-00000F210000}"/>
    <cellStyle name="Note 2 3 5 2 2" xfId="8291" xr:uid="{00000000-0005-0000-0000-000010210000}"/>
    <cellStyle name="Note 2 3 5 2 2 2" xfId="16733" xr:uid="{581BBE44-843E-4079-AE50-D4F451513098}"/>
    <cellStyle name="Note 2 3 5 2 3" xfId="12515" xr:uid="{5005C26A-93AD-4D41-9B38-7E4C02FD635B}"/>
    <cellStyle name="Note 2 3 5 3" xfId="6146" xr:uid="{00000000-0005-0000-0000-000011210000}"/>
    <cellStyle name="Note 2 3 5 3 2" xfId="14588" xr:uid="{2F03C5CA-45AA-4630-877C-98D18ED9CDBE}"/>
    <cellStyle name="Note 2 3 5 4" xfId="10370" xr:uid="{B1575339-BBDE-4641-84D0-9F9E54311896}"/>
    <cellStyle name="Note 2 3 6" xfId="2252" xr:uid="{00000000-0005-0000-0000-000012210000}"/>
    <cellStyle name="Note 2 3 6 2" xfId="4481" xr:uid="{00000000-0005-0000-0000-000013210000}"/>
    <cellStyle name="Note 2 3 6 2 2" xfId="8704" xr:uid="{00000000-0005-0000-0000-000014210000}"/>
    <cellStyle name="Note 2 3 6 2 2 2" xfId="17146" xr:uid="{1B259038-94A8-406D-92B2-E95022463733}"/>
    <cellStyle name="Note 2 3 6 2 3" xfId="12928" xr:uid="{42E16D80-CC78-417F-BFB9-D35D25C6C36D}"/>
    <cellStyle name="Note 2 3 6 3" xfId="6559" xr:uid="{00000000-0005-0000-0000-000015210000}"/>
    <cellStyle name="Note 2 3 6 3 2" xfId="15001" xr:uid="{FC92248C-6678-4834-BC69-C58F925927D4}"/>
    <cellStyle name="Note 2 3 6 4" xfId="10783" xr:uid="{CF0DA16E-4F9D-463F-86F9-773A8872D48F}"/>
    <cellStyle name="Note 2 3 7" xfId="2688" xr:uid="{00000000-0005-0000-0000-000016210000}"/>
    <cellStyle name="Note 2 3 7 2" xfId="6972" xr:uid="{00000000-0005-0000-0000-000017210000}"/>
    <cellStyle name="Note 2 3 7 2 2" xfId="15414" xr:uid="{5095A88C-5D53-40CA-8E80-18A8C8A5A230}"/>
    <cellStyle name="Note 2 3 7 3" xfId="11196" xr:uid="{5DC49B24-8A36-4B6B-9778-EDED431A0C3B}"/>
    <cellStyle name="Note 2 3 8" xfId="2747" xr:uid="{00000000-0005-0000-0000-000018210000}"/>
    <cellStyle name="Note 2 3 9" xfId="2828" xr:uid="{00000000-0005-0000-0000-000019210000}"/>
    <cellStyle name="Note 2 3 9 2" xfId="7052" xr:uid="{00000000-0005-0000-0000-00001A210000}"/>
    <cellStyle name="Note 2 3 9 2 2" xfId="15494" xr:uid="{E48B4856-2002-400F-BD3B-003CF69B8B22}"/>
    <cellStyle name="Note 2 3 9 3" xfId="11276" xr:uid="{4B65E669-4146-4E9A-A17D-E5125504E626}"/>
    <cellStyle name="Note 2 4" xfId="551" xr:uid="{00000000-0005-0000-0000-00001B210000}"/>
    <cellStyle name="Note 2 4 10" xfId="9133" xr:uid="{4234A313-64B1-4DD7-9D0A-ACB13D80AD4C}"/>
    <cellStyle name="Note 2 4 2" xfId="1012" xr:uid="{00000000-0005-0000-0000-00001C210000}"/>
    <cellStyle name="Note 2 4 2 2" xfId="3244" xr:uid="{00000000-0005-0000-0000-00001D210000}"/>
    <cellStyle name="Note 2 4 2 2 2" xfId="7467" xr:uid="{00000000-0005-0000-0000-00001E210000}"/>
    <cellStyle name="Note 2 4 2 2 2 2" xfId="15909" xr:uid="{51632188-66B2-48E2-A438-4FED08E35988}"/>
    <cellStyle name="Note 2 4 2 2 3" xfId="11691" xr:uid="{34733791-AF9C-4E3D-8A38-F64CA5AC48B9}"/>
    <cellStyle name="Note 2 4 2 3" xfId="5322" xr:uid="{00000000-0005-0000-0000-00001F210000}"/>
    <cellStyle name="Note 2 4 2 3 2" xfId="13764" xr:uid="{0417E1A6-770C-4C16-88EA-594A95D3FAB1}"/>
    <cellStyle name="Note 2 4 2 4" xfId="9546" xr:uid="{FF15626E-F96F-43FD-9434-861DCF0FF6C5}"/>
    <cellStyle name="Note 2 4 3" xfId="1427" xr:uid="{00000000-0005-0000-0000-000020210000}"/>
    <cellStyle name="Note 2 4 3 2" xfId="3657" xr:uid="{00000000-0005-0000-0000-000021210000}"/>
    <cellStyle name="Note 2 4 3 2 2" xfId="7880" xr:uid="{00000000-0005-0000-0000-000022210000}"/>
    <cellStyle name="Note 2 4 3 2 2 2" xfId="16322" xr:uid="{926169E5-122E-4CEC-8B2D-03426CE6E5E4}"/>
    <cellStyle name="Note 2 4 3 2 3" xfId="12104" xr:uid="{F421B16C-4A49-4F6F-8ABF-D8135EE8B5BE}"/>
    <cellStyle name="Note 2 4 3 3" xfId="5735" xr:uid="{00000000-0005-0000-0000-000023210000}"/>
    <cellStyle name="Note 2 4 3 3 2" xfId="14177" xr:uid="{036E7001-9A9A-440D-AFEE-86798BC84B5F}"/>
    <cellStyle name="Note 2 4 3 4" xfId="9959" xr:uid="{456017C6-D13A-4C4E-BEB1-CBFC069504E5}"/>
    <cellStyle name="Note 2 4 4" xfId="1841" xr:uid="{00000000-0005-0000-0000-000024210000}"/>
    <cellStyle name="Note 2 4 4 2" xfId="4070" xr:uid="{00000000-0005-0000-0000-000025210000}"/>
    <cellStyle name="Note 2 4 4 2 2" xfId="8293" xr:uid="{00000000-0005-0000-0000-000026210000}"/>
    <cellStyle name="Note 2 4 4 2 2 2" xfId="16735" xr:uid="{C0EA4219-D1BF-42C5-B2CC-7826247B8F21}"/>
    <cellStyle name="Note 2 4 4 2 3" xfId="12517" xr:uid="{BE124DCD-7931-44CD-BBAA-1C901224323F}"/>
    <cellStyle name="Note 2 4 4 3" xfId="6148" xr:uid="{00000000-0005-0000-0000-000027210000}"/>
    <cellStyle name="Note 2 4 4 3 2" xfId="14590" xr:uid="{766E716F-ACBD-457B-AD35-F52A01AA5C37}"/>
    <cellStyle name="Note 2 4 4 4" xfId="10372" xr:uid="{BE82C9EC-3431-4A19-B86C-0E434CBFEC09}"/>
    <cellStyle name="Note 2 4 5" xfId="2254" xr:uid="{00000000-0005-0000-0000-000028210000}"/>
    <cellStyle name="Note 2 4 5 2" xfId="4483" xr:uid="{00000000-0005-0000-0000-000029210000}"/>
    <cellStyle name="Note 2 4 5 2 2" xfId="8706" xr:uid="{00000000-0005-0000-0000-00002A210000}"/>
    <cellStyle name="Note 2 4 5 2 2 2" xfId="17148" xr:uid="{0AB976B5-D07D-4025-9288-C74980AB6391}"/>
    <cellStyle name="Note 2 4 5 2 3" xfId="12930" xr:uid="{B1EB8DFF-1D48-488B-AFDB-02DE6530DDFE}"/>
    <cellStyle name="Note 2 4 5 3" xfId="6561" xr:uid="{00000000-0005-0000-0000-00002B210000}"/>
    <cellStyle name="Note 2 4 5 3 2" xfId="15003" xr:uid="{5D0EDFE0-E9AD-43E5-BA83-EBE449788567}"/>
    <cellStyle name="Note 2 4 5 4" xfId="10785" xr:uid="{048B4BCC-B9BF-408F-9C3E-B531088B4430}"/>
    <cellStyle name="Note 2 4 6" xfId="2690" xr:uid="{00000000-0005-0000-0000-00002C210000}"/>
    <cellStyle name="Note 2 4 6 2" xfId="6974" xr:uid="{00000000-0005-0000-0000-00002D210000}"/>
    <cellStyle name="Note 2 4 6 2 2" xfId="15416" xr:uid="{EE3AE27B-F7E5-4AA6-AC33-98D780936DF1}"/>
    <cellStyle name="Note 2 4 6 3" xfId="11198" xr:uid="{2D82B9E7-AA14-4F0D-928A-A40991E6E849}"/>
    <cellStyle name="Note 2 4 7" xfId="2749" xr:uid="{00000000-0005-0000-0000-00002E210000}"/>
    <cellStyle name="Note 2 4 8" xfId="2830" xr:uid="{00000000-0005-0000-0000-00002F210000}"/>
    <cellStyle name="Note 2 4 8 2" xfId="7054" xr:uid="{00000000-0005-0000-0000-000030210000}"/>
    <cellStyle name="Note 2 4 8 2 2" xfId="15496" xr:uid="{3FC88851-2678-4167-B49E-6179BE5390E2}"/>
    <cellStyle name="Note 2 4 8 3" xfId="11278" xr:uid="{FB4EB125-6867-4D20-A822-AD9651CCCE06}"/>
    <cellStyle name="Note 2 4 9" xfId="4909" xr:uid="{00000000-0005-0000-0000-000031210000}"/>
    <cellStyle name="Note 2 4 9 2" xfId="13351" xr:uid="{68965B6E-4C2A-4560-B8F9-1D9169AD3982}"/>
    <cellStyle name="Note 2 5" xfId="552" xr:uid="{00000000-0005-0000-0000-000032210000}"/>
    <cellStyle name="Note 2 5 10" xfId="9134" xr:uid="{A77EBD5F-622A-409D-8ED4-C01CFAFB5EC3}"/>
    <cellStyle name="Note 2 5 2" xfId="1013" xr:uid="{00000000-0005-0000-0000-000033210000}"/>
    <cellStyle name="Note 2 5 2 2" xfId="3245" xr:uid="{00000000-0005-0000-0000-000034210000}"/>
    <cellStyle name="Note 2 5 2 2 2" xfId="7468" xr:uid="{00000000-0005-0000-0000-000035210000}"/>
    <cellStyle name="Note 2 5 2 2 2 2" xfId="15910" xr:uid="{648E984C-FB6A-4DCB-BF25-E3F7DA221C8A}"/>
    <cellStyle name="Note 2 5 2 2 3" xfId="11692" xr:uid="{DAD3C922-3EFE-4864-A738-26172E40D8B7}"/>
    <cellStyle name="Note 2 5 2 3" xfId="5323" xr:uid="{00000000-0005-0000-0000-000036210000}"/>
    <cellStyle name="Note 2 5 2 3 2" xfId="13765" xr:uid="{93B2316C-EF0D-4E21-AD42-6D4DAD444E50}"/>
    <cellStyle name="Note 2 5 2 4" xfId="9547" xr:uid="{39C320DD-C6D8-46A3-8CED-0E019C83F619}"/>
    <cellStyle name="Note 2 5 3" xfId="1428" xr:uid="{00000000-0005-0000-0000-000037210000}"/>
    <cellStyle name="Note 2 5 3 2" xfId="3658" xr:uid="{00000000-0005-0000-0000-000038210000}"/>
    <cellStyle name="Note 2 5 3 2 2" xfId="7881" xr:uid="{00000000-0005-0000-0000-000039210000}"/>
    <cellStyle name="Note 2 5 3 2 2 2" xfId="16323" xr:uid="{31233FD3-AE30-4552-A0A6-BC9DD5563DDC}"/>
    <cellStyle name="Note 2 5 3 2 3" xfId="12105" xr:uid="{2F1237F3-50E0-4655-BAC1-2089DBD1D584}"/>
    <cellStyle name="Note 2 5 3 3" xfId="5736" xr:uid="{00000000-0005-0000-0000-00003A210000}"/>
    <cellStyle name="Note 2 5 3 3 2" xfId="14178" xr:uid="{8A4A94D6-29F4-4F73-BE4F-FA7BA2334E69}"/>
    <cellStyle name="Note 2 5 3 4" xfId="9960" xr:uid="{2D30234D-9FB9-498E-A808-ACC0C987460D}"/>
    <cellStyle name="Note 2 5 4" xfId="1842" xr:uid="{00000000-0005-0000-0000-00003B210000}"/>
    <cellStyle name="Note 2 5 4 2" xfId="4071" xr:uid="{00000000-0005-0000-0000-00003C210000}"/>
    <cellStyle name="Note 2 5 4 2 2" xfId="8294" xr:uid="{00000000-0005-0000-0000-00003D210000}"/>
    <cellStyle name="Note 2 5 4 2 2 2" xfId="16736" xr:uid="{69E27EE6-C174-41F4-B13F-A274D54C6B6C}"/>
    <cellStyle name="Note 2 5 4 2 3" xfId="12518" xr:uid="{E9D84028-6D5D-4120-AC85-3E405F863143}"/>
    <cellStyle name="Note 2 5 4 3" xfId="6149" xr:uid="{00000000-0005-0000-0000-00003E210000}"/>
    <cellStyle name="Note 2 5 4 3 2" xfId="14591" xr:uid="{FDFAD8C5-97ED-4B9D-BC70-B7FEBBCF8A13}"/>
    <cellStyle name="Note 2 5 4 4" xfId="10373" xr:uid="{0FF4C0D4-88BB-4BA7-AA6B-8C5BE3F3CF05}"/>
    <cellStyle name="Note 2 5 5" xfId="2255" xr:uid="{00000000-0005-0000-0000-00003F210000}"/>
    <cellStyle name="Note 2 5 5 2" xfId="4484" xr:uid="{00000000-0005-0000-0000-000040210000}"/>
    <cellStyle name="Note 2 5 5 2 2" xfId="8707" xr:uid="{00000000-0005-0000-0000-000041210000}"/>
    <cellStyle name="Note 2 5 5 2 2 2" xfId="17149" xr:uid="{64EE8A56-4C83-47D3-917B-B2CF0DA50F47}"/>
    <cellStyle name="Note 2 5 5 2 3" xfId="12931" xr:uid="{F420EA54-8FAD-4244-8641-1D0382392C37}"/>
    <cellStyle name="Note 2 5 5 3" xfId="6562" xr:uid="{00000000-0005-0000-0000-000042210000}"/>
    <cellStyle name="Note 2 5 5 3 2" xfId="15004" xr:uid="{4411FE0F-0D99-4978-9AAC-A145DC6CCE86}"/>
    <cellStyle name="Note 2 5 5 4" xfId="10786" xr:uid="{FFEB33D4-4490-4D24-9F5B-7FFE51FC1462}"/>
    <cellStyle name="Note 2 5 6" xfId="2691" xr:uid="{00000000-0005-0000-0000-000043210000}"/>
    <cellStyle name="Note 2 5 6 2" xfId="6975" xr:uid="{00000000-0005-0000-0000-000044210000}"/>
    <cellStyle name="Note 2 5 6 2 2" xfId="15417" xr:uid="{5AD231B9-A5C7-465D-9A1D-F92840410C9E}"/>
    <cellStyle name="Note 2 5 6 3" xfId="11199" xr:uid="{AD8C3297-D436-40C7-B779-22519FBDEB72}"/>
    <cellStyle name="Note 2 5 7" xfId="2750" xr:uid="{00000000-0005-0000-0000-000045210000}"/>
    <cellStyle name="Note 2 5 8" xfId="2831" xr:uid="{00000000-0005-0000-0000-000046210000}"/>
    <cellStyle name="Note 2 5 8 2" xfId="7055" xr:uid="{00000000-0005-0000-0000-000047210000}"/>
    <cellStyle name="Note 2 5 8 2 2" xfId="15497" xr:uid="{6973DD8B-595B-4C1B-96D2-8CFBBA9B95A0}"/>
    <cellStyle name="Note 2 5 8 3" xfId="11279" xr:uid="{7A5D434C-D44C-4B1D-9217-F8C71C218549}"/>
    <cellStyle name="Note 2 5 9" xfId="4910" xr:uid="{00000000-0005-0000-0000-000048210000}"/>
    <cellStyle name="Note 2 5 9 2" xfId="13352" xr:uid="{F46E6C48-F43A-4649-8269-FF40ABF8A732}"/>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0 2 2" xfId="15498" xr:uid="{A33A36DA-C9E0-4F57-ADB2-986D3A0014E2}"/>
    <cellStyle name="Note 3 2 10 3" xfId="11280" xr:uid="{B44CE9F6-EB55-48A1-9184-895E9CE3FDC1}"/>
    <cellStyle name="Note 3 2 11" xfId="4911" xr:uid="{00000000-0005-0000-0000-00004D210000}"/>
    <cellStyle name="Note 3 2 11 2" xfId="13353" xr:uid="{56CE3D29-FBC3-447D-B702-109F4422C0BA}"/>
    <cellStyle name="Note 3 2 12" xfId="9135" xr:uid="{83F0F560-FD06-49F6-B412-4833D35FB31E}"/>
    <cellStyle name="Note 3 2 2" xfId="555" xr:uid="{00000000-0005-0000-0000-00004E210000}"/>
    <cellStyle name="Note 3 2 2 10" xfId="4912" xr:uid="{00000000-0005-0000-0000-00004F210000}"/>
    <cellStyle name="Note 3 2 2 10 2" xfId="13354" xr:uid="{3459B8AA-03C0-4390-BE0E-2BB4E2D16BE9}"/>
    <cellStyle name="Note 3 2 2 11" xfId="9136" xr:uid="{01DFC1A5-1FDC-41A3-B0BD-4A0813D509B1}"/>
    <cellStyle name="Note 3 2 2 2" xfId="556" xr:uid="{00000000-0005-0000-0000-000050210000}"/>
    <cellStyle name="Note 3 2 2 2 10" xfId="9137" xr:uid="{ADCC0594-B309-4E37-9A7A-88F2287FCFDB}"/>
    <cellStyle name="Note 3 2 2 2 2" xfId="1016" xr:uid="{00000000-0005-0000-0000-000051210000}"/>
    <cellStyle name="Note 3 2 2 2 2 2" xfId="3248" xr:uid="{00000000-0005-0000-0000-000052210000}"/>
    <cellStyle name="Note 3 2 2 2 2 2 2" xfId="7471" xr:uid="{00000000-0005-0000-0000-000053210000}"/>
    <cellStyle name="Note 3 2 2 2 2 2 2 2" xfId="15913" xr:uid="{20391A2F-2B39-435C-84E2-297B83C51501}"/>
    <cellStyle name="Note 3 2 2 2 2 2 3" xfId="11695" xr:uid="{DA47D609-328C-4AB9-B80B-8A65A62DEFF4}"/>
    <cellStyle name="Note 3 2 2 2 2 3" xfId="5326" xr:uid="{00000000-0005-0000-0000-000054210000}"/>
    <cellStyle name="Note 3 2 2 2 2 3 2" xfId="13768" xr:uid="{0B84C4DC-5FC1-4BA0-BBE8-36D2AD1FE8B9}"/>
    <cellStyle name="Note 3 2 2 2 2 4" xfId="9550" xr:uid="{AF04A768-57C7-49C7-9366-391E93239CA0}"/>
    <cellStyle name="Note 3 2 2 2 3" xfId="1431" xr:uid="{00000000-0005-0000-0000-000055210000}"/>
    <cellStyle name="Note 3 2 2 2 3 2" xfId="3661" xr:uid="{00000000-0005-0000-0000-000056210000}"/>
    <cellStyle name="Note 3 2 2 2 3 2 2" xfId="7884" xr:uid="{00000000-0005-0000-0000-000057210000}"/>
    <cellStyle name="Note 3 2 2 2 3 2 2 2" xfId="16326" xr:uid="{AFEC11EC-9F4D-442D-802D-622F180007BE}"/>
    <cellStyle name="Note 3 2 2 2 3 2 3" xfId="12108" xr:uid="{6EDFB7FA-CE61-4E50-9A23-76D5845A1113}"/>
    <cellStyle name="Note 3 2 2 2 3 3" xfId="5739" xr:uid="{00000000-0005-0000-0000-000058210000}"/>
    <cellStyle name="Note 3 2 2 2 3 3 2" xfId="14181" xr:uid="{C65C2578-F313-4F50-919F-17D9696261CB}"/>
    <cellStyle name="Note 3 2 2 2 3 4" xfId="9963" xr:uid="{56B2F9BF-1668-4432-A5CD-53E7F24210BB}"/>
    <cellStyle name="Note 3 2 2 2 4" xfId="1845" xr:uid="{00000000-0005-0000-0000-000059210000}"/>
    <cellStyle name="Note 3 2 2 2 4 2" xfId="4074" xr:uid="{00000000-0005-0000-0000-00005A210000}"/>
    <cellStyle name="Note 3 2 2 2 4 2 2" xfId="8297" xr:uid="{00000000-0005-0000-0000-00005B210000}"/>
    <cellStyle name="Note 3 2 2 2 4 2 2 2" xfId="16739" xr:uid="{0B9E7FBA-913E-4F88-97D7-57688E72A689}"/>
    <cellStyle name="Note 3 2 2 2 4 2 3" xfId="12521" xr:uid="{0CAAD20E-DBB4-4403-9FB1-54AC010A445A}"/>
    <cellStyle name="Note 3 2 2 2 4 3" xfId="6152" xr:uid="{00000000-0005-0000-0000-00005C210000}"/>
    <cellStyle name="Note 3 2 2 2 4 3 2" xfId="14594" xr:uid="{A1401612-9E20-4A06-B2D6-452D5EE31A33}"/>
    <cellStyle name="Note 3 2 2 2 4 4" xfId="10376" xr:uid="{AA152709-D016-4D01-9D99-0B35F9C22C1A}"/>
    <cellStyle name="Note 3 2 2 2 5" xfId="2258" xr:uid="{00000000-0005-0000-0000-00005D210000}"/>
    <cellStyle name="Note 3 2 2 2 5 2" xfId="4487" xr:uid="{00000000-0005-0000-0000-00005E210000}"/>
    <cellStyle name="Note 3 2 2 2 5 2 2" xfId="8710" xr:uid="{00000000-0005-0000-0000-00005F210000}"/>
    <cellStyle name="Note 3 2 2 2 5 2 2 2" xfId="17152" xr:uid="{DF15A021-1183-455B-9175-9A6CF20DE147}"/>
    <cellStyle name="Note 3 2 2 2 5 2 3" xfId="12934" xr:uid="{E57C215A-C1BA-4234-B360-F6BF14677EFC}"/>
    <cellStyle name="Note 3 2 2 2 5 3" xfId="6565" xr:uid="{00000000-0005-0000-0000-000060210000}"/>
    <cellStyle name="Note 3 2 2 2 5 3 2" xfId="15007" xr:uid="{900092D7-2348-4407-A472-B48EE9E868DC}"/>
    <cellStyle name="Note 3 2 2 2 5 4" xfId="10789" xr:uid="{72C9563E-97F7-4D27-9502-3F71025AA2F9}"/>
    <cellStyle name="Note 3 2 2 2 6" xfId="2694" xr:uid="{00000000-0005-0000-0000-000061210000}"/>
    <cellStyle name="Note 3 2 2 2 6 2" xfId="6978" xr:uid="{00000000-0005-0000-0000-000062210000}"/>
    <cellStyle name="Note 3 2 2 2 6 2 2" xfId="15420" xr:uid="{3BF4690E-A3A2-42E4-A48A-DBDCBB0E8394}"/>
    <cellStyle name="Note 3 2 2 2 6 3" xfId="11202" xr:uid="{A0683802-F61E-4C4E-82FB-CCA37BC74738}"/>
    <cellStyle name="Note 3 2 2 2 7" xfId="2753" xr:uid="{00000000-0005-0000-0000-000063210000}"/>
    <cellStyle name="Note 3 2 2 2 8" xfId="2834" xr:uid="{00000000-0005-0000-0000-000064210000}"/>
    <cellStyle name="Note 3 2 2 2 8 2" xfId="7058" xr:uid="{00000000-0005-0000-0000-000065210000}"/>
    <cellStyle name="Note 3 2 2 2 8 2 2" xfId="15500" xr:uid="{F61D0243-04BC-4D1E-83E9-043FD6CE2347}"/>
    <cellStyle name="Note 3 2 2 2 8 3" xfId="11282" xr:uid="{DB54D729-C634-4263-A3A7-E7B99AC149EF}"/>
    <cellStyle name="Note 3 2 2 2 9" xfId="4913" xr:uid="{00000000-0005-0000-0000-000066210000}"/>
    <cellStyle name="Note 3 2 2 2 9 2" xfId="13355" xr:uid="{B1BE79F2-500F-4940-A991-010F336780F8}"/>
    <cellStyle name="Note 3 2 2 3" xfId="1015" xr:uid="{00000000-0005-0000-0000-000067210000}"/>
    <cellStyle name="Note 3 2 2 3 2" xfId="3247" xr:uid="{00000000-0005-0000-0000-000068210000}"/>
    <cellStyle name="Note 3 2 2 3 2 2" xfId="7470" xr:uid="{00000000-0005-0000-0000-000069210000}"/>
    <cellStyle name="Note 3 2 2 3 2 2 2" xfId="15912" xr:uid="{E1D61A25-8862-49DA-9CDB-B85B3223D07C}"/>
    <cellStyle name="Note 3 2 2 3 2 3" xfId="11694" xr:uid="{76155E82-19F9-43ED-84D8-2EBEA451FD76}"/>
    <cellStyle name="Note 3 2 2 3 3" xfId="5325" xr:uid="{00000000-0005-0000-0000-00006A210000}"/>
    <cellStyle name="Note 3 2 2 3 3 2" xfId="13767" xr:uid="{E4172AA1-A260-4AE4-BCF4-5E338974EC0E}"/>
    <cellStyle name="Note 3 2 2 3 4" xfId="9549" xr:uid="{57E1E8D8-C7B0-4834-8D4B-95D3BF775077}"/>
    <cellStyle name="Note 3 2 2 4" xfId="1430" xr:uid="{00000000-0005-0000-0000-00006B210000}"/>
    <cellStyle name="Note 3 2 2 4 2" xfId="3660" xr:uid="{00000000-0005-0000-0000-00006C210000}"/>
    <cellStyle name="Note 3 2 2 4 2 2" xfId="7883" xr:uid="{00000000-0005-0000-0000-00006D210000}"/>
    <cellStyle name="Note 3 2 2 4 2 2 2" xfId="16325" xr:uid="{08CC081A-6DD0-42EF-8F17-29E311524673}"/>
    <cellStyle name="Note 3 2 2 4 2 3" xfId="12107" xr:uid="{0E4067B3-3ECE-4671-A2DD-90051CD6629E}"/>
    <cellStyle name="Note 3 2 2 4 3" xfId="5738" xr:uid="{00000000-0005-0000-0000-00006E210000}"/>
    <cellStyle name="Note 3 2 2 4 3 2" xfId="14180" xr:uid="{88DBBBF3-B427-4F79-8D9A-EFD4EA361B0A}"/>
    <cellStyle name="Note 3 2 2 4 4" xfId="9962" xr:uid="{859A8FA9-BE44-4D5E-BED2-8C006F71665D}"/>
    <cellStyle name="Note 3 2 2 5" xfId="1844" xr:uid="{00000000-0005-0000-0000-00006F210000}"/>
    <cellStyle name="Note 3 2 2 5 2" xfId="4073" xr:uid="{00000000-0005-0000-0000-000070210000}"/>
    <cellStyle name="Note 3 2 2 5 2 2" xfId="8296" xr:uid="{00000000-0005-0000-0000-000071210000}"/>
    <cellStyle name="Note 3 2 2 5 2 2 2" xfId="16738" xr:uid="{CF116BCD-075C-4F70-BD44-2D5A40354DBF}"/>
    <cellStyle name="Note 3 2 2 5 2 3" xfId="12520" xr:uid="{2A616501-1AD0-4FC1-81BE-B0C6BC62FD6E}"/>
    <cellStyle name="Note 3 2 2 5 3" xfId="6151" xr:uid="{00000000-0005-0000-0000-000072210000}"/>
    <cellStyle name="Note 3 2 2 5 3 2" xfId="14593" xr:uid="{47685283-14F5-43B8-9BE4-2F649A7C3A1F}"/>
    <cellStyle name="Note 3 2 2 5 4" xfId="10375" xr:uid="{1B4DB879-F2C5-4E00-8087-505A5688390B}"/>
    <cellStyle name="Note 3 2 2 6" xfId="2257" xr:uid="{00000000-0005-0000-0000-000073210000}"/>
    <cellStyle name="Note 3 2 2 6 2" xfId="4486" xr:uid="{00000000-0005-0000-0000-000074210000}"/>
    <cellStyle name="Note 3 2 2 6 2 2" xfId="8709" xr:uid="{00000000-0005-0000-0000-000075210000}"/>
    <cellStyle name="Note 3 2 2 6 2 2 2" xfId="17151" xr:uid="{73FCCDAF-7A51-43D1-AE10-2ED289D27812}"/>
    <cellStyle name="Note 3 2 2 6 2 3" xfId="12933" xr:uid="{B9425052-3B28-43AE-B8F8-E559651FD1D4}"/>
    <cellStyle name="Note 3 2 2 6 3" xfId="6564" xr:uid="{00000000-0005-0000-0000-000076210000}"/>
    <cellStyle name="Note 3 2 2 6 3 2" xfId="15006" xr:uid="{81429817-F5D3-4304-B5F3-B0DEE72567AC}"/>
    <cellStyle name="Note 3 2 2 6 4" xfId="10788" xr:uid="{E3AB9823-4365-47DA-907A-D20359A24CEF}"/>
    <cellStyle name="Note 3 2 2 7" xfId="2693" xr:uid="{00000000-0005-0000-0000-000077210000}"/>
    <cellStyle name="Note 3 2 2 7 2" xfId="6977" xr:uid="{00000000-0005-0000-0000-000078210000}"/>
    <cellStyle name="Note 3 2 2 7 2 2" xfId="15419" xr:uid="{2D450B00-65FF-4FDC-8770-6D6072096717}"/>
    <cellStyle name="Note 3 2 2 7 3" xfId="11201" xr:uid="{5E110239-3EEB-496E-871A-185E0404A75C}"/>
    <cellStyle name="Note 3 2 2 8" xfId="2752" xr:uid="{00000000-0005-0000-0000-000079210000}"/>
    <cellStyle name="Note 3 2 2 9" xfId="2833" xr:uid="{00000000-0005-0000-0000-00007A210000}"/>
    <cellStyle name="Note 3 2 2 9 2" xfId="7057" xr:uid="{00000000-0005-0000-0000-00007B210000}"/>
    <cellStyle name="Note 3 2 2 9 2 2" xfId="15499" xr:uid="{7DA4AFE5-283B-4050-86E1-FF16A94243DD}"/>
    <cellStyle name="Note 3 2 2 9 3" xfId="11281" xr:uid="{2F592EB9-B565-457C-A1E5-E4C8C5CBD886}"/>
    <cellStyle name="Note 3 2 3" xfId="557" xr:uid="{00000000-0005-0000-0000-00007C210000}"/>
    <cellStyle name="Note 3 2 3 10" xfId="9138" xr:uid="{F3D9686A-88D1-48DF-97A0-A05584E75842}"/>
    <cellStyle name="Note 3 2 3 2" xfId="1017" xr:uid="{00000000-0005-0000-0000-00007D210000}"/>
    <cellStyle name="Note 3 2 3 2 2" xfId="3249" xr:uid="{00000000-0005-0000-0000-00007E210000}"/>
    <cellStyle name="Note 3 2 3 2 2 2" xfId="7472" xr:uid="{00000000-0005-0000-0000-00007F210000}"/>
    <cellStyle name="Note 3 2 3 2 2 2 2" xfId="15914" xr:uid="{7EEC4E00-3184-4DBE-AD77-D65DCC79E517}"/>
    <cellStyle name="Note 3 2 3 2 2 3" xfId="11696" xr:uid="{D8152B08-8DEC-4D3C-AD6F-7EC3B99D97B6}"/>
    <cellStyle name="Note 3 2 3 2 3" xfId="5327" xr:uid="{00000000-0005-0000-0000-000080210000}"/>
    <cellStyle name="Note 3 2 3 2 3 2" xfId="13769" xr:uid="{23DE4C4A-ED11-489B-80AB-D27649D025E0}"/>
    <cellStyle name="Note 3 2 3 2 4" xfId="9551" xr:uid="{CC4ABC32-0206-426F-B739-AE5F8C96AD84}"/>
    <cellStyle name="Note 3 2 3 3" xfId="1432" xr:uid="{00000000-0005-0000-0000-000081210000}"/>
    <cellStyle name="Note 3 2 3 3 2" xfId="3662" xr:uid="{00000000-0005-0000-0000-000082210000}"/>
    <cellStyle name="Note 3 2 3 3 2 2" xfId="7885" xr:uid="{00000000-0005-0000-0000-000083210000}"/>
    <cellStyle name="Note 3 2 3 3 2 2 2" xfId="16327" xr:uid="{2F3B0426-201F-4C2B-B7EF-AECADDFC6847}"/>
    <cellStyle name="Note 3 2 3 3 2 3" xfId="12109" xr:uid="{50DA46A4-5F4A-49A4-9282-E96BA460E4D7}"/>
    <cellStyle name="Note 3 2 3 3 3" xfId="5740" xr:uid="{00000000-0005-0000-0000-000084210000}"/>
    <cellStyle name="Note 3 2 3 3 3 2" xfId="14182" xr:uid="{2EF4441D-0583-4E9D-9C18-37AD4B1CAE17}"/>
    <cellStyle name="Note 3 2 3 3 4" xfId="9964" xr:uid="{8CA39EF8-26D2-45E8-9A83-3B437242336B}"/>
    <cellStyle name="Note 3 2 3 4" xfId="1846" xr:uid="{00000000-0005-0000-0000-000085210000}"/>
    <cellStyle name="Note 3 2 3 4 2" xfId="4075" xr:uid="{00000000-0005-0000-0000-000086210000}"/>
    <cellStyle name="Note 3 2 3 4 2 2" xfId="8298" xr:uid="{00000000-0005-0000-0000-000087210000}"/>
    <cellStyle name="Note 3 2 3 4 2 2 2" xfId="16740" xr:uid="{EFC36B0A-F3CD-4155-B756-7358F19EE92F}"/>
    <cellStyle name="Note 3 2 3 4 2 3" xfId="12522" xr:uid="{EFD52D25-BE44-47F2-BF6C-E138F94FF85A}"/>
    <cellStyle name="Note 3 2 3 4 3" xfId="6153" xr:uid="{00000000-0005-0000-0000-000088210000}"/>
    <cellStyle name="Note 3 2 3 4 3 2" xfId="14595" xr:uid="{C179B626-BD74-49EB-8F7C-30B4317B4F2B}"/>
    <cellStyle name="Note 3 2 3 4 4" xfId="10377" xr:uid="{96DB3846-6E58-403A-8D0F-6EC7C7BB9719}"/>
    <cellStyle name="Note 3 2 3 5" xfId="2259" xr:uid="{00000000-0005-0000-0000-000089210000}"/>
    <cellStyle name="Note 3 2 3 5 2" xfId="4488" xr:uid="{00000000-0005-0000-0000-00008A210000}"/>
    <cellStyle name="Note 3 2 3 5 2 2" xfId="8711" xr:uid="{00000000-0005-0000-0000-00008B210000}"/>
    <cellStyle name="Note 3 2 3 5 2 2 2" xfId="17153" xr:uid="{DF1FC8ED-DE5A-410D-AB91-6A064FB14B04}"/>
    <cellStyle name="Note 3 2 3 5 2 3" xfId="12935" xr:uid="{D2A63749-5149-42CC-9269-37C161417428}"/>
    <cellStyle name="Note 3 2 3 5 3" xfId="6566" xr:uid="{00000000-0005-0000-0000-00008C210000}"/>
    <cellStyle name="Note 3 2 3 5 3 2" xfId="15008" xr:uid="{BE5F4CC5-7E6B-455A-9F40-11A1B71C6361}"/>
    <cellStyle name="Note 3 2 3 5 4" xfId="10790" xr:uid="{CD82B859-CD6B-4DD0-927B-B1B9ECA83E77}"/>
    <cellStyle name="Note 3 2 3 6" xfId="2695" xr:uid="{00000000-0005-0000-0000-00008D210000}"/>
    <cellStyle name="Note 3 2 3 6 2" xfId="6979" xr:uid="{00000000-0005-0000-0000-00008E210000}"/>
    <cellStyle name="Note 3 2 3 6 2 2" xfId="15421" xr:uid="{6D16B728-AF15-4570-B290-4372078C99EF}"/>
    <cellStyle name="Note 3 2 3 6 3" xfId="11203" xr:uid="{4263CB5C-2FCD-41B9-9A7C-C6C8AC490027}"/>
    <cellStyle name="Note 3 2 3 7" xfId="2754" xr:uid="{00000000-0005-0000-0000-00008F210000}"/>
    <cellStyle name="Note 3 2 3 8" xfId="2835" xr:uid="{00000000-0005-0000-0000-000090210000}"/>
    <cellStyle name="Note 3 2 3 8 2" xfId="7059" xr:uid="{00000000-0005-0000-0000-000091210000}"/>
    <cellStyle name="Note 3 2 3 8 2 2" xfId="15501" xr:uid="{470714F7-6D8F-4D93-8B1A-2DCEDF52409F}"/>
    <cellStyle name="Note 3 2 3 8 3" xfId="11283" xr:uid="{93319AE3-D140-4775-BEAA-E361953305CD}"/>
    <cellStyle name="Note 3 2 3 9" xfId="4914" xr:uid="{00000000-0005-0000-0000-000092210000}"/>
    <cellStyle name="Note 3 2 3 9 2" xfId="13356" xr:uid="{F270A9EA-A65A-491F-86F5-E9452E3E80CB}"/>
    <cellStyle name="Note 3 2 4" xfId="1014" xr:uid="{00000000-0005-0000-0000-000093210000}"/>
    <cellStyle name="Note 3 2 4 2" xfId="3246" xr:uid="{00000000-0005-0000-0000-000094210000}"/>
    <cellStyle name="Note 3 2 4 2 2" xfId="7469" xr:uid="{00000000-0005-0000-0000-000095210000}"/>
    <cellStyle name="Note 3 2 4 2 2 2" xfId="15911" xr:uid="{AA10F35B-C273-4BC9-9B12-1333877541F5}"/>
    <cellStyle name="Note 3 2 4 2 3" xfId="11693" xr:uid="{DB8A89E1-C770-468A-97EA-2A57ABBAF1B7}"/>
    <cellStyle name="Note 3 2 4 3" xfId="5324" xr:uid="{00000000-0005-0000-0000-000096210000}"/>
    <cellStyle name="Note 3 2 4 3 2" xfId="13766" xr:uid="{1A0F6251-98E6-4C46-9B7F-9B0544A20AD3}"/>
    <cellStyle name="Note 3 2 4 4" xfId="9548" xr:uid="{89300E89-2450-41D5-B267-EAABB7FF13AA}"/>
    <cellStyle name="Note 3 2 5" xfId="1429" xr:uid="{00000000-0005-0000-0000-000097210000}"/>
    <cellStyle name="Note 3 2 5 2" xfId="3659" xr:uid="{00000000-0005-0000-0000-000098210000}"/>
    <cellStyle name="Note 3 2 5 2 2" xfId="7882" xr:uid="{00000000-0005-0000-0000-000099210000}"/>
    <cellStyle name="Note 3 2 5 2 2 2" xfId="16324" xr:uid="{C5960BD7-B4BA-443A-8B76-4C0A5EEF43BA}"/>
    <cellStyle name="Note 3 2 5 2 3" xfId="12106" xr:uid="{A7719D76-2FC2-4896-AE50-48A12B412646}"/>
    <cellStyle name="Note 3 2 5 3" xfId="5737" xr:uid="{00000000-0005-0000-0000-00009A210000}"/>
    <cellStyle name="Note 3 2 5 3 2" xfId="14179" xr:uid="{CDC6A8D4-3B72-45FC-BB5A-750671685A65}"/>
    <cellStyle name="Note 3 2 5 4" xfId="9961" xr:uid="{954BCCF8-06DA-4BA2-AD76-A7231B15D305}"/>
    <cellStyle name="Note 3 2 6" xfId="1843" xr:uid="{00000000-0005-0000-0000-00009B210000}"/>
    <cellStyle name="Note 3 2 6 2" xfId="4072" xr:uid="{00000000-0005-0000-0000-00009C210000}"/>
    <cellStyle name="Note 3 2 6 2 2" xfId="8295" xr:uid="{00000000-0005-0000-0000-00009D210000}"/>
    <cellStyle name="Note 3 2 6 2 2 2" xfId="16737" xr:uid="{217BCEE7-F412-4A1B-807D-EB2FBB0E23C4}"/>
    <cellStyle name="Note 3 2 6 2 3" xfId="12519" xr:uid="{1B24757B-8CD4-493D-84FE-7066FCDD8BCC}"/>
    <cellStyle name="Note 3 2 6 3" xfId="6150" xr:uid="{00000000-0005-0000-0000-00009E210000}"/>
    <cellStyle name="Note 3 2 6 3 2" xfId="14592" xr:uid="{7A0C9D53-7A37-4F2F-B739-6DB972A423B7}"/>
    <cellStyle name="Note 3 2 6 4" xfId="10374" xr:uid="{ECAE0EE8-123B-4C38-AB04-D54D54EF165F}"/>
    <cellStyle name="Note 3 2 7" xfId="2256" xr:uid="{00000000-0005-0000-0000-00009F210000}"/>
    <cellStyle name="Note 3 2 7 2" xfId="4485" xr:uid="{00000000-0005-0000-0000-0000A0210000}"/>
    <cellStyle name="Note 3 2 7 2 2" xfId="8708" xr:uid="{00000000-0005-0000-0000-0000A1210000}"/>
    <cellStyle name="Note 3 2 7 2 2 2" xfId="17150" xr:uid="{BE65AB72-DDCB-4942-9DA4-91923FD783D1}"/>
    <cellStyle name="Note 3 2 7 2 3" xfId="12932" xr:uid="{2B9618D2-46C1-4043-94D9-66883064528F}"/>
    <cellStyle name="Note 3 2 7 3" xfId="6563" xr:uid="{00000000-0005-0000-0000-0000A2210000}"/>
    <cellStyle name="Note 3 2 7 3 2" xfId="15005" xr:uid="{12A44D6A-4886-436F-9DE2-1D3B64122EB4}"/>
    <cellStyle name="Note 3 2 7 4" xfId="10787" xr:uid="{9E5CE8BE-D1E2-43FF-807E-B7E82AFAC5CA}"/>
    <cellStyle name="Note 3 2 8" xfId="2692" xr:uid="{00000000-0005-0000-0000-0000A3210000}"/>
    <cellStyle name="Note 3 2 8 2" xfId="6976" xr:uid="{00000000-0005-0000-0000-0000A4210000}"/>
    <cellStyle name="Note 3 2 8 2 2" xfId="15418" xr:uid="{D35B639C-EEF0-4250-B848-335FE61600B0}"/>
    <cellStyle name="Note 3 2 8 3" xfId="11200" xr:uid="{7225C706-C5E2-4499-A35D-907BF5A7F516}"/>
    <cellStyle name="Note 3 2 9" xfId="2751" xr:uid="{00000000-0005-0000-0000-0000A5210000}"/>
    <cellStyle name="Note 3 3" xfId="558" xr:uid="{00000000-0005-0000-0000-0000A6210000}"/>
    <cellStyle name="Note 3 3 10" xfId="4915" xr:uid="{00000000-0005-0000-0000-0000A7210000}"/>
    <cellStyle name="Note 3 3 10 2" xfId="13357" xr:uid="{C29375A2-58FC-40D3-AB49-D5222DF4A93F}"/>
    <cellStyle name="Note 3 3 11" xfId="9139" xr:uid="{E0DDB092-F772-4818-BC70-6AE35FAC9329}"/>
    <cellStyle name="Note 3 3 2" xfId="559" xr:uid="{00000000-0005-0000-0000-0000A8210000}"/>
    <cellStyle name="Note 3 3 2 10" xfId="9140" xr:uid="{82B14F24-A501-42BE-97F3-2BE27E1874E8}"/>
    <cellStyle name="Note 3 3 2 2" xfId="1019" xr:uid="{00000000-0005-0000-0000-0000A9210000}"/>
    <cellStyle name="Note 3 3 2 2 2" xfId="3251" xr:uid="{00000000-0005-0000-0000-0000AA210000}"/>
    <cellStyle name="Note 3 3 2 2 2 2" xfId="7474" xr:uid="{00000000-0005-0000-0000-0000AB210000}"/>
    <cellStyle name="Note 3 3 2 2 2 2 2" xfId="15916" xr:uid="{05A23086-7A45-4AAC-82EB-4F44ECE4DC5F}"/>
    <cellStyle name="Note 3 3 2 2 2 3" xfId="11698" xr:uid="{D8ADF423-3B64-4A07-ADC1-103312E781A5}"/>
    <cellStyle name="Note 3 3 2 2 3" xfId="5329" xr:uid="{00000000-0005-0000-0000-0000AC210000}"/>
    <cellStyle name="Note 3 3 2 2 3 2" xfId="13771" xr:uid="{6D869EEF-C252-4199-807A-EFF7B2A9FE47}"/>
    <cellStyle name="Note 3 3 2 2 4" xfId="9553" xr:uid="{C8BB7781-894D-4A76-B475-0DD19E5932A0}"/>
    <cellStyle name="Note 3 3 2 3" xfId="1434" xr:uid="{00000000-0005-0000-0000-0000AD210000}"/>
    <cellStyle name="Note 3 3 2 3 2" xfId="3664" xr:uid="{00000000-0005-0000-0000-0000AE210000}"/>
    <cellStyle name="Note 3 3 2 3 2 2" xfId="7887" xr:uid="{00000000-0005-0000-0000-0000AF210000}"/>
    <cellStyle name="Note 3 3 2 3 2 2 2" xfId="16329" xr:uid="{632FBAFC-E1A2-45AA-BD94-0825512A3889}"/>
    <cellStyle name="Note 3 3 2 3 2 3" xfId="12111" xr:uid="{F46ACFFD-8AFA-4E69-8E71-6DD52B206277}"/>
    <cellStyle name="Note 3 3 2 3 3" xfId="5742" xr:uid="{00000000-0005-0000-0000-0000B0210000}"/>
    <cellStyle name="Note 3 3 2 3 3 2" xfId="14184" xr:uid="{078260EF-1B52-4AD9-8C72-830D38DA0BA4}"/>
    <cellStyle name="Note 3 3 2 3 4" xfId="9966" xr:uid="{BFC5497B-4446-47B3-B8C5-533D4C0B2AE8}"/>
    <cellStyle name="Note 3 3 2 4" xfId="1848" xr:uid="{00000000-0005-0000-0000-0000B1210000}"/>
    <cellStyle name="Note 3 3 2 4 2" xfId="4077" xr:uid="{00000000-0005-0000-0000-0000B2210000}"/>
    <cellStyle name="Note 3 3 2 4 2 2" xfId="8300" xr:uid="{00000000-0005-0000-0000-0000B3210000}"/>
    <cellStyle name="Note 3 3 2 4 2 2 2" xfId="16742" xr:uid="{4CC2F1E7-66D1-48AC-AA70-28A73E9218CE}"/>
    <cellStyle name="Note 3 3 2 4 2 3" xfId="12524" xr:uid="{7421E39F-BD7A-4A11-83A3-80EA6FCA1488}"/>
    <cellStyle name="Note 3 3 2 4 3" xfId="6155" xr:uid="{00000000-0005-0000-0000-0000B4210000}"/>
    <cellStyle name="Note 3 3 2 4 3 2" xfId="14597" xr:uid="{1DA61720-2238-4AE3-8D8C-95E30A141184}"/>
    <cellStyle name="Note 3 3 2 4 4" xfId="10379" xr:uid="{A6480707-85AE-48EF-AC16-06B842C05086}"/>
    <cellStyle name="Note 3 3 2 5" xfId="2261" xr:uid="{00000000-0005-0000-0000-0000B5210000}"/>
    <cellStyle name="Note 3 3 2 5 2" xfId="4490" xr:uid="{00000000-0005-0000-0000-0000B6210000}"/>
    <cellStyle name="Note 3 3 2 5 2 2" xfId="8713" xr:uid="{00000000-0005-0000-0000-0000B7210000}"/>
    <cellStyle name="Note 3 3 2 5 2 2 2" xfId="17155" xr:uid="{0CEC796E-13FE-4DCF-8846-676A19A86BD0}"/>
    <cellStyle name="Note 3 3 2 5 2 3" xfId="12937" xr:uid="{F72A1467-08C0-4050-83BD-6020510326DE}"/>
    <cellStyle name="Note 3 3 2 5 3" xfId="6568" xr:uid="{00000000-0005-0000-0000-0000B8210000}"/>
    <cellStyle name="Note 3 3 2 5 3 2" xfId="15010" xr:uid="{CF247F60-3684-45AC-B829-B7A3DDF0A0E6}"/>
    <cellStyle name="Note 3 3 2 5 4" xfId="10792" xr:uid="{EDB96C7D-3B96-4DAE-ACBB-003F6AE05418}"/>
    <cellStyle name="Note 3 3 2 6" xfId="2697" xr:uid="{00000000-0005-0000-0000-0000B9210000}"/>
    <cellStyle name="Note 3 3 2 6 2" xfId="6981" xr:uid="{00000000-0005-0000-0000-0000BA210000}"/>
    <cellStyle name="Note 3 3 2 6 2 2" xfId="15423" xr:uid="{2578DFDF-C50F-4B19-A84E-BF2ACB6702D3}"/>
    <cellStyle name="Note 3 3 2 6 3" xfId="11205" xr:uid="{45B0FF85-89CC-44B9-872C-92EBC0826A77}"/>
    <cellStyle name="Note 3 3 2 7" xfId="2756" xr:uid="{00000000-0005-0000-0000-0000BB210000}"/>
    <cellStyle name="Note 3 3 2 8" xfId="2837" xr:uid="{00000000-0005-0000-0000-0000BC210000}"/>
    <cellStyle name="Note 3 3 2 8 2" xfId="7061" xr:uid="{00000000-0005-0000-0000-0000BD210000}"/>
    <cellStyle name="Note 3 3 2 8 2 2" xfId="15503" xr:uid="{C3C980A2-B887-4955-B1E8-2DE7A2084C2B}"/>
    <cellStyle name="Note 3 3 2 8 3" xfId="11285" xr:uid="{05E4E617-0E3E-48C8-B004-79247BDD744A}"/>
    <cellStyle name="Note 3 3 2 9" xfId="4916" xr:uid="{00000000-0005-0000-0000-0000BE210000}"/>
    <cellStyle name="Note 3 3 2 9 2" xfId="13358" xr:uid="{DD6F9B03-F613-4080-8BF3-0F6D63AF82A8}"/>
    <cellStyle name="Note 3 3 3" xfId="1018" xr:uid="{00000000-0005-0000-0000-0000BF210000}"/>
    <cellStyle name="Note 3 3 3 2" xfId="3250" xr:uid="{00000000-0005-0000-0000-0000C0210000}"/>
    <cellStyle name="Note 3 3 3 2 2" xfId="7473" xr:uid="{00000000-0005-0000-0000-0000C1210000}"/>
    <cellStyle name="Note 3 3 3 2 2 2" xfId="15915" xr:uid="{0C7C6233-BD59-41DB-B802-DFB5A165F06E}"/>
    <cellStyle name="Note 3 3 3 2 3" xfId="11697" xr:uid="{16908821-0AA0-490D-B084-475AA80925EC}"/>
    <cellStyle name="Note 3 3 3 3" xfId="5328" xr:uid="{00000000-0005-0000-0000-0000C2210000}"/>
    <cellStyle name="Note 3 3 3 3 2" xfId="13770" xr:uid="{1B520560-EE28-4431-AF77-7C0554908E14}"/>
    <cellStyle name="Note 3 3 3 4" xfId="9552" xr:uid="{85D717E4-B03C-40FA-96DE-7581163FF386}"/>
    <cellStyle name="Note 3 3 4" xfId="1433" xr:uid="{00000000-0005-0000-0000-0000C3210000}"/>
    <cellStyle name="Note 3 3 4 2" xfId="3663" xr:uid="{00000000-0005-0000-0000-0000C4210000}"/>
    <cellStyle name="Note 3 3 4 2 2" xfId="7886" xr:uid="{00000000-0005-0000-0000-0000C5210000}"/>
    <cellStyle name="Note 3 3 4 2 2 2" xfId="16328" xr:uid="{268F7D72-4725-4B95-8F4C-114E1BEB72D6}"/>
    <cellStyle name="Note 3 3 4 2 3" xfId="12110" xr:uid="{D65365F5-F6BD-461D-B4BC-0A2EE609E297}"/>
    <cellStyle name="Note 3 3 4 3" xfId="5741" xr:uid="{00000000-0005-0000-0000-0000C6210000}"/>
    <cellStyle name="Note 3 3 4 3 2" xfId="14183" xr:uid="{AF8C7441-5BAE-4208-94F6-A31FE6A29E02}"/>
    <cellStyle name="Note 3 3 4 4" xfId="9965" xr:uid="{F45EF003-FC07-4BAA-BF87-6E46B77A29E1}"/>
    <cellStyle name="Note 3 3 5" xfId="1847" xr:uid="{00000000-0005-0000-0000-0000C7210000}"/>
    <cellStyle name="Note 3 3 5 2" xfId="4076" xr:uid="{00000000-0005-0000-0000-0000C8210000}"/>
    <cellStyle name="Note 3 3 5 2 2" xfId="8299" xr:uid="{00000000-0005-0000-0000-0000C9210000}"/>
    <cellStyle name="Note 3 3 5 2 2 2" xfId="16741" xr:uid="{A0AD4874-E24F-42DB-9A9D-A8DB58709D89}"/>
    <cellStyle name="Note 3 3 5 2 3" xfId="12523" xr:uid="{75E06CC7-2E8B-4481-ACBE-793637B926D0}"/>
    <cellStyle name="Note 3 3 5 3" xfId="6154" xr:uid="{00000000-0005-0000-0000-0000CA210000}"/>
    <cellStyle name="Note 3 3 5 3 2" xfId="14596" xr:uid="{6DB48506-AFBC-490A-B6AE-18122793C1E0}"/>
    <cellStyle name="Note 3 3 5 4" xfId="10378" xr:uid="{D5557980-4027-4189-BBDD-8CC3B6EC9648}"/>
    <cellStyle name="Note 3 3 6" xfId="2260" xr:uid="{00000000-0005-0000-0000-0000CB210000}"/>
    <cellStyle name="Note 3 3 6 2" xfId="4489" xr:uid="{00000000-0005-0000-0000-0000CC210000}"/>
    <cellStyle name="Note 3 3 6 2 2" xfId="8712" xr:uid="{00000000-0005-0000-0000-0000CD210000}"/>
    <cellStyle name="Note 3 3 6 2 2 2" xfId="17154" xr:uid="{BEB54449-F7DA-4C4C-9D73-CD0981E71CDE}"/>
    <cellStyle name="Note 3 3 6 2 3" xfId="12936" xr:uid="{F7058EF8-5DB2-4A01-BB5E-7EC3EF8125E6}"/>
    <cellStyle name="Note 3 3 6 3" xfId="6567" xr:uid="{00000000-0005-0000-0000-0000CE210000}"/>
    <cellStyle name="Note 3 3 6 3 2" xfId="15009" xr:uid="{DD944913-509A-4342-AC53-02EE26148EE2}"/>
    <cellStyle name="Note 3 3 6 4" xfId="10791" xr:uid="{1DA1B18E-E9EF-4330-BCFE-C8C28D1355A9}"/>
    <cellStyle name="Note 3 3 7" xfId="2696" xr:uid="{00000000-0005-0000-0000-0000CF210000}"/>
    <cellStyle name="Note 3 3 7 2" xfId="6980" xr:uid="{00000000-0005-0000-0000-0000D0210000}"/>
    <cellStyle name="Note 3 3 7 2 2" xfId="15422" xr:uid="{4EE2A3FB-6353-4545-B77E-F06A03A4B061}"/>
    <cellStyle name="Note 3 3 7 3" xfId="11204" xr:uid="{A3965914-46F5-4990-A90F-941B8E46BBD1}"/>
    <cellStyle name="Note 3 3 8" xfId="2755" xr:uid="{00000000-0005-0000-0000-0000D1210000}"/>
    <cellStyle name="Note 3 3 9" xfId="2836" xr:uid="{00000000-0005-0000-0000-0000D2210000}"/>
    <cellStyle name="Note 3 3 9 2" xfId="7060" xr:uid="{00000000-0005-0000-0000-0000D3210000}"/>
    <cellStyle name="Note 3 3 9 2 2" xfId="15502" xr:uid="{1264815F-442D-4541-9162-18B335FC5115}"/>
    <cellStyle name="Note 3 3 9 3" xfId="11284" xr:uid="{2B205B67-0906-4750-AD32-63242DB0CC67}"/>
    <cellStyle name="Note 3 4" xfId="560" xr:uid="{00000000-0005-0000-0000-0000D4210000}"/>
    <cellStyle name="Note 3 4 10" xfId="9141" xr:uid="{CDE6D749-415B-4135-88A1-76DEC78C8712}"/>
    <cellStyle name="Note 3 4 2" xfId="1020" xr:uid="{00000000-0005-0000-0000-0000D5210000}"/>
    <cellStyle name="Note 3 4 2 2" xfId="3252" xr:uid="{00000000-0005-0000-0000-0000D6210000}"/>
    <cellStyle name="Note 3 4 2 2 2" xfId="7475" xr:uid="{00000000-0005-0000-0000-0000D7210000}"/>
    <cellStyle name="Note 3 4 2 2 2 2" xfId="15917" xr:uid="{F90B8EDC-6826-4912-9015-AA128E3358DF}"/>
    <cellStyle name="Note 3 4 2 2 3" xfId="11699" xr:uid="{0991E278-7CD1-44EC-BEDD-1A7FE521D221}"/>
    <cellStyle name="Note 3 4 2 3" xfId="5330" xr:uid="{00000000-0005-0000-0000-0000D8210000}"/>
    <cellStyle name="Note 3 4 2 3 2" xfId="13772" xr:uid="{4AAFF8E5-34E4-49A5-9C42-94AFAD02F5BE}"/>
    <cellStyle name="Note 3 4 2 4" xfId="9554" xr:uid="{9DDAAFB2-9687-4275-904F-093430F99B28}"/>
    <cellStyle name="Note 3 4 3" xfId="1435" xr:uid="{00000000-0005-0000-0000-0000D9210000}"/>
    <cellStyle name="Note 3 4 3 2" xfId="3665" xr:uid="{00000000-0005-0000-0000-0000DA210000}"/>
    <cellStyle name="Note 3 4 3 2 2" xfId="7888" xr:uid="{00000000-0005-0000-0000-0000DB210000}"/>
    <cellStyle name="Note 3 4 3 2 2 2" xfId="16330" xr:uid="{3F176F7D-1426-49DC-98BE-D151D1FC77AE}"/>
    <cellStyle name="Note 3 4 3 2 3" xfId="12112" xr:uid="{65198A92-030A-42FF-8FC8-FF3DEC2B34AF}"/>
    <cellStyle name="Note 3 4 3 3" xfId="5743" xr:uid="{00000000-0005-0000-0000-0000DC210000}"/>
    <cellStyle name="Note 3 4 3 3 2" xfId="14185" xr:uid="{81E041AF-B3DE-4039-B2F3-5F6D1E4D8D5F}"/>
    <cellStyle name="Note 3 4 3 4" xfId="9967" xr:uid="{F882C7D1-AA91-4CEB-A35A-88C23BA020F2}"/>
    <cellStyle name="Note 3 4 4" xfId="1849" xr:uid="{00000000-0005-0000-0000-0000DD210000}"/>
    <cellStyle name="Note 3 4 4 2" xfId="4078" xr:uid="{00000000-0005-0000-0000-0000DE210000}"/>
    <cellStyle name="Note 3 4 4 2 2" xfId="8301" xr:uid="{00000000-0005-0000-0000-0000DF210000}"/>
    <cellStyle name="Note 3 4 4 2 2 2" xfId="16743" xr:uid="{79B205FB-9F1B-4B54-AB2F-1A1A73FD986F}"/>
    <cellStyle name="Note 3 4 4 2 3" xfId="12525" xr:uid="{FF01EA57-776E-4995-8F86-390432B05ACA}"/>
    <cellStyle name="Note 3 4 4 3" xfId="6156" xr:uid="{00000000-0005-0000-0000-0000E0210000}"/>
    <cellStyle name="Note 3 4 4 3 2" xfId="14598" xr:uid="{9B654D84-0138-40AE-9637-526841E749F9}"/>
    <cellStyle name="Note 3 4 4 4" xfId="10380" xr:uid="{09AB9107-1685-460C-B636-5DF07512A8B4}"/>
    <cellStyle name="Note 3 4 5" xfId="2262" xr:uid="{00000000-0005-0000-0000-0000E1210000}"/>
    <cellStyle name="Note 3 4 5 2" xfId="4491" xr:uid="{00000000-0005-0000-0000-0000E2210000}"/>
    <cellStyle name="Note 3 4 5 2 2" xfId="8714" xr:uid="{00000000-0005-0000-0000-0000E3210000}"/>
    <cellStyle name="Note 3 4 5 2 2 2" xfId="17156" xr:uid="{ED5AA252-CD03-4404-8B52-FB666C42B179}"/>
    <cellStyle name="Note 3 4 5 2 3" xfId="12938" xr:uid="{9D7249E3-A978-4B30-B480-BAC055FF768E}"/>
    <cellStyle name="Note 3 4 5 3" xfId="6569" xr:uid="{00000000-0005-0000-0000-0000E4210000}"/>
    <cellStyle name="Note 3 4 5 3 2" xfId="15011" xr:uid="{AC3F53B1-9B77-478B-BA3E-B552F753BEB6}"/>
    <cellStyle name="Note 3 4 5 4" xfId="10793" xr:uid="{4FAF3CC0-E0EA-45A9-A42F-DBAF90FAF28E}"/>
    <cellStyle name="Note 3 4 6" xfId="2698" xr:uid="{00000000-0005-0000-0000-0000E5210000}"/>
    <cellStyle name="Note 3 4 6 2" xfId="6982" xr:uid="{00000000-0005-0000-0000-0000E6210000}"/>
    <cellStyle name="Note 3 4 6 2 2" xfId="15424" xr:uid="{7C93F67B-2E7D-4CD8-BB88-3F6A0DB26422}"/>
    <cellStyle name="Note 3 4 6 3" xfId="11206" xr:uid="{27ACAB1C-B935-4FDA-92F6-CC6DC184F3F0}"/>
    <cellStyle name="Note 3 4 7" xfId="2757" xr:uid="{00000000-0005-0000-0000-0000E7210000}"/>
    <cellStyle name="Note 3 4 8" xfId="2838" xr:uid="{00000000-0005-0000-0000-0000E8210000}"/>
    <cellStyle name="Note 3 4 8 2" xfId="7062" xr:uid="{00000000-0005-0000-0000-0000E9210000}"/>
    <cellStyle name="Note 3 4 8 2 2" xfId="15504" xr:uid="{0493ED27-FF87-4621-87E1-AB227334F1A0}"/>
    <cellStyle name="Note 3 4 8 3" xfId="11286" xr:uid="{348E703D-FD01-4FCC-8901-92481B3CF4D3}"/>
    <cellStyle name="Note 3 4 9" xfId="4917" xr:uid="{00000000-0005-0000-0000-0000EA210000}"/>
    <cellStyle name="Note 3 4 9 2" xfId="13359" xr:uid="{580D981B-6C28-4E48-9209-564036333DBB}"/>
    <cellStyle name="Note 3 5" xfId="561" xr:uid="{00000000-0005-0000-0000-0000EB210000}"/>
    <cellStyle name="Note 3 5 10" xfId="9142" xr:uid="{8A91B5A5-29A5-4230-985A-4EE07BD39CAB}"/>
    <cellStyle name="Note 3 5 2" xfId="1021" xr:uid="{00000000-0005-0000-0000-0000EC210000}"/>
    <cellStyle name="Note 3 5 2 2" xfId="3253" xr:uid="{00000000-0005-0000-0000-0000ED210000}"/>
    <cellStyle name="Note 3 5 2 2 2" xfId="7476" xr:uid="{00000000-0005-0000-0000-0000EE210000}"/>
    <cellStyle name="Note 3 5 2 2 2 2" xfId="15918" xr:uid="{1895A359-B288-4124-91EE-22E84C1AC664}"/>
    <cellStyle name="Note 3 5 2 2 3" xfId="11700" xr:uid="{5830C026-F5EF-4B2B-B83B-B64E74376370}"/>
    <cellStyle name="Note 3 5 2 3" xfId="5331" xr:uid="{00000000-0005-0000-0000-0000EF210000}"/>
    <cellStyle name="Note 3 5 2 3 2" xfId="13773" xr:uid="{16B35D96-BD4B-43CE-85FF-016458C3C414}"/>
    <cellStyle name="Note 3 5 2 4" xfId="9555" xr:uid="{B9EED68E-F3F5-4012-8373-A447FA33DFCA}"/>
    <cellStyle name="Note 3 5 3" xfId="1436" xr:uid="{00000000-0005-0000-0000-0000F0210000}"/>
    <cellStyle name="Note 3 5 3 2" xfId="3666" xr:uid="{00000000-0005-0000-0000-0000F1210000}"/>
    <cellStyle name="Note 3 5 3 2 2" xfId="7889" xr:uid="{00000000-0005-0000-0000-0000F2210000}"/>
    <cellStyle name="Note 3 5 3 2 2 2" xfId="16331" xr:uid="{5C7A1401-48C1-46FD-A593-7E8859A969B3}"/>
    <cellStyle name="Note 3 5 3 2 3" xfId="12113" xr:uid="{8C4F0259-2935-40A1-B308-DBB8C19F1C8B}"/>
    <cellStyle name="Note 3 5 3 3" xfId="5744" xr:uid="{00000000-0005-0000-0000-0000F3210000}"/>
    <cellStyle name="Note 3 5 3 3 2" xfId="14186" xr:uid="{BC4A8E83-44FE-457E-8D01-7959CBF2F69D}"/>
    <cellStyle name="Note 3 5 3 4" xfId="9968" xr:uid="{AB98D2F9-DA45-4009-A860-B30C12BD707E}"/>
    <cellStyle name="Note 3 5 4" xfId="1850" xr:uid="{00000000-0005-0000-0000-0000F4210000}"/>
    <cellStyle name="Note 3 5 4 2" xfId="4079" xr:uid="{00000000-0005-0000-0000-0000F5210000}"/>
    <cellStyle name="Note 3 5 4 2 2" xfId="8302" xr:uid="{00000000-0005-0000-0000-0000F6210000}"/>
    <cellStyle name="Note 3 5 4 2 2 2" xfId="16744" xr:uid="{30BDB8CF-DE3F-491B-84B4-890E01555924}"/>
    <cellStyle name="Note 3 5 4 2 3" xfId="12526" xr:uid="{B05F309A-0AE0-49B7-BFCD-29E4AFE4BA82}"/>
    <cellStyle name="Note 3 5 4 3" xfId="6157" xr:uid="{00000000-0005-0000-0000-0000F7210000}"/>
    <cellStyle name="Note 3 5 4 3 2" xfId="14599" xr:uid="{41AF155B-EB9C-4308-9660-2A160A2D96C3}"/>
    <cellStyle name="Note 3 5 4 4" xfId="10381" xr:uid="{53F83C01-7CCE-4BC0-A5F4-B2F91D33DDF1}"/>
    <cellStyle name="Note 3 5 5" xfId="2263" xr:uid="{00000000-0005-0000-0000-0000F8210000}"/>
    <cellStyle name="Note 3 5 5 2" xfId="4492" xr:uid="{00000000-0005-0000-0000-0000F9210000}"/>
    <cellStyle name="Note 3 5 5 2 2" xfId="8715" xr:uid="{00000000-0005-0000-0000-0000FA210000}"/>
    <cellStyle name="Note 3 5 5 2 2 2" xfId="17157" xr:uid="{11780F76-032F-4A4B-A6F7-B4C0622A8F90}"/>
    <cellStyle name="Note 3 5 5 2 3" xfId="12939" xr:uid="{A03DFEEC-673C-42FD-8CF0-DEB54E446A56}"/>
    <cellStyle name="Note 3 5 5 3" xfId="6570" xr:uid="{00000000-0005-0000-0000-0000FB210000}"/>
    <cellStyle name="Note 3 5 5 3 2" xfId="15012" xr:uid="{EE1AC4BF-F53F-4016-A206-5CF84DCAC18B}"/>
    <cellStyle name="Note 3 5 5 4" xfId="10794" xr:uid="{070D25EA-58B6-49DA-B13A-EE6C1415E325}"/>
    <cellStyle name="Note 3 5 6" xfId="2699" xr:uid="{00000000-0005-0000-0000-0000FC210000}"/>
    <cellStyle name="Note 3 5 6 2" xfId="6983" xr:uid="{00000000-0005-0000-0000-0000FD210000}"/>
    <cellStyle name="Note 3 5 6 2 2" xfId="15425" xr:uid="{F955C5C9-33A9-4C63-89A3-5EBE8B5FDC70}"/>
    <cellStyle name="Note 3 5 6 3" xfId="11207" xr:uid="{45FA270A-FC70-48A4-A2C8-86BD8315E6AD}"/>
    <cellStyle name="Note 3 5 7" xfId="2758" xr:uid="{00000000-0005-0000-0000-0000FE210000}"/>
    <cellStyle name="Note 3 5 8" xfId="2839" xr:uid="{00000000-0005-0000-0000-0000FF210000}"/>
    <cellStyle name="Note 3 5 8 2" xfId="7063" xr:uid="{00000000-0005-0000-0000-000000220000}"/>
    <cellStyle name="Note 3 5 8 2 2" xfId="15505" xr:uid="{8D0800A5-7002-43E9-AC7B-A00FAA2E56E9}"/>
    <cellStyle name="Note 3 5 8 3" xfId="11287" xr:uid="{C0B499CC-6210-4BEF-8FAE-0B6A391D63BF}"/>
    <cellStyle name="Note 3 5 9" xfId="4918" xr:uid="{00000000-0005-0000-0000-000001220000}"/>
    <cellStyle name="Note 3 5 9 2" xfId="13360" xr:uid="{A47BE113-76F5-4EB4-9960-66515D38DCB8}"/>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3 2" xfId="12943" xr:uid="{E3D0089B-32F3-45FA-AF58-A8D3AD7E13A2}"/>
    <cellStyle name="Percent 4" xfId="4502" xr:uid="{00000000-0005-0000-0000-000007220000}"/>
    <cellStyle name="Percent 4 2" xfId="8718" xr:uid="{00000000-0005-0000-0000-000008220000}"/>
    <cellStyle name="Percent 4 2 2" xfId="17160" xr:uid="{CE0C98B4-1DE2-4731-9B6C-1DFEB515C58F}"/>
    <cellStyle name="Percent 4 3" xfId="8721" xr:uid="{D09CD3FC-D632-4B66-A68A-5CC92F993799}"/>
    <cellStyle name="Percent 4 3 2" xfId="8725" xr:uid="{D57AE941-8E59-43F0-AB73-09B3BCCFA234}"/>
    <cellStyle name="Percent 4 3 2 2" xfId="8728" xr:uid="{D24D76A7-D076-4554-9944-551B122393DE}"/>
    <cellStyle name="Percent 4 3 2 2 2" xfId="17169" xr:uid="{85E9AE8F-D70F-4EC6-9BF8-0D304C3D50DE}"/>
    <cellStyle name="Percent 4 3 2 3" xfId="17166" xr:uid="{FF423B05-302A-46C3-9498-F327E4DEFBCA}"/>
    <cellStyle name="Percent 4 3 3" xfId="17163" xr:uid="{C4EFEB74-2BE2-4A1B-9CDF-596CF8A10FCD}"/>
    <cellStyle name="Percent 4 4" xfId="12946" xr:uid="{951539C7-4BBA-4EB0-811F-08BED1252DCB}"/>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5" zeroHeight="1"/>
  <cols>
    <col min="1" max="5" width="2.453125" customWidth="1"/>
    <col min="6" max="6" width="3" customWidth="1"/>
    <col min="7" max="36" width="2.453125" customWidth="1"/>
    <col min="37" max="38" width="2.7265625" customWidth="1"/>
    <col min="39" max="16384" width="2.453125" hidden="1"/>
  </cols>
  <sheetData>
    <row r="1" spans="1:38">
      <c r="A1" s="1220" t="s">
        <v>0</v>
      </c>
      <c r="B1" s="1220"/>
      <c r="C1" s="1220"/>
      <c r="D1" s="1220"/>
      <c r="E1" s="1220"/>
      <c r="F1" s="1220"/>
      <c r="G1" s="1220"/>
      <c r="H1" s="1220"/>
      <c r="I1" s="1220"/>
      <c r="J1" s="1220"/>
      <c r="K1" s="1220"/>
      <c r="L1" s="1220"/>
      <c r="M1" s="1220"/>
      <c r="N1" s="1220"/>
      <c r="O1" s="1220"/>
      <c r="P1" s="1220"/>
      <c r="Q1" s="1220"/>
      <c r="R1" s="1220"/>
      <c r="S1" s="1220"/>
      <c r="T1" s="1220"/>
      <c r="U1" s="1220"/>
      <c r="V1" s="1220"/>
      <c r="W1" s="1220"/>
      <c r="X1" s="1220"/>
      <c r="Y1" s="1220"/>
      <c r="Z1" s="1220"/>
      <c r="AA1" s="1220"/>
      <c r="AB1" s="1220"/>
      <c r="AC1" s="1220"/>
      <c r="AD1" s="1220"/>
      <c r="AE1" s="1220"/>
      <c r="AF1" s="1220"/>
      <c r="AG1" s="1220"/>
      <c r="AH1" s="1220"/>
      <c r="AI1" s="1220"/>
      <c r="AJ1" s="1220"/>
      <c r="AK1" s="1220"/>
      <c r="AL1" s="1220"/>
    </row>
    <row r="2" spans="1:38" ht="13" thickBot="1">
      <c r="A2" s="1221"/>
      <c r="B2" s="1221"/>
      <c r="C2" s="1221"/>
      <c r="D2" s="1221"/>
      <c r="E2" s="1221"/>
      <c r="F2" s="1221"/>
      <c r="G2" s="1221"/>
      <c r="H2" s="1221"/>
      <c r="I2" s="1221"/>
      <c r="J2" s="1221"/>
      <c r="K2" s="1221"/>
      <c r="L2" s="1221"/>
      <c r="M2" s="1221"/>
      <c r="N2" s="1221"/>
      <c r="O2" s="1221"/>
      <c r="P2" s="1221"/>
      <c r="Q2" s="1221"/>
      <c r="R2" s="1221"/>
      <c r="S2" s="1221"/>
      <c r="T2" s="1221"/>
      <c r="U2" s="1221"/>
      <c r="V2" s="1221"/>
      <c r="W2" s="1221"/>
      <c r="X2" s="1221"/>
      <c r="Y2" s="1221"/>
      <c r="Z2" s="1221"/>
      <c r="AA2" s="1221"/>
      <c r="AB2" s="1221"/>
      <c r="AC2" s="1221"/>
      <c r="AD2" s="1221"/>
      <c r="AE2" s="1221"/>
      <c r="AF2" s="1221"/>
      <c r="AG2" s="1221"/>
      <c r="AH2" s="1221"/>
      <c r="AI2" s="1221"/>
      <c r="AJ2" s="1221"/>
      <c r="AK2" s="1221"/>
      <c r="AL2" s="1221"/>
    </row>
    <row r="3" spans="1:38" ht="13" thickTop="1"/>
    <row r="4" spans="1:38" s="4" customFormat="1" ht="13">
      <c r="B4" s="10" t="s">
        <v>1</v>
      </c>
      <c r="C4" s="10" t="s">
        <v>2</v>
      </c>
      <c r="D4" s="1036"/>
      <c r="E4" s="1036"/>
      <c r="F4" s="1036"/>
      <c r="G4" s="1036"/>
      <c r="H4" s="1036"/>
      <c r="I4" s="1036"/>
      <c r="J4" s="1036"/>
      <c r="K4" s="1036"/>
      <c r="L4" s="1036"/>
      <c r="M4" s="1036"/>
      <c r="N4" s="1036"/>
      <c r="O4" s="1036"/>
      <c r="P4" s="1036"/>
      <c r="Q4" s="1036"/>
      <c r="R4" s="1036"/>
      <c r="S4" s="1036"/>
      <c r="T4" s="1036"/>
      <c r="U4" s="1036"/>
      <c r="V4" s="1036"/>
      <c r="W4" s="1036"/>
      <c r="X4" s="1036"/>
      <c r="Y4" s="1036"/>
      <c r="Z4" s="1036"/>
      <c r="AA4" s="1036"/>
      <c r="AB4" s="1036"/>
    </row>
    <row r="5" spans="1:38" ht="13">
      <c r="B5" s="1"/>
      <c r="C5" s="1"/>
      <c r="D5" s="2"/>
      <c r="E5" s="2"/>
      <c r="F5" s="2"/>
      <c r="G5" s="2"/>
      <c r="H5" s="2"/>
      <c r="I5" s="2"/>
      <c r="J5" s="2"/>
      <c r="K5" s="2"/>
      <c r="L5" s="2"/>
      <c r="M5" s="2"/>
      <c r="N5" s="2"/>
      <c r="O5" s="2"/>
      <c r="P5" s="2"/>
      <c r="Q5" s="2"/>
      <c r="R5" s="2"/>
      <c r="S5" s="2"/>
      <c r="T5" s="2"/>
      <c r="U5" s="2"/>
      <c r="V5" s="2"/>
      <c r="W5" s="2"/>
      <c r="X5" s="2"/>
      <c r="Y5" s="2"/>
      <c r="Z5" s="2"/>
      <c r="AA5" s="2"/>
      <c r="AB5" s="2"/>
    </row>
    <row r="6" spans="1:38" ht="13">
      <c r="A6" s="2"/>
      <c r="C6" s="1" t="s">
        <v>3</v>
      </c>
      <c r="D6" s="1" t="s">
        <v>4</v>
      </c>
      <c r="F6" s="2"/>
      <c r="G6" s="2"/>
      <c r="H6" s="2"/>
      <c r="I6" s="2"/>
      <c r="J6" s="2"/>
      <c r="K6" s="2"/>
      <c r="L6" s="2"/>
      <c r="M6" s="2"/>
      <c r="N6" s="2"/>
      <c r="O6" s="2"/>
      <c r="P6" s="2"/>
      <c r="Q6" s="2"/>
      <c r="R6" s="2"/>
      <c r="S6" s="2"/>
      <c r="T6" s="2"/>
      <c r="U6" s="2"/>
      <c r="V6" s="2"/>
      <c r="W6" s="2"/>
      <c r="X6" s="2"/>
      <c r="Y6" s="2"/>
      <c r="Z6" s="2"/>
      <c r="AA6" s="2"/>
      <c r="AB6" s="2"/>
    </row>
    <row r="7" spans="1:38" ht="13.4" customHeight="1">
      <c r="A7" s="118"/>
      <c r="B7" s="118"/>
      <c r="C7" s="119"/>
      <c r="D7" s="1222" t="s">
        <v>5</v>
      </c>
      <c r="E7" s="1222"/>
      <c r="F7" s="1222"/>
      <c r="G7" s="1222"/>
      <c r="H7" s="1222"/>
      <c r="I7" s="1222"/>
      <c r="J7" s="1222"/>
      <c r="K7" s="1222"/>
      <c r="L7" s="1222"/>
      <c r="M7" s="1222"/>
      <c r="N7" s="1222"/>
      <c r="O7" s="1222"/>
      <c r="P7" s="1222"/>
      <c r="Q7" s="1222"/>
      <c r="R7" s="1222"/>
      <c r="S7" s="1222"/>
      <c r="T7" s="1222"/>
      <c r="U7" s="1222"/>
      <c r="V7" s="1222"/>
      <c r="W7" s="1222"/>
      <c r="X7" s="1222"/>
      <c r="Y7" s="1222"/>
      <c r="Z7" s="1222"/>
      <c r="AA7" s="1222"/>
      <c r="AB7" s="1222"/>
      <c r="AC7" s="1222"/>
      <c r="AD7" s="1222"/>
      <c r="AE7" s="1222"/>
      <c r="AF7" s="1222"/>
      <c r="AG7" s="1222"/>
      <c r="AH7" s="1222"/>
      <c r="AI7" s="1222"/>
      <c r="AJ7" s="1222"/>
      <c r="AK7" s="1222"/>
      <c r="AL7" s="1137"/>
    </row>
    <row r="8" spans="1:38" ht="13">
      <c r="A8" s="118"/>
      <c r="B8" s="118"/>
      <c r="C8" s="119"/>
      <c r="D8" s="1222"/>
      <c r="E8" s="1222"/>
      <c r="F8" s="1222"/>
      <c r="G8" s="1222"/>
      <c r="H8" s="1222"/>
      <c r="I8" s="1222"/>
      <c r="J8" s="1222"/>
      <c r="K8" s="1222"/>
      <c r="L8" s="1222"/>
      <c r="M8" s="1222"/>
      <c r="N8" s="1222"/>
      <c r="O8" s="1222"/>
      <c r="P8" s="1222"/>
      <c r="Q8" s="1222"/>
      <c r="R8" s="1222"/>
      <c r="S8" s="1222"/>
      <c r="T8" s="1222"/>
      <c r="U8" s="1222"/>
      <c r="V8" s="1222"/>
      <c r="W8" s="1222"/>
      <c r="X8" s="1222"/>
      <c r="Y8" s="1222"/>
      <c r="Z8" s="1222"/>
      <c r="AA8" s="1222"/>
      <c r="AB8" s="1222"/>
      <c r="AC8" s="1222"/>
      <c r="AD8" s="1222"/>
      <c r="AE8" s="1222"/>
      <c r="AF8" s="1222"/>
      <c r="AG8" s="1222"/>
      <c r="AH8" s="1222"/>
      <c r="AI8" s="1222"/>
      <c r="AJ8" s="1222"/>
      <c r="AK8" s="1222"/>
      <c r="AL8" s="1137"/>
    </row>
    <row r="9" spans="1:38" ht="13">
      <c r="A9" s="118"/>
      <c r="B9" s="118"/>
      <c r="C9" s="119"/>
      <c r="D9" s="1222"/>
      <c r="E9" s="1222"/>
      <c r="F9" s="1222"/>
      <c r="G9" s="1222"/>
      <c r="H9" s="1222"/>
      <c r="I9" s="1222"/>
      <c r="J9" s="1222"/>
      <c r="K9" s="1222"/>
      <c r="L9" s="1222"/>
      <c r="M9" s="1222"/>
      <c r="N9" s="1222"/>
      <c r="O9" s="1222"/>
      <c r="P9" s="1222"/>
      <c r="Q9" s="1222"/>
      <c r="R9" s="1222"/>
      <c r="S9" s="1222"/>
      <c r="T9" s="1222"/>
      <c r="U9" s="1222"/>
      <c r="V9" s="1222"/>
      <c r="W9" s="1222"/>
      <c r="X9" s="1222"/>
      <c r="Y9" s="1222"/>
      <c r="Z9" s="1222"/>
      <c r="AA9" s="1222"/>
      <c r="AB9" s="1222"/>
      <c r="AC9" s="1222"/>
      <c r="AD9" s="1222"/>
      <c r="AE9" s="1222"/>
      <c r="AF9" s="1222"/>
      <c r="AG9" s="1222"/>
      <c r="AH9" s="1222"/>
      <c r="AI9" s="1222"/>
      <c r="AJ9" s="1222"/>
      <c r="AK9" s="1222"/>
      <c r="AL9" s="1137"/>
    </row>
    <row r="10" spans="1:38" ht="13">
      <c r="A10" s="118"/>
      <c r="B10" s="118"/>
      <c r="C10" s="119"/>
      <c r="D10" s="1137"/>
      <c r="E10" s="1137"/>
      <c r="F10" s="1137"/>
      <c r="G10" s="1137"/>
      <c r="H10" s="1137"/>
      <c r="I10" s="1137"/>
      <c r="J10" s="1137"/>
      <c r="K10" s="1137"/>
      <c r="L10" s="1137"/>
      <c r="M10" s="1137"/>
      <c r="N10" s="1137"/>
      <c r="O10" s="1137"/>
      <c r="P10" s="1137"/>
      <c r="Q10" s="1137"/>
      <c r="R10" s="1137"/>
      <c r="S10" s="1137"/>
      <c r="T10" s="1137"/>
      <c r="U10" s="1137"/>
      <c r="V10" s="1137"/>
      <c r="W10" s="1137"/>
      <c r="X10" s="1137"/>
      <c r="Y10" s="1137"/>
      <c r="Z10" s="1137"/>
      <c r="AA10" s="1137"/>
      <c r="AB10" s="1137"/>
      <c r="AC10" s="1137"/>
      <c r="AD10" s="1137"/>
      <c r="AE10" s="1137"/>
      <c r="AF10" s="1137"/>
      <c r="AG10" s="1137"/>
      <c r="AH10" s="1137"/>
      <c r="AI10" s="1137"/>
      <c r="AJ10" s="1137"/>
      <c r="AK10" s="1137"/>
      <c r="AL10" s="1137"/>
    </row>
    <row r="11" spans="1:38" ht="13" customHeight="1">
      <c r="A11" s="118"/>
      <c r="B11" s="118"/>
      <c r="C11" s="119"/>
      <c r="D11" s="1222" t="s">
        <v>6</v>
      </c>
      <c r="E11" s="1222"/>
      <c r="F11" s="1222"/>
      <c r="G11" s="1222"/>
      <c r="H11" s="1222"/>
      <c r="I11" s="1222"/>
      <c r="J11" s="1222"/>
      <c r="K11" s="1222"/>
      <c r="L11" s="1222"/>
      <c r="M11" s="1222"/>
      <c r="N11" s="1222"/>
      <c r="O11" s="1222"/>
      <c r="P11" s="1222"/>
      <c r="Q11" s="1222"/>
      <c r="R11" s="1222"/>
      <c r="S11" s="1222"/>
      <c r="T11" s="1222"/>
      <c r="U11" s="1222"/>
      <c r="V11" s="1222"/>
      <c r="W11" s="1222"/>
      <c r="X11" s="1222"/>
      <c r="Y11" s="1222"/>
      <c r="Z11" s="1222"/>
      <c r="AA11" s="1222"/>
      <c r="AB11" s="1222"/>
      <c r="AC11" s="1222"/>
      <c r="AD11" s="1222"/>
      <c r="AE11" s="1222"/>
      <c r="AF11" s="1222"/>
      <c r="AG11" s="1222"/>
      <c r="AH11" s="1222"/>
      <c r="AI11" s="1222"/>
      <c r="AJ11" s="1222"/>
      <c r="AK11" s="1222"/>
      <c r="AL11" s="1137"/>
    </row>
    <row r="12" spans="1:38" ht="13">
      <c r="A12" s="118"/>
      <c r="B12" s="118"/>
      <c r="C12" s="119"/>
      <c r="D12" s="1222"/>
      <c r="E12" s="1222"/>
      <c r="F12" s="1222"/>
      <c r="G12" s="1222"/>
      <c r="H12" s="1222"/>
      <c r="I12" s="1222"/>
      <c r="J12" s="1222"/>
      <c r="K12" s="1222"/>
      <c r="L12" s="1222"/>
      <c r="M12" s="1222"/>
      <c r="N12" s="1222"/>
      <c r="O12" s="1222"/>
      <c r="P12" s="1222"/>
      <c r="Q12" s="1222"/>
      <c r="R12" s="1222"/>
      <c r="S12" s="1222"/>
      <c r="T12" s="1222"/>
      <c r="U12" s="1222"/>
      <c r="V12" s="1222"/>
      <c r="W12" s="1222"/>
      <c r="X12" s="1222"/>
      <c r="Y12" s="1222"/>
      <c r="Z12" s="1222"/>
      <c r="AA12" s="1222"/>
      <c r="AB12" s="1222"/>
      <c r="AC12" s="1222"/>
      <c r="AD12" s="1222"/>
      <c r="AE12" s="1222"/>
      <c r="AF12" s="1222"/>
      <c r="AG12" s="1222"/>
      <c r="AH12" s="1222"/>
      <c r="AI12" s="1222"/>
      <c r="AJ12" s="1222"/>
      <c r="AK12" s="1222"/>
      <c r="AL12" s="1137"/>
    </row>
    <row r="13" spans="1:38" ht="13">
      <c r="A13" s="118"/>
      <c r="B13" s="118"/>
      <c r="C13" s="119"/>
      <c r="D13" s="1222"/>
      <c r="E13" s="1222"/>
      <c r="F13" s="1222"/>
      <c r="G13" s="1222"/>
      <c r="H13" s="1222"/>
      <c r="I13" s="1222"/>
      <c r="J13" s="1222"/>
      <c r="K13" s="1222"/>
      <c r="L13" s="1222"/>
      <c r="M13" s="1222"/>
      <c r="N13" s="1222"/>
      <c r="O13" s="1222"/>
      <c r="P13" s="1222"/>
      <c r="Q13" s="1222"/>
      <c r="R13" s="1222"/>
      <c r="S13" s="1222"/>
      <c r="T13" s="1222"/>
      <c r="U13" s="1222"/>
      <c r="V13" s="1222"/>
      <c r="W13" s="1222"/>
      <c r="X13" s="1222"/>
      <c r="Y13" s="1222"/>
      <c r="Z13" s="1222"/>
      <c r="AA13" s="1222"/>
      <c r="AB13" s="1222"/>
      <c r="AC13" s="1222"/>
      <c r="AD13" s="1222"/>
      <c r="AE13" s="1222"/>
      <c r="AF13" s="1222"/>
      <c r="AG13" s="1222"/>
      <c r="AH13" s="1222"/>
      <c r="AI13" s="1222"/>
      <c r="AJ13" s="1222"/>
      <c r="AK13" s="1222"/>
      <c r="AL13" s="1137"/>
    </row>
    <row r="14" spans="1:38" ht="13.4" customHeight="1">
      <c r="A14" s="118"/>
      <c r="B14" s="118"/>
      <c r="C14" s="119"/>
      <c r="E14" s="1222" t="s">
        <v>7</v>
      </c>
      <c r="F14" s="1222"/>
      <c r="G14" s="1222"/>
      <c r="H14" s="1222"/>
      <c r="I14" s="1222"/>
      <c r="J14" s="1222"/>
      <c r="K14" s="1222"/>
      <c r="L14" s="1222"/>
      <c r="M14" s="1222"/>
      <c r="N14" s="1222"/>
      <c r="O14" s="1222"/>
      <c r="P14" s="1222"/>
      <c r="Q14" s="1222"/>
      <c r="R14" s="1222"/>
      <c r="S14" s="1222"/>
      <c r="T14" s="1222"/>
      <c r="U14" s="1222"/>
      <c r="V14" s="1222"/>
      <c r="W14" s="1222"/>
      <c r="X14" s="1222"/>
      <c r="Y14" s="1222"/>
      <c r="Z14" s="1222"/>
      <c r="AA14" s="1222"/>
      <c r="AB14" s="1222"/>
      <c r="AC14" s="1222"/>
      <c r="AD14" s="1222"/>
      <c r="AE14" s="1222"/>
      <c r="AF14" s="1222"/>
      <c r="AG14" s="1222"/>
      <c r="AH14" s="1222"/>
      <c r="AI14" s="1222"/>
      <c r="AJ14" s="1222"/>
      <c r="AK14" s="1222"/>
      <c r="AL14" s="1137"/>
    </row>
    <row r="15" spans="1:38" ht="13.4" customHeight="1">
      <c r="A15" s="118"/>
      <c r="B15" s="118"/>
      <c r="C15" s="119"/>
      <c r="E15" s="1222"/>
      <c r="F15" s="1222"/>
      <c r="G15" s="1222"/>
      <c r="H15" s="1222"/>
      <c r="I15" s="1222"/>
      <c r="J15" s="1222"/>
      <c r="K15" s="1222"/>
      <c r="L15" s="1222"/>
      <c r="M15" s="1222"/>
      <c r="N15" s="1222"/>
      <c r="O15" s="1222"/>
      <c r="P15" s="1222"/>
      <c r="Q15" s="1222"/>
      <c r="R15" s="1222"/>
      <c r="S15" s="1222"/>
      <c r="T15" s="1222"/>
      <c r="U15" s="1222"/>
      <c r="V15" s="1222"/>
      <c r="W15" s="1222"/>
      <c r="X15" s="1222"/>
      <c r="Y15" s="1222"/>
      <c r="Z15" s="1222"/>
      <c r="AA15" s="1222"/>
      <c r="AB15" s="1222"/>
      <c r="AC15" s="1222"/>
      <c r="AD15" s="1222"/>
      <c r="AE15" s="1222"/>
      <c r="AF15" s="1222"/>
      <c r="AG15" s="1222"/>
      <c r="AH15" s="1222"/>
      <c r="AI15" s="1222"/>
      <c r="AJ15" s="1222"/>
      <c r="AK15" s="1222"/>
      <c r="AL15" s="1137"/>
    </row>
    <row r="16" spans="1:38" ht="13">
      <c r="A16" s="118"/>
      <c r="B16" s="118"/>
      <c r="C16" s="119"/>
      <c r="D16" s="1137"/>
      <c r="E16" s="1222"/>
      <c r="F16" s="1222"/>
      <c r="G16" s="1222"/>
      <c r="H16" s="1222"/>
      <c r="I16" s="1222"/>
      <c r="J16" s="1222"/>
      <c r="K16" s="1222"/>
      <c r="L16" s="1222"/>
      <c r="M16" s="1222"/>
      <c r="N16" s="1222"/>
      <c r="O16" s="1222"/>
      <c r="P16" s="1222"/>
      <c r="Q16" s="1222"/>
      <c r="R16" s="1222"/>
      <c r="S16" s="1222"/>
      <c r="T16" s="1222"/>
      <c r="U16" s="1222"/>
      <c r="V16" s="1222"/>
      <c r="W16" s="1222"/>
      <c r="X16" s="1222"/>
      <c r="Y16" s="1222"/>
      <c r="Z16" s="1222"/>
      <c r="AA16" s="1222"/>
      <c r="AB16" s="1222"/>
      <c r="AC16" s="1222"/>
      <c r="AD16" s="1222"/>
      <c r="AE16" s="1222"/>
      <c r="AF16" s="1222"/>
      <c r="AG16" s="1222"/>
      <c r="AH16" s="1222"/>
      <c r="AI16" s="1222"/>
      <c r="AJ16" s="1222"/>
      <c r="AK16" s="1222"/>
      <c r="AL16" s="1137"/>
    </row>
    <row r="17" spans="1:38" ht="13">
      <c r="A17" s="118"/>
      <c r="B17" s="118"/>
      <c r="C17" s="119"/>
      <c r="D17" s="1109"/>
      <c r="E17" s="1109"/>
      <c r="F17" s="1109"/>
      <c r="G17" s="1109"/>
      <c r="H17" s="1109"/>
      <c r="I17" s="1109"/>
      <c r="J17" s="1109"/>
      <c r="K17" s="1109"/>
      <c r="L17" s="1109"/>
      <c r="M17" s="1109"/>
      <c r="N17" s="1109"/>
      <c r="O17" s="1109"/>
      <c r="P17" s="1109"/>
      <c r="Q17" s="1109"/>
      <c r="R17" s="1109"/>
      <c r="S17" s="1109"/>
      <c r="T17" s="1109"/>
      <c r="U17" s="1109"/>
      <c r="V17" s="1109"/>
      <c r="W17" s="1109"/>
      <c r="X17" s="1109"/>
      <c r="Y17" s="1109"/>
      <c r="Z17" s="1109"/>
      <c r="AA17" s="1109"/>
      <c r="AB17" s="1109"/>
      <c r="AC17" s="1109"/>
      <c r="AD17" s="1109"/>
      <c r="AE17" s="1109"/>
      <c r="AF17" s="1109"/>
      <c r="AG17" s="1109"/>
      <c r="AH17" s="1109"/>
      <c r="AI17" s="1109"/>
      <c r="AJ17" s="1109"/>
      <c r="AK17" s="1109"/>
      <c r="AL17" s="1137"/>
    </row>
    <row r="18" spans="1:38" ht="13.4" customHeight="1">
      <c r="A18" s="118"/>
      <c r="B18" s="118"/>
      <c r="C18" s="119"/>
      <c r="D18" s="1222" t="s">
        <v>8</v>
      </c>
      <c r="E18" s="1222"/>
      <c r="F18" s="1222"/>
      <c r="G18" s="1222"/>
      <c r="H18" s="1222"/>
      <c r="I18" s="1222"/>
      <c r="J18" s="1222"/>
      <c r="K18" s="1222"/>
      <c r="L18" s="1222"/>
      <c r="M18" s="1222"/>
      <c r="N18" s="1222"/>
      <c r="O18" s="1222"/>
      <c r="P18" s="1222"/>
      <c r="Q18" s="1222"/>
      <c r="R18" s="1222"/>
      <c r="S18" s="1222"/>
      <c r="T18" s="1222"/>
      <c r="U18" s="1222"/>
      <c r="V18" s="1222"/>
      <c r="W18" s="1222"/>
      <c r="X18" s="1222"/>
      <c r="Y18" s="1222"/>
      <c r="Z18" s="1222"/>
      <c r="AA18" s="1222"/>
      <c r="AB18" s="1222"/>
      <c r="AC18" s="1222"/>
      <c r="AD18" s="1222"/>
      <c r="AE18" s="1222"/>
      <c r="AF18" s="1222"/>
      <c r="AG18" s="1222"/>
      <c r="AH18" s="1222"/>
      <c r="AI18" s="1222"/>
      <c r="AJ18" s="1222"/>
      <c r="AK18" s="1222"/>
      <c r="AL18" s="118"/>
    </row>
    <row r="19" spans="1:38" ht="13">
      <c r="A19" s="118"/>
      <c r="B19" s="118"/>
      <c r="C19" s="119"/>
      <c r="D19" s="1222"/>
      <c r="E19" s="1222"/>
      <c r="F19" s="1222"/>
      <c r="G19" s="1222"/>
      <c r="H19" s="1222"/>
      <c r="I19" s="1222"/>
      <c r="J19" s="1222"/>
      <c r="K19" s="1222"/>
      <c r="L19" s="1222"/>
      <c r="M19" s="1222"/>
      <c r="N19" s="1222"/>
      <c r="O19" s="1222"/>
      <c r="P19" s="1222"/>
      <c r="Q19" s="1222"/>
      <c r="R19" s="1222"/>
      <c r="S19" s="1222"/>
      <c r="T19" s="1222"/>
      <c r="U19" s="1222"/>
      <c r="V19" s="1222"/>
      <c r="W19" s="1222"/>
      <c r="X19" s="1222"/>
      <c r="Y19" s="1222"/>
      <c r="Z19" s="1222"/>
      <c r="AA19" s="1222"/>
      <c r="AB19" s="1222"/>
      <c r="AC19" s="1222"/>
      <c r="AD19" s="1222"/>
      <c r="AE19" s="1222"/>
      <c r="AF19" s="1222"/>
      <c r="AG19" s="1222"/>
      <c r="AH19" s="1222"/>
      <c r="AI19" s="1222"/>
      <c r="AJ19" s="1222"/>
      <c r="AK19" s="1222"/>
      <c r="AL19" s="118"/>
    </row>
    <row r="20" spans="1:38" ht="13">
      <c r="A20" s="118"/>
      <c r="B20" s="118"/>
      <c r="C20" s="119"/>
      <c r="D20" s="1222"/>
      <c r="E20" s="1222"/>
      <c r="F20" s="1222"/>
      <c r="G20" s="1222"/>
      <c r="H20" s="1222"/>
      <c r="I20" s="1222"/>
      <c r="J20" s="1222"/>
      <c r="K20" s="1222"/>
      <c r="L20" s="1222"/>
      <c r="M20" s="1222"/>
      <c r="N20" s="1222"/>
      <c r="O20" s="1222"/>
      <c r="P20" s="1222"/>
      <c r="Q20" s="1222"/>
      <c r="R20" s="1222"/>
      <c r="S20" s="1222"/>
      <c r="T20" s="1222"/>
      <c r="U20" s="1222"/>
      <c r="V20" s="1222"/>
      <c r="W20" s="1222"/>
      <c r="X20" s="1222"/>
      <c r="Y20" s="1222"/>
      <c r="Z20" s="1222"/>
      <c r="AA20" s="1222"/>
      <c r="AB20" s="1222"/>
      <c r="AC20" s="1222"/>
      <c r="AD20" s="1222"/>
      <c r="AE20" s="1222"/>
      <c r="AF20" s="1222"/>
      <c r="AG20" s="1222"/>
      <c r="AH20" s="1222"/>
      <c r="AI20" s="1222"/>
      <c r="AJ20" s="1222"/>
      <c r="AK20" s="1222"/>
      <c r="AL20" s="118"/>
    </row>
    <row r="21" spans="1:38" ht="13.4" customHeight="1">
      <c r="A21" s="118"/>
      <c r="B21" s="118"/>
      <c r="C21" s="119"/>
      <c r="D21" s="1222"/>
      <c r="E21" s="1222"/>
      <c r="F21" s="1222"/>
      <c r="G21" s="1222"/>
      <c r="H21" s="1222"/>
      <c r="I21" s="1222"/>
      <c r="J21" s="1222"/>
      <c r="K21" s="1222"/>
      <c r="L21" s="1222"/>
      <c r="M21" s="1222"/>
      <c r="N21" s="1222"/>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18"/>
    </row>
    <row r="22" spans="1:38" ht="13">
      <c r="A22" s="118"/>
      <c r="B22" s="118"/>
      <c r="C22" s="119"/>
      <c r="D22" s="1222"/>
      <c r="E22" s="1222"/>
      <c r="F22" s="1222"/>
      <c r="G22" s="1222"/>
      <c r="H22" s="1222"/>
      <c r="I22" s="1222"/>
      <c r="J22" s="1222"/>
      <c r="K22" s="1222"/>
      <c r="L22" s="1222"/>
      <c r="M22" s="1222"/>
      <c r="N22" s="1222"/>
      <c r="O22" s="1222"/>
      <c r="P22" s="1222"/>
      <c r="Q22" s="1222"/>
      <c r="R22" s="1222"/>
      <c r="S22" s="1222"/>
      <c r="T22" s="1222"/>
      <c r="U22" s="1222"/>
      <c r="V22" s="1222"/>
      <c r="W22" s="1222"/>
      <c r="X22" s="1222"/>
      <c r="Y22" s="1222"/>
      <c r="Z22" s="1222"/>
      <c r="AA22" s="1222"/>
      <c r="AB22" s="1222"/>
      <c r="AC22" s="1222"/>
      <c r="AD22" s="1222"/>
      <c r="AE22" s="1222"/>
      <c r="AF22" s="1222"/>
      <c r="AG22" s="1222"/>
      <c r="AH22" s="1222"/>
      <c r="AI22" s="1222"/>
      <c r="AJ22" s="1222"/>
      <c r="AK22" s="1222"/>
      <c r="AL22" s="118"/>
    </row>
    <row r="23" spans="1:38" ht="13">
      <c r="A23" s="118"/>
      <c r="B23" s="118"/>
      <c r="C23" s="119"/>
      <c r="D23" s="1222"/>
      <c r="E23" s="1222"/>
      <c r="F23" s="1222"/>
      <c r="G23" s="1222"/>
      <c r="H23" s="1222"/>
      <c r="I23" s="1222"/>
      <c r="J23" s="1222"/>
      <c r="K23" s="1222"/>
      <c r="L23" s="1222"/>
      <c r="M23" s="1222"/>
      <c r="N23" s="1222"/>
      <c r="O23" s="1222"/>
      <c r="P23" s="1222"/>
      <c r="Q23" s="1222"/>
      <c r="R23" s="1222"/>
      <c r="S23" s="1222"/>
      <c r="T23" s="1222"/>
      <c r="U23" s="1222"/>
      <c r="V23" s="1222"/>
      <c r="W23" s="1222"/>
      <c r="X23" s="1222"/>
      <c r="Y23" s="1222"/>
      <c r="Z23" s="1222"/>
      <c r="AA23" s="1222"/>
      <c r="AB23" s="1222"/>
      <c r="AC23" s="1222"/>
      <c r="AD23" s="1222"/>
      <c r="AE23" s="1222"/>
      <c r="AF23" s="1222"/>
      <c r="AG23" s="1222"/>
      <c r="AH23" s="1222"/>
      <c r="AI23" s="1222"/>
      <c r="AJ23" s="1222"/>
      <c r="AK23" s="1222"/>
      <c r="AL23" s="118"/>
    </row>
    <row r="24" spans="1:38" ht="13">
      <c r="A24" s="118"/>
      <c r="B24" s="118"/>
      <c r="C24" s="119"/>
      <c r="D24" s="1222"/>
      <c r="E24" s="1222"/>
      <c r="F24" s="1222"/>
      <c r="G24" s="1222"/>
      <c r="H24" s="1222"/>
      <c r="I24" s="1222"/>
      <c r="J24" s="1222"/>
      <c r="K24" s="1222"/>
      <c r="L24" s="1222"/>
      <c r="M24" s="1222"/>
      <c r="N24" s="1222"/>
      <c r="O24" s="1222"/>
      <c r="P24" s="1222"/>
      <c r="Q24" s="1222"/>
      <c r="R24" s="1222"/>
      <c r="S24" s="1222"/>
      <c r="T24" s="1222"/>
      <c r="U24" s="1222"/>
      <c r="V24" s="1222"/>
      <c r="W24" s="1222"/>
      <c r="X24" s="1222"/>
      <c r="Y24" s="1222"/>
      <c r="Z24" s="1222"/>
      <c r="AA24" s="1222"/>
      <c r="AB24" s="1222"/>
      <c r="AC24" s="1222"/>
      <c r="AD24" s="1222"/>
      <c r="AE24" s="1222"/>
      <c r="AF24" s="1222"/>
      <c r="AG24" s="1222"/>
      <c r="AH24" s="1222"/>
      <c r="AI24" s="1222"/>
      <c r="AJ24" s="1222"/>
      <c r="AK24" s="1222"/>
      <c r="AL24" s="118"/>
    </row>
    <row r="25" spans="1:38" ht="13">
      <c r="A25" s="118"/>
      <c r="B25" s="118"/>
      <c r="C25" s="119"/>
      <c r="D25" s="1222"/>
      <c r="E25" s="1222"/>
      <c r="F25" s="1222"/>
      <c r="G25" s="1222"/>
      <c r="H25" s="1222"/>
      <c r="I25" s="1222"/>
      <c r="J25" s="1222"/>
      <c r="K25" s="1222"/>
      <c r="L25" s="1222"/>
      <c r="M25" s="1222"/>
      <c r="N25" s="1222"/>
      <c r="O25" s="1222"/>
      <c r="P25" s="1222"/>
      <c r="Q25" s="1222"/>
      <c r="R25" s="1222"/>
      <c r="S25" s="1222"/>
      <c r="T25" s="1222"/>
      <c r="U25" s="1222"/>
      <c r="V25" s="1222"/>
      <c r="W25" s="1222"/>
      <c r="X25" s="1222"/>
      <c r="Y25" s="1222"/>
      <c r="Z25" s="1222"/>
      <c r="AA25" s="1222"/>
      <c r="AB25" s="1222"/>
      <c r="AC25" s="1222"/>
      <c r="AD25" s="1222"/>
      <c r="AE25" s="1222"/>
      <c r="AF25" s="1222"/>
      <c r="AG25" s="1222"/>
      <c r="AH25" s="1222"/>
      <c r="AI25" s="1222"/>
      <c r="AJ25" s="1222"/>
      <c r="AK25" s="1222"/>
      <c r="AL25" s="118"/>
    </row>
    <row r="26" spans="1:38" ht="13">
      <c r="A26" s="118"/>
      <c r="B26" s="118"/>
      <c r="C26" s="119"/>
      <c r="D26" s="1222"/>
      <c r="E26" s="1222"/>
      <c r="F26" s="1222"/>
      <c r="G26" s="1222"/>
      <c r="H26" s="1222"/>
      <c r="I26" s="1222"/>
      <c r="J26" s="1222"/>
      <c r="K26" s="1222"/>
      <c r="L26" s="1222"/>
      <c r="M26" s="1222"/>
      <c r="N26" s="1222"/>
      <c r="O26" s="1222"/>
      <c r="P26" s="1222"/>
      <c r="Q26" s="1222"/>
      <c r="R26" s="1222"/>
      <c r="S26" s="1222"/>
      <c r="T26" s="1222"/>
      <c r="U26" s="1222"/>
      <c r="V26" s="1222"/>
      <c r="W26" s="1222"/>
      <c r="X26" s="1222"/>
      <c r="Y26" s="1222"/>
      <c r="Z26" s="1222"/>
      <c r="AA26" s="1222"/>
      <c r="AB26" s="1222"/>
      <c r="AC26" s="1222"/>
      <c r="AD26" s="1222"/>
      <c r="AE26" s="1222"/>
      <c r="AF26" s="1222"/>
      <c r="AG26" s="1222"/>
      <c r="AH26" s="1222"/>
      <c r="AI26" s="1222"/>
      <c r="AJ26" s="1222"/>
      <c r="AK26" s="1222"/>
      <c r="AL26" s="118"/>
    </row>
    <row r="27" spans="1:38" ht="12" customHeight="1">
      <c r="A27" s="118"/>
      <c r="B27" s="118"/>
      <c r="C27" s="119"/>
      <c r="D27" s="1222"/>
      <c r="E27" s="1222"/>
      <c r="F27" s="1222"/>
      <c r="G27" s="1222"/>
      <c r="H27" s="1222"/>
      <c r="I27" s="1222"/>
      <c r="J27" s="1222"/>
      <c r="K27" s="1222"/>
      <c r="L27" s="1222"/>
      <c r="M27" s="1222"/>
      <c r="N27" s="1222"/>
      <c r="O27" s="1222"/>
      <c r="P27" s="1222"/>
      <c r="Q27" s="1222"/>
      <c r="R27" s="1222"/>
      <c r="S27" s="1222"/>
      <c r="T27" s="1222"/>
      <c r="U27" s="1222"/>
      <c r="V27" s="1222"/>
      <c r="W27" s="1222"/>
      <c r="X27" s="1222"/>
      <c r="Y27" s="1222"/>
      <c r="Z27" s="1222"/>
      <c r="AA27" s="1222"/>
      <c r="AB27" s="1222"/>
      <c r="AC27" s="1222"/>
      <c r="AD27" s="1222"/>
      <c r="AE27" s="1222"/>
      <c r="AF27" s="1222"/>
      <c r="AG27" s="1222"/>
      <c r="AH27" s="1222"/>
      <c r="AI27" s="1222"/>
      <c r="AJ27" s="1222"/>
      <c r="AK27" s="1222"/>
      <c r="AL27" s="118"/>
    </row>
    <row r="28" spans="1:38" ht="13.4" hidden="1" customHeight="1">
      <c r="A28" s="118"/>
      <c r="B28" s="118"/>
      <c r="C28" s="119"/>
      <c r="E28" s="1222" t="s">
        <v>9</v>
      </c>
      <c r="F28" s="1222"/>
      <c r="G28" s="1222"/>
      <c r="H28" s="1222"/>
      <c r="I28" s="1222"/>
      <c r="J28" s="1222"/>
      <c r="K28" s="1222"/>
      <c r="L28" s="1222"/>
      <c r="M28" s="1222"/>
      <c r="N28" s="1222"/>
      <c r="O28" s="1222"/>
      <c r="P28" s="1222"/>
      <c r="Q28" s="1222"/>
      <c r="R28" s="1222"/>
      <c r="S28" s="1222"/>
      <c r="T28" s="1222"/>
      <c r="U28" s="1222"/>
      <c r="V28" s="1222"/>
      <c r="W28" s="1222"/>
      <c r="X28" s="1222"/>
      <c r="Y28" s="1222"/>
      <c r="Z28" s="1222"/>
      <c r="AA28" s="1222"/>
      <c r="AB28" s="1222"/>
      <c r="AC28" s="1222"/>
      <c r="AD28" s="1222"/>
      <c r="AE28" s="1222"/>
      <c r="AF28" s="1222"/>
      <c r="AG28" s="1222"/>
      <c r="AH28" s="1222"/>
      <c r="AI28" s="1222"/>
      <c r="AJ28" s="1222"/>
      <c r="AK28" s="1222"/>
      <c r="AL28" s="118"/>
    </row>
    <row r="29" spans="1:38" ht="13.4" hidden="1" customHeight="1">
      <c r="A29" s="118"/>
      <c r="B29" s="118"/>
      <c r="C29" s="119"/>
      <c r="E29" s="1222"/>
      <c r="F29" s="1222"/>
      <c r="G29" s="1222"/>
      <c r="H29" s="1222"/>
      <c r="I29" s="1222"/>
      <c r="J29" s="1222"/>
      <c r="K29" s="1222"/>
      <c r="L29" s="1222"/>
      <c r="M29" s="1222"/>
      <c r="N29" s="1222"/>
      <c r="O29" s="1222"/>
      <c r="P29" s="1222"/>
      <c r="Q29" s="1222"/>
      <c r="R29" s="1222"/>
      <c r="S29" s="1222"/>
      <c r="T29" s="1222"/>
      <c r="U29" s="1222"/>
      <c r="V29" s="1222"/>
      <c r="W29" s="1222"/>
      <c r="X29" s="1222"/>
      <c r="Y29" s="1222"/>
      <c r="Z29" s="1222"/>
      <c r="AA29" s="1222"/>
      <c r="AB29" s="1222"/>
      <c r="AC29" s="1222"/>
      <c r="AD29" s="1222"/>
      <c r="AE29" s="1222"/>
      <c r="AF29" s="1222"/>
      <c r="AG29" s="1222"/>
      <c r="AH29" s="1222"/>
      <c r="AI29" s="1222"/>
      <c r="AJ29" s="1222"/>
      <c r="AK29" s="1222"/>
      <c r="AL29" s="118"/>
    </row>
    <row r="30" spans="1:38" ht="13" hidden="1">
      <c r="A30" s="118"/>
      <c r="B30" s="118"/>
      <c r="C30" s="119"/>
      <c r="D30" s="1137"/>
      <c r="E30" s="1222"/>
      <c r="F30" s="1222"/>
      <c r="G30" s="1222"/>
      <c r="H30" s="1222"/>
      <c r="I30" s="1222"/>
      <c r="J30" s="1222"/>
      <c r="K30" s="1222"/>
      <c r="L30" s="1222"/>
      <c r="M30" s="1222"/>
      <c r="N30" s="1222"/>
      <c r="O30" s="1222"/>
      <c r="P30" s="1222"/>
      <c r="Q30" s="1222"/>
      <c r="R30" s="1222"/>
      <c r="S30" s="1222"/>
      <c r="T30" s="1222"/>
      <c r="U30" s="1222"/>
      <c r="V30" s="1222"/>
      <c r="W30" s="1222"/>
      <c r="X30" s="1222"/>
      <c r="Y30" s="1222"/>
      <c r="Z30" s="1222"/>
      <c r="AA30" s="1222"/>
      <c r="AB30" s="1222"/>
      <c r="AC30" s="1222"/>
      <c r="AD30" s="1222"/>
      <c r="AE30" s="1222"/>
      <c r="AF30" s="1222"/>
      <c r="AG30" s="1222"/>
      <c r="AH30" s="1222"/>
      <c r="AI30" s="1222"/>
      <c r="AJ30" s="1222"/>
      <c r="AK30" s="1222"/>
      <c r="AL30" s="118"/>
    </row>
    <row r="31" spans="1:38" ht="13">
      <c r="A31" s="118"/>
      <c r="B31" s="118"/>
      <c r="C31" s="119"/>
      <c r="D31" s="1137"/>
      <c r="E31" s="1137"/>
      <c r="F31" s="1137"/>
      <c r="G31" s="1137"/>
      <c r="H31" s="1137"/>
      <c r="I31" s="1137"/>
      <c r="J31" s="1137"/>
      <c r="K31" s="1137"/>
      <c r="L31" s="1137"/>
      <c r="M31" s="1137"/>
      <c r="N31" s="1137"/>
      <c r="O31" s="1137"/>
      <c r="P31" s="1137"/>
      <c r="Q31" s="1137"/>
      <c r="R31" s="1137"/>
      <c r="S31" s="1137"/>
      <c r="T31" s="1137"/>
      <c r="U31" s="1137"/>
      <c r="V31" s="1137"/>
      <c r="W31" s="1137"/>
      <c r="X31" s="1137"/>
      <c r="Y31" s="1137"/>
      <c r="Z31" s="1137"/>
      <c r="AA31" s="1137"/>
      <c r="AB31" s="1137"/>
      <c r="AC31" s="1137"/>
      <c r="AD31" s="1137"/>
      <c r="AE31" s="1137"/>
      <c r="AF31" s="1137"/>
      <c r="AG31" s="1137"/>
      <c r="AH31" s="1137"/>
      <c r="AI31" s="1137"/>
      <c r="AJ31" s="1137"/>
      <c r="AK31" s="1137"/>
      <c r="AL31" s="118"/>
    </row>
    <row r="32" spans="1:38" ht="13.4" customHeight="1">
      <c r="A32" s="118"/>
      <c r="B32" s="118"/>
      <c r="C32" s="119"/>
      <c r="D32" s="1222" t="s">
        <v>10</v>
      </c>
      <c r="E32" s="1222"/>
      <c r="F32" s="1222"/>
      <c r="G32" s="1222"/>
      <c r="H32" s="1222"/>
      <c r="I32" s="1222"/>
      <c r="J32" s="1222"/>
      <c r="K32" s="1222"/>
      <c r="L32" s="1222"/>
      <c r="M32" s="1222"/>
      <c r="N32" s="1222"/>
      <c r="O32" s="1222"/>
      <c r="P32" s="1222"/>
      <c r="Q32" s="1222"/>
      <c r="R32" s="1222"/>
      <c r="S32" s="1222"/>
      <c r="T32" s="1222"/>
      <c r="U32" s="1222"/>
      <c r="V32" s="1222"/>
      <c r="W32" s="1222"/>
      <c r="X32" s="1222"/>
      <c r="Y32" s="1222"/>
      <c r="Z32" s="1222"/>
      <c r="AA32" s="1222"/>
      <c r="AB32" s="1222"/>
      <c r="AC32" s="1222"/>
      <c r="AD32" s="1222"/>
      <c r="AE32" s="1222"/>
      <c r="AF32" s="1222"/>
      <c r="AG32" s="1222"/>
      <c r="AH32" s="1222"/>
      <c r="AI32" s="1222"/>
      <c r="AJ32" s="1222"/>
      <c r="AK32" s="1222"/>
      <c r="AL32" s="118"/>
    </row>
    <row r="33" spans="1:38" ht="13">
      <c r="A33" s="118"/>
      <c r="B33" s="118"/>
      <c r="C33" s="119"/>
      <c r="D33" s="1137"/>
      <c r="E33" s="1229" t="s">
        <v>11</v>
      </c>
      <c r="F33" s="1230"/>
      <c r="G33" s="1230"/>
      <c r="H33" s="1230"/>
      <c r="I33" s="1230"/>
      <c r="J33" s="1230"/>
      <c r="K33" s="1230"/>
      <c r="L33" s="1230"/>
      <c r="M33" s="1230"/>
      <c r="N33" s="1230"/>
      <c r="O33" s="1230"/>
      <c r="P33" s="1230"/>
      <c r="Q33" s="1230"/>
      <c r="R33" s="1230"/>
      <c r="S33" s="1230"/>
      <c r="T33" s="1230"/>
      <c r="U33" s="1230"/>
      <c r="V33" s="1230"/>
      <c r="W33" s="1230"/>
      <c r="X33" s="1230"/>
      <c r="Y33" s="1230"/>
      <c r="Z33" s="1230"/>
      <c r="AA33" s="1230"/>
      <c r="AB33" s="1230"/>
      <c r="AC33" s="1230"/>
      <c r="AD33" s="1230"/>
      <c r="AE33" s="1230"/>
      <c r="AF33" s="1230"/>
      <c r="AG33" s="1230"/>
      <c r="AH33" s="1230"/>
      <c r="AI33" s="1230"/>
      <c r="AJ33" s="1230"/>
      <c r="AK33" s="1230"/>
      <c r="AL33" s="118"/>
    </row>
    <row r="34" spans="1:38" ht="13">
      <c r="A34" s="2"/>
      <c r="C34" s="1"/>
    </row>
    <row r="35" spans="1:38">
      <c r="A35" s="2"/>
      <c r="D35" s="1223" t="s">
        <v>12</v>
      </c>
      <c r="E35" s="1223"/>
      <c r="F35" s="1223"/>
      <c r="G35" s="1223"/>
      <c r="H35" s="1223"/>
      <c r="I35" s="1223"/>
      <c r="J35" s="1223"/>
      <c r="K35" s="1223"/>
      <c r="L35" s="1223"/>
      <c r="M35" s="1223"/>
      <c r="N35" s="1223"/>
      <c r="O35" s="1223"/>
      <c r="P35" s="1223"/>
      <c r="Q35" s="1223"/>
      <c r="R35" s="1223"/>
      <c r="S35" s="1223"/>
      <c r="T35" s="1223"/>
      <c r="U35" s="1223"/>
      <c r="V35" s="1223"/>
      <c r="W35" s="1223"/>
      <c r="X35" s="1223"/>
      <c r="Y35" s="1223"/>
      <c r="Z35" s="1223"/>
      <c r="AA35" s="1223"/>
      <c r="AB35" s="1223"/>
      <c r="AC35" s="1223"/>
      <c r="AD35" s="1223"/>
      <c r="AE35" s="1223"/>
      <c r="AF35" s="1223"/>
      <c r="AG35" s="1223"/>
      <c r="AH35" s="1223"/>
      <c r="AI35" s="1223"/>
      <c r="AJ35" s="1223"/>
      <c r="AK35" s="1223"/>
    </row>
    <row r="36" spans="1:38">
      <c r="A36" s="2"/>
      <c r="D36" s="1223"/>
      <c r="E36" s="1223"/>
      <c r="F36" s="1223"/>
      <c r="G36" s="1223"/>
      <c r="H36" s="1223"/>
      <c r="I36" s="1223"/>
      <c r="J36" s="1223"/>
      <c r="K36" s="1223"/>
      <c r="L36" s="1223"/>
      <c r="M36" s="1223"/>
      <c r="N36" s="1223"/>
      <c r="O36" s="1223"/>
      <c r="P36" s="1223"/>
      <c r="Q36" s="1223"/>
      <c r="R36" s="1223"/>
      <c r="S36" s="1223"/>
      <c r="T36" s="1223"/>
      <c r="U36" s="1223"/>
      <c r="V36" s="1223"/>
      <c r="W36" s="1223"/>
      <c r="X36" s="1223"/>
      <c r="Y36" s="1223"/>
      <c r="Z36" s="1223"/>
      <c r="AA36" s="1223"/>
      <c r="AB36" s="1223"/>
      <c r="AC36" s="1223"/>
      <c r="AD36" s="1223"/>
      <c r="AE36" s="1223"/>
      <c r="AF36" s="1223"/>
      <c r="AG36" s="1223"/>
      <c r="AH36" s="1223"/>
      <c r="AI36" s="1223"/>
      <c r="AJ36" s="1223"/>
      <c r="AK36" s="1223"/>
    </row>
    <row r="37" spans="1:38" ht="13">
      <c r="A37" s="2"/>
      <c r="D37" s="70"/>
      <c r="E37" s="1228" t="s">
        <v>13</v>
      </c>
      <c r="F37" s="1228"/>
      <c r="G37" s="1228"/>
      <c r="H37" s="1228"/>
      <c r="I37" s="1228"/>
      <c r="J37" s="1228"/>
      <c r="K37" s="1228"/>
      <c r="L37" s="1228"/>
      <c r="M37" s="1228"/>
      <c r="N37" s="1228"/>
      <c r="O37" s="1228"/>
      <c r="P37" s="1228"/>
      <c r="Q37" s="1228"/>
      <c r="R37" s="1228"/>
      <c r="S37" s="1228"/>
      <c r="T37" s="1228"/>
      <c r="U37" s="1228"/>
      <c r="V37" s="1228"/>
      <c r="W37" s="1228"/>
      <c r="X37" s="1228"/>
      <c r="Y37" s="1228"/>
      <c r="Z37" s="1228"/>
      <c r="AA37" s="1228"/>
      <c r="AB37" s="1228"/>
      <c r="AC37" s="1228"/>
      <c r="AD37" s="1228"/>
      <c r="AE37" s="1228"/>
      <c r="AF37" s="1228"/>
      <c r="AG37" s="1228"/>
      <c r="AH37" s="1228"/>
      <c r="AI37" s="1228"/>
      <c r="AJ37" s="1228"/>
      <c r="AK37" s="1228"/>
    </row>
    <row r="38" spans="1:38" ht="13">
      <c r="A38" s="2"/>
      <c r="D38" s="70"/>
      <c r="E38" s="1228" t="s">
        <v>14</v>
      </c>
      <c r="F38" s="1228"/>
      <c r="G38" s="1228"/>
      <c r="H38" s="1228"/>
      <c r="I38" s="1228"/>
      <c r="J38" s="1228"/>
      <c r="K38" s="1228"/>
      <c r="L38" s="1228"/>
      <c r="M38" s="1228"/>
      <c r="N38" s="1228"/>
      <c r="O38" s="1228"/>
      <c r="P38" s="1228"/>
      <c r="Q38" s="1228"/>
      <c r="R38" s="1228"/>
      <c r="S38" s="1228"/>
      <c r="T38" s="1228"/>
      <c r="U38" s="1228"/>
      <c r="V38" s="1228"/>
      <c r="W38" s="1228"/>
      <c r="X38" s="1228"/>
      <c r="Y38" s="1228"/>
      <c r="Z38" s="1228"/>
      <c r="AA38" s="1228"/>
      <c r="AB38" s="1228"/>
      <c r="AC38" s="1228"/>
      <c r="AD38" s="1228"/>
      <c r="AE38" s="1228"/>
      <c r="AF38" s="1228"/>
      <c r="AG38" s="1228"/>
      <c r="AH38" s="1228"/>
      <c r="AI38" s="1228"/>
      <c r="AJ38" s="1228"/>
      <c r="AK38" s="1228"/>
    </row>
    <row r="39" spans="1:38" ht="13">
      <c r="A39" s="2"/>
      <c r="C39" s="1"/>
      <c r="D39" s="1"/>
      <c r="E39" s="2"/>
      <c r="F39" s="2"/>
      <c r="G39" s="2"/>
      <c r="H39" s="2"/>
      <c r="I39" s="2"/>
      <c r="J39" s="2"/>
      <c r="K39" s="2"/>
      <c r="L39" s="2"/>
      <c r="M39" s="2"/>
      <c r="N39" s="2"/>
      <c r="O39" s="2"/>
      <c r="P39" s="2"/>
      <c r="Q39" s="2"/>
      <c r="R39" s="2"/>
      <c r="S39" s="2"/>
      <c r="T39" s="2"/>
      <c r="U39" s="2"/>
      <c r="V39" s="2"/>
      <c r="W39" s="2"/>
      <c r="X39" s="2"/>
      <c r="Y39" s="2"/>
      <c r="Z39" s="2"/>
      <c r="AA39" s="2"/>
      <c r="AB39" s="2"/>
    </row>
    <row r="40" spans="1:38" ht="13">
      <c r="A40" s="2"/>
      <c r="C40" s="1" t="s">
        <v>15</v>
      </c>
      <c r="D40" s="1" t="s">
        <v>16</v>
      </c>
      <c r="F40" s="2"/>
      <c r="G40" s="2"/>
      <c r="H40" s="2"/>
      <c r="I40" s="2"/>
      <c r="J40" s="2"/>
      <c r="K40" s="2"/>
      <c r="L40" s="2"/>
      <c r="M40" s="2"/>
      <c r="N40" s="2"/>
      <c r="O40" s="2"/>
      <c r="P40" s="2"/>
      <c r="Q40" s="2"/>
      <c r="R40" s="2"/>
      <c r="S40" s="2"/>
      <c r="T40" s="2"/>
      <c r="U40" s="2"/>
      <c r="V40" s="2"/>
      <c r="W40" s="2"/>
      <c r="X40" s="2"/>
      <c r="Y40" s="2"/>
      <c r="Z40" s="2"/>
      <c r="AA40" s="2"/>
      <c r="AB40" s="2"/>
    </row>
    <row r="41" spans="1:38">
      <c r="A41" s="2"/>
      <c r="B41" s="2"/>
      <c r="C41" s="2"/>
      <c r="D41" s="1148" t="s">
        <v>17</v>
      </c>
      <c r="E41" s="2" t="s">
        <v>18</v>
      </c>
      <c r="F41" s="2"/>
      <c r="G41" s="2"/>
      <c r="H41" s="2"/>
      <c r="I41" s="2"/>
      <c r="J41" s="2"/>
      <c r="K41" s="2"/>
      <c r="L41" s="2"/>
      <c r="M41" s="2"/>
      <c r="N41" s="2"/>
      <c r="O41" s="2"/>
      <c r="P41" s="2"/>
      <c r="Q41" s="2"/>
      <c r="R41" s="2"/>
      <c r="S41" s="2"/>
      <c r="T41" s="2"/>
      <c r="U41" s="2"/>
      <c r="V41" s="2"/>
      <c r="W41" s="2"/>
      <c r="X41" s="2"/>
      <c r="Y41" s="2"/>
      <c r="Z41" s="2"/>
      <c r="AA41" s="2"/>
      <c r="AB41" s="2"/>
    </row>
    <row r="42" spans="1:38" s="1222" customFormat="1" ht="13.4" customHeight="1">
      <c r="A42" s="2"/>
      <c r="B42"/>
      <c r="C42" s="1"/>
      <c r="D42" s="2"/>
      <c r="E42" s="2" t="s">
        <v>19</v>
      </c>
      <c r="F42" s="1222" t="s">
        <v>20</v>
      </c>
    </row>
    <row r="43" spans="1:38" s="1222" customFormat="1" ht="13.4" customHeight="1">
      <c r="A43" s="2"/>
      <c r="B43"/>
      <c r="C43" s="1"/>
      <c r="D43" s="2"/>
      <c r="E43" s="2"/>
    </row>
    <row r="44" spans="1:38" ht="13">
      <c r="A44" s="2"/>
      <c r="C44" s="1"/>
      <c r="D44" s="2"/>
      <c r="E44" s="2"/>
      <c r="F44" s="68" t="s">
        <v>21</v>
      </c>
      <c r="G44" s="2" t="s">
        <v>22</v>
      </c>
      <c r="H44" s="1137"/>
      <c r="I44" s="1137"/>
      <c r="J44" s="1137"/>
      <c r="K44" s="1137"/>
      <c r="L44" s="1137"/>
      <c r="M44" s="1137"/>
      <c r="N44" s="1137"/>
      <c r="O44" s="1137"/>
      <c r="P44" s="1137"/>
      <c r="Q44" s="1137"/>
      <c r="R44" s="1137"/>
      <c r="S44" s="1137"/>
      <c r="T44" s="1137"/>
      <c r="U44" s="1137"/>
      <c r="V44" s="1137"/>
      <c r="W44" s="1137"/>
      <c r="X44" s="1137"/>
      <c r="Y44" s="1137"/>
      <c r="Z44" s="1137"/>
      <c r="AA44" s="1137"/>
      <c r="AB44" s="1137"/>
      <c r="AC44" s="1137"/>
      <c r="AD44" s="1137"/>
      <c r="AE44" s="1137"/>
      <c r="AF44" s="1137"/>
      <c r="AG44" s="1137"/>
      <c r="AH44" s="1137"/>
      <c r="AI44" s="1137"/>
      <c r="AJ44" s="1137"/>
      <c r="AK44" s="1137"/>
    </row>
    <row r="45" spans="1:38" s="68" customFormat="1" ht="13.4" customHeight="1">
      <c r="A45" s="2"/>
      <c r="B45"/>
      <c r="C45" s="1"/>
      <c r="D45" s="2"/>
      <c r="E45" s="2" t="s">
        <v>23</v>
      </c>
      <c r="F45" s="1226" t="s">
        <v>24</v>
      </c>
      <c r="G45" s="1226"/>
      <c r="H45" s="1226"/>
      <c r="I45" s="1226"/>
      <c r="J45" s="1226"/>
      <c r="K45" s="1226"/>
      <c r="L45" s="1226"/>
      <c r="M45" s="1226"/>
      <c r="N45" s="1226"/>
      <c r="O45" s="1226"/>
      <c r="P45" s="1226"/>
      <c r="Q45" s="1226"/>
      <c r="R45" s="1226"/>
      <c r="S45" s="1226"/>
      <c r="T45" s="1226"/>
      <c r="U45" s="1226"/>
      <c r="V45" s="1226"/>
      <c r="W45" s="1226"/>
      <c r="X45" s="1226"/>
      <c r="Y45" s="1226"/>
      <c r="Z45" s="1226"/>
      <c r="AA45" s="1226"/>
      <c r="AB45" s="1226"/>
      <c r="AC45" s="1226"/>
      <c r="AD45" s="1226"/>
      <c r="AE45" s="1226"/>
      <c r="AF45" s="1226"/>
      <c r="AG45" s="1226"/>
      <c r="AH45" s="1226"/>
      <c r="AI45" s="1226"/>
      <c r="AJ45" s="1226"/>
      <c r="AK45" s="1226"/>
      <c r="AL45" s="1226"/>
    </row>
    <row r="46" spans="1:38" s="68" customFormat="1" ht="13">
      <c r="A46" s="2"/>
      <c r="B46"/>
      <c r="C46" s="1"/>
      <c r="D46" s="2"/>
      <c r="E46" s="2"/>
      <c r="F46" s="1226"/>
      <c r="G46" s="1226"/>
      <c r="H46" s="1226"/>
      <c r="I46" s="1226"/>
      <c r="J46" s="1226"/>
      <c r="K46" s="1226"/>
      <c r="L46" s="1226"/>
      <c r="M46" s="1226"/>
      <c r="N46" s="1226"/>
      <c r="O46" s="1226"/>
      <c r="P46" s="1226"/>
      <c r="Q46" s="1226"/>
      <c r="R46" s="1226"/>
      <c r="S46" s="1226"/>
      <c r="T46" s="1226"/>
      <c r="U46" s="1226"/>
      <c r="V46" s="1226"/>
      <c r="W46" s="1226"/>
      <c r="X46" s="1226"/>
      <c r="Y46" s="1226"/>
      <c r="Z46" s="1226"/>
      <c r="AA46" s="1226"/>
      <c r="AB46" s="1226"/>
      <c r="AC46" s="1226"/>
      <c r="AD46" s="1226"/>
      <c r="AE46" s="1226"/>
      <c r="AF46" s="1226"/>
      <c r="AG46" s="1226"/>
      <c r="AH46" s="1226"/>
      <c r="AI46" s="1226"/>
      <c r="AJ46" s="1226"/>
      <c r="AK46" s="1226"/>
      <c r="AL46" s="1226"/>
    </row>
    <row r="47" spans="1:38" s="68" customFormat="1" ht="13.4" customHeight="1">
      <c r="A47" s="2"/>
      <c r="B47"/>
      <c r="C47" s="1"/>
      <c r="D47" s="2"/>
      <c r="E47" s="2"/>
      <c r="F47" s="1226"/>
      <c r="G47" s="1226"/>
      <c r="H47" s="1226"/>
      <c r="I47" s="1226"/>
      <c r="J47" s="1226"/>
      <c r="K47" s="1226"/>
      <c r="L47" s="1226"/>
      <c r="M47" s="1226"/>
      <c r="N47" s="1226"/>
      <c r="O47" s="1226"/>
      <c r="P47" s="1226"/>
      <c r="Q47" s="1226"/>
      <c r="R47" s="1226"/>
      <c r="S47" s="1226"/>
      <c r="T47" s="1226"/>
      <c r="U47" s="1226"/>
      <c r="V47" s="1226"/>
      <c r="W47" s="1226"/>
      <c r="X47" s="1226"/>
      <c r="Y47" s="1226"/>
      <c r="Z47" s="1226"/>
      <c r="AA47" s="1226"/>
      <c r="AB47" s="1226"/>
      <c r="AC47" s="1226"/>
      <c r="AD47" s="1226"/>
      <c r="AE47" s="1226"/>
      <c r="AF47" s="1226"/>
      <c r="AG47" s="1226"/>
      <c r="AH47" s="1226"/>
      <c r="AI47" s="1226"/>
      <c r="AJ47" s="1226"/>
      <c r="AK47" s="1226"/>
      <c r="AL47" s="1226"/>
    </row>
    <row r="48" spans="1:38" ht="13">
      <c r="A48" s="2"/>
      <c r="C48" s="1"/>
      <c r="D48" s="2"/>
      <c r="E48" s="2"/>
      <c r="F48" s="68" t="s">
        <v>21</v>
      </c>
      <c r="G48" s="2" t="s">
        <v>25</v>
      </c>
      <c r="H48" s="1150"/>
      <c r="I48" s="1150"/>
      <c r="J48" s="1150"/>
      <c r="K48" s="1150"/>
      <c r="L48" s="1150"/>
      <c r="M48" s="1150"/>
      <c r="N48" s="1150"/>
      <c r="O48" s="1150"/>
      <c r="P48" s="1150"/>
      <c r="Q48" s="1150"/>
      <c r="R48" s="1150"/>
      <c r="S48" s="1150"/>
      <c r="T48" s="1150"/>
      <c r="U48" s="1150"/>
      <c r="V48" s="1150"/>
      <c r="W48" s="1150"/>
      <c r="X48" s="1150"/>
      <c r="Y48" s="1150"/>
      <c r="Z48" s="1150"/>
      <c r="AA48" s="1150"/>
      <c r="AB48" s="1150"/>
      <c r="AC48" s="1150"/>
      <c r="AD48" s="1150"/>
      <c r="AE48" s="1150"/>
      <c r="AF48" s="1150"/>
      <c r="AG48" s="1150"/>
      <c r="AH48" s="1150"/>
      <c r="AI48" s="1150"/>
      <c r="AJ48" s="1150"/>
      <c r="AK48" s="1150"/>
      <c r="AL48" s="1150"/>
    </row>
    <row r="49" spans="1:38" ht="13">
      <c r="A49" s="2"/>
      <c r="C49" s="1"/>
      <c r="D49" s="2"/>
      <c r="E49" s="2"/>
      <c r="F49" s="68" t="s">
        <v>26</v>
      </c>
      <c r="G49" s="2" t="s">
        <v>27</v>
      </c>
      <c r="I49" s="2"/>
      <c r="J49" s="2"/>
      <c r="K49" s="2"/>
      <c r="L49" s="2"/>
      <c r="O49" s="2"/>
      <c r="P49" s="2"/>
      <c r="Q49" s="2"/>
      <c r="R49" s="2"/>
      <c r="S49" s="2"/>
      <c r="T49" s="2"/>
      <c r="U49" s="2"/>
      <c r="V49" s="2"/>
      <c r="W49" s="2"/>
      <c r="X49" s="2"/>
      <c r="Y49" s="2"/>
      <c r="Z49" s="2"/>
      <c r="AA49" s="2"/>
      <c r="AB49" s="2"/>
    </row>
    <row r="50" spans="1:38" ht="13">
      <c r="A50" s="2"/>
      <c r="C50" s="1"/>
      <c r="D50" s="2"/>
      <c r="E50" s="2" t="s">
        <v>28</v>
      </c>
      <c r="F50" s="1222" t="s">
        <v>29</v>
      </c>
      <c r="G50" s="1222"/>
      <c r="H50" s="1222"/>
      <c r="I50" s="1222"/>
      <c r="J50" s="1222"/>
      <c r="K50" s="1222"/>
      <c r="L50" s="1222"/>
      <c r="M50" s="1222"/>
      <c r="N50" s="1222"/>
      <c r="O50" s="1222"/>
      <c r="P50" s="1222"/>
      <c r="Q50" s="1222"/>
      <c r="R50" s="1222"/>
      <c r="S50" s="1222"/>
      <c r="T50" s="1222"/>
      <c r="U50" s="1222"/>
      <c r="V50" s="1222"/>
      <c r="W50" s="1222"/>
      <c r="X50" s="1222"/>
      <c r="Y50" s="1222"/>
      <c r="Z50" s="1222"/>
      <c r="AA50" s="1222"/>
      <c r="AB50" s="1222"/>
      <c r="AC50" s="1222"/>
      <c r="AD50" s="1222"/>
      <c r="AE50" s="1222"/>
      <c r="AF50" s="1222"/>
      <c r="AG50" s="1222"/>
      <c r="AH50" s="1222"/>
      <c r="AI50" s="1222"/>
      <c r="AJ50" s="1222"/>
      <c r="AK50" s="1222"/>
    </row>
    <row r="51" spans="1:38" ht="13">
      <c r="A51" s="2"/>
      <c r="C51" s="1"/>
      <c r="D51" s="2"/>
      <c r="E51" s="2"/>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row>
    <row r="52" spans="1:38" ht="13">
      <c r="A52" s="2"/>
      <c r="C52" s="1"/>
      <c r="D52" s="2"/>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row>
    <row r="53" spans="1:38" ht="13">
      <c r="A53" s="2"/>
      <c r="C53" s="1"/>
      <c r="D53" s="2"/>
      <c r="E53" s="2"/>
      <c r="F53" s="2"/>
      <c r="G53" s="2"/>
      <c r="H53" s="2"/>
      <c r="I53" s="2"/>
      <c r="J53" s="2"/>
      <c r="K53" s="2"/>
      <c r="L53" s="2"/>
      <c r="M53" s="2"/>
      <c r="N53" s="2"/>
      <c r="O53" s="2"/>
      <c r="P53" s="2"/>
      <c r="Q53" s="2"/>
      <c r="R53" s="2"/>
      <c r="S53" s="2"/>
      <c r="T53" s="2"/>
      <c r="U53" s="2"/>
      <c r="V53" s="2"/>
      <c r="W53" s="2"/>
      <c r="X53" s="2"/>
      <c r="Y53" s="2"/>
      <c r="Z53" s="2"/>
      <c r="AA53" s="2"/>
      <c r="AB53" s="2"/>
    </row>
    <row r="54" spans="1:38" ht="13">
      <c r="A54" s="2"/>
      <c r="C54" s="1"/>
      <c r="D54" s="2" t="s">
        <v>30</v>
      </c>
      <c r="E54" s="2" t="s">
        <v>31</v>
      </c>
      <c r="F54" s="2"/>
      <c r="G54" s="2"/>
      <c r="H54" s="2"/>
      <c r="I54" s="2"/>
      <c r="J54" s="1038"/>
      <c r="K54" s="1038"/>
      <c r="L54" s="1038"/>
      <c r="M54" s="1038"/>
      <c r="N54" s="1038"/>
      <c r="O54" s="70"/>
      <c r="P54" s="70"/>
      <c r="Q54" s="70"/>
      <c r="R54" s="70"/>
      <c r="S54" s="70"/>
      <c r="T54" s="70"/>
      <c r="U54" s="2"/>
      <c r="V54" s="2"/>
      <c r="W54" s="2"/>
      <c r="X54" s="2"/>
      <c r="Y54" s="2"/>
      <c r="Z54" s="2"/>
      <c r="AA54" s="2"/>
      <c r="AB54" s="2"/>
    </row>
    <row r="55" spans="1:38" ht="13">
      <c r="A55" s="2"/>
      <c r="C55" s="1"/>
      <c r="D55" s="1"/>
      <c r="E55" s="2" t="s">
        <v>19</v>
      </c>
      <c r="F55" s="2" t="s">
        <v>32</v>
      </c>
      <c r="G55" s="1"/>
      <c r="H55" s="70"/>
      <c r="I55" s="70"/>
      <c r="L55" s="70"/>
      <c r="M55" s="70"/>
      <c r="N55" s="70"/>
      <c r="O55" s="70"/>
      <c r="P55" s="70"/>
      <c r="Q55" s="70"/>
      <c r="R55" s="70"/>
      <c r="S55" s="70"/>
      <c r="T55" s="70"/>
      <c r="U55" s="70"/>
      <c r="V55" s="70"/>
      <c r="W55" s="70"/>
      <c r="X55" s="70"/>
      <c r="Y55" s="70"/>
      <c r="Z55" s="70"/>
      <c r="AA55" s="70"/>
      <c r="AB55" s="70"/>
      <c r="AC55" s="70"/>
      <c r="AD55" s="70"/>
      <c r="AE55" s="70"/>
      <c r="AF55" s="70"/>
      <c r="AG55" s="1"/>
    </row>
    <row r="56" spans="1:38" ht="13.4" customHeight="1">
      <c r="A56" s="118"/>
      <c r="B56" s="118"/>
      <c r="C56" s="119"/>
      <c r="D56" s="119"/>
      <c r="E56" s="118"/>
      <c r="F56" s="120" t="s">
        <v>21</v>
      </c>
      <c r="G56" s="1224" t="s">
        <v>33</v>
      </c>
      <c r="H56" s="1224"/>
      <c r="I56" s="1224"/>
      <c r="J56" s="1224"/>
      <c r="K56" s="1224"/>
      <c r="L56" s="1224"/>
      <c r="M56" s="1224"/>
      <c r="N56" s="1224"/>
      <c r="O56" s="1224"/>
      <c r="P56" s="1224"/>
      <c r="Q56" s="1224"/>
      <c r="R56" s="1224"/>
      <c r="S56" s="1224"/>
      <c r="T56" s="1224"/>
      <c r="U56" s="1224"/>
      <c r="V56" s="1224"/>
      <c r="W56" s="1224"/>
      <c r="X56" s="1224"/>
      <c r="Y56" s="1224"/>
      <c r="Z56" s="1224"/>
      <c r="AA56" s="1224"/>
      <c r="AB56" s="1224"/>
      <c r="AC56" s="1224"/>
      <c r="AD56" s="1224"/>
      <c r="AE56" s="1224"/>
      <c r="AF56" s="1224"/>
      <c r="AG56" s="1224"/>
      <c r="AH56" s="1224"/>
      <c r="AI56" s="1224"/>
      <c r="AJ56" s="1224"/>
      <c r="AK56" s="1224"/>
      <c r="AL56" s="118"/>
    </row>
    <row r="57" spans="1:38" ht="13.4" customHeight="1">
      <c r="A57" s="118"/>
      <c r="B57" s="118"/>
      <c r="C57" s="119"/>
      <c r="D57" s="119"/>
      <c r="E57" s="118"/>
      <c r="F57" s="120"/>
      <c r="G57" s="353" t="s">
        <v>34</v>
      </c>
      <c r="H57" s="1110"/>
      <c r="I57" s="1110"/>
      <c r="J57" s="1110"/>
      <c r="K57" s="1110"/>
      <c r="L57" s="1110"/>
      <c r="M57" s="1110"/>
      <c r="N57" s="1110"/>
      <c r="O57" s="1110"/>
      <c r="P57" s="1110"/>
      <c r="Q57" s="1110"/>
      <c r="R57" s="1110"/>
      <c r="S57" s="1110"/>
      <c r="T57" s="1110"/>
      <c r="U57" s="1110"/>
      <c r="V57" s="1110"/>
      <c r="W57" s="1110"/>
      <c r="X57" s="1110"/>
      <c r="Y57" s="1110"/>
      <c r="Z57" s="1110"/>
      <c r="AA57" s="1110"/>
      <c r="AB57" s="1110"/>
      <c r="AC57" s="1110"/>
      <c r="AD57" s="1110"/>
      <c r="AE57" s="1110"/>
      <c r="AF57" s="1110"/>
      <c r="AG57" s="1110"/>
      <c r="AH57" s="1110"/>
      <c r="AI57" s="1110"/>
      <c r="AJ57" s="1110"/>
      <c r="AK57" s="1110"/>
      <c r="AL57" s="118"/>
    </row>
    <row r="58" spans="1:38" ht="13">
      <c r="A58" s="118"/>
      <c r="B58" s="118"/>
      <c r="C58" s="119"/>
      <c r="D58" s="119"/>
      <c r="E58" s="118"/>
      <c r="F58" s="120"/>
      <c r="G58" s="1224" t="s">
        <v>35</v>
      </c>
      <c r="H58" s="1224"/>
      <c r="I58" s="1224"/>
      <c r="J58" s="331"/>
      <c r="K58" s="331"/>
      <c r="L58" s="331"/>
      <c r="M58" s="331"/>
      <c r="N58" s="331"/>
      <c r="O58" s="331"/>
      <c r="P58" s="331"/>
      <c r="Q58" s="331"/>
      <c r="R58" s="331"/>
      <c r="S58" s="331"/>
      <c r="T58" s="331"/>
      <c r="U58" s="331"/>
      <c r="V58" s="331"/>
      <c r="W58" s="331"/>
      <c r="X58" s="331"/>
      <c r="Y58" s="331"/>
      <c r="Z58" s="331"/>
      <c r="AA58" s="331"/>
      <c r="AB58" s="331"/>
      <c r="AC58" s="331"/>
      <c r="AD58" s="331"/>
      <c r="AE58" s="331"/>
      <c r="AF58" s="331"/>
      <c r="AG58" s="331"/>
      <c r="AH58" s="331"/>
      <c r="AI58" s="331"/>
      <c r="AJ58" s="331"/>
      <c r="AK58" s="331"/>
      <c r="AL58" s="118"/>
    </row>
    <row r="59" spans="1:38" ht="13.4" customHeight="1">
      <c r="A59" s="118"/>
      <c r="B59" s="119"/>
      <c r="C59" s="119"/>
      <c r="D59" s="119"/>
      <c r="E59" s="118"/>
      <c r="F59" s="120" t="s">
        <v>26</v>
      </c>
      <c r="G59" s="1224" t="s">
        <v>36</v>
      </c>
      <c r="H59" s="1224"/>
      <c r="I59" s="1224"/>
      <c r="J59" s="1224"/>
      <c r="K59" s="1224"/>
      <c r="L59" s="1224"/>
      <c r="M59" s="1224"/>
      <c r="N59" s="1224"/>
      <c r="O59" s="1224"/>
      <c r="P59" s="1224"/>
      <c r="Q59" s="1224"/>
      <c r="R59" s="1224"/>
      <c r="S59" s="1224"/>
      <c r="T59" s="1224"/>
      <c r="U59" s="1224"/>
      <c r="V59" s="1224"/>
      <c r="W59" s="1224"/>
      <c r="X59" s="1224"/>
      <c r="Y59" s="1224"/>
      <c r="Z59" s="1224"/>
      <c r="AA59" s="1224"/>
      <c r="AB59" s="1224"/>
      <c r="AC59" s="1224"/>
      <c r="AD59" s="1224"/>
      <c r="AE59" s="1224"/>
      <c r="AF59" s="1224"/>
      <c r="AG59" s="1224"/>
      <c r="AH59" s="1224"/>
      <c r="AI59" s="1224"/>
      <c r="AJ59" s="1224"/>
      <c r="AK59" s="1224"/>
      <c r="AL59" s="1224"/>
    </row>
    <row r="60" spans="1:38" ht="13">
      <c r="A60" s="118"/>
      <c r="B60" s="118"/>
      <c r="C60" s="119"/>
      <c r="D60" s="119"/>
      <c r="E60" s="118"/>
      <c r="F60" s="120"/>
      <c r="G60" s="1224"/>
      <c r="H60" s="1224"/>
      <c r="I60" s="1224"/>
      <c r="J60" s="1224"/>
      <c r="K60" s="1224"/>
      <c r="L60" s="1224"/>
      <c r="M60" s="1224"/>
      <c r="N60" s="1224"/>
      <c r="O60" s="1224"/>
      <c r="P60" s="1224"/>
      <c r="Q60" s="1224"/>
      <c r="R60" s="1224"/>
      <c r="S60" s="1224"/>
      <c r="T60" s="1224"/>
      <c r="U60" s="1224"/>
      <c r="V60" s="1224"/>
      <c r="W60" s="1224"/>
      <c r="X60" s="1224"/>
      <c r="Y60" s="1224"/>
      <c r="Z60" s="1224"/>
      <c r="AA60" s="1224"/>
      <c r="AB60" s="1224"/>
      <c r="AC60" s="1224"/>
      <c r="AD60" s="1224"/>
      <c r="AE60" s="1224"/>
      <c r="AF60" s="1224"/>
      <c r="AG60" s="1224"/>
      <c r="AH60" s="1224"/>
      <c r="AI60" s="1224"/>
      <c r="AJ60" s="1224"/>
      <c r="AK60" s="1224"/>
      <c r="AL60" s="1224"/>
    </row>
    <row r="61" spans="1:38" ht="13">
      <c r="A61" s="118"/>
      <c r="B61" s="118"/>
      <c r="C61" s="119"/>
      <c r="D61" s="119"/>
      <c r="E61" s="118"/>
      <c r="F61" s="120"/>
      <c r="G61" s="354" t="s">
        <v>37</v>
      </c>
      <c r="H61" s="331"/>
      <c r="I61" s="331"/>
      <c r="J61" s="331"/>
      <c r="K61" s="331"/>
      <c r="L61" s="331"/>
      <c r="M61" s="331"/>
      <c r="N61" s="331"/>
      <c r="O61" s="331"/>
      <c r="P61" s="331"/>
      <c r="Q61" s="331"/>
      <c r="R61" s="331"/>
      <c r="S61" s="331"/>
      <c r="T61" s="331"/>
      <c r="U61" s="331"/>
      <c r="V61" s="331"/>
      <c r="W61" s="331"/>
      <c r="X61" s="331"/>
      <c r="Y61" s="331"/>
      <c r="Z61" s="331"/>
      <c r="AA61" s="331"/>
      <c r="AB61" s="331"/>
      <c r="AC61" s="331"/>
      <c r="AD61" s="331"/>
      <c r="AE61" s="331"/>
      <c r="AF61" s="331"/>
      <c r="AG61" s="331"/>
      <c r="AH61" s="331"/>
      <c r="AI61" s="331"/>
      <c r="AJ61" s="331"/>
      <c r="AK61" s="331"/>
      <c r="AL61" s="118"/>
    </row>
    <row r="62" spans="1:38" ht="13">
      <c r="A62" s="2"/>
      <c r="C62" s="1"/>
      <c r="D62" s="1"/>
      <c r="E62" s="2"/>
      <c r="F62" s="1"/>
      <c r="G62" s="1"/>
      <c r="I62" s="1"/>
      <c r="J62" s="70"/>
      <c r="K62" s="70"/>
      <c r="L62" s="70"/>
      <c r="M62" s="70"/>
      <c r="N62" s="70"/>
      <c r="O62" s="70"/>
      <c r="P62" s="70"/>
      <c r="Q62" s="70"/>
      <c r="R62" s="70"/>
      <c r="S62" s="70"/>
      <c r="T62" s="70"/>
      <c r="U62" s="70"/>
      <c r="V62" s="70"/>
      <c r="W62" s="70"/>
      <c r="X62" s="70"/>
      <c r="Y62" s="70"/>
      <c r="Z62" s="70"/>
      <c r="AA62" s="70"/>
      <c r="AB62" s="70"/>
      <c r="AC62" s="70"/>
      <c r="AD62" s="70"/>
      <c r="AE62" s="70"/>
      <c r="AF62" s="70"/>
      <c r="AG62" s="70"/>
    </row>
    <row r="63" spans="1:38" ht="13">
      <c r="A63" s="2"/>
      <c r="B63" s="2"/>
      <c r="C63" s="2"/>
      <c r="D63" s="2" t="s">
        <v>38</v>
      </c>
      <c r="E63" s="2" t="s">
        <v>39</v>
      </c>
      <c r="F63" s="2"/>
      <c r="G63" s="2"/>
      <c r="H63" s="2"/>
      <c r="I63" s="2"/>
      <c r="J63" s="2"/>
      <c r="K63" s="2"/>
      <c r="L63" s="2"/>
      <c r="M63" s="2"/>
      <c r="N63" s="2"/>
      <c r="O63" s="2"/>
      <c r="P63" s="2"/>
      <c r="Q63" s="2"/>
      <c r="R63" s="2"/>
      <c r="S63" s="2"/>
      <c r="T63" s="2"/>
      <c r="U63" s="70"/>
      <c r="V63" s="70"/>
      <c r="W63" s="70"/>
      <c r="X63" s="70"/>
      <c r="Y63" s="70"/>
      <c r="Z63" s="70"/>
      <c r="AA63" s="70"/>
      <c r="AB63" s="70"/>
      <c r="AC63" s="70"/>
      <c r="AD63" s="70"/>
      <c r="AE63" s="70"/>
      <c r="AF63" s="70"/>
      <c r="AG63" s="1"/>
    </row>
    <row r="64" spans="1:38" ht="13">
      <c r="A64" s="2"/>
      <c r="C64" s="1"/>
      <c r="E64" s="2" t="s">
        <v>40</v>
      </c>
      <c r="G64" s="2"/>
      <c r="H64" s="2"/>
      <c r="I64" s="2"/>
      <c r="J64" s="2"/>
      <c r="K64" s="2"/>
      <c r="L64" s="2"/>
      <c r="M64" s="2"/>
      <c r="N64" s="2"/>
      <c r="O64" s="2"/>
      <c r="P64" s="2"/>
      <c r="Q64" s="2"/>
      <c r="R64" s="2"/>
      <c r="S64" s="2"/>
      <c r="T64" s="2"/>
      <c r="U64" s="2"/>
      <c r="V64" s="2"/>
      <c r="W64" s="2"/>
      <c r="X64" s="2"/>
      <c r="Y64" s="2"/>
      <c r="Z64" s="2"/>
      <c r="AA64" s="2"/>
      <c r="AB64" s="2"/>
    </row>
    <row r="65" spans="1:37" ht="13">
      <c r="A65" s="2"/>
      <c r="C65" s="1"/>
      <c r="D65" s="2"/>
      <c r="E65" s="2" t="s">
        <v>19</v>
      </c>
      <c r="F65" s="2" t="s">
        <v>2</v>
      </c>
      <c r="G65" s="2"/>
      <c r="H65" s="2"/>
      <c r="I65" s="2"/>
      <c r="J65" s="2"/>
      <c r="K65" s="2"/>
      <c r="L65" s="2"/>
      <c r="M65" s="2"/>
      <c r="P65" s="2"/>
      <c r="Q65" s="2"/>
      <c r="R65" s="2"/>
      <c r="S65" s="2"/>
      <c r="T65" s="2"/>
      <c r="U65" s="2"/>
      <c r="V65" s="2"/>
      <c r="W65" s="2"/>
      <c r="X65" s="2"/>
      <c r="Y65" s="2"/>
      <c r="Z65" s="2"/>
      <c r="AA65" s="2"/>
      <c r="AB65" s="2"/>
    </row>
    <row r="66" spans="1:37" ht="13">
      <c r="A66" s="2"/>
      <c r="C66" s="1"/>
      <c r="D66" s="2"/>
      <c r="E66" s="2"/>
      <c r="F66" t="s">
        <v>21</v>
      </c>
      <c r="G66" s="1222" t="s">
        <v>41</v>
      </c>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row>
    <row r="67" spans="1:37" ht="13">
      <c r="A67" s="2"/>
      <c r="C67" s="1"/>
      <c r="D67" s="2"/>
      <c r="E67" s="2"/>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row>
    <row r="68" spans="1:37" ht="13">
      <c r="A68" s="2"/>
      <c r="C68" s="1"/>
      <c r="D68" s="2"/>
      <c r="E68" s="2"/>
      <c r="G68" s="1222"/>
      <c r="H68" s="1222"/>
      <c r="I68" s="1222"/>
      <c r="J68" s="1222"/>
      <c r="K68" s="1222"/>
      <c r="L68" s="1222"/>
      <c r="M68" s="1222"/>
      <c r="N68" s="1222"/>
      <c r="O68" s="1222"/>
      <c r="P68" s="1222"/>
      <c r="Q68" s="1222"/>
      <c r="R68" s="1222"/>
      <c r="S68" s="1222"/>
      <c r="T68" s="1222"/>
      <c r="U68" s="1222"/>
      <c r="V68" s="1222"/>
      <c r="W68" s="1222"/>
      <c r="X68" s="1222"/>
      <c r="Y68" s="1222"/>
      <c r="Z68" s="1222"/>
      <c r="AA68" s="1222"/>
      <c r="AB68" s="1222"/>
      <c r="AC68" s="1222"/>
      <c r="AD68" s="1222"/>
      <c r="AE68" s="1222"/>
      <c r="AF68" s="1222"/>
      <c r="AG68" s="1222"/>
      <c r="AH68" s="1222"/>
      <c r="AI68" s="1222"/>
      <c r="AJ68" s="1222"/>
      <c r="AK68" s="1222"/>
    </row>
    <row r="69" spans="1:37" ht="13.4" customHeight="1">
      <c r="A69" s="2"/>
      <c r="C69" s="1"/>
      <c r="D69" s="2"/>
      <c r="E69" s="2"/>
      <c r="F69" t="s">
        <v>26</v>
      </c>
      <c r="G69" s="1222" t="s">
        <v>42</v>
      </c>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row>
    <row r="70" spans="1:37" ht="13">
      <c r="A70" s="2"/>
      <c r="C70" s="1"/>
      <c r="D70" s="2"/>
      <c r="E70" s="2"/>
      <c r="F70" s="22"/>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row>
    <row r="71" spans="1:37" ht="13">
      <c r="A71" s="2"/>
      <c r="C71" s="1"/>
      <c r="D71" s="2"/>
      <c r="E71" s="2" t="s">
        <v>23</v>
      </c>
      <c r="F71" s="2" t="s">
        <v>43</v>
      </c>
      <c r="G71" s="1137"/>
      <c r="H71" s="1137"/>
      <c r="I71" s="1137"/>
      <c r="J71" s="1137"/>
      <c r="K71" s="1137"/>
      <c r="L71" s="1137"/>
      <c r="M71" s="1137"/>
      <c r="N71" s="1137"/>
      <c r="O71" s="1137"/>
      <c r="P71" s="1137"/>
      <c r="Q71" s="1137"/>
      <c r="R71" s="1137"/>
      <c r="S71" s="1137"/>
      <c r="T71" s="1137"/>
      <c r="U71" s="1137"/>
      <c r="V71" s="1137"/>
      <c r="W71" s="1137"/>
      <c r="X71" s="1137"/>
      <c r="Y71" s="1137"/>
      <c r="Z71" s="1137"/>
      <c r="AA71" s="1137"/>
      <c r="AB71" s="1137"/>
      <c r="AC71" s="1137"/>
      <c r="AD71" s="1137"/>
      <c r="AE71" s="1137"/>
      <c r="AF71" s="1137"/>
      <c r="AG71" s="1137"/>
      <c r="AH71" s="1137"/>
      <c r="AI71" s="1137"/>
      <c r="AJ71" s="1137"/>
      <c r="AK71" s="1137"/>
    </row>
    <row r="72" spans="1:37" ht="13">
      <c r="A72" s="2"/>
      <c r="C72" s="1"/>
      <c r="D72" s="2"/>
      <c r="E72" s="2"/>
      <c r="F72" s="7" t="s">
        <v>21</v>
      </c>
      <c r="G72" s="1222" t="s">
        <v>44</v>
      </c>
      <c r="H72" s="1222"/>
      <c r="I72" s="1222"/>
      <c r="J72" s="1222"/>
      <c r="K72" s="1222"/>
      <c r="L72" s="1222"/>
      <c r="M72" s="1222"/>
      <c r="N72" s="1222"/>
      <c r="O72" s="1222"/>
      <c r="P72" s="1222"/>
      <c r="Q72" s="1222"/>
      <c r="R72" s="1222"/>
      <c r="S72" s="1222"/>
      <c r="T72" s="1222"/>
      <c r="U72" s="1222"/>
      <c r="V72" s="1222"/>
      <c r="W72" s="1222"/>
      <c r="X72" s="1222"/>
      <c r="Y72" s="1222"/>
      <c r="Z72" s="1222"/>
      <c r="AA72" s="1222"/>
      <c r="AB72" s="1222"/>
      <c r="AC72" s="1222"/>
      <c r="AD72" s="1222"/>
      <c r="AE72" s="1222"/>
      <c r="AF72" s="1222"/>
      <c r="AG72" s="1222"/>
      <c r="AH72" s="1222"/>
      <c r="AI72" s="1222"/>
      <c r="AJ72" s="1222"/>
      <c r="AK72" s="1222"/>
    </row>
    <row r="73" spans="1:37" ht="13">
      <c r="A73" s="2"/>
      <c r="C73" s="1"/>
      <c r="D73" s="2"/>
      <c r="E73" s="2"/>
      <c r="F73" s="7"/>
      <c r="G73" s="1222"/>
      <c r="H73" s="1222"/>
      <c r="I73" s="1222"/>
      <c r="J73" s="1222"/>
      <c r="K73" s="1222"/>
      <c r="L73" s="1222"/>
      <c r="M73" s="1222"/>
      <c r="N73" s="1222"/>
      <c r="O73" s="1222"/>
      <c r="P73" s="1222"/>
      <c r="Q73" s="1222"/>
      <c r="R73" s="1222"/>
      <c r="S73" s="1222"/>
      <c r="T73" s="1222"/>
      <c r="U73" s="1222"/>
      <c r="V73" s="1222"/>
      <c r="W73" s="1222"/>
      <c r="X73" s="1222"/>
      <c r="Y73" s="1222"/>
      <c r="Z73" s="1222"/>
      <c r="AA73" s="1222"/>
      <c r="AB73" s="1222"/>
      <c r="AC73" s="1222"/>
      <c r="AD73" s="1222"/>
      <c r="AE73" s="1222"/>
      <c r="AF73" s="1222"/>
      <c r="AG73" s="1222"/>
      <c r="AH73" s="1222"/>
      <c r="AI73" s="1222"/>
      <c r="AJ73" s="1222"/>
      <c r="AK73" s="1222"/>
    </row>
    <row r="74" spans="1:37" ht="13">
      <c r="A74" s="2"/>
      <c r="C74" s="1"/>
      <c r="D74" s="2"/>
      <c r="E74" s="2"/>
      <c r="F74" s="7" t="s">
        <v>26</v>
      </c>
      <c r="G74" s="1222" t="s">
        <v>45</v>
      </c>
      <c r="H74" s="1222"/>
      <c r="I74" s="1222"/>
      <c r="J74" s="1222"/>
      <c r="K74" s="1222"/>
      <c r="L74" s="1222"/>
      <c r="M74" s="1222"/>
      <c r="N74" s="1222"/>
      <c r="O74" s="1222"/>
      <c r="P74" s="1222"/>
      <c r="Q74" s="1222"/>
      <c r="R74" s="1222"/>
      <c r="S74" s="1222"/>
      <c r="T74" s="1222"/>
      <c r="U74" s="1222"/>
      <c r="V74" s="1222"/>
      <c r="W74" s="1222"/>
      <c r="X74" s="1222"/>
      <c r="Y74" s="1222"/>
      <c r="Z74" s="1222"/>
      <c r="AA74" s="1222"/>
      <c r="AB74" s="1222"/>
      <c r="AC74" s="1222"/>
      <c r="AD74" s="1222"/>
      <c r="AE74" s="1222"/>
      <c r="AF74" s="1222"/>
      <c r="AG74" s="1222"/>
      <c r="AH74" s="1222"/>
      <c r="AI74" s="1222"/>
      <c r="AJ74" s="1222"/>
      <c r="AK74" s="1222"/>
    </row>
    <row r="75" spans="1:37" ht="13">
      <c r="A75" s="2"/>
      <c r="C75" s="1"/>
      <c r="D75" s="2"/>
      <c r="E75" s="2"/>
      <c r="F75" s="7"/>
      <c r="G75" s="1222"/>
      <c r="H75" s="1222"/>
      <c r="I75" s="1222"/>
      <c r="J75" s="1222"/>
      <c r="K75" s="1222"/>
      <c r="L75" s="1222"/>
      <c r="M75" s="1222"/>
      <c r="N75" s="1222"/>
      <c r="O75" s="1222"/>
      <c r="P75" s="1222"/>
      <c r="Q75" s="1222"/>
      <c r="R75" s="1222"/>
      <c r="S75" s="1222"/>
      <c r="T75" s="1222"/>
      <c r="U75" s="1222"/>
      <c r="V75" s="1222"/>
      <c r="W75" s="1222"/>
      <c r="X75" s="1222"/>
      <c r="Y75" s="1222"/>
      <c r="Z75" s="1222"/>
      <c r="AA75" s="1222"/>
      <c r="AB75" s="1222"/>
      <c r="AC75" s="1222"/>
      <c r="AD75" s="1222"/>
      <c r="AE75" s="1222"/>
      <c r="AF75" s="1222"/>
      <c r="AG75" s="1222"/>
      <c r="AH75" s="1222"/>
      <c r="AI75" s="1222"/>
      <c r="AJ75" s="1222"/>
      <c r="AK75" s="1222"/>
    </row>
    <row r="76" spans="1:37" ht="13">
      <c r="A76" s="2"/>
      <c r="C76" s="1"/>
      <c r="D76" s="2"/>
      <c r="E76" s="2"/>
      <c r="F76" s="7"/>
      <c r="G76" s="70" t="s">
        <v>46</v>
      </c>
      <c r="H76" s="2"/>
      <c r="J76" s="70"/>
      <c r="K76" s="70"/>
      <c r="L76" s="70"/>
      <c r="P76" s="2"/>
      <c r="Q76" s="2"/>
      <c r="R76" s="2"/>
      <c r="S76" s="2"/>
      <c r="T76" s="2"/>
      <c r="U76" s="2"/>
      <c r="V76" s="2"/>
      <c r="W76" s="2"/>
      <c r="X76" s="2"/>
      <c r="Y76" s="2"/>
      <c r="Z76" s="2"/>
      <c r="AA76" s="2"/>
      <c r="AB76" s="2"/>
    </row>
    <row r="77" spans="1:37" ht="13">
      <c r="A77" s="2"/>
      <c r="C77" s="1"/>
      <c r="D77" s="2"/>
      <c r="E77" s="2"/>
      <c r="F77" s="7"/>
      <c r="G77" s="70" t="s">
        <v>47</v>
      </c>
      <c r="J77" s="70"/>
      <c r="K77" s="70"/>
      <c r="L77" s="70"/>
      <c r="P77" s="2"/>
      <c r="Q77" s="2"/>
      <c r="R77" s="2"/>
      <c r="S77" s="2"/>
      <c r="T77" s="2"/>
      <c r="U77" s="2"/>
      <c r="V77" s="2"/>
      <c r="W77" s="2"/>
      <c r="X77" s="2"/>
      <c r="Y77" s="2"/>
      <c r="Z77" s="2"/>
      <c r="AA77" s="2"/>
      <c r="AB77" s="2"/>
    </row>
    <row r="78" spans="1:37" ht="13">
      <c r="A78" s="2"/>
      <c r="C78" s="1"/>
      <c r="D78" s="2"/>
      <c r="E78" s="2"/>
      <c r="F78" s="7" t="s">
        <v>48</v>
      </c>
      <c r="G78" s="2" t="s">
        <v>49</v>
      </c>
      <c r="H78" s="2"/>
      <c r="I78" s="2"/>
      <c r="K78" s="2"/>
      <c r="L78" s="2"/>
      <c r="M78" s="2"/>
      <c r="P78" s="2"/>
      <c r="Q78" s="2"/>
      <c r="R78" s="2"/>
      <c r="S78" s="2"/>
      <c r="T78" s="2"/>
      <c r="U78" s="2"/>
      <c r="V78" s="2"/>
      <c r="W78" s="2"/>
      <c r="X78" s="2"/>
      <c r="Y78" s="2"/>
      <c r="Z78" s="2"/>
      <c r="AA78" s="2"/>
      <c r="AB78" s="2"/>
    </row>
    <row r="79" spans="1:37" ht="13">
      <c r="A79" s="2"/>
      <c r="C79" s="1"/>
      <c r="D79" s="2"/>
      <c r="E79" s="2"/>
      <c r="F79" s="2"/>
      <c r="G79" s="2" t="s">
        <v>50</v>
      </c>
      <c r="H79" s="2" t="s">
        <v>51</v>
      </c>
      <c r="K79" s="2"/>
      <c r="L79" s="2"/>
      <c r="M79" s="2"/>
      <c r="P79" s="2"/>
      <c r="Q79" s="2"/>
      <c r="R79" s="2"/>
      <c r="S79" s="2"/>
      <c r="T79" s="2"/>
      <c r="U79" s="2"/>
      <c r="V79" s="2"/>
      <c r="W79" s="2"/>
      <c r="X79" s="2"/>
      <c r="Y79" s="2"/>
      <c r="Z79" s="2"/>
      <c r="AA79" s="2"/>
      <c r="AB79" s="2"/>
    </row>
    <row r="80" spans="1:37" ht="13">
      <c r="A80" s="2"/>
      <c r="C80" s="1"/>
      <c r="D80" s="2"/>
      <c r="E80" s="2"/>
      <c r="F80" s="2"/>
      <c r="G80" s="2" t="s">
        <v>52</v>
      </c>
      <c r="H80" s="2" t="s">
        <v>53</v>
      </c>
      <c r="K80" s="2"/>
      <c r="L80" s="2"/>
      <c r="M80" s="2"/>
      <c r="P80" s="2"/>
      <c r="Q80" s="2"/>
      <c r="R80" s="2"/>
      <c r="S80" s="2"/>
      <c r="T80" s="2"/>
      <c r="U80" s="2"/>
      <c r="V80" s="2"/>
      <c r="W80" s="2"/>
      <c r="X80" s="2"/>
      <c r="Y80" s="2"/>
      <c r="Z80" s="2"/>
      <c r="AA80" s="2"/>
      <c r="AB80" s="2"/>
    </row>
    <row r="81" spans="1:37" ht="13">
      <c r="A81" s="2"/>
      <c r="C81" s="1"/>
      <c r="D81" s="2"/>
      <c r="E81" s="2" t="s">
        <v>28</v>
      </c>
      <c r="F81" s="2" t="s">
        <v>54</v>
      </c>
      <c r="G81" s="2"/>
      <c r="H81" s="2"/>
      <c r="I81" s="2"/>
      <c r="J81" s="2"/>
      <c r="K81" s="2"/>
      <c r="L81" s="2"/>
      <c r="M81" s="2"/>
      <c r="P81" s="2"/>
      <c r="Q81" s="2"/>
      <c r="R81" s="2"/>
      <c r="S81" s="2"/>
      <c r="T81" s="2"/>
      <c r="U81" s="2"/>
      <c r="V81" s="2"/>
      <c r="W81" s="2"/>
      <c r="X81" s="2"/>
      <c r="Y81" s="2"/>
      <c r="Z81" s="2"/>
      <c r="AA81" s="2"/>
      <c r="AB81" s="2"/>
    </row>
    <row r="82" spans="1:37" ht="13">
      <c r="A82" s="2"/>
      <c r="C82" s="1"/>
      <c r="D82" s="2"/>
      <c r="E82" s="2"/>
      <c r="F82" s="7"/>
      <c r="G82" s="1222" t="s">
        <v>55</v>
      </c>
      <c r="H82" s="1222"/>
      <c r="I82" s="1222"/>
      <c r="J82" s="1222"/>
      <c r="K82" s="1222"/>
      <c r="L82" s="1222"/>
      <c r="M82" s="1222"/>
      <c r="N82" s="1222"/>
      <c r="O82" s="1222"/>
      <c r="P82" s="1222"/>
      <c r="Q82" s="1222"/>
      <c r="R82" s="1222"/>
      <c r="S82" s="1222"/>
      <c r="T82" s="1222"/>
      <c r="U82" s="1222"/>
      <c r="V82" s="1222"/>
      <c r="W82" s="1222"/>
      <c r="X82" s="1222"/>
      <c r="Y82" s="1222"/>
      <c r="Z82" s="1222"/>
      <c r="AA82" s="1222"/>
      <c r="AB82" s="1222"/>
      <c r="AC82" s="1222"/>
      <c r="AD82" s="1222"/>
      <c r="AE82" s="1222"/>
      <c r="AF82" s="1222"/>
      <c r="AG82" s="1222"/>
      <c r="AH82" s="1222"/>
      <c r="AI82" s="1222"/>
      <c r="AJ82" s="1222"/>
      <c r="AK82" s="1222"/>
    </row>
    <row r="83" spans="1:37" ht="13">
      <c r="A83" s="2"/>
      <c r="C83" s="1"/>
      <c r="D83" s="2"/>
      <c r="E83" s="2"/>
      <c r="F83" s="2"/>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row>
    <row r="84" spans="1:37" ht="13">
      <c r="A84" s="2"/>
      <c r="C84" s="1"/>
      <c r="D84" s="2"/>
      <c r="E84" s="2"/>
      <c r="F84" s="2"/>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row>
    <row r="85" spans="1:37" ht="13">
      <c r="A85" s="2"/>
      <c r="C85" s="1"/>
      <c r="D85" s="2"/>
      <c r="E85" s="2" t="s">
        <v>56</v>
      </c>
      <c r="F85" s="2" t="s">
        <v>57</v>
      </c>
      <c r="G85" s="2"/>
      <c r="H85" s="2"/>
      <c r="I85" s="2"/>
      <c r="J85" s="2"/>
      <c r="K85" s="2"/>
      <c r="L85" s="2"/>
      <c r="M85" s="2"/>
      <c r="P85" s="2"/>
      <c r="Q85" s="2"/>
      <c r="R85" s="2"/>
      <c r="S85" s="2"/>
      <c r="T85" s="2"/>
      <c r="U85" s="2"/>
      <c r="V85" s="2"/>
      <c r="W85" s="2"/>
      <c r="X85" s="2"/>
      <c r="Y85" s="2"/>
      <c r="Z85" s="2"/>
      <c r="AA85" s="2"/>
      <c r="AB85" s="2"/>
    </row>
    <row r="86" spans="1:37" ht="13">
      <c r="A86" s="2"/>
      <c r="C86" s="1"/>
      <c r="D86" s="2"/>
      <c r="E86" s="2"/>
      <c r="F86" s="7"/>
      <c r="G86" s="1222" t="s">
        <v>58</v>
      </c>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row>
    <row r="87" spans="1:37" ht="13">
      <c r="A87" s="2"/>
      <c r="C87" s="1"/>
      <c r="D87" s="2"/>
      <c r="E87" s="2"/>
      <c r="F87" s="2"/>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row>
    <row r="88" spans="1:37" ht="13">
      <c r="A88" s="2"/>
      <c r="C88" s="1"/>
      <c r="D88" s="2"/>
      <c r="E88" s="2"/>
      <c r="G88" s="1222"/>
      <c r="H88" s="1222"/>
      <c r="I88" s="1222"/>
      <c r="J88" s="1222"/>
      <c r="K88" s="1222"/>
      <c r="L88" s="1222"/>
      <c r="M88" s="1222"/>
      <c r="N88" s="1222"/>
      <c r="O88" s="1222"/>
      <c r="P88" s="1222"/>
      <c r="Q88" s="1222"/>
      <c r="R88" s="1222"/>
      <c r="S88" s="1222"/>
      <c r="T88" s="1222"/>
      <c r="U88" s="1222"/>
      <c r="V88" s="1222"/>
      <c r="W88" s="1222"/>
      <c r="X88" s="1222"/>
      <c r="Y88" s="1222"/>
      <c r="Z88" s="1222"/>
      <c r="AA88" s="1222"/>
      <c r="AB88" s="1222"/>
      <c r="AC88" s="1222"/>
      <c r="AD88" s="1222"/>
      <c r="AE88" s="1222"/>
      <c r="AF88" s="1222"/>
      <c r="AG88" s="1222"/>
      <c r="AH88" s="1222"/>
      <c r="AI88" s="1222"/>
      <c r="AJ88" s="1222"/>
      <c r="AK88" s="1222"/>
    </row>
    <row r="89" spans="1:37" ht="13">
      <c r="A89" s="2"/>
      <c r="C89" s="1"/>
      <c r="D89" s="2"/>
      <c r="E89" s="2" t="s">
        <v>59</v>
      </c>
      <c r="F89" t="s">
        <v>60</v>
      </c>
      <c r="G89" s="2"/>
      <c r="L89" s="2"/>
      <c r="M89" s="2"/>
      <c r="P89" s="2"/>
      <c r="Q89" s="2"/>
      <c r="R89" s="2"/>
      <c r="S89" s="2"/>
      <c r="T89" s="2"/>
      <c r="U89" s="2"/>
      <c r="V89" s="2"/>
      <c r="W89" s="2"/>
      <c r="X89" s="2"/>
      <c r="Y89" s="2"/>
      <c r="Z89" s="2"/>
      <c r="AA89" s="2"/>
      <c r="AB89" s="2"/>
    </row>
    <row r="90" spans="1:37" ht="13">
      <c r="A90" s="2"/>
      <c r="C90" s="1"/>
      <c r="D90" s="2"/>
      <c r="E90" s="2"/>
      <c r="G90" s="1231" t="s">
        <v>61</v>
      </c>
      <c r="H90" s="1231"/>
      <c r="I90" s="1231"/>
      <c r="J90" s="1231"/>
      <c r="K90" s="1231"/>
      <c r="L90" s="1231"/>
      <c r="M90" s="1231"/>
      <c r="N90" s="1231"/>
      <c r="O90" s="1231"/>
      <c r="P90" s="1231"/>
      <c r="Q90" s="1231"/>
      <c r="R90" s="1231"/>
      <c r="S90" s="1231"/>
      <c r="T90" s="1231"/>
      <c r="U90" s="1231"/>
      <c r="V90" s="1231"/>
      <c r="W90" s="1231"/>
      <c r="X90" s="1231"/>
      <c r="Y90" s="1231"/>
      <c r="Z90" s="1231"/>
      <c r="AA90" s="1231"/>
      <c r="AB90" s="1231"/>
      <c r="AC90" s="1231"/>
      <c r="AD90" s="1231"/>
      <c r="AE90" s="1231"/>
      <c r="AF90" s="1231"/>
      <c r="AG90" s="1231"/>
      <c r="AH90" s="1231"/>
      <c r="AI90" s="1231"/>
      <c r="AJ90" s="1231"/>
      <c r="AK90" s="1231"/>
    </row>
    <row r="91" spans="1:37" ht="13">
      <c r="A91" s="2"/>
      <c r="C91" s="1"/>
      <c r="D91" s="2"/>
      <c r="E91" s="2"/>
      <c r="G91" s="1231"/>
      <c r="H91" s="1231"/>
      <c r="I91" s="1231"/>
      <c r="J91" s="1231"/>
      <c r="K91" s="1231"/>
      <c r="L91" s="1231"/>
      <c r="M91" s="1231"/>
      <c r="N91" s="1231"/>
      <c r="O91" s="1231"/>
      <c r="P91" s="1231"/>
      <c r="Q91" s="1231"/>
      <c r="R91" s="1231"/>
      <c r="S91" s="1231"/>
      <c r="T91" s="1231"/>
      <c r="U91" s="1231"/>
      <c r="V91" s="1231"/>
      <c r="W91" s="1231"/>
      <c r="X91" s="1231"/>
      <c r="Y91" s="1231"/>
      <c r="Z91" s="1231"/>
      <c r="AA91" s="1231"/>
      <c r="AB91" s="1231"/>
      <c r="AC91" s="1231"/>
      <c r="AD91" s="1231"/>
      <c r="AE91" s="1231"/>
      <c r="AF91" s="1231"/>
      <c r="AG91" s="1231"/>
      <c r="AH91" s="1231"/>
      <c r="AI91" s="1231"/>
      <c r="AJ91" s="1231"/>
      <c r="AK91" s="1231"/>
    </row>
    <row r="92" spans="1:37" ht="13">
      <c r="A92" s="2"/>
      <c r="C92" s="1"/>
      <c r="D92" s="2"/>
      <c r="E92" s="2"/>
      <c r="G92" s="1231"/>
      <c r="H92" s="1231"/>
      <c r="I92" s="1231"/>
      <c r="J92" s="1231"/>
      <c r="K92" s="1231"/>
      <c r="L92" s="1231"/>
      <c r="M92" s="1231"/>
      <c r="N92" s="1231"/>
      <c r="O92" s="1231"/>
      <c r="P92" s="1231"/>
      <c r="Q92" s="1231"/>
      <c r="R92" s="1231"/>
      <c r="S92" s="1231"/>
      <c r="T92" s="1231"/>
      <c r="U92" s="1231"/>
      <c r="V92" s="1231"/>
      <c r="W92" s="1231"/>
      <c r="X92" s="1231"/>
      <c r="Y92" s="1231"/>
      <c r="Z92" s="1231"/>
      <c r="AA92" s="1231"/>
      <c r="AB92" s="1231"/>
      <c r="AC92" s="1231"/>
      <c r="AD92" s="1231"/>
      <c r="AE92" s="1231"/>
      <c r="AF92" s="1231"/>
      <c r="AG92" s="1231"/>
      <c r="AH92" s="1231"/>
      <c r="AI92" s="1231"/>
      <c r="AJ92" s="1231"/>
      <c r="AK92" s="1231"/>
    </row>
    <row r="93" spans="1:37" ht="13">
      <c r="A93" s="2"/>
      <c r="C93" s="1"/>
      <c r="D93" s="2"/>
      <c r="E93" s="2" t="s">
        <v>62</v>
      </c>
      <c r="F93" s="2" t="s">
        <v>63</v>
      </c>
      <c r="G93" s="2"/>
      <c r="H93" s="2"/>
      <c r="I93" s="2"/>
      <c r="J93" s="2"/>
      <c r="K93" s="2"/>
      <c r="L93" s="2"/>
      <c r="M93" s="2"/>
      <c r="P93" s="2"/>
      <c r="Q93" s="2"/>
      <c r="R93" s="2"/>
      <c r="S93" s="2"/>
      <c r="T93" s="2"/>
      <c r="U93" s="2"/>
      <c r="V93" s="2"/>
      <c r="W93" s="2"/>
      <c r="X93" s="2"/>
      <c r="Y93" s="2"/>
      <c r="Z93" s="2"/>
      <c r="AA93" s="2"/>
      <c r="AB93" s="2"/>
    </row>
    <row r="94" spans="1:37" ht="13">
      <c r="A94" s="2"/>
      <c r="C94" s="1"/>
      <c r="D94" s="2"/>
      <c r="E94" s="2"/>
      <c r="F94" s="2"/>
      <c r="G94" s="1222" t="s">
        <v>64</v>
      </c>
      <c r="H94" s="1222"/>
      <c r="I94" s="1222"/>
      <c r="J94" s="1222"/>
      <c r="K94" s="1222"/>
      <c r="L94" s="1222"/>
      <c r="M94" s="1222"/>
      <c r="N94" s="1222"/>
      <c r="O94" s="1222"/>
      <c r="P94" s="1222"/>
      <c r="Q94" s="1222"/>
      <c r="R94" s="1222"/>
      <c r="S94" s="1222"/>
      <c r="T94" s="1222"/>
      <c r="U94" s="1222"/>
      <c r="V94" s="1222"/>
      <c r="W94" s="1222"/>
      <c r="X94" s="1222"/>
      <c r="Y94" s="1222"/>
      <c r="Z94" s="1222"/>
      <c r="AA94" s="1222"/>
      <c r="AB94" s="1222"/>
      <c r="AC94" s="1222"/>
      <c r="AD94" s="1222"/>
      <c r="AE94" s="1222"/>
      <c r="AF94" s="1222"/>
      <c r="AG94" s="1222"/>
      <c r="AH94" s="1222"/>
      <c r="AI94" s="1222"/>
      <c r="AJ94" s="1222"/>
      <c r="AK94" s="1222"/>
    </row>
    <row r="95" spans="1:37" ht="13">
      <c r="A95" s="2"/>
      <c r="C95" s="1"/>
      <c r="D95" s="2"/>
      <c r="E95" s="2"/>
      <c r="G95" s="1222"/>
      <c r="H95" s="1222"/>
      <c r="I95" s="1222"/>
      <c r="J95" s="1222"/>
      <c r="K95" s="1222"/>
      <c r="L95" s="1222"/>
      <c r="M95" s="1222"/>
      <c r="N95" s="1222"/>
      <c r="O95" s="1222"/>
      <c r="P95" s="1222"/>
      <c r="Q95" s="1222"/>
      <c r="R95" s="1222"/>
      <c r="S95" s="1222"/>
      <c r="T95" s="1222"/>
      <c r="U95" s="1222"/>
      <c r="V95" s="1222"/>
      <c r="W95" s="1222"/>
      <c r="X95" s="1222"/>
      <c r="Y95" s="1222"/>
      <c r="Z95" s="1222"/>
      <c r="AA95" s="1222"/>
      <c r="AB95" s="1222"/>
      <c r="AC95" s="1222"/>
      <c r="AD95" s="1222"/>
      <c r="AE95" s="1222"/>
      <c r="AF95" s="1222"/>
      <c r="AG95" s="1222"/>
      <c r="AH95" s="1222"/>
      <c r="AI95" s="1222"/>
      <c r="AJ95" s="1222"/>
      <c r="AK95" s="1222"/>
    </row>
    <row r="96" spans="1:37" ht="13">
      <c r="A96" s="2"/>
      <c r="C96" s="1"/>
      <c r="D96" s="2"/>
      <c r="E96" s="2" t="s">
        <v>65</v>
      </c>
      <c r="F96" s="118" t="s">
        <v>66</v>
      </c>
      <c r="G96" s="118"/>
      <c r="L96" s="2"/>
      <c r="M96" s="2"/>
      <c r="P96" s="2"/>
      <c r="Q96" s="2"/>
      <c r="R96" s="2"/>
      <c r="S96" s="2"/>
      <c r="T96" s="2"/>
      <c r="U96" s="2"/>
      <c r="V96" s="2"/>
      <c r="W96" s="2"/>
      <c r="X96" s="2"/>
      <c r="Y96" s="2"/>
      <c r="Z96" s="2"/>
      <c r="AA96" s="2"/>
      <c r="AB96" s="2"/>
    </row>
    <row r="97" spans="1:38" ht="13">
      <c r="A97" s="2"/>
      <c r="C97" s="1"/>
      <c r="D97" s="2"/>
      <c r="E97" s="2"/>
      <c r="G97" s="1222" t="s">
        <v>67</v>
      </c>
      <c r="H97" s="1222"/>
      <c r="I97" s="1222"/>
      <c r="J97" s="1222"/>
      <c r="K97" s="1222"/>
      <c r="L97" s="1222"/>
      <c r="M97" s="1222"/>
      <c r="N97" s="1222"/>
      <c r="O97" s="1222"/>
      <c r="P97" s="1222"/>
      <c r="Q97" s="1222"/>
      <c r="R97" s="1222"/>
      <c r="S97" s="1222"/>
      <c r="T97" s="1222"/>
      <c r="U97" s="1222"/>
      <c r="V97" s="1222"/>
      <c r="W97" s="1222"/>
      <c r="X97" s="1222"/>
      <c r="Y97" s="1222"/>
      <c r="Z97" s="1222"/>
      <c r="AA97" s="1222"/>
      <c r="AB97" s="1222"/>
      <c r="AC97" s="1222"/>
      <c r="AD97" s="1222"/>
      <c r="AE97" s="1222"/>
      <c r="AF97" s="1222"/>
      <c r="AG97" s="1222"/>
      <c r="AH97" s="1222"/>
      <c r="AI97" s="1222"/>
      <c r="AJ97" s="1222"/>
      <c r="AK97" s="1222"/>
    </row>
    <row r="98" spans="1:38" ht="13">
      <c r="A98" s="2"/>
      <c r="C98" s="1"/>
      <c r="D98" s="2"/>
      <c r="E98" s="2"/>
      <c r="G98" s="1222"/>
      <c r="H98" s="1222"/>
      <c r="I98" s="1222"/>
      <c r="J98" s="1222"/>
      <c r="K98" s="1222"/>
      <c r="L98" s="1222"/>
      <c r="M98" s="1222"/>
      <c r="N98" s="1222"/>
      <c r="O98" s="1222"/>
      <c r="P98" s="1222"/>
      <c r="Q98" s="1222"/>
      <c r="R98" s="1222"/>
      <c r="S98" s="1222"/>
      <c r="T98" s="1222"/>
      <c r="U98" s="1222"/>
      <c r="V98" s="1222"/>
      <c r="W98" s="1222"/>
      <c r="X98" s="1222"/>
      <c r="Y98" s="1222"/>
      <c r="Z98" s="1222"/>
      <c r="AA98" s="1222"/>
      <c r="AB98" s="1222"/>
      <c r="AC98" s="1222"/>
      <c r="AD98" s="1222"/>
      <c r="AE98" s="1222"/>
      <c r="AF98" s="1222"/>
      <c r="AG98" s="1222"/>
      <c r="AH98" s="1222"/>
      <c r="AI98" s="1222"/>
      <c r="AJ98" s="1222"/>
      <c r="AK98" s="1222"/>
    </row>
    <row r="99" spans="1:38" ht="13">
      <c r="A99" s="2"/>
      <c r="C99" s="1"/>
      <c r="D99" s="2"/>
      <c r="E99" s="2"/>
      <c r="G99" s="1222"/>
      <c r="H99" s="1222"/>
      <c r="I99" s="1222"/>
      <c r="J99" s="1222"/>
      <c r="K99" s="1222"/>
      <c r="L99" s="1222"/>
      <c r="M99" s="1222"/>
      <c r="N99" s="1222"/>
      <c r="O99" s="1222"/>
      <c r="P99" s="1222"/>
      <c r="Q99" s="1222"/>
      <c r="R99" s="1222"/>
      <c r="S99" s="1222"/>
      <c r="T99" s="1222"/>
      <c r="U99" s="1222"/>
      <c r="V99" s="1222"/>
      <c r="W99" s="1222"/>
      <c r="X99" s="1222"/>
      <c r="Y99" s="1222"/>
      <c r="Z99" s="1222"/>
      <c r="AA99" s="1222"/>
      <c r="AB99" s="1222"/>
      <c r="AC99" s="1222"/>
      <c r="AD99" s="1222"/>
      <c r="AE99" s="1222"/>
      <c r="AF99" s="1222"/>
      <c r="AG99" s="1222"/>
      <c r="AH99" s="1222"/>
      <c r="AI99" s="1222"/>
      <c r="AJ99" s="1222"/>
      <c r="AK99" s="1222"/>
    </row>
    <row r="100" spans="1:38" ht="13">
      <c r="A100" s="2"/>
      <c r="D100" s="58"/>
      <c r="E100" s="1232" t="s">
        <v>68</v>
      </c>
      <c r="F100" s="1232"/>
      <c r="G100" s="1232"/>
      <c r="H100" s="1232"/>
      <c r="I100" s="1232"/>
      <c r="J100" s="1232"/>
      <c r="K100" s="1232"/>
      <c r="L100" s="1232"/>
      <c r="M100" s="1232"/>
      <c r="N100" s="1232"/>
      <c r="O100" s="1232"/>
      <c r="P100" s="1232"/>
      <c r="Q100" s="1232"/>
      <c r="R100" s="1232"/>
      <c r="S100" s="1232"/>
      <c r="T100" s="1232"/>
      <c r="U100" s="1232"/>
      <c r="V100" s="1232"/>
      <c r="W100" s="1232"/>
      <c r="X100" s="1232"/>
      <c r="Y100" s="1232"/>
      <c r="Z100" s="1232"/>
      <c r="AA100" s="1232"/>
      <c r="AB100" s="1232"/>
      <c r="AC100" s="1232"/>
      <c r="AD100" s="1232"/>
      <c r="AE100" s="1232"/>
      <c r="AF100" s="1232"/>
      <c r="AG100" s="1232"/>
      <c r="AH100" s="1232"/>
      <c r="AI100" s="1232"/>
      <c r="AJ100" s="1232"/>
      <c r="AK100" s="1232"/>
    </row>
    <row r="101" spans="1:38" ht="13">
      <c r="A101" s="2"/>
      <c r="D101" s="58"/>
      <c r="E101" s="1232"/>
      <c r="F101" s="1232"/>
      <c r="G101" s="1232"/>
      <c r="H101" s="1232"/>
      <c r="I101" s="1232"/>
      <c r="J101" s="1232"/>
      <c r="K101" s="1232"/>
      <c r="L101" s="1232"/>
      <c r="M101" s="1232"/>
      <c r="N101" s="1232"/>
      <c r="O101" s="1232"/>
      <c r="P101" s="1232"/>
      <c r="Q101" s="1232"/>
      <c r="R101" s="1232"/>
      <c r="S101" s="1232"/>
      <c r="T101" s="1232"/>
      <c r="U101" s="1232"/>
      <c r="V101" s="1232"/>
      <c r="W101" s="1232"/>
      <c r="X101" s="1232"/>
      <c r="Y101" s="1232"/>
      <c r="Z101" s="1232"/>
      <c r="AA101" s="1232"/>
      <c r="AB101" s="1232"/>
      <c r="AC101" s="1232"/>
      <c r="AD101" s="1232"/>
      <c r="AE101" s="1232"/>
      <c r="AF101" s="1232"/>
      <c r="AG101" s="1232"/>
      <c r="AH101" s="1232"/>
      <c r="AI101" s="1232"/>
      <c r="AJ101" s="1232"/>
      <c r="AK101" s="1232"/>
    </row>
    <row r="102" spans="1:38" ht="13">
      <c r="A102" s="2"/>
      <c r="B102" s="75"/>
      <c r="C102" s="58"/>
      <c r="D102" s="58"/>
      <c r="E102" s="75"/>
      <c r="F102" s="58"/>
      <c r="G102" s="58"/>
      <c r="H102" s="58"/>
      <c r="I102" s="1"/>
      <c r="J102" s="1"/>
      <c r="K102" s="1"/>
      <c r="L102" s="1"/>
      <c r="M102" s="1"/>
      <c r="N102" s="1"/>
      <c r="P102" s="2"/>
      <c r="Q102" s="2"/>
      <c r="R102" s="2"/>
      <c r="S102" s="2"/>
      <c r="T102" s="2"/>
      <c r="U102" s="2"/>
      <c r="V102" s="2"/>
      <c r="W102" s="2"/>
      <c r="X102" s="2"/>
      <c r="Y102" s="2"/>
      <c r="Z102" s="2"/>
      <c r="AA102" s="2"/>
      <c r="AB102" s="2"/>
    </row>
    <row r="103" spans="1:38" ht="13">
      <c r="A103" s="4"/>
      <c r="B103" s="10" t="s">
        <v>69</v>
      </c>
      <c r="C103" s="10" t="s">
        <v>43</v>
      </c>
      <c r="D103" s="10"/>
      <c r="E103" s="10"/>
      <c r="F103" s="10"/>
      <c r="G103" s="10"/>
      <c r="H103" s="10"/>
      <c r="I103" s="10"/>
      <c r="J103" s="10"/>
      <c r="K103" s="10"/>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row>
    <row r="104" spans="1:38" ht="13">
      <c r="B104" s="1"/>
      <c r="C104" s="1"/>
      <c r="D104" s="1"/>
      <c r="E104" s="1"/>
      <c r="F104" s="1"/>
      <c r="G104" s="1"/>
      <c r="H104" s="1"/>
      <c r="I104" s="1"/>
      <c r="J104" s="1"/>
      <c r="K104" s="1"/>
    </row>
    <row r="105" spans="1:38" ht="13">
      <c r="B105" s="1"/>
      <c r="C105" s="1" t="s">
        <v>70</v>
      </c>
      <c r="E105" s="1"/>
      <c r="F105" s="1"/>
      <c r="G105" s="1" t="s">
        <v>71</v>
      </c>
      <c r="H105" s="1"/>
      <c r="I105" s="1"/>
      <c r="K105" s="1"/>
    </row>
    <row r="106" spans="1:38" ht="13">
      <c r="B106" s="1"/>
      <c r="C106" s="1"/>
      <c r="D106" s="1" t="s">
        <v>3</v>
      </c>
      <c r="E106" s="1" t="s">
        <v>72</v>
      </c>
      <c r="F106" s="1"/>
      <c r="G106" s="1"/>
      <c r="H106" s="1"/>
      <c r="I106" s="1"/>
      <c r="J106" s="1"/>
      <c r="K106" s="1"/>
      <c r="L106" s="1"/>
      <c r="M106" s="1"/>
    </row>
    <row r="107" spans="1:38" ht="13">
      <c r="B107" s="1"/>
      <c r="C107" s="1"/>
      <c r="E107" s="2" t="s">
        <v>17</v>
      </c>
      <c r="F107" s="57" t="s">
        <v>73</v>
      </c>
      <c r="G107" s="1"/>
      <c r="H107" s="1"/>
      <c r="I107" s="1"/>
      <c r="J107" s="1"/>
      <c r="K107" s="1"/>
    </row>
    <row r="108" spans="1:38">
      <c r="E108" s="2"/>
      <c r="F108" t="s">
        <v>74</v>
      </c>
    </row>
    <row r="109" spans="1:38">
      <c r="E109" s="2"/>
      <c r="F109" t="s">
        <v>75</v>
      </c>
    </row>
    <row r="110" spans="1:38">
      <c r="E110" s="2"/>
    </row>
    <row r="111" spans="1:38" ht="13">
      <c r="E111" s="2" t="s">
        <v>30</v>
      </c>
      <c r="F111" s="57" t="s">
        <v>76</v>
      </c>
      <c r="G111" s="1"/>
      <c r="H111" s="1"/>
      <c r="I111" s="1"/>
      <c r="J111" s="1"/>
    </row>
    <row r="112" spans="1:38">
      <c r="E112" s="2"/>
      <c r="F112" t="s">
        <v>77</v>
      </c>
    </row>
    <row r="113" spans="2:16">
      <c r="E113" s="2"/>
    </row>
    <row r="114" spans="2:16" ht="13">
      <c r="E114" s="2" t="s">
        <v>38</v>
      </c>
      <c r="F114" s="57" t="s">
        <v>78</v>
      </c>
      <c r="G114" s="1"/>
      <c r="H114" s="1"/>
      <c r="I114" s="1"/>
      <c r="J114" s="1"/>
      <c r="K114" s="1"/>
      <c r="L114" s="1"/>
      <c r="M114" s="1"/>
      <c r="N114" s="1"/>
      <c r="O114" s="1"/>
      <c r="P114" s="1"/>
    </row>
    <row r="115" spans="2:16">
      <c r="E115" s="2"/>
      <c r="F115" s="2" t="s">
        <v>79</v>
      </c>
    </row>
    <row r="116" spans="2:16" ht="12.75" customHeight="1">
      <c r="F116" s="2" t="s">
        <v>80</v>
      </c>
    </row>
    <row r="117" spans="2:16"/>
    <row r="118" spans="2:16">
      <c r="E118" t="s">
        <v>81</v>
      </c>
      <c r="F118" s="57" t="s">
        <v>82</v>
      </c>
    </row>
    <row r="119" spans="2:16" ht="13">
      <c r="F119" s="2" t="s">
        <v>83</v>
      </c>
      <c r="G119" s="2"/>
    </row>
    <row r="120" spans="2:16" ht="13">
      <c r="F120" s="58" t="s">
        <v>84</v>
      </c>
      <c r="G120" s="58"/>
    </row>
    <row r="121" spans="2:16" ht="13">
      <c r="G121" s="58"/>
    </row>
    <row r="122" spans="2:16">
      <c r="E122" s="2" t="s">
        <v>85</v>
      </c>
      <c r="F122" s="57" t="s">
        <v>86</v>
      </c>
    </row>
    <row r="123" spans="2:16">
      <c r="E123" s="2"/>
      <c r="F123" s="2" t="s">
        <v>87</v>
      </c>
    </row>
    <row r="124" spans="2:16" ht="13">
      <c r="B124" s="1"/>
      <c r="C124" s="1"/>
      <c r="F124" s="1"/>
    </row>
    <row r="125" spans="2:16" ht="13">
      <c r="B125" s="1"/>
      <c r="C125" s="1" t="s">
        <v>88</v>
      </c>
      <c r="G125" s="1" t="s">
        <v>89</v>
      </c>
    </row>
    <row r="126" spans="2:16" ht="13">
      <c r="B126" s="1"/>
      <c r="C126" s="1"/>
      <c r="D126" s="1" t="s">
        <v>3</v>
      </c>
      <c r="E126" s="1" t="s">
        <v>90</v>
      </c>
      <c r="F126" s="1"/>
      <c r="G126" s="1"/>
      <c r="H126" s="1"/>
      <c r="I126" s="1"/>
      <c r="J126" s="1"/>
    </row>
    <row r="127" spans="2:16" ht="13">
      <c r="B127" s="1"/>
      <c r="C127" s="1"/>
      <c r="E127" s="2" t="s">
        <v>91</v>
      </c>
      <c r="F127" s="2"/>
    </row>
    <row r="128" spans="2:16"/>
    <row r="129" spans="4:37" ht="13">
      <c r="D129" s="1" t="s">
        <v>15</v>
      </c>
      <c r="E129" s="1" t="s">
        <v>92</v>
      </c>
    </row>
    <row r="130" spans="4:37">
      <c r="E130" s="2" t="s">
        <v>91</v>
      </c>
      <c r="F130" s="2"/>
    </row>
    <row r="131" spans="4:37"/>
    <row r="132" spans="4:37" ht="13">
      <c r="D132" s="1" t="s">
        <v>93</v>
      </c>
      <c r="E132" s="1" t="s">
        <v>94</v>
      </c>
      <c r="G132" s="1"/>
      <c r="H132" s="1"/>
      <c r="I132" s="1"/>
      <c r="J132" s="1"/>
      <c r="K132" s="1"/>
      <c r="L132" s="1"/>
      <c r="M132" s="1"/>
      <c r="N132" s="1"/>
    </row>
    <row r="133" spans="4:37" ht="13">
      <c r="D133" s="1"/>
      <c r="E133" s="69" t="s">
        <v>95</v>
      </c>
      <c r="G133" s="1"/>
      <c r="H133" s="1"/>
      <c r="I133" s="1"/>
      <c r="J133" s="1"/>
      <c r="K133" s="1"/>
      <c r="L133" s="1"/>
      <c r="M133" s="1"/>
      <c r="N133" s="1"/>
    </row>
    <row r="134" spans="4:37" ht="12.75" customHeight="1">
      <c r="E134" s="69" t="s">
        <v>96</v>
      </c>
      <c r="F134" s="1137"/>
      <c r="G134" s="1137"/>
      <c r="H134" s="1137"/>
      <c r="I134" s="1137"/>
      <c r="J134" s="1137"/>
      <c r="K134" s="1137"/>
      <c r="L134" s="1137"/>
      <c r="M134" s="1137"/>
      <c r="N134" s="1137"/>
      <c r="O134" s="1137"/>
      <c r="P134" s="1137"/>
      <c r="Q134" s="1137"/>
      <c r="R134" s="1137"/>
      <c r="S134" s="1137"/>
      <c r="T134" s="1137"/>
      <c r="U134" s="1137"/>
      <c r="V134" s="1137"/>
      <c r="W134" s="1137"/>
      <c r="X134" s="1137"/>
      <c r="Y134" s="1137"/>
      <c r="Z134" s="1137"/>
      <c r="AA134" s="1137"/>
      <c r="AB134" s="1137"/>
      <c r="AC134" s="1137"/>
      <c r="AD134" s="1137"/>
      <c r="AE134" s="1137"/>
      <c r="AF134" s="1137"/>
      <c r="AG134" s="1137"/>
      <c r="AH134" s="1137"/>
      <c r="AI134" s="1137"/>
      <c r="AJ134" s="1137"/>
      <c r="AK134" s="1137"/>
    </row>
    <row r="135" spans="4:37">
      <c r="E135" s="69" t="s">
        <v>97</v>
      </c>
      <c r="F135" s="1137"/>
      <c r="G135" s="1137"/>
      <c r="H135" s="1137"/>
      <c r="I135" s="1137"/>
      <c r="J135" s="1137"/>
      <c r="K135" s="1137"/>
      <c r="L135" s="1137"/>
      <c r="M135" s="1137"/>
      <c r="N135" s="1137"/>
      <c r="O135" s="1137"/>
      <c r="P135" s="1137"/>
      <c r="Q135" s="1137"/>
      <c r="R135" s="1137"/>
      <c r="S135" s="1137"/>
      <c r="T135" s="1137"/>
      <c r="U135" s="1137"/>
      <c r="V135" s="1137"/>
      <c r="W135" s="1137"/>
      <c r="X135" s="1137"/>
      <c r="Y135" s="1137"/>
      <c r="Z135" s="1137"/>
      <c r="AA135" s="1137"/>
      <c r="AB135" s="1137"/>
      <c r="AC135" s="1137"/>
      <c r="AD135" s="1137"/>
      <c r="AE135" s="1137"/>
      <c r="AF135" s="1137"/>
      <c r="AG135" s="1137"/>
      <c r="AH135" s="1137"/>
      <c r="AI135" s="1137"/>
      <c r="AJ135" s="1137"/>
      <c r="AK135" s="1137"/>
    </row>
    <row r="136" spans="4:37">
      <c r="F136" s="2"/>
    </row>
    <row r="137" spans="4:37" ht="13">
      <c r="D137" s="1" t="s">
        <v>98</v>
      </c>
      <c r="E137" s="1" t="s">
        <v>99</v>
      </c>
      <c r="F137" s="1"/>
    </row>
    <row r="138" spans="4:37">
      <c r="E138" s="2" t="s">
        <v>100</v>
      </c>
      <c r="F138" s="2"/>
    </row>
    <row r="139" spans="4:37">
      <c r="F139" s="2"/>
    </row>
    <row r="140" spans="4:37" ht="13">
      <c r="D140" s="1" t="s">
        <v>101</v>
      </c>
      <c r="E140" s="1" t="s">
        <v>102</v>
      </c>
      <c r="F140" s="1"/>
      <c r="G140" s="1"/>
      <c r="H140" s="1"/>
    </row>
    <row r="141" spans="4:37">
      <c r="E141" t="s">
        <v>17</v>
      </c>
      <c r="F141" t="s">
        <v>103</v>
      </c>
    </row>
    <row r="142" spans="4:37">
      <c r="E142" t="s">
        <v>30</v>
      </c>
      <c r="F142" t="s">
        <v>104</v>
      </c>
    </row>
    <row r="143" spans="4:37"/>
    <row r="144" spans="4:37" ht="13">
      <c r="D144" s="1" t="s">
        <v>105</v>
      </c>
      <c r="E144" s="1" t="s">
        <v>106</v>
      </c>
    </row>
    <row r="145" spans="3:7">
      <c r="E145" s="118" t="s">
        <v>107</v>
      </c>
      <c r="F145" s="118"/>
    </row>
    <row r="146" spans="3:7"/>
    <row r="147" spans="3:7" ht="13">
      <c r="C147" s="1" t="s">
        <v>108</v>
      </c>
      <c r="G147" s="1" t="s">
        <v>109</v>
      </c>
    </row>
    <row r="148" spans="3:7" ht="13">
      <c r="D148" s="1" t="s">
        <v>3</v>
      </c>
      <c r="E148" s="1" t="s">
        <v>110</v>
      </c>
    </row>
    <row r="149" spans="3:7">
      <c r="E149" t="s">
        <v>111</v>
      </c>
    </row>
    <row r="150" spans="3:7"/>
    <row r="151" spans="3:7" ht="13">
      <c r="D151" s="1" t="s">
        <v>15</v>
      </c>
      <c r="E151" s="1" t="s">
        <v>112</v>
      </c>
      <c r="F151" s="1"/>
    </row>
    <row r="152" spans="3:7">
      <c r="E152" s="2" t="s">
        <v>113</v>
      </c>
      <c r="F152" s="2"/>
    </row>
    <row r="153" spans="3:7"/>
    <row r="154" spans="3:7" ht="13">
      <c r="D154" s="1" t="s">
        <v>93</v>
      </c>
      <c r="E154" s="1" t="s">
        <v>114</v>
      </c>
    </row>
    <row r="155" spans="3:7">
      <c r="E155" s="2" t="s">
        <v>115</v>
      </c>
    </row>
    <row r="156" spans="3:7">
      <c r="E156" s="2" t="s">
        <v>116</v>
      </c>
      <c r="G156" s="2"/>
    </row>
    <row r="157" spans="3:7"/>
    <row r="158" spans="3:7" ht="13">
      <c r="D158" s="1" t="s">
        <v>98</v>
      </c>
      <c r="E158" s="1" t="s">
        <v>117</v>
      </c>
    </row>
    <row r="159" spans="3:7">
      <c r="E159" t="s">
        <v>17</v>
      </c>
      <c r="F159" s="2" t="s">
        <v>118</v>
      </c>
    </row>
    <row r="160" spans="3:7">
      <c r="E160" s="2" t="s">
        <v>30</v>
      </c>
      <c r="F160" s="2" t="s">
        <v>119</v>
      </c>
    </row>
    <row r="161" spans="3:20">
      <c r="E161" s="2" t="s">
        <v>38</v>
      </c>
      <c r="F161" t="s">
        <v>120</v>
      </c>
    </row>
    <row r="162" spans="3:20"/>
    <row r="163" spans="3:20" ht="13">
      <c r="D163" s="1" t="s">
        <v>101</v>
      </c>
      <c r="E163" s="1" t="s">
        <v>121</v>
      </c>
    </row>
    <row r="164" spans="3:20">
      <c r="E164" s="2" t="s">
        <v>122</v>
      </c>
      <c r="F164" s="2"/>
    </row>
    <row r="165" spans="3:20"/>
    <row r="166" spans="3:20" ht="13">
      <c r="D166" s="1" t="s">
        <v>105</v>
      </c>
      <c r="E166" s="1" t="s">
        <v>123</v>
      </c>
    </row>
    <row r="167" spans="3:20">
      <c r="E167" s="2" t="s">
        <v>124</v>
      </c>
    </row>
    <row r="168" spans="3:20">
      <c r="E168" s="2" t="s">
        <v>125</v>
      </c>
    </row>
    <row r="169" spans="3:20"/>
    <row r="170" spans="3:20" ht="13">
      <c r="D170" s="1" t="s">
        <v>126</v>
      </c>
      <c r="E170" s="1" t="s">
        <v>127</v>
      </c>
    </row>
    <row r="171" spans="3:20">
      <c r="E171" t="s">
        <v>17</v>
      </c>
      <c r="F171" t="s">
        <v>128</v>
      </c>
    </row>
    <row r="172" spans="3:20">
      <c r="E172" t="s">
        <v>30</v>
      </c>
      <c r="F172" t="s">
        <v>129</v>
      </c>
    </row>
    <row r="173" spans="3:20">
      <c r="F173" s="2"/>
    </row>
    <row r="174" spans="3:20" ht="13">
      <c r="C174" s="1" t="s">
        <v>130</v>
      </c>
      <c r="E174" s="2"/>
      <c r="G174" s="1" t="s">
        <v>131</v>
      </c>
    </row>
    <row r="175" spans="3:20">
      <c r="E175" s="2" t="s">
        <v>132</v>
      </c>
      <c r="F175" s="2"/>
      <c r="I175" s="2"/>
      <c r="J175" s="2"/>
      <c r="K175" s="2"/>
      <c r="L175" s="2"/>
      <c r="M175" s="2"/>
      <c r="N175" s="2"/>
      <c r="O175" s="2"/>
      <c r="P175" s="2"/>
      <c r="Q175" s="2"/>
      <c r="R175" s="2"/>
      <c r="S175" s="2"/>
      <c r="T175" s="2"/>
    </row>
    <row r="176" spans="3:20">
      <c r="F176" s="2"/>
      <c r="H176" s="2"/>
      <c r="I176" s="2"/>
      <c r="J176" s="2"/>
      <c r="K176" s="2"/>
      <c r="L176" s="2"/>
      <c r="M176" s="2"/>
      <c r="N176" s="2"/>
      <c r="O176" s="2"/>
      <c r="P176" s="2"/>
      <c r="Q176" s="2"/>
      <c r="R176" s="2"/>
      <c r="S176" s="2"/>
      <c r="T176" s="2"/>
    </row>
    <row r="177" spans="2:19" ht="13">
      <c r="C177" s="1" t="s">
        <v>133</v>
      </c>
      <c r="D177" s="1"/>
      <c r="F177" s="2"/>
      <c r="G177" s="1" t="s">
        <v>92</v>
      </c>
    </row>
    <row r="178" spans="2:19" ht="13">
      <c r="D178" s="1" t="s">
        <v>3</v>
      </c>
      <c r="E178" s="1" t="s">
        <v>134</v>
      </c>
      <c r="G178" s="2"/>
      <c r="H178" s="2"/>
      <c r="I178" s="2"/>
      <c r="J178" s="2"/>
      <c r="K178" s="2"/>
      <c r="L178" s="2"/>
      <c r="M178" s="2"/>
      <c r="N178" s="2"/>
    </row>
    <row r="179" spans="2:19">
      <c r="E179" t="s">
        <v>17</v>
      </c>
      <c r="F179" s="2" t="s">
        <v>135</v>
      </c>
    </row>
    <row r="180" spans="2:19" ht="13">
      <c r="F180" s="70" t="s">
        <v>136</v>
      </c>
      <c r="I180" s="70"/>
    </row>
    <row r="181" spans="2:19" ht="13">
      <c r="I181" s="70"/>
    </row>
    <row r="182" spans="2:19">
      <c r="B182" s="2"/>
      <c r="C182" s="2"/>
      <c r="E182" t="s">
        <v>30</v>
      </c>
      <c r="F182" s="2" t="s">
        <v>137</v>
      </c>
      <c r="H182" s="2"/>
    </row>
    <row r="183" spans="2:19">
      <c r="B183" s="2"/>
      <c r="C183" s="2"/>
      <c r="F183" t="s">
        <v>19</v>
      </c>
      <c r="G183" t="s">
        <v>138</v>
      </c>
      <c r="H183" s="2"/>
      <c r="O183" s="2"/>
      <c r="P183" s="2"/>
      <c r="Q183" s="2"/>
      <c r="R183" s="2"/>
      <c r="S183" s="2"/>
    </row>
    <row r="184" spans="2:19">
      <c r="B184" s="2"/>
      <c r="C184" s="2"/>
      <c r="H184" s="2"/>
      <c r="O184" s="2"/>
      <c r="P184" s="2"/>
      <c r="Q184" s="2"/>
      <c r="R184" s="2"/>
      <c r="S184" s="2"/>
    </row>
    <row r="185" spans="2:19" ht="13">
      <c r="D185" s="1" t="s">
        <v>15</v>
      </c>
      <c r="E185" s="1" t="s">
        <v>139</v>
      </c>
    </row>
    <row r="186" spans="2:19">
      <c r="B186" s="2"/>
      <c r="C186" s="2"/>
      <c r="E186" s="2" t="s">
        <v>140</v>
      </c>
      <c r="F186" s="2"/>
      <c r="I186" s="2"/>
    </row>
    <row r="187" spans="2:19" ht="13">
      <c r="B187" s="2"/>
      <c r="C187" s="2"/>
      <c r="E187" s="2" t="s">
        <v>141</v>
      </c>
      <c r="F187" s="70"/>
      <c r="G187" s="2"/>
      <c r="I187" s="70"/>
    </row>
    <row r="188" spans="2:19" ht="13">
      <c r="B188" s="2"/>
      <c r="C188" s="2"/>
      <c r="F188" s="70"/>
      <c r="G188" s="2"/>
      <c r="I188" s="70"/>
    </row>
    <row r="189" spans="2:19" ht="13">
      <c r="B189" s="2"/>
      <c r="C189" s="2"/>
      <c r="D189" s="1" t="s">
        <v>93</v>
      </c>
      <c r="E189" s="1" t="s">
        <v>142</v>
      </c>
      <c r="F189" s="70"/>
      <c r="G189" s="2"/>
      <c r="I189" s="70"/>
    </row>
    <row r="190" spans="2:19" ht="13">
      <c r="B190" s="2"/>
      <c r="C190" s="2"/>
      <c r="D190" s="1"/>
      <c r="E190" s="2" t="s">
        <v>143</v>
      </c>
      <c r="F190" s="2"/>
      <c r="G190" s="2"/>
      <c r="I190" s="70"/>
    </row>
    <row r="191" spans="2:19" ht="13">
      <c r="B191" s="2"/>
      <c r="C191" s="2"/>
      <c r="F191" s="70"/>
      <c r="G191" s="2"/>
      <c r="I191" s="70"/>
    </row>
    <row r="192" spans="2:19" ht="13">
      <c r="D192" s="1" t="s">
        <v>98</v>
      </c>
      <c r="E192" s="1" t="s">
        <v>144</v>
      </c>
    </row>
    <row r="193" spans="2:37" ht="13">
      <c r="B193" s="2"/>
      <c r="C193" s="1"/>
      <c r="E193" t="s">
        <v>17</v>
      </c>
      <c r="F193" s="2" t="s">
        <v>145</v>
      </c>
      <c r="G193" s="2"/>
      <c r="H193" s="2"/>
      <c r="I193" s="2"/>
    </row>
    <row r="194" spans="2:37" ht="13">
      <c r="B194" s="2"/>
      <c r="C194" s="1"/>
      <c r="F194" s="2" t="s">
        <v>19</v>
      </c>
      <c r="G194" s="2" t="s">
        <v>146</v>
      </c>
    </row>
    <row r="195" spans="2:37">
      <c r="B195" s="2"/>
      <c r="C195" s="2"/>
      <c r="F195" s="2" t="s">
        <v>23</v>
      </c>
      <c r="G195" s="2" t="s">
        <v>147</v>
      </c>
      <c r="I195" s="2"/>
      <c r="J195" s="2"/>
      <c r="M195" s="2"/>
      <c r="N195" s="2"/>
      <c r="O195" s="2"/>
      <c r="P195" s="2"/>
      <c r="Q195" s="2"/>
      <c r="R195" s="2"/>
      <c r="S195" s="2"/>
    </row>
    <row r="196" spans="2:37">
      <c r="B196" s="2"/>
      <c r="C196" s="2"/>
      <c r="F196" s="2" t="s">
        <v>28</v>
      </c>
      <c r="G196" s="2" t="s">
        <v>148</v>
      </c>
      <c r="I196" s="2"/>
      <c r="J196" s="2"/>
      <c r="M196" s="2"/>
      <c r="N196" s="2"/>
      <c r="O196" s="2"/>
      <c r="P196" s="2"/>
      <c r="Q196" s="2"/>
      <c r="R196" s="2"/>
      <c r="S196" s="2"/>
    </row>
    <row r="197" spans="2:37">
      <c r="B197" s="2"/>
      <c r="C197" s="2"/>
      <c r="F197" s="2"/>
      <c r="G197" s="2"/>
      <c r="I197" s="2"/>
      <c r="J197" s="2"/>
      <c r="M197" s="2"/>
      <c r="N197" s="2"/>
      <c r="O197" s="2"/>
      <c r="P197" s="2"/>
      <c r="Q197" s="2"/>
      <c r="R197" s="2"/>
      <c r="S197" s="2"/>
    </row>
    <row r="198" spans="2:37" ht="13">
      <c r="B198" s="2"/>
      <c r="C198" s="2"/>
      <c r="D198" s="1" t="s">
        <v>101</v>
      </c>
      <c r="E198" s="1" t="s">
        <v>149</v>
      </c>
      <c r="G198" s="2"/>
      <c r="H198" s="2"/>
      <c r="I198" s="2"/>
      <c r="J198" s="2"/>
      <c r="M198" s="2"/>
      <c r="N198" s="2"/>
      <c r="O198" s="2"/>
      <c r="P198" s="2"/>
      <c r="Q198" s="2"/>
      <c r="R198" s="2"/>
      <c r="S198" s="2"/>
    </row>
    <row r="199" spans="2:37">
      <c r="B199" s="2"/>
      <c r="C199" s="2"/>
      <c r="D199" s="2"/>
      <c r="E199" s="2" t="s">
        <v>150</v>
      </c>
      <c r="F199" s="2"/>
      <c r="G199" s="2"/>
      <c r="H199" s="2"/>
      <c r="I199" s="2"/>
      <c r="J199" s="2"/>
      <c r="M199" s="2"/>
      <c r="N199" s="2"/>
      <c r="O199" s="2"/>
      <c r="P199" s="2"/>
      <c r="Q199" s="2"/>
      <c r="R199" s="2"/>
      <c r="S199" s="2"/>
    </row>
    <row r="200" spans="2:37">
      <c r="B200" s="2"/>
      <c r="C200" s="2"/>
      <c r="D200" s="2"/>
      <c r="F200" s="2"/>
      <c r="G200" s="2"/>
      <c r="H200" s="2"/>
      <c r="I200" s="2"/>
      <c r="J200" s="2"/>
      <c r="M200" s="2"/>
      <c r="N200" s="2"/>
      <c r="O200" s="2"/>
      <c r="P200" s="2"/>
      <c r="Q200" s="2"/>
      <c r="R200" s="2"/>
      <c r="S200" s="2"/>
    </row>
    <row r="201" spans="2:37" ht="13">
      <c r="B201" s="2"/>
      <c r="C201" s="2"/>
      <c r="D201" s="1" t="s">
        <v>105</v>
      </c>
      <c r="E201" s="1" t="s">
        <v>151</v>
      </c>
      <c r="G201" s="2"/>
      <c r="H201" s="2"/>
      <c r="I201" s="2"/>
      <c r="J201" s="2"/>
      <c r="M201" s="2"/>
      <c r="N201" s="2"/>
      <c r="O201" s="2"/>
      <c r="P201" s="2"/>
      <c r="Q201" s="2"/>
      <c r="R201" s="2"/>
      <c r="S201" s="2"/>
    </row>
    <row r="202" spans="2:37" ht="13">
      <c r="B202" s="2"/>
      <c r="C202" s="2"/>
      <c r="D202" s="1"/>
      <c r="E202" s="2" t="s">
        <v>17</v>
      </c>
      <c r="F202" s="2" t="s">
        <v>152</v>
      </c>
      <c r="M202" s="2"/>
      <c r="N202" s="2"/>
      <c r="O202" s="2"/>
      <c r="P202" s="2"/>
      <c r="Q202" s="2"/>
      <c r="R202" s="2"/>
      <c r="S202" s="2"/>
    </row>
    <row r="203" spans="2:37" ht="13">
      <c r="B203" s="2"/>
      <c r="C203" s="2"/>
      <c r="D203" s="1"/>
      <c r="E203" s="2" t="s">
        <v>30</v>
      </c>
      <c r="F203" s="2" t="s">
        <v>153</v>
      </c>
      <c r="I203" s="2"/>
      <c r="J203" s="2"/>
      <c r="M203" s="2"/>
      <c r="N203" s="2"/>
      <c r="O203" s="2"/>
      <c r="P203" s="2"/>
      <c r="Q203" s="2"/>
      <c r="R203" s="2"/>
      <c r="S203" s="2"/>
      <c r="T203" s="2"/>
      <c r="U203" s="2"/>
      <c r="V203" s="2"/>
      <c r="W203" s="2"/>
      <c r="X203" s="2"/>
      <c r="Y203" s="2"/>
      <c r="Z203" s="2"/>
      <c r="AA203" s="2"/>
      <c r="AB203" s="2"/>
      <c r="AC203" s="2"/>
      <c r="AD203" s="2"/>
      <c r="AE203" s="2"/>
      <c r="AF203" s="2"/>
      <c r="AG203" s="2"/>
    </row>
    <row r="204" spans="2:37" ht="13">
      <c r="B204" s="2"/>
      <c r="C204" s="2"/>
      <c r="D204" s="1"/>
      <c r="E204" s="2" t="s">
        <v>38</v>
      </c>
      <c r="F204" s="2" t="s">
        <v>154</v>
      </c>
      <c r="I204" s="2"/>
      <c r="J204" s="2"/>
      <c r="M204" s="2"/>
      <c r="N204" s="2"/>
      <c r="O204" s="2"/>
      <c r="P204" s="2"/>
      <c r="Q204" s="2"/>
      <c r="R204" s="2"/>
      <c r="S204" s="2"/>
      <c r="T204" s="2"/>
      <c r="U204" s="2"/>
      <c r="V204" s="2"/>
      <c r="W204" s="2"/>
      <c r="X204" s="2"/>
      <c r="Y204" s="2"/>
      <c r="Z204" s="2"/>
      <c r="AA204" s="2"/>
      <c r="AB204" s="2"/>
      <c r="AC204" s="2"/>
      <c r="AD204" s="2"/>
      <c r="AE204" s="2"/>
      <c r="AF204" s="2"/>
      <c r="AG204" s="2"/>
    </row>
    <row r="205" spans="2:37">
      <c r="B205" s="2"/>
      <c r="C205" s="2"/>
      <c r="F205" s="2" t="s">
        <v>19</v>
      </c>
      <c r="G205" s="2" t="s">
        <v>155</v>
      </c>
      <c r="I205" s="2"/>
      <c r="J205" s="2"/>
      <c r="M205" s="2"/>
      <c r="N205" s="2"/>
      <c r="O205" s="2"/>
      <c r="P205" s="2"/>
      <c r="Q205" s="2"/>
      <c r="R205" s="2"/>
      <c r="S205" s="2"/>
      <c r="T205" s="2"/>
      <c r="U205" s="2"/>
      <c r="V205" s="2"/>
      <c r="W205" s="2"/>
      <c r="X205" s="2"/>
      <c r="Y205" s="2"/>
    </row>
    <row r="206" spans="2:37" ht="13">
      <c r="B206" s="2"/>
      <c r="C206" s="2"/>
      <c r="D206" s="1"/>
      <c r="E206" s="2" t="s">
        <v>81</v>
      </c>
      <c r="F206" s="2" t="s">
        <v>156</v>
      </c>
      <c r="M206" s="2"/>
      <c r="N206" s="2"/>
      <c r="O206" s="2"/>
      <c r="P206" s="2"/>
      <c r="Q206" s="2"/>
      <c r="R206" s="2"/>
      <c r="S206" s="2"/>
    </row>
    <row r="207" spans="2:37" ht="13">
      <c r="B207" s="2"/>
      <c r="C207" s="2"/>
      <c r="D207" s="1"/>
      <c r="F207" t="s">
        <v>19</v>
      </c>
      <c r="G207" s="1222" t="s">
        <v>157</v>
      </c>
      <c r="H207" s="1222"/>
      <c r="I207" s="1222"/>
      <c r="J207" s="1222"/>
      <c r="K207" s="1222"/>
      <c r="L207" s="1222"/>
      <c r="M207" s="1222"/>
      <c r="N207" s="1222"/>
      <c r="O207" s="1222"/>
      <c r="P207" s="1222"/>
      <c r="Q207" s="1222"/>
      <c r="R207" s="1222"/>
      <c r="S207" s="1222"/>
      <c r="T207" s="1222"/>
      <c r="U207" s="1222"/>
      <c r="V207" s="1222"/>
      <c r="W207" s="1222"/>
      <c r="X207" s="1222"/>
      <c r="Y207" s="1222"/>
      <c r="Z207" s="1222"/>
      <c r="AA207" s="1222"/>
      <c r="AB207" s="1222"/>
      <c r="AC207" s="1222"/>
      <c r="AD207" s="1222"/>
      <c r="AE207" s="1222"/>
      <c r="AF207" s="1222"/>
      <c r="AG207" s="1222"/>
      <c r="AH207" s="1222"/>
      <c r="AI207" s="1222"/>
      <c r="AJ207" s="1222"/>
      <c r="AK207" s="1222"/>
    </row>
    <row r="208" spans="2:37" ht="13">
      <c r="B208" s="2"/>
      <c r="C208" s="2"/>
      <c r="D208" s="1"/>
      <c r="G208" s="1222"/>
      <c r="H208" s="1222"/>
      <c r="I208" s="1222"/>
      <c r="J208" s="1222"/>
      <c r="K208" s="1222"/>
      <c r="L208" s="1222"/>
      <c r="M208" s="1222"/>
      <c r="N208" s="1222"/>
      <c r="O208" s="1222"/>
      <c r="P208" s="1222"/>
      <c r="Q208" s="1222"/>
      <c r="R208" s="1222"/>
      <c r="S208" s="1222"/>
      <c r="T208" s="1222"/>
      <c r="U208" s="1222"/>
      <c r="V208" s="1222"/>
      <c r="W208" s="1222"/>
      <c r="X208" s="1222"/>
      <c r="Y208" s="1222"/>
      <c r="Z208" s="1222"/>
      <c r="AA208" s="1222"/>
      <c r="AB208" s="1222"/>
      <c r="AC208" s="1222"/>
      <c r="AD208" s="1222"/>
      <c r="AE208" s="1222"/>
      <c r="AF208" s="1222"/>
      <c r="AG208" s="1222"/>
      <c r="AH208" s="1222"/>
      <c r="AI208" s="1222"/>
      <c r="AJ208" s="1222"/>
      <c r="AK208" s="1222"/>
    </row>
    <row r="209" spans="1:38" ht="13">
      <c r="B209" s="2"/>
      <c r="C209" s="2"/>
      <c r="D209" s="1"/>
      <c r="M209" s="2"/>
      <c r="N209" s="2"/>
      <c r="O209" s="2"/>
      <c r="P209" s="2"/>
      <c r="Q209" s="2"/>
      <c r="R209" s="2"/>
      <c r="S209" s="2"/>
    </row>
    <row r="210" spans="1:38" ht="13">
      <c r="B210" s="2"/>
      <c r="C210" s="2"/>
      <c r="D210" s="1" t="s">
        <v>126</v>
      </c>
      <c r="E210" s="1" t="s">
        <v>158</v>
      </c>
      <c r="G210" s="2"/>
      <c r="H210" s="2"/>
      <c r="I210" s="2"/>
      <c r="J210" s="2"/>
      <c r="M210" s="2"/>
      <c r="N210" s="2"/>
      <c r="O210" s="2"/>
      <c r="P210" s="2"/>
      <c r="Q210" s="2"/>
      <c r="R210" s="2"/>
      <c r="S210" s="2"/>
      <c r="T210" s="2"/>
      <c r="U210" s="2"/>
      <c r="V210" s="2"/>
      <c r="W210" s="2"/>
    </row>
    <row r="211" spans="1:38">
      <c r="B211" s="2"/>
      <c r="C211" s="2"/>
      <c r="E211" s="2" t="s">
        <v>159</v>
      </c>
      <c r="F211" s="2"/>
      <c r="I211" s="2"/>
      <c r="J211" s="2"/>
      <c r="M211" s="2"/>
      <c r="N211" s="2"/>
      <c r="O211" s="2"/>
      <c r="P211" s="2"/>
      <c r="Q211" s="2"/>
      <c r="R211" s="2"/>
      <c r="S211" s="2"/>
      <c r="T211" s="2"/>
      <c r="U211" s="2"/>
      <c r="V211" s="2"/>
      <c r="W211" s="2"/>
    </row>
    <row r="212" spans="1:38">
      <c r="B212" s="2"/>
      <c r="C212" s="2"/>
      <c r="F212" s="2"/>
      <c r="G212" s="2"/>
      <c r="I212" s="2"/>
      <c r="J212" s="2"/>
      <c r="M212" s="2"/>
      <c r="N212" s="2"/>
      <c r="O212" s="2"/>
      <c r="P212" s="2"/>
      <c r="Q212" s="2"/>
      <c r="R212" s="2"/>
      <c r="S212" s="2"/>
      <c r="T212" s="2"/>
      <c r="U212" s="2"/>
      <c r="V212" s="2"/>
      <c r="W212" s="2"/>
    </row>
    <row r="213" spans="1:38" ht="13">
      <c r="B213" s="2"/>
      <c r="C213" s="2"/>
      <c r="D213" s="1" t="s">
        <v>160</v>
      </c>
      <c r="E213" s="1" t="s">
        <v>161</v>
      </c>
      <c r="F213" s="2"/>
      <c r="G213" s="2"/>
      <c r="I213" s="2"/>
      <c r="J213" s="2"/>
      <c r="M213" s="2"/>
      <c r="N213" s="2"/>
      <c r="O213" s="2"/>
      <c r="P213" s="2"/>
      <c r="Q213" s="2"/>
      <c r="R213" s="2"/>
      <c r="S213" s="2"/>
      <c r="T213" s="2"/>
      <c r="U213" s="2"/>
      <c r="V213" s="2"/>
      <c r="W213" s="2"/>
    </row>
    <row r="214" spans="1:38" ht="13">
      <c r="B214" s="2"/>
      <c r="C214" s="2"/>
      <c r="D214" s="1"/>
      <c r="E214" s="2" t="s">
        <v>143</v>
      </c>
      <c r="F214" s="2"/>
      <c r="G214" s="2"/>
      <c r="I214" s="2"/>
      <c r="J214" s="2"/>
      <c r="M214" s="2"/>
      <c r="N214" s="2"/>
      <c r="O214" s="2"/>
      <c r="P214" s="2"/>
      <c r="Q214" s="2"/>
      <c r="R214" s="2"/>
      <c r="S214" s="2"/>
      <c r="T214" s="2"/>
      <c r="U214" s="2"/>
      <c r="V214" s="2"/>
      <c r="W214" s="2"/>
    </row>
    <row r="215" spans="1:38" ht="13">
      <c r="B215" s="2"/>
      <c r="C215" s="2"/>
      <c r="D215" s="1"/>
      <c r="M215" s="2"/>
      <c r="N215" s="2"/>
      <c r="O215" s="2"/>
      <c r="P215" s="2"/>
      <c r="Q215" s="2"/>
      <c r="R215" s="2"/>
      <c r="S215" s="2"/>
    </row>
    <row r="216" spans="1:38" ht="13">
      <c r="C216" s="1" t="s">
        <v>162</v>
      </c>
      <c r="D216" s="1"/>
      <c r="G216" s="1" t="s">
        <v>163</v>
      </c>
      <c r="M216" s="2"/>
      <c r="N216" s="2"/>
      <c r="O216" s="2"/>
      <c r="P216" s="2"/>
      <c r="Q216" s="2"/>
      <c r="R216" s="2"/>
      <c r="S216" s="2"/>
    </row>
    <row r="217" spans="1:38">
      <c r="B217" s="2"/>
      <c r="C217" s="2"/>
      <c r="E217" t="s">
        <v>17</v>
      </c>
      <c r="F217" s="2" t="s">
        <v>164</v>
      </c>
      <c r="G217" s="2"/>
      <c r="H217" s="2"/>
      <c r="I217" s="2"/>
      <c r="L217" s="2"/>
      <c r="N217" s="2"/>
      <c r="O217" s="2"/>
      <c r="P217" s="2"/>
      <c r="Q217" s="2"/>
      <c r="R217" s="2"/>
      <c r="S217" s="2"/>
    </row>
    <row r="218" spans="1:38">
      <c r="B218" s="2"/>
      <c r="C218" s="2"/>
      <c r="F218" s="2" t="s">
        <v>19</v>
      </c>
      <c r="G218" s="2" t="s">
        <v>165</v>
      </c>
      <c r="I218" s="2"/>
      <c r="M218" s="2"/>
      <c r="N218" s="2"/>
      <c r="O218" s="2"/>
      <c r="P218" s="2"/>
      <c r="Q218" s="2"/>
      <c r="R218" s="2"/>
      <c r="S218" s="2"/>
    </row>
    <row r="219" spans="1:38">
      <c r="B219" s="2"/>
      <c r="C219" s="2"/>
      <c r="E219" t="s">
        <v>30</v>
      </c>
      <c r="F219" s="2" t="s">
        <v>166</v>
      </c>
      <c r="G219" s="2"/>
      <c r="H219" s="2"/>
      <c r="I219" s="2"/>
      <c r="M219" s="2"/>
      <c r="N219" s="2"/>
      <c r="O219" s="2"/>
      <c r="P219" s="2"/>
      <c r="Q219" s="2"/>
      <c r="R219" s="2"/>
      <c r="S219" s="2"/>
    </row>
    <row r="220" spans="1:38">
      <c r="B220" s="2"/>
      <c r="C220" s="2"/>
      <c r="F220" s="2" t="s">
        <v>19</v>
      </c>
      <c r="G220" s="2" t="s">
        <v>167</v>
      </c>
      <c r="I220" s="2"/>
      <c r="M220" s="2"/>
      <c r="N220" s="2"/>
      <c r="O220" s="2"/>
      <c r="P220" s="2"/>
      <c r="Q220" s="2"/>
      <c r="R220" s="2"/>
      <c r="S220" s="2"/>
    </row>
    <row r="221" spans="1:38">
      <c r="B221" s="2"/>
      <c r="C221" s="2"/>
      <c r="F221" s="2"/>
      <c r="G221" s="2" t="s">
        <v>168</v>
      </c>
      <c r="I221" s="2"/>
      <c r="M221" s="2"/>
      <c r="N221" s="2"/>
      <c r="O221" s="2"/>
      <c r="P221" s="2"/>
      <c r="Q221" s="2"/>
      <c r="R221" s="2"/>
      <c r="S221" s="2"/>
    </row>
    <row r="222" spans="1:38">
      <c r="B222" s="2"/>
      <c r="C222" s="2"/>
      <c r="F222" s="2"/>
      <c r="K222" s="2"/>
      <c r="M222" s="2"/>
      <c r="N222" s="2"/>
      <c r="O222" s="2"/>
      <c r="P222" s="2"/>
      <c r="Q222" s="2"/>
      <c r="R222" s="2"/>
      <c r="S222" s="2"/>
    </row>
    <row r="223" spans="1:38" ht="13">
      <c r="A223" s="4"/>
      <c r="B223" s="10" t="s">
        <v>169</v>
      </c>
      <c r="C223" s="10" t="s">
        <v>170</v>
      </c>
      <c r="D223" s="4"/>
      <c r="E223" s="1036"/>
      <c r="F223" s="1036"/>
      <c r="G223" s="1036"/>
      <c r="H223" s="1036"/>
      <c r="I223" s="1036"/>
      <c r="J223" s="1036"/>
      <c r="K223" s="4"/>
      <c r="L223" s="1036"/>
      <c r="M223" s="1036"/>
      <c r="N223" s="1036"/>
      <c r="O223" s="1036"/>
      <c r="P223" s="1036"/>
      <c r="Q223" s="1036"/>
      <c r="R223" s="1036"/>
      <c r="S223" s="1036"/>
      <c r="T223" s="4"/>
      <c r="U223" s="4"/>
      <c r="V223" s="4"/>
      <c r="W223" s="4"/>
      <c r="X223" s="4"/>
      <c r="Y223" s="4"/>
      <c r="Z223" s="4"/>
      <c r="AA223" s="4"/>
      <c r="AB223" s="4"/>
      <c r="AC223" s="4"/>
      <c r="AD223" s="4"/>
      <c r="AE223" s="4"/>
      <c r="AF223" s="4"/>
      <c r="AG223" s="4"/>
      <c r="AH223" s="4"/>
      <c r="AI223" s="4"/>
      <c r="AJ223" s="4"/>
      <c r="AK223" s="4"/>
      <c r="AL223" s="4"/>
    </row>
    <row r="224" spans="1:38" ht="13">
      <c r="B224" s="1"/>
      <c r="D224" s="1"/>
      <c r="E224" s="2"/>
      <c r="F224" s="2"/>
      <c r="G224" s="2"/>
      <c r="H224" s="2"/>
      <c r="I224" s="2"/>
      <c r="J224" s="2"/>
      <c r="L224" s="2"/>
      <c r="M224" s="2"/>
      <c r="N224" s="2"/>
      <c r="O224" s="2"/>
      <c r="P224" s="2"/>
      <c r="Q224" s="2"/>
      <c r="R224" s="2"/>
      <c r="S224" s="2"/>
    </row>
    <row r="225" spans="2:19" ht="13">
      <c r="B225" s="2"/>
      <c r="C225" s="1" t="s">
        <v>70</v>
      </c>
      <c r="D225" s="2"/>
      <c r="E225" s="2"/>
      <c r="F225" s="2"/>
      <c r="G225" s="1" t="s">
        <v>171</v>
      </c>
      <c r="I225" s="2"/>
      <c r="J225" s="2"/>
      <c r="K225" s="2"/>
      <c r="M225" s="2"/>
      <c r="N225" s="2"/>
      <c r="O225" s="2"/>
      <c r="P225" s="2"/>
      <c r="Q225" s="2"/>
      <c r="R225" s="2"/>
      <c r="S225" s="2"/>
    </row>
    <row r="226" spans="2:19" ht="13">
      <c r="B226" s="1"/>
      <c r="E226" s="2" t="s">
        <v>17</v>
      </c>
      <c r="F226" s="2" t="s">
        <v>172</v>
      </c>
      <c r="G226" s="2"/>
      <c r="I226" s="2"/>
      <c r="J226" s="2"/>
      <c r="K226" s="2"/>
      <c r="L226" s="2"/>
      <c r="M226" s="2"/>
      <c r="N226" s="2"/>
      <c r="O226" s="2"/>
      <c r="P226" s="2"/>
      <c r="Q226" s="2"/>
      <c r="R226" s="2"/>
      <c r="S226" s="2"/>
    </row>
    <row r="227" spans="2:19" ht="13">
      <c r="B227" s="1"/>
      <c r="E227" s="2" t="s">
        <v>30</v>
      </c>
      <c r="F227" s="2" t="s">
        <v>173</v>
      </c>
      <c r="G227" s="2"/>
      <c r="I227" s="2"/>
      <c r="J227" s="2"/>
      <c r="K227" s="2"/>
      <c r="L227" s="2"/>
      <c r="M227" s="2"/>
      <c r="N227" s="2"/>
      <c r="O227" s="2"/>
      <c r="P227" s="2"/>
      <c r="Q227" s="2"/>
      <c r="R227" s="2"/>
      <c r="S227" s="2"/>
    </row>
    <row r="228" spans="2:19" ht="13">
      <c r="B228" s="1"/>
      <c r="E228" s="2"/>
      <c r="F228" s="2"/>
      <c r="G228" s="2"/>
      <c r="H228" s="2"/>
      <c r="I228" s="2"/>
      <c r="J228" s="2"/>
      <c r="K228" s="2"/>
      <c r="L228" s="2"/>
      <c r="M228" s="2"/>
      <c r="N228" s="2"/>
      <c r="O228" s="2"/>
      <c r="P228" s="2"/>
      <c r="Q228" s="2"/>
      <c r="R228" s="2"/>
      <c r="S228" s="2"/>
    </row>
    <row r="229" spans="2:19" ht="13">
      <c r="B229" s="1"/>
      <c r="C229" s="1" t="s">
        <v>88</v>
      </c>
      <c r="D229" s="2"/>
      <c r="E229" s="2"/>
      <c r="F229" s="2"/>
      <c r="G229" s="1" t="s">
        <v>174</v>
      </c>
      <c r="I229" s="2"/>
      <c r="J229" s="2"/>
      <c r="K229" s="2"/>
      <c r="L229" s="2"/>
      <c r="M229" s="2"/>
      <c r="N229" s="2"/>
      <c r="O229" s="2"/>
      <c r="P229" s="2"/>
      <c r="Q229" s="2"/>
      <c r="R229" s="2"/>
      <c r="S229" s="2"/>
    </row>
    <row r="230" spans="2:19" ht="13">
      <c r="B230" s="1"/>
      <c r="E230" s="2" t="s">
        <v>17</v>
      </c>
      <c r="F230" s="2" t="s">
        <v>175</v>
      </c>
      <c r="G230" s="2"/>
      <c r="I230" s="2"/>
      <c r="J230" s="2"/>
      <c r="K230" s="2"/>
      <c r="L230" s="2"/>
      <c r="M230" s="2"/>
      <c r="N230" s="2"/>
      <c r="O230" s="2"/>
      <c r="P230" s="2"/>
      <c r="Q230" s="2"/>
      <c r="R230" s="2"/>
      <c r="S230" s="2"/>
    </row>
    <row r="231" spans="2:19" ht="13">
      <c r="B231" s="1"/>
      <c r="E231" s="2"/>
      <c r="F231" s="2" t="s">
        <v>176</v>
      </c>
      <c r="G231" s="2"/>
      <c r="H231" s="2"/>
      <c r="I231" s="2"/>
      <c r="J231" s="2"/>
      <c r="K231" s="2"/>
      <c r="L231" s="2"/>
      <c r="M231" s="2"/>
      <c r="N231" s="2"/>
      <c r="O231" s="2"/>
      <c r="P231" s="2"/>
      <c r="Q231" s="2"/>
      <c r="R231" s="2"/>
      <c r="S231" s="2"/>
    </row>
    <row r="232" spans="2:19" ht="13">
      <c r="B232" s="1"/>
      <c r="D232" s="2"/>
      <c r="E232" s="2" t="s">
        <v>30</v>
      </c>
      <c r="F232" s="2" t="s">
        <v>173</v>
      </c>
      <c r="G232" s="2"/>
      <c r="I232" s="2"/>
      <c r="J232" s="2"/>
      <c r="K232" s="2"/>
      <c r="L232" s="2"/>
      <c r="M232" s="2"/>
      <c r="N232" s="2"/>
      <c r="O232" s="2"/>
      <c r="P232" s="2"/>
      <c r="Q232" s="2"/>
      <c r="R232" s="2"/>
      <c r="S232" s="2"/>
    </row>
    <row r="233" spans="2:19" ht="13">
      <c r="B233" s="1"/>
      <c r="E233" s="2" t="s">
        <v>38</v>
      </c>
      <c r="F233" s="57" t="s">
        <v>177</v>
      </c>
      <c r="G233" s="2"/>
      <c r="I233" s="2"/>
      <c r="J233" s="2"/>
      <c r="K233" s="2"/>
      <c r="L233" s="2"/>
      <c r="M233" s="2"/>
      <c r="N233" s="2"/>
      <c r="O233" s="2"/>
      <c r="P233" s="2"/>
      <c r="Q233" s="2"/>
      <c r="R233" s="2"/>
      <c r="S233" s="2"/>
    </row>
    <row r="234" spans="2:19" ht="13">
      <c r="B234" s="1"/>
      <c r="D234" s="2"/>
      <c r="E234" s="2"/>
      <c r="F234" s="2"/>
      <c r="G234" s="2"/>
      <c r="H234" s="2"/>
      <c r="I234" s="2"/>
      <c r="J234" s="2"/>
      <c r="K234" s="2"/>
      <c r="L234" s="2"/>
      <c r="M234" s="2"/>
      <c r="N234" s="2"/>
      <c r="O234" s="2"/>
      <c r="P234" s="2"/>
      <c r="Q234" s="2"/>
      <c r="R234" s="2"/>
      <c r="S234" s="2"/>
    </row>
    <row r="235" spans="2:19" ht="13">
      <c r="B235" s="2"/>
      <c r="C235" s="1"/>
      <c r="E235" s="1" t="s">
        <v>178</v>
      </c>
      <c r="F235" s="2"/>
      <c r="J235" s="2"/>
      <c r="K235" s="2"/>
      <c r="M235" s="2"/>
      <c r="N235" s="2"/>
      <c r="O235" s="2"/>
      <c r="P235" s="2"/>
      <c r="Q235" s="2"/>
      <c r="R235" s="2"/>
      <c r="S235" s="2"/>
    </row>
    <row r="236" spans="2:19" ht="13">
      <c r="B236" s="2"/>
      <c r="C236" s="2"/>
      <c r="E236" t="s">
        <v>17</v>
      </c>
      <c r="F236" s="2" t="s">
        <v>178</v>
      </c>
      <c r="G236" s="1"/>
      <c r="H236" s="1"/>
      <c r="I236" s="1"/>
      <c r="L236" s="1"/>
      <c r="M236" s="1"/>
      <c r="N236" s="1"/>
      <c r="O236" s="1"/>
      <c r="P236" s="1"/>
      <c r="Q236" s="1"/>
      <c r="R236" s="2"/>
      <c r="S236" s="2"/>
    </row>
    <row r="237" spans="2:19">
      <c r="B237" s="2"/>
      <c r="C237" s="2"/>
      <c r="F237" s="2" t="s">
        <v>19</v>
      </c>
      <c r="G237" s="2" t="s">
        <v>179</v>
      </c>
      <c r="I237" s="2"/>
      <c r="M237" s="2"/>
      <c r="N237" s="2"/>
      <c r="O237" s="2"/>
      <c r="P237" s="2"/>
      <c r="Q237" s="2"/>
      <c r="R237" s="2"/>
      <c r="S237" s="2"/>
    </row>
    <row r="238" spans="2:19">
      <c r="B238" s="2"/>
      <c r="C238" s="2"/>
      <c r="F238" s="2"/>
      <c r="G238" s="2" t="s">
        <v>180</v>
      </c>
      <c r="I238" s="2"/>
      <c r="M238" s="2"/>
      <c r="N238" s="2"/>
      <c r="O238" s="2"/>
      <c r="P238" s="2"/>
      <c r="Q238" s="2"/>
      <c r="R238" s="2"/>
      <c r="S238" s="2"/>
    </row>
    <row r="239" spans="2:19" ht="13">
      <c r="B239" s="2"/>
      <c r="C239" s="2"/>
      <c r="E239" t="s">
        <v>30</v>
      </c>
      <c r="F239" s="843" t="s">
        <v>181</v>
      </c>
      <c r="G239" s="1"/>
      <c r="H239" s="1"/>
      <c r="I239" s="1"/>
      <c r="L239" s="1"/>
      <c r="M239" s="1"/>
      <c r="N239" s="1"/>
      <c r="O239" s="1"/>
      <c r="P239" s="1"/>
      <c r="Q239" s="1"/>
      <c r="R239" s="1"/>
      <c r="S239" s="1"/>
    </row>
    <row r="240" spans="2:19">
      <c r="B240" s="2"/>
      <c r="C240" s="2"/>
      <c r="F240" s="2" t="s">
        <v>19</v>
      </c>
      <c r="G240" s="2" t="s">
        <v>182</v>
      </c>
      <c r="I240" s="2"/>
      <c r="M240" s="2"/>
      <c r="N240" s="2"/>
      <c r="O240" s="2"/>
      <c r="P240" s="2"/>
      <c r="Q240" s="2"/>
      <c r="R240" s="2"/>
      <c r="S240" s="2"/>
    </row>
    <row r="241" spans="2:21">
      <c r="B241" s="2"/>
      <c r="C241" s="2"/>
      <c r="F241" s="2"/>
      <c r="G241" s="2" t="s">
        <v>21</v>
      </c>
      <c r="H241" s="2" t="s">
        <v>183</v>
      </c>
      <c r="I241" s="2"/>
      <c r="M241" s="2"/>
      <c r="N241" s="2"/>
      <c r="O241" s="2"/>
      <c r="P241" s="2"/>
      <c r="Q241" s="2"/>
      <c r="R241" s="2"/>
      <c r="S241" s="2"/>
    </row>
    <row r="242" spans="2:21">
      <c r="B242" s="2"/>
      <c r="C242" s="2"/>
      <c r="F242" s="2" t="s">
        <v>23</v>
      </c>
      <c r="G242" s="843" t="s">
        <v>184</v>
      </c>
      <c r="I242" s="2"/>
      <c r="M242" s="2"/>
      <c r="N242" s="2"/>
      <c r="O242" s="2"/>
      <c r="P242" s="2"/>
      <c r="Q242" s="2"/>
      <c r="R242" s="2"/>
      <c r="S242" s="2"/>
    </row>
    <row r="243" spans="2:21">
      <c r="B243" s="2"/>
      <c r="C243" s="2"/>
      <c r="E243" t="s">
        <v>38</v>
      </c>
      <c r="F243" s="2" t="s">
        <v>19</v>
      </c>
      <c r="G243" s="843" t="s">
        <v>185</v>
      </c>
      <c r="I243" s="2"/>
      <c r="M243" s="2"/>
      <c r="N243" s="2"/>
      <c r="O243" s="2"/>
      <c r="P243" s="2"/>
      <c r="Q243" s="2"/>
      <c r="R243" s="2"/>
      <c r="S243" s="2"/>
    </row>
    <row r="244" spans="2:21">
      <c r="B244" s="2"/>
      <c r="C244" s="2"/>
      <c r="F244" s="2" t="s">
        <v>23</v>
      </c>
      <c r="G244" s="843" t="s">
        <v>186</v>
      </c>
      <c r="I244" s="2"/>
      <c r="M244" s="2"/>
      <c r="N244" s="2"/>
      <c r="O244" s="2"/>
      <c r="P244" s="2"/>
      <c r="Q244" s="2"/>
      <c r="R244" s="2"/>
      <c r="S244" s="2"/>
    </row>
    <row r="245" spans="2:21">
      <c r="B245" s="2"/>
      <c r="C245" s="2"/>
      <c r="F245" s="2" t="s">
        <v>28</v>
      </c>
      <c r="G245" s="843" t="s">
        <v>187</v>
      </c>
      <c r="I245" s="2"/>
      <c r="M245" s="2"/>
      <c r="N245" s="2"/>
      <c r="O245" s="2"/>
      <c r="P245" s="2"/>
      <c r="Q245" s="2"/>
      <c r="R245" s="2"/>
      <c r="S245" s="2"/>
    </row>
    <row r="246" spans="2:21">
      <c r="B246" s="2"/>
      <c r="C246" s="2"/>
      <c r="F246" s="2"/>
      <c r="G246" s="843" t="s">
        <v>188</v>
      </c>
      <c r="I246" s="2"/>
      <c r="M246" s="2"/>
      <c r="N246" s="2"/>
      <c r="O246" s="2"/>
      <c r="P246" s="2"/>
      <c r="Q246" s="2"/>
      <c r="R246" s="2"/>
      <c r="S246" s="2"/>
    </row>
    <row r="247" spans="2:21" ht="13">
      <c r="B247" s="2"/>
      <c r="C247" s="2"/>
      <c r="D247" s="1"/>
      <c r="E247" s="2" t="s">
        <v>38</v>
      </c>
      <c r="F247" s="2" t="s">
        <v>189</v>
      </c>
      <c r="H247" s="2"/>
      <c r="I247" s="2"/>
      <c r="M247" s="2"/>
      <c r="N247" s="2"/>
      <c r="O247" s="2"/>
      <c r="P247" s="2"/>
      <c r="Q247" s="2"/>
      <c r="R247" s="2"/>
      <c r="S247" s="2"/>
    </row>
    <row r="248" spans="2:21" ht="13">
      <c r="B248" s="2"/>
      <c r="C248" s="2"/>
      <c r="D248" s="1"/>
      <c r="E248" s="1"/>
      <c r="F248" t="s">
        <v>19</v>
      </c>
      <c r="G248" s="2" t="s">
        <v>190</v>
      </c>
      <c r="I248" s="2"/>
      <c r="M248" s="2"/>
      <c r="N248" s="2"/>
      <c r="O248" s="2"/>
      <c r="P248" s="2"/>
      <c r="Q248" s="2"/>
      <c r="R248" s="2"/>
      <c r="S248" s="2"/>
    </row>
    <row r="249" spans="2:21" ht="13">
      <c r="B249" s="2"/>
      <c r="C249" s="2"/>
      <c r="D249" s="1"/>
      <c r="E249" s="1"/>
      <c r="F249" s="2"/>
      <c r="G249" s="2" t="s">
        <v>191</v>
      </c>
      <c r="I249" s="2"/>
      <c r="M249" s="2"/>
      <c r="N249" s="2"/>
      <c r="O249" s="2"/>
      <c r="P249" s="2"/>
      <c r="Q249" s="2"/>
      <c r="R249" s="2"/>
      <c r="S249" s="2"/>
    </row>
    <row r="250" spans="2:21" ht="13">
      <c r="B250" s="2"/>
      <c r="C250" s="2"/>
      <c r="D250" s="1"/>
      <c r="E250" s="1"/>
      <c r="F250" s="2"/>
      <c r="G250" s="2"/>
      <c r="I250" s="2"/>
      <c r="M250" s="2"/>
      <c r="N250" s="2"/>
      <c r="O250" s="2"/>
      <c r="P250" s="2"/>
      <c r="Q250" s="2"/>
      <c r="R250" s="2"/>
      <c r="S250" s="2"/>
    </row>
    <row r="251" spans="2:21" ht="13">
      <c r="B251" s="1"/>
      <c r="C251" s="1" t="s">
        <v>108</v>
      </c>
      <c r="E251" s="2"/>
      <c r="F251" s="2"/>
      <c r="G251" s="1" t="s">
        <v>192</v>
      </c>
      <c r="I251" s="2"/>
      <c r="J251" s="2"/>
      <c r="K251" s="2"/>
      <c r="L251" s="2"/>
      <c r="M251" s="2"/>
      <c r="N251" s="2"/>
      <c r="O251" s="2"/>
      <c r="P251" s="2"/>
      <c r="Q251" s="2"/>
      <c r="R251" s="2"/>
      <c r="S251" s="2"/>
    </row>
    <row r="252" spans="2:21" ht="13">
      <c r="B252" s="1"/>
      <c r="C252" s="1"/>
      <c r="E252" s="2" t="s">
        <v>17</v>
      </c>
      <c r="F252" s="2" t="s">
        <v>193</v>
      </c>
      <c r="G252" s="2"/>
      <c r="I252" s="2"/>
      <c r="J252" s="2"/>
      <c r="K252" s="2"/>
      <c r="L252" s="2"/>
      <c r="M252" s="2"/>
      <c r="N252" s="2"/>
      <c r="O252" s="2"/>
      <c r="P252" s="2"/>
      <c r="Q252" s="2"/>
      <c r="R252" s="2"/>
      <c r="S252" s="2"/>
      <c r="T252" s="2"/>
      <c r="U252" s="2"/>
    </row>
    <row r="253" spans="2:21" ht="13">
      <c r="B253" s="1"/>
      <c r="C253" s="1"/>
      <c r="E253" s="2"/>
      <c r="F253" s="70" t="s">
        <v>194</v>
      </c>
      <c r="G253" s="2"/>
      <c r="I253" s="70"/>
      <c r="J253" s="2"/>
      <c r="K253" s="2"/>
      <c r="L253" s="2"/>
      <c r="M253" s="2"/>
      <c r="N253" s="2"/>
      <c r="O253" s="2"/>
      <c r="P253" s="2"/>
      <c r="Q253" s="2"/>
      <c r="R253" s="2"/>
      <c r="S253" s="2"/>
      <c r="T253" s="2"/>
      <c r="U253" s="2"/>
    </row>
    <row r="254" spans="2:21" ht="13">
      <c r="B254" s="1"/>
      <c r="C254" s="1"/>
      <c r="E254" s="2" t="s">
        <v>30</v>
      </c>
      <c r="F254" s="2" t="s">
        <v>195</v>
      </c>
      <c r="I254" s="2"/>
      <c r="J254" s="2"/>
      <c r="K254" s="2"/>
      <c r="L254" s="2"/>
      <c r="M254" s="2"/>
      <c r="N254" s="2"/>
      <c r="O254" s="2"/>
      <c r="P254" s="2"/>
      <c r="Q254" s="2"/>
      <c r="R254" s="2"/>
      <c r="S254" s="2"/>
      <c r="T254" s="2"/>
      <c r="U254" s="2"/>
    </row>
    <row r="255" spans="2:21" ht="13">
      <c r="B255" s="1"/>
      <c r="C255" s="1"/>
      <c r="E255" s="2"/>
      <c r="F255" s="118" t="s">
        <v>19</v>
      </c>
      <c r="G255" s="118" t="s">
        <v>196</v>
      </c>
      <c r="I255" s="2"/>
      <c r="K255" s="2"/>
      <c r="L255" s="2"/>
      <c r="M255" s="2"/>
      <c r="N255" s="2"/>
      <c r="O255" s="2"/>
      <c r="Q255" s="2"/>
      <c r="R255" s="2"/>
      <c r="S255" s="2"/>
      <c r="T255" s="2"/>
      <c r="U255" s="2"/>
    </row>
    <row r="256" spans="2:21" ht="13">
      <c r="B256" s="1"/>
      <c r="C256" s="1"/>
      <c r="E256" s="2"/>
      <c r="F256" s="118"/>
      <c r="G256" s="118" t="s">
        <v>197</v>
      </c>
      <c r="I256" s="2"/>
      <c r="K256" s="2"/>
      <c r="L256" s="2"/>
      <c r="M256" s="2"/>
      <c r="N256" s="2"/>
      <c r="O256" s="2"/>
      <c r="P256" s="2"/>
    </row>
    <row r="257" spans="2:21" ht="13">
      <c r="B257" s="1"/>
      <c r="C257" s="1"/>
      <c r="E257" s="2"/>
      <c r="F257" s="118" t="s">
        <v>23</v>
      </c>
      <c r="G257" s="118" t="s">
        <v>198</v>
      </c>
      <c r="I257" s="2"/>
      <c r="K257" s="2"/>
      <c r="L257" s="2"/>
      <c r="M257" s="2"/>
      <c r="N257" s="2"/>
      <c r="O257" s="2"/>
      <c r="P257" s="2"/>
    </row>
    <row r="258" spans="2:21" ht="13">
      <c r="B258" s="1"/>
      <c r="C258" s="1"/>
      <c r="E258" s="2"/>
      <c r="F258" s="118"/>
      <c r="G258" s="118" t="s">
        <v>199</v>
      </c>
      <c r="I258" s="2"/>
      <c r="K258" s="2"/>
      <c r="L258" s="2"/>
      <c r="M258" s="2"/>
      <c r="N258" s="2"/>
      <c r="O258" s="2"/>
      <c r="P258" s="2"/>
      <c r="Q258" s="2"/>
      <c r="R258" s="2"/>
      <c r="S258" s="2"/>
      <c r="T258" s="2"/>
      <c r="U258" s="2"/>
    </row>
    <row r="259" spans="2:21" ht="13">
      <c r="B259" s="1"/>
      <c r="C259" s="1"/>
      <c r="E259" s="2"/>
      <c r="G259" s="2"/>
      <c r="I259" s="2"/>
      <c r="K259" s="2"/>
      <c r="L259" s="2"/>
      <c r="M259" s="2"/>
      <c r="N259" s="2"/>
      <c r="O259" s="2"/>
      <c r="P259" s="2"/>
      <c r="Q259" s="2"/>
      <c r="R259" s="2"/>
      <c r="S259" s="2"/>
      <c r="T259" s="2"/>
      <c r="U259" s="2"/>
    </row>
    <row r="260" spans="2:21" ht="13">
      <c r="B260" s="1"/>
      <c r="C260" s="1"/>
      <c r="D260" s="1" t="s">
        <v>3</v>
      </c>
      <c r="E260" s="1" t="s">
        <v>200</v>
      </c>
      <c r="G260" s="2"/>
      <c r="H260" s="2"/>
      <c r="I260" s="2"/>
      <c r="J260" s="2"/>
      <c r="K260" s="2"/>
      <c r="L260" s="2"/>
      <c r="M260" s="2"/>
      <c r="N260" s="2"/>
      <c r="O260" s="2"/>
      <c r="P260" s="2"/>
      <c r="Q260" s="2"/>
      <c r="R260" s="2"/>
      <c r="S260" s="2"/>
    </row>
    <row r="261" spans="2:21" ht="13">
      <c r="B261" s="1"/>
      <c r="C261" s="1"/>
      <c r="E261" s="2" t="s">
        <v>17</v>
      </c>
      <c r="F261" s="2" t="s">
        <v>201</v>
      </c>
      <c r="G261" s="2"/>
      <c r="I261" s="2"/>
      <c r="J261" s="2"/>
      <c r="K261" s="2"/>
      <c r="L261" s="2"/>
      <c r="M261" s="2"/>
      <c r="N261" s="2"/>
      <c r="O261" s="2"/>
      <c r="P261" s="2"/>
      <c r="Q261" s="2"/>
      <c r="R261" s="2"/>
      <c r="S261" s="2"/>
    </row>
    <row r="262" spans="2:21" ht="13">
      <c r="B262" s="1"/>
      <c r="C262" s="1"/>
      <c r="E262" s="2" t="s">
        <v>30</v>
      </c>
      <c r="F262" s="2" t="s">
        <v>202</v>
      </c>
      <c r="G262" s="2"/>
      <c r="I262" s="2"/>
      <c r="J262" s="2"/>
      <c r="K262" s="2"/>
      <c r="L262" s="2"/>
      <c r="M262" s="2"/>
      <c r="N262" s="2"/>
      <c r="O262" s="2"/>
      <c r="P262" s="2"/>
      <c r="Q262" s="2"/>
      <c r="R262" s="2"/>
      <c r="S262" s="2"/>
    </row>
    <row r="263" spans="2:21" ht="13">
      <c r="B263" s="1"/>
      <c r="C263" s="1"/>
      <c r="E263" s="2" t="s">
        <v>38</v>
      </c>
      <c r="F263" s="2" t="s">
        <v>203</v>
      </c>
      <c r="I263" s="2"/>
      <c r="J263" s="2"/>
      <c r="K263" s="2"/>
      <c r="L263" s="2"/>
      <c r="M263" s="2"/>
      <c r="N263" s="2"/>
      <c r="O263" s="2"/>
      <c r="P263" s="2"/>
      <c r="Q263" s="2"/>
      <c r="R263" s="2"/>
      <c r="S263" s="2"/>
    </row>
    <row r="264" spans="2:21" ht="13">
      <c r="B264" s="1"/>
      <c r="C264" s="1"/>
      <c r="E264" s="1"/>
      <c r="F264" s="2" t="s">
        <v>204</v>
      </c>
      <c r="I264" s="2"/>
      <c r="J264" s="2"/>
      <c r="K264" s="2"/>
      <c r="L264" s="2"/>
      <c r="M264" s="2"/>
      <c r="N264" s="2"/>
      <c r="O264" s="2"/>
      <c r="P264" s="2"/>
      <c r="Q264" s="2"/>
      <c r="R264" s="2"/>
      <c r="S264" s="2"/>
    </row>
    <row r="265" spans="2:21" ht="13">
      <c r="B265" s="1"/>
      <c r="C265" s="1"/>
      <c r="E265" s="2" t="s">
        <v>81</v>
      </c>
      <c r="F265" s="118" t="s">
        <v>205</v>
      </c>
      <c r="I265" s="2"/>
      <c r="J265" s="2"/>
      <c r="K265" s="2"/>
      <c r="L265" s="2"/>
      <c r="M265" s="2"/>
      <c r="N265" s="2"/>
      <c r="O265" s="2"/>
      <c r="P265" s="2"/>
      <c r="Q265" s="2"/>
      <c r="R265" s="2"/>
      <c r="S265" s="2"/>
    </row>
    <row r="266" spans="2:21" ht="13">
      <c r="B266" s="1"/>
      <c r="C266" s="1"/>
      <c r="E266" s="1"/>
      <c r="F266" s="2"/>
      <c r="H266" s="2"/>
      <c r="I266" s="2"/>
      <c r="J266" s="2"/>
      <c r="K266" s="2"/>
      <c r="L266" s="2"/>
      <c r="M266" s="2"/>
      <c r="N266" s="2"/>
      <c r="O266" s="2"/>
      <c r="P266" s="2"/>
      <c r="Q266" s="2"/>
      <c r="R266" s="2"/>
      <c r="S266" s="2"/>
    </row>
    <row r="267" spans="2:21" ht="13">
      <c r="B267" s="1"/>
      <c r="C267" s="1"/>
      <c r="D267" s="1" t="s">
        <v>15</v>
      </c>
      <c r="E267" s="1" t="s">
        <v>206</v>
      </c>
      <c r="G267" s="2"/>
      <c r="H267" s="2"/>
      <c r="I267" s="2"/>
      <c r="J267" s="2"/>
      <c r="K267" s="2"/>
      <c r="L267" s="2"/>
      <c r="M267" s="2"/>
      <c r="N267" s="2"/>
      <c r="O267" s="2"/>
      <c r="P267" s="2"/>
      <c r="Q267" s="2"/>
      <c r="R267" s="2"/>
      <c r="S267" s="2"/>
    </row>
    <row r="268" spans="2:21" ht="13">
      <c r="B268" s="1"/>
      <c r="C268" s="1"/>
      <c r="E268" s="2" t="s">
        <v>207</v>
      </c>
      <c r="F268" s="2"/>
      <c r="G268" s="2"/>
      <c r="O268" s="2"/>
      <c r="P268" s="2"/>
      <c r="Q268" s="2"/>
      <c r="R268" s="2"/>
      <c r="S268" s="2"/>
    </row>
    <row r="269" spans="2:21" ht="13">
      <c r="B269" s="1"/>
      <c r="C269" s="1"/>
      <c r="E269" s="1"/>
      <c r="G269" s="2"/>
      <c r="H269" s="2"/>
      <c r="O269" s="2"/>
      <c r="P269" s="2"/>
      <c r="Q269" s="2"/>
      <c r="R269" s="2"/>
      <c r="S269" s="2"/>
    </row>
    <row r="270" spans="2:21" ht="13">
      <c r="B270" s="1"/>
      <c r="C270" s="1"/>
      <c r="D270" s="1" t="s">
        <v>93</v>
      </c>
      <c r="E270" s="1" t="s">
        <v>208</v>
      </c>
      <c r="G270" s="2"/>
    </row>
    <row r="271" spans="2:21" ht="13">
      <c r="B271" s="1"/>
      <c r="C271" s="1"/>
      <c r="E271" s="2" t="s">
        <v>209</v>
      </c>
      <c r="F271" s="2"/>
      <c r="G271" s="2"/>
      <c r="J271" s="2"/>
      <c r="K271" s="2"/>
      <c r="L271" s="2"/>
      <c r="M271" s="2"/>
      <c r="N271" s="2"/>
    </row>
    <row r="272" spans="2:21" ht="13">
      <c r="B272" s="1"/>
      <c r="C272" s="1"/>
      <c r="E272" s="2" t="s">
        <v>210</v>
      </c>
      <c r="F272" s="2"/>
      <c r="G272" s="2"/>
      <c r="J272" s="2"/>
      <c r="K272" s="2"/>
      <c r="L272" s="2"/>
      <c r="M272" s="2"/>
      <c r="N272" s="2"/>
    </row>
    <row r="273" spans="2:21" ht="13">
      <c r="B273" s="1"/>
      <c r="C273" s="1"/>
      <c r="E273" s="1"/>
      <c r="G273" s="2"/>
      <c r="H273" s="2"/>
      <c r="J273" s="2"/>
      <c r="K273" s="2"/>
      <c r="L273" s="2"/>
      <c r="M273" s="2"/>
      <c r="N273" s="2"/>
      <c r="O273" s="2"/>
      <c r="P273" s="2"/>
      <c r="Q273" s="2"/>
      <c r="R273" s="2"/>
      <c r="S273" s="2"/>
      <c r="T273" s="2"/>
      <c r="U273" s="2"/>
    </row>
    <row r="274" spans="2:21" ht="13">
      <c r="B274" s="1"/>
      <c r="D274" s="1" t="s">
        <v>98</v>
      </c>
      <c r="E274" s="1" t="s">
        <v>211</v>
      </c>
      <c r="G274" s="2"/>
      <c r="H274" s="2"/>
      <c r="J274" s="2"/>
      <c r="K274" s="2"/>
      <c r="L274" s="2"/>
      <c r="M274" s="2"/>
      <c r="N274" s="2"/>
      <c r="O274" s="2"/>
      <c r="P274" s="2"/>
      <c r="Q274" s="2"/>
      <c r="R274" s="2"/>
      <c r="S274" s="2"/>
      <c r="T274" s="2"/>
      <c r="U274" s="2"/>
    </row>
    <row r="275" spans="2:21" ht="13">
      <c r="B275" s="1"/>
      <c r="D275" s="2"/>
      <c r="E275" s="2" t="s">
        <v>212</v>
      </c>
      <c r="J275" s="2"/>
      <c r="K275" s="2"/>
      <c r="L275" s="2"/>
      <c r="M275" s="2"/>
      <c r="N275" s="2"/>
      <c r="O275" s="2"/>
      <c r="P275" s="2"/>
      <c r="Q275" s="2"/>
      <c r="R275" s="2"/>
      <c r="S275" s="2"/>
      <c r="T275" s="2"/>
      <c r="U275" s="2"/>
    </row>
    <row r="276" spans="2:21" ht="13">
      <c r="B276" s="1"/>
      <c r="D276" s="2"/>
      <c r="E276" s="2" t="s">
        <v>213</v>
      </c>
      <c r="J276" s="2"/>
      <c r="K276" s="2"/>
      <c r="L276" s="2"/>
      <c r="M276" s="2"/>
      <c r="N276" s="2"/>
      <c r="O276" s="2"/>
      <c r="P276" s="2"/>
      <c r="Q276" s="2"/>
      <c r="R276" s="2"/>
      <c r="S276" s="2"/>
      <c r="T276" s="2"/>
      <c r="U276" s="2"/>
    </row>
    <row r="277" spans="2:21" ht="13">
      <c r="B277" s="1"/>
      <c r="D277" s="2"/>
      <c r="E277" s="2"/>
      <c r="J277" s="2"/>
      <c r="K277" s="2"/>
      <c r="L277" s="2"/>
      <c r="M277" s="2"/>
      <c r="N277" s="2"/>
      <c r="O277" s="2"/>
      <c r="P277" s="2"/>
      <c r="Q277" s="2"/>
      <c r="R277" s="2"/>
      <c r="S277" s="2"/>
      <c r="T277" s="2"/>
      <c r="U277" s="2"/>
    </row>
    <row r="278" spans="2:21" ht="13">
      <c r="B278" s="1"/>
      <c r="D278" s="1" t="s">
        <v>101</v>
      </c>
      <c r="E278" s="1" t="s">
        <v>214</v>
      </c>
      <c r="K278" s="2"/>
      <c r="L278" s="2"/>
      <c r="M278" s="2"/>
      <c r="N278" s="2"/>
      <c r="O278" s="2"/>
      <c r="P278" s="2"/>
      <c r="Q278" s="2"/>
      <c r="R278" s="2"/>
      <c r="S278" s="2"/>
      <c r="T278" s="2"/>
      <c r="U278" s="2"/>
    </row>
    <row r="279" spans="2:21" ht="13">
      <c r="B279" s="1"/>
      <c r="D279" s="1"/>
      <c r="E279" t="s">
        <v>215</v>
      </c>
      <c r="K279" s="2"/>
      <c r="L279" s="2"/>
      <c r="M279" s="2"/>
      <c r="N279" s="2"/>
      <c r="O279" s="2"/>
      <c r="P279" s="2"/>
      <c r="Q279" s="2"/>
      <c r="R279" s="2"/>
      <c r="S279" s="2"/>
    </row>
    <row r="280" spans="2:21" ht="13">
      <c r="B280" s="1"/>
      <c r="D280" s="2"/>
      <c r="E280" s="2" t="s">
        <v>216</v>
      </c>
      <c r="I280" s="2"/>
      <c r="J280" s="2"/>
      <c r="K280" s="2"/>
      <c r="L280" s="2"/>
      <c r="M280" s="2"/>
      <c r="N280" s="2"/>
      <c r="O280" s="2"/>
      <c r="P280" s="2"/>
      <c r="Q280" s="2"/>
      <c r="R280" s="2"/>
      <c r="S280" s="2"/>
    </row>
    <row r="281" spans="2:21" ht="13">
      <c r="B281" s="1"/>
      <c r="D281" s="2"/>
      <c r="E281" s="2"/>
      <c r="I281" s="2"/>
      <c r="J281" s="2"/>
      <c r="K281" s="2"/>
      <c r="L281" s="2"/>
      <c r="M281" s="2"/>
      <c r="N281" s="2"/>
      <c r="O281" s="2"/>
      <c r="P281" s="2"/>
      <c r="Q281" s="2"/>
      <c r="R281" s="2"/>
      <c r="S281" s="2"/>
    </row>
    <row r="282" spans="2:21" ht="13">
      <c r="B282" s="1"/>
      <c r="D282" s="1" t="s">
        <v>105</v>
      </c>
      <c r="E282" s="1" t="s">
        <v>217</v>
      </c>
      <c r="G282" s="2"/>
      <c r="H282" s="2"/>
      <c r="I282" s="2"/>
      <c r="J282" s="2"/>
      <c r="K282" s="2"/>
      <c r="L282" s="2"/>
      <c r="M282" s="2"/>
      <c r="O282" s="2"/>
      <c r="P282" s="2"/>
      <c r="Q282" s="2"/>
      <c r="R282" s="2"/>
      <c r="S282" s="2"/>
    </row>
    <row r="283" spans="2:21" ht="13">
      <c r="B283" s="1"/>
      <c r="D283" s="1"/>
      <c r="E283" t="s">
        <v>218</v>
      </c>
      <c r="G283" s="2"/>
      <c r="H283" s="2"/>
      <c r="I283" s="2"/>
      <c r="J283" s="2"/>
      <c r="K283" s="2"/>
      <c r="L283" s="2"/>
      <c r="M283" s="2"/>
      <c r="P283" s="2"/>
      <c r="Q283" s="2"/>
      <c r="R283" s="2"/>
      <c r="S283" s="2"/>
    </row>
    <row r="284" spans="2:21" ht="13">
      <c r="B284" s="1"/>
      <c r="D284" s="1"/>
      <c r="E284" t="s">
        <v>219</v>
      </c>
      <c r="G284" s="2"/>
      <c r="H284" s="2"/>
      <c r="I284" s="2"/>
      <c r="J284" s="2"/>
      <c r="K284" s="2"/>
      <c r="L284" s="2"/>
      <c r="M284" s="2"/>
      <c r="P284" s="2"/>
      <c r="Q284" s="2"/>
      <c r="R284" s="2"/>
      <c r="S284" s="2"/>
    </row>
    <row r="285" spans="2:21" ht="13">
      <c r="B285" s="1"/>
      <c r="D285" s="1"/>
      <c r="E285" s="70" t="s">
        <v>220</v>
      </c>
      <c r="F285" s="70"/>
      <c r="G285" s="2"/>
      <c r="H285" s="70"/>
      <c r="I285" s="70"/>
      <c r="J285" s="2"/>
      <c r="K285" s="2"/>
      <c r="L285" s="2"/>
      <c r="M285" s="2"/>
      <c r="P285" s="2"/>
      <c r="Q285" s="2"/>
      <c r="R285" s="2"/>
      <c r="S285" s="2"/>
    </row>
    <row r="286" spans="2:21" ht="13">
      <c r="B286" s="1"/>
      <c r="D286" s="1"/>
      <c r="E286" s="329" t="s">
        <v>221</v>
      </c>
      <c r="G286" s="2"/>
      <c r="H286" s="70"/>
      <c r="I286" s="70"/>
      <c r="J286" s="2"/>
      <c r="K286" s="2"/>
      <c r="L286" s="2"/>
      <c r="M286" s="2"/>
      <c r="O286" s="2"/>
      <c r="P286" s="2"/>
      <c r="Q286" s="2"/>
      <c r="R286" s="2"/>
      <c r="S286" s="2"/>
    </row>
    <row r="287" spans="2:21" ht="13">
      <c r="B287" s="1"/>
      <c r="D287" s="1"/>
      <c r="E287" s="2"/>
      <c r="F287" s="2"/>
      <c r="G287" s="2"/>
      <c r="H287" s="2"/>
      <c r="I287" s="2"/>
      <c r="J287" s="2"/>
      <c r="K287" s="2"/>
      <c r="L287" s="2"/>
      <c r="M287" s="2"/>
    </row>
    <row r="288" spans="2:21" ht="13">
      <c r="B288" s="1"/>
      <c r="D288" s="1" t="s">
        <v>126</v>
      </c>
      <c r="E288" s="1" t="s">
        <v>222</v>
      </c>
      <c r="K288" s="2"/>
      <c r="L288" s="2"/>
      <c r="M288" s="2"/>
      <c r="N288" s="2"/>
    </row>
    <row r="289" spans="2:23" ht="13">
      <c r="B289" s="1"/>
      <c r="D289" s="2"/>
      <c r="E289" s="2" t="s">
        <v>17</v>
      </c>
      <c r="F289" s="2" t="s">
        <v>223</v>
      </c>
      <c r="G289" s="2"/>
      <c r="O289" s="2"/>
      <c r="P289" s="2"/>
      <c r="Q289" s="2"/>
      <c r="R289" s="2"/>
      <c r="S289" s="2"/>
      <c r="T289" s="2"/>
      <c r="U289" s="2"/>
      <c r="V289" s="2"/>
      <c r="W289" s="2"/>
    </row>
    <row r="290" spans="2:23" ht="13">
      <c r="B290" s="1"/>
      <c r="D290" s="2"/>
      <c r="E290" s="2"/>
      <c r="F290" s="70" t="s">
        <v>224</v>
      </c>
      <c r="G290" s="70"/>
      <c r="H290" s="70"/>
      <c r="I290" s="70"/>
      <c r="J290" s="70"/>
      <c r="K290" s="70"/>
      <c r="L290" s="70"/>
      <c r="M290" s="70"/>
      <c r="N290" s="70"/>
      <c r="O290" s="2"/>
      <c r="P290" s="2"/>
      <c r="Q290" s="2"/>
      <c r="R290" s="2"/>
      <c r="S290" s="2"/>
      <c r="T290" s="2"/>
      <c r="U290" s="2"/>
      <c r="V290" s="2"/>
      <c r="W290" s="2"/>
    </row>
    <row r="291" spans="2:23" ht="13">
      <c r="B291" s="1"/>
      <c r="D291" s="2"/>
      <c r="E291" s="2" t="s">
        <v>30</v>
      </c>
      <c r="F291" s="2" t="s">
        <v>225</v>
      </c>
      <c r="G291" s="2"/>
      <c r="L291" s="2"/>
      <c r="M291" s="2"/>
      <c r="N291" s="2"/>
      <c r="O291" s="2"/>
      <c r="P291" s="2"/>
      <c r="Q291" s="2"/>
      <c r="R291" s="2"/>
      <c r="S291" s="2"/>
      <c r="T291" s="2"/>
      <c r="U291" s="2"/>
      <c r="V291" s="2"/>
      <c r="W291" s="2"/>
    </row>
    <row r="292" spans="2:23" ht="13">
      <c r="B292" s="1"/>
      <c r="D292" s="2"/>
      <c r="E292" s="2" t="s">
        <v>38</v>
      </c>
      <c r="F292" s="2" t="s">
        <v>226</v>
      </c>
      <c r="G292" s="2"/>
      <c r="H292" s="2"/>
      <c r="K292" s="2"/>
      <c r="L292" s="2"/>
      <c r="M292" s="2"/>
      <c r="N292" s="2"/>
      <c r="O292" s="2"/>
      <c r="P292" s="2"/>
      <c r="Q292" s="2"/>
      <c r="R292" s="2"/>
      <c r="S292" s="2"/>
      <c r="T292" s="2"/>
      <c r="U292" s="2"/>
      <c r="V292" s="2"/>
      <c r="W292" s="2"/>
    </row>
    <row r="293" spans="2:23" ht="13">
      <c r="B293" s="1"/>
      <c r="D293" s="2"/>
      <c r="E293" s="2"/>
      <c r="F293" s="2" t="s">
        <v>19</v>
      </c>
      <c r="G293" s="2" t="s">
        <v>227</v>
      </c>
      <c r="K293" s="2"/>
      <c r="L293" s="2"/>
      <c r="M293" s="2"/>
      <c r="N293" s="2"/>
      <c r="O293" s="2"/>
      <c r="P293" s="2"/>
      <c r="Q293" s="2"/>
      <c r="R293" s="2"/>
      <c r="S293" s="2"/>
      <c r="T293" s="2"/>
      <c r="U293" s="2"/>
      <c r="V293" s="2"/>
      <c r="W293" s="2"/>
    </row>
    <row r="294" spans="2:23" ht="13">
      <c r="B294" s="1"/>
      <c r="D294" s="2"/>
      <c r="E294" s="2"/>
      <c r="F294" s="2" t="s">
        <v>23</v>
      </c>
      <c r="G294" s="2" t="s">
        <v>228</v>
      </c>
      <c r="H294" s="2"/>
      <c r="K294" s="2"/>
      <c r="L294" s="2"/>
      <c r="M294" s="2"/>
      <c r="N294" s="2"/>
      <c r="O294" s="2"/>
      <c r="P294" s="2"/>
      <c r="Q294" s="2"/>
      <c r="R294" s="2"/>
      <c r="S294" s="2"/>
      <c r="T294" s="2"/>
      <c r="U294" s="2"/>
      <c r="V294" s="2"/>
      <c r="W294" s="2"/>
    </row>
    <row r="295" spans="2:23" ht="13">
      <c r="B295" s="1"/>
      <c r="D295" s="2"/>
      <c r="E295" s="2"/>
      <c r="F295" s="2" t="s">
        <v>28</v>
      </c>
      <c r="G295" s="2" t="s">
        <v>229</v>
      </c>
      <c r="K295" s="2"/>
      <c r="L295" s="2"/>
      <c r="M295" s="2"/>
      <c r="N295" s="2"/>
      <c r="O295" s="2"/>
      <c r="P295" s="2"/>
      <c r="Q295" s="2"/>
      <c r="R295" s="2"/>
      <c r="S295" s="2"/>
      <c r="T295" s="2"/>
      <c r="U295" s="2"/>
      <c r="V295" s="2"/>
      <c r="W295" s="2"/>
    </row>
    <row r="296" spans="2:23" ht="13">
      <c r="B296" s="1"/>
      <c r="D296" s="2"/>
      <c r="E296" s="2"/>
      <c r="F296" s="2" t="s">
        <v>56</v>
      </c>
      <c r="G296" s="2" t="s">
        <v>230</v>
      </c>
      <c r="H296" s="2"/>
      <c r="K296" s="2"/>
      <c r="L296" s="2"/>
      <c r="M296" s="2"/>
      <c r="N296" s="2"/>
      <c r="O296" s="2"/>
      <c r="P296" s="2"/>
      <c r="Q296" s="2"/>
      <c r="R296" s="2"/>
      <c r="S296" s="2"/>
      <c r="T296" s="2"/>
      <c r="U296" s="2"/>
      <c r="V296" s="2"/>
      <c r="W296" s="2"/>
    </row>
    <row r="297" spans="2:23" ht="13">
      <c r="B297" s="1"/>
      <c r="D297" s="2"/>
      <c r="E297" s="2"/>
      <c r="F297" s="2" t="s">
        <v>59</v>
      </c>
      <c r="G297" s="2" t="s">
        <v>231</v>
      </c>
      <c r="K297" s="2"/>
      <c r="L297" s="2"/>
      <c r="M297" s="2"/>
      <c r="N297" s="2"/>
      <c r="O297" s="2"/>
      <c r="P297" s="2"/>
      <c r="Q297" s="2"/>
      <c r="R297" s="2"/>
      <c r="S297" s="2"/>
      <c r="T297" s="2"/>
      <c r="U297" s="2"/>
      <c r="V297" s="2"/>
      <c r="W297" s="2"/>
    </row>
    <row r="298" spans="2:23" ht="13">
      <c r="B298" s="1"/>
      <c r="D298" s="2"/>
      <c r="E298" s="2"/>
      <c r="F298" s="2" t="s">
        <v>62</v>
      </c>
      <c r="G298" s="2" t="s">
        <v>232</v>
      </c>
      <c r="H298" s="2"/>
      <c r="K298" s="2"/>
      <c r="L298" s="2"/>
      <c r="M298" s="2"/>
      <c r="N298" s="2"/>
      <c r="O298" s="2"/>
      <c r="P298" s="2"/>
      <c r="Q298" s="2"/>
      <c r="R298" s="2"/>
      <c r="S298" s="2"/>
      <c r="T298" s="2"/>
      <c r="U298" s="2"/>
      <c r="V298" s="2"/>
      <c r="W298" s="2"/>
    </row>
    <row r="299" spans="2:23" ht="13">
      <c r="B299" s="1"/>
      <c r="D299" s="2"/>
      <c r="E299" s="2" t="s">
        <v>81</v>
      </c>
      <c r="F299" s="2" t="s">
        <v>233</v>
      </c>
      <c r="G299" s="2"/>
      <c r="K299" s="2"/>
      <c r="L299" s="2"/>
      <c r="M299" s="2"/>
      <c r="N299" s="2"/>
      <c r="O299" s="2"/>
      <c r="P299" s="2"/>
      <c r="Q299" s="2"/>
      <c r="R299" s="2"/>
      <c r="S299" s="2"/>
      <c r="T299" s="2"/>
      <c r="U299" s="2"/>
      <c r="V299" s="2"/>
      <c r="W299" s="2"/>
    </row>
    <row r="300" spans="2:23" ht="13">
      <c r="B300" s="1"/>
      <c r="D300" s="2"/>
      <c r="E300" s="2" t="s">
        <v>85</v>
      </c>
      <c r="F300" s="2" t="s">
        <v>234</v>
      </c>
      <c r="G300" s="2"/>
      <c r="K300" s="2"/>
      <c r="L300" s="2"/>
      <c r="M300" s="2"/>
      <c r="N300" s="2"/>
      <c r="O300" s="2"/>
      <c r="P300" s="2"/>
      <c r="Q300" s="2"/>
      <c r="R300" s="2"/>
      <c r="S300" s="2"/>
      <c r="T300" s="2"/>
      <c r="U300" s="2"/>
      <c r="V300" s="2"/>
      <c r="W300" s="2"/>
    </row>
    <row r="301" spans="2:23" ht="13">
      <c r="B301" s="1"/>
      <c r="D301" s="2"/>
      <c r="E301" s="2"/>
      <c r="F301" s="70" t="s">
        <v>235</v>
      </c>
      <c r="G301" s="70"/>
      <c r="H301" s="70"/>
      <c r="I301" s="70"/>
      <c r="J301" s="70"/>
      <c r="K301" s="70"/>
      <c r="L301" s="70"/>
      <c r="M301" s="2"/>
      <c r="N301" s="2"/>
      <c r="O301" s="2"/>
      <c r="P301" s="2"/>
      <c r="Q301" s="2"/>
      <c r="R301" s="2"/>
      <c r="S301" s="2"/>
      <c r="T301" s="2"/>
      <c r="U301" s="2"/>
      <c r="V301" s="2"/>
      <c r="W301" s="2"/>
    </row>
    <row r="302" spans="2:23" ht="13">
      <c r="B302" s="1"/>
      <c r="D302" s="2"/>
      <c r="E302" s="2"/>
      <c r="F302" s="70" t="s">
        <v>236</v>
      </c>
      <c r="G302" s="70"/>
      <c r="H302" s="70"/>
      <c r="I302" s="70"/>
      <c r="J302" s="70"/>
      <c r="K302" s="70"/>
      <c r="L302" s="70"/>
      <c r="M302" s="2"/>
      <c r="N302" s="2"/>
      <c r="O302" s="2"/>
      <c r="P302" s="2"/>
      <c r="Q302" s="2"/>
      <c r="R302" s="2"/>
      <c r="S302" s="2"/>
      <c r="T302" s="2"/>
      <c r="U302" s="2"/>
      <c r="V302" s="2"/>
      <c r="W302" s="2"/>
    </row>
    <row r="303" spans="2:23" ht="13">
      <c r="B303" s="1"/>
      <c r="D303" s="2"/>
      <c r="E303" s="2"/>
      <c r="F303" s="70" t="s">
        <v>237</v>
      </c>
      <c r="G303" s="70"/>
      <c r="H303" s="70"/>
      <c r="I303" s="70"/>
      <c r="J303" s="70"/>
      <c r="K303" s="70"/>
      <c r="L303" s="70"/>
      <c r="M303" s="2"/>
      <c r="N303" s="2"/>
      <c r="O303" s="2"/>
      <c r="P303" s="2"/>
      <c r="Q303" s="2"/>
      <c r="R303" s="2"/>
      <c r="S303" s="2"/>
      <c r="T303" s="2"/>
      <c r="U303" s="2"/>
      <c r="V303" s="2"/>
      <c r="W303" s="2"/>
    </row>
    <row r="304" spans="2:23" ht="13">
      <c r="B304" s="1"/>
      <c r="D304" s="2"/>
      <c r="E304" s="2"/>
      <c r="F304" s="70"/>
      <c r="G304" s="70"/>
      <c r="H304" s="70"/>
      <c r="I304" s="70"/>
      <c r="J304" s="70"/>
      <c r="K304" s="70"/>
      <c r="L304" s="70"/>
      <c r="M304" s="2"/>
      <c r="N304" s="2"/>
      <c r="O304" s="2"/>
      <c r="P304" s="2"/>
      <c r="Q304" s="2"/>
      <c r="R304" s="2"/>
      <c r="S304" s="2"/>
      <c r="T304" s="2"/>
      <c r="U304" s="2"/>
      <c r="V304" s="2"/>
      <c r="W304" s="2"/>
    </row>
    <row r="305" spans="2:23" ht="13">
      <c r="B305" s="1"/>
      <c r="D305" s="1" t="s">
        <v>160</v>
      </c>
      <c r="E305" s="1" t="s">
        <v>238</v>
      </c>
      <c r="G305" s="2"/>
      <c r="H305" s="2"/>
      <c r="I305" s="2"/>
      <c r="J305" s="2"/>
      <c r="K305" s="2"/>
      <c r="L305" s="2"/>
      <c r="M305" s="2"/>
      <c r="N305" s="2"/>
      <c r="O305" s="2"/>
      <c r="P305" s="2"/>
      <c r="Q305" s="2"/>
      <c r="R305" s="2"/>
      <c r="S305" s="2"/>
      <c r="T305" s="2"/>
      <c r="U305" s="2"/>
      <c r="V305" s="2"/>
      <c r="W305" s="2"/>
    </row>
    <row r="306" spans="2:23" ht="13">
      <c r="B306" s="1"/>
      <c r="D306" s="1"/>
      <c r="E306" s="2" t="s">
        <v>239</v>
      </c>
      <c r="F306" s="2"/>
      <c r="K306" s="2"/>
      <c r="L306" s="2"/>
      <c r="M306" s="2"/>
      <c r="N306" s="2"/>
      <c r="O306" s="2"/>
      <c r="P306" s="2"/>
      <c r="Q306" s="2"/>
      <c r="R306" s="2"/>
      <c r="S306" s="2"/>
      <c r="T306" s="2"/>
      <c r="U306" s="2"/>
      <c r="V306" s="2"/>
      <c r="W306" s="2"/>
    </row>
    <row r="307" spans="2:23" ht="13">
      <c r="B307" s="1"/>
      <c r="D307" s="1"/>
      <c r="E307" s="2" t="s">
        <v>216</v>
      </c>
      <c r="F307" s="2"/>
      <c r="I307" s="2"/>
      <c r="J307" s="2"/>
      <c r="K307" s="2"/>
      <c r="L307" s="2"/>
      <c r="M307" s="2"/>
      <c r="N307" s="2"/>
      <c r="O307" s="2"/>
      <c r="P307" s="2"/>
      <c r="Q307" s="2"/>
      <c r="R307" s="2"/>
      <c r="S307" s="2"/>
      <c r="T307" s="2"/>
      <c r="U307" s="2"/>
      <c r="V307" s="2"/>
      <c r="W307" s="2"/>
    </row>
    <row r="308" spans="2:23" ht="13">
      <c r="B308" s="1"/>
      <c r="D308" s="2"/>
      <c r="E308" s="2"/>
      <c r="F308" s="70"/>
      <c r="G308" s="70"/>
      <c r="H308" s="70"/>
      <c r="I308" s="70"/>
      <c r="J308" s="70"/>
      <c r="K308" s="70"/>
      <c r="L308" s="70"/>
      <c r="M308" s="2"/>
      <c r="N308" s="2"/>
      <c r="O308" s="2"/>
      <c r="P308" s="2"/>
      <c r="Q308" s="2"/>
      <c r="R308" s="2"/>
      <c r="S308" s="2"/>
      <c r="T308" s="2"/>
      <c r="U308" s="2"/>
      <c r="V308" s="2"/>
      <c r="W308" s="2"/>
    </row>
    <row r="309" spans="2:23" ht="13">
      <c r="B309" s="1"/>
      <c r="C309" s="1" t="s">
        <v>130</v>
      </c>
      <c r="D309" s="1"/>
      <c r="F309" s="1"/>
      <c r="G309" s="1" t="s">
        <v>240</v>
      </c>
      <c r="I309" s="2"/>
      <c r="J309" s="2"/>
      <c r="K309" s="2"/>
      <c r="L309" s="2"/>
      <c r="M309" s="2"/>
      <c r="N309" s="2"/>
      <c r="O309" s="2"/>
      <c r="P309" s="2"/>
    </row>
    <row r="310" spans="2:23" ht="13">
      <c r="B310" s="1"/>
      <c r="D310" s="1" t="s">
        <v>3</v>
      </c>
      <c r="E310" s="1" t="s">
        <v>241</v>
      </c>
      <c r="G310" s="1"/>
      <c r="H310" s="1"/>
      <c r="I310" s="1"/>
      <c r="J310" s="1"/>
      <c r="K310" s="1"/>
      <c r="L310" s="1"/>
      <c r="M310" s="1"/>
      <c r="N310" s="1"/>
      <c r="O310" s="1"/>
      <c r="P310" s="1"/>
      <c r="Q310" s="1"/>
      <c r="R310" s="1"/>
    </row>
    <row r="311" spans="2:23" ht="13">
      <c r="B311" s="1"/>
      <c r="D311" s="1"/>
      <c r="E311" t="s">
        <v>242</v>
      </c>
      <c r="G311" s="2"/>
      <c r="I311" s="2"/>
      <c r="K311" s="2"/>
    </row>
    <row r="312" spans="2:23" ht="13">
      <c r="B312" s="1"/>
      <c r="D312" s="1"/>
      <c r="E312" s="2" t="s">
        <v>243</v>
      </c>
      <c r="F312" s="2"/>
      <c r="G312" s="2"/>
      <c r="I312" s="2"/>
      <c r="K312" s="2"/>
    </row>
    <row r="313" spans="2:23" ht="13">
      <c r="B313" s="1"/>
      <c r="D313" s="1"/>
      <c r="E313" s="2" t="s">
        <v>244</v>
      </c>
      <c r="F313" s="2"/>
      <c r="G313" s="2"/>
      <c r="I313" s="2"/>
      <c r="K313" s="2"/>
    </row>
    <row r="314" spans="2:23" ht="13">
      <c r="B314" s="1"/>
      <c r="D314" s="1"/>
      <c r="E314" s="2" t="s">
        <v>245</v>
      </c>
      <c r="F314" s="2"/>
      <c r="G314" s="2"/>
      <c r="I314" s="2"/>
      <c r="K314" s="2"/>
    </row>
    <row r="315" spans="2:23" ht="13">
      <c r="B315" s="1"/>
      <c r="D315" s="1"/>
      <c r="G315" s="2"/>
      <c r="I315" s="2"/>
      <c r="K315" s="2"/>
    </row>
    <row r="316" spans="2:23" ht="13">
      <c r="B316" s="1"/>
      <c r="D316" s="1" t="s">
        <v>15</v>
      </c>
      <c r="E316" s="1" t="s">
        <v>246</v>
      </c>
      <c r="G316" s="2"/>
      <c r="H316" s="2"/>
      <c r="I316" s="2"/>
      <c r="J316" s="2"/>
      <c r="K316" s="2"/>
      <c r="P316" s="2"/>
      <c r="Q316" s="2"/>
      <c r="R316" s="2"/>
      <c r="S316" s="2"/>
    </row>
    <row r="317" spans="2:23" ht="13">
      <c r="B317" s="1"/>
      <c r="D317" s="1"/>
      <c r="E317" t="s">
        <v>247</v>
      </c>
      <c r="G317" s="2"/>
      <c r="I317" s="2"/>
      <c r="J317" s="2"/>
      <c r="K317" s="2"/>
      <c r="L317" s="2"/>
      <c r="M317" s="2"/>
      <c r="N317" s="2"/>
      <c r="O317" s="2"/>
      <c r="P317" s="2"/>
      <c r="Q317" s="2"/>
      <c r="R317" s="2"/>
      <c r="S317" s="2"/>
    </row>
    <row r="318" spans="2:23" ht="13">
      <c r="B318" s="1"/>
      <c r="D318" s="1"/>
      <c r="G318" s="2"/>
      <c r="I318" s="2"/>
      <c r="J318" s="2"/>
      <c r="K318" s="2"/>
      <c r="L318" s="2"/>
      <c r="M318" s="2"/>
      <c r="N318" s="2"/>
      <c r="O318" s="2"/>
      <c r="P318" s="2"/>
      <c r="Q318" s="2"/>
      <c r="R318" s="2"/>
      <c r="S318" s="2"/>
    </row>
    <row r="319" spans="2:23" ht="13">
      <c r="B319" s="1"/>
      <c r="D319" s="1" t="s">
        <v>93</v>
      </c>
      <c r="E319" s="1" t="s">
        <v>248</v>
      </c>
      <c r="F319" s="2"/>
      <c r="G319" s="2"/>
      <c r="H319" s="2"/>
      <c r="I319" s="2"/>
      <c r="J319" s="2"/>
      <c r="K319" s="2"/>
      <c r="L319" s="2"/>
      <c r="M319" s="2"/>
      <c r="N319" s="2"/>
      <c r="O319" s="2"/>
      <c r="P319" s="2"/>
      <c r="Q319" s="2"/>
      <c r="R319" s="2"/>
      <c r="S319" s="2"/>
    </row>
    <row r="320" spans="2:23" ht="13">
      <c r="B320" s="1"/>
      <c r="E320" t="s">
        <v>249</v>
      </c>
      <c r="I320" s="2"/>
      <c r="J320" s="2"/>
      <c r="K320" s="2"/>
      <c r="L320" s="2"/>
      <c r="M320" s="2"/>
      <c r="N320" s="2"/>
      <c r="O320" s="2"/>
      <c r="P320" s="2"/>
      <c r="Q320" s="2"/>
      <c r="R320" s="2"/>
      <c r="S320" s="2"/>
    </row>
    <row r="321" spans="1:38" ht="13">
      <c r="B321" s="1"/>
      <c r="E321" t="s">
        <v>250</v>
      </c>
      <c r="I321" s="2"/>
      <c r="J321" s="2"/>
      <c r="K321" s="2"/>
      <c r="L321" s="2"/>
      <c r="M321" s="2"/>
      <c r="N321" s="2"/>
      <c r="O321" s="2"/>
      <c r="P321" s="2"/>
      <c r="Q321" s="2"/>
      <c r="R321" s="2"/>
      <c r="S321" s="2"/>
    </row>
    <row r="322" spans="1:38" ht="13">
      <c r="B322" s="1"/>
      <c r="E322" t="s">
        <v>251</v>
      </c>
      <c r="I322" s="2"/>
      <c r="J322" s="2"/>
      <c r="K322" s="2"/>
      <c r="L322" s="2"/>
      <c r="M322" s="2"/>
      <c r="N322" s="2"/>
      <c r="O322" s="2"/>
      <c r="P322" s="2"/>
      <c r="Q322" s="2"/>
      <c r="R322" s="2"/>
      <c r="S322" s="2"/>
    </row>
    <row r="323" spans="1:38" ht="13">
      <c r="B323" s="1"/>
      <c r="I323" s="2"/>
      <c r="J323" s="2"/>
      <c r="K323" s="2"/>
      <c r="L323" s="2"/>
      <c r="M323" s="2"/>
      <c r="N323" s="2"/>
      <c r="O323" s="2"/>
      <c r="P323" s="2"/>
      <c r="Q323" s="2"/>
      <c r="R323" s="2"/>
      <c r="S323" s="2"/>
    </row>
    <row r="324" spans="1:38" ht="13">
      <c r="B324" s="1"/>
      <c r="C324" s="1" t="s">
        <v>133</v>
      </c>
      <c r="G324" s="1" t="s">
        <v>252</v>
      </c>
      <c r="I324" s="2"/>
      <c r="J324" s="2"/>
      <c r="K324" s="2"/>
      <c r="L324" s="2"/>
      <c r="M324" s="2"/>
      <c r="N324" s="2"/>
      <c r="O324" s="2"/>
      <c r="P324" s="2"/>
      <c r="Q324" s="2"/>
      <c r="R324" s="2"/>
      <c r="S324" s="2"/>
    </row>
    <row r="325" spans="1:38" ht="13">
      <c r="A325" t="s">
        <v>253</v>
      </c>
      <c r="D325" s="1" t="s">
        <v>3</v>
      </c>
      <c r="E325" s="1" t="s">
        <v>252</v>
      </c>
      <c r="J325" s="1"/>
      <c r="K325" s="1"/>
      <c r="L325" s="1"/>
      <c r="M325" s="2"/>
      <c r="N325" s="2"/>
      <c r="O325" s="2"/>
      <c r="P325" s="2"/>
      <c r="Q325" s="2"/>
      <c r="R325" s="2"/>
      <c r="S325" s="2"/>
    </row>
    <row r="326" spans="1:38">
      <c r="E326" t="s">
        <v>17</v>
      </c>
      <c r="F326" s="2" t="s">
        <v>254</v>
      </c>
      <c r="J326" s="2"/>
      <c r="K326" s="2"/>
      <c r="L326" s="2"/>
      <c r="M326" s="2"/>
      <c r="N326" s="2"/>
      <c r="O326" s="2"/>
      <c r="P326" s="2"/>
      <c r="Q326" s="2"/>
      <c r="R326" s="2"/>
      <c r="S326" s="2"/>
    </row>
    <row r="327" spans="1:38">
      <c r="E327" s="2" t="s">
        <v>30</v>
      </c>
      <c r="F327" t="s">
        <v>255</v>
      </c>
      <c r="J327" s="2"/>
      <c r="K327" s="2"/>
      <c r="L327" s="2"/>
      <c r="M327" s="2"/>
      <c r="N327" s="2"/>
      <c r="O327" s="2"/>
      <c r="P327" s="2"/>
      <c r="Q327" s="2"/>
      <c r="R327" s="2"/>
      <c r="S327" s="2"/>
    </row>
    <row r="328" spans="1:38" ht="13">
      <c r="F328" s="70" t="s">
        <v>256</v>
      </c>
      <c r="I328" s="70"/>
      <c r="J328" s="2"/>
      <c r="K328" s="2"/>
      <c r="L328" s="2"/>
      <c r="M328" s="2"/>
      <c r="N328" s="2"/>
      <c r="O328" s="2"/>
      <c r="P328" s="2"/>
      <c r="Q328" s="2"/>
      <c r="R328" s="2"/>
      <c r="S328" s="2"/>
    </row>
    <row r="329" spans="1:38" ht="13">
      <c r="F329" s="70" t="s">
        <v>257</v>
      </c>
      <c r="I329" s="70"/>
      <c r="J329" s="2"/>
      <c r="K329" s="2"/>
      <c r="L329" s="2"/>
      <c r="M329" s="2"/>
      <c r="N329" s="2"/>
      <c r="O329" s="2"/>
      <c r="P329" s="2"/>
      <c r="Q329" s="2"/>
      <c r="R329" s="2"/>
      <c r="S329" s="2"/>
    </row>
    <row r="330" spans="1:38">
      <c r="J330" s="2"/>
      <c r="K330" s="2"/>
      <c r="L330" s="2"/>
      <c r="M330" s="2"/>
      <c r="N330" s="2"/>
      <c r="O330" s="2"/>
      <c r="P330" s="2"/>
      <c r="Q330" s="2"/>
      <c r="R330" s="2"/>
      <c r="S330" s="2"/>
    </row>
    <row r="331" spans="1:38" ht="13">
      <c r="A331" s="4"/>
      <c r="B331" s="10" t="s">
        <v>258</v>
      </c>
      <c r="C331" s="10" t="s">
        <v>54</v>
      </c>
      <c r="D331" s="4"/>
      <c r="E331" s="10"/>
      <c r="F331" s="10"/>
      <c r="G331" s="10"/>
      <c r="H331" s="10"/>
      <c r="I331" s="10"/>
      <c r="J331" s="1036"/>
      <c r="K331" s="1036"/>
      <c r="L331" s="1036"/>
      <c r="M331" s="1036"/>
      <c r="N331" s="1036"/>
      <c r="O331" s="1036"/>
      <c r="P331" s="1036"/>
      <c r="Q331" s="1036"/>
      <c r="R331" s="1036"/>
      <c r="S331" s="1036"/>
      <c r="T331" s="4"/>
      <c r="U331" s="4"/>
      <c r="V331" s="4"/>
      <c r="W331" s="4"/>
      <c r="X331" s="4"/>
      <c r="Y331" s="4"/>
      <c r="Z331" s="4"/>
      <c r="AA331" s="4"/>
      <c r="AB331" s="4"/>
      <c r="AC331" s="4"/>
      <c r="AD331" s="4"/>
      <c r="AE331" s="4"/>
      <c r="AF331" s="4"/>
      <c r="AG331" s="4"/>
      <c r="AH331" s="4"/>
      <c r="AI331" s="4"/>
      <c r="AJ331" s="4"/>
      <c r="AK331" s="4"/>
      <c r="AL331" s="4"/>
    </row>
    <row r="332" spans="1:38" ht="13">
      <c r="B332" s="1"/>
      <c r="D332" s="1"/>
      <c r="E332" s="1"/>
      <c r="F332" s="1"/>
      <c r="G332" s="1"/>
      <c r="H332" s="1"/>
      <c r="I332" s="1"/>
      <c r="J332" s="2"/>
      <c r="K332" s="2"/>
      <c r="L332" s="2"/>
      <c r="M332" s="2"/>
      <c r="N332" s="2"/>
      <c r="O332" s="2"/>
      <c r="P332" s="2"/>
      <c r="Q332" s="2"/>
      <c r="R332" s="2"/>
      <c r="S332" s="2"/>
    </row>
    <row r="333" spans="1:38" ht="13">
      <c r="B333" s="1"/>
      <c r="C333" s="1" t="s">
        <v>70</v>
      </c>
      <c r="G333" s="1" t="s">
        <v>54</v>
      </c>
      <c r="I333" s="1"/>
      <c r="J333" s="2"/>
      <c r="K333" s="2"/>
      <c r="L333" s="2"/>
      <c r="M333" s="2"/>
      <c r="N333" s="2"/>
      <c r="O333" s="2"/>
      <c r="P333" s="2"/>
      <c r="Q333" s="2"/>
      <c r="R333" s="2"/>
      <c r="S333" s="2"/>
    </row>
    <row r="334" spans="1:38" ht="13">
      <c r="B334" s="1"/>
      <c r="C334" s="1"/>
      <c r="D334" s="1" t="s">
        <v>3</v>
      </c>
      <c r="E334" s="1" t="s">
        <v>54</v>
      </c>
      <c r="G334" s="1"/>
      <c r="I334" s="1"/>
      <c r="J334" s="2"/>
      <c r="K334" s="2"/>
      <c r="L334" s="2"/>
      <c r="M334" s="2"/>
      <c r="N334" s="2"/>
      <c r="O334" s="2"/>
      <c r="P334" s="2"/>
      <c r="Q334" s="2"/>
      <c r="R334" s="2"/>
      <c r="S334" s="2"/>
    </row>
    <row r="335" spans="1:38" ht="13">
      <c r="B335" s="1"/>
      <c r="E335" t="s">
        <v>17</v>
      </c>
      <c r="F335" t="s">
        <v>259</v>
      </c>
      <c r="J335" s="2"/>
      <c r="K335" s="2"/>
      <c r="L335" s="2"/>
      <c r="M335" s="2"/>
      <c r="N335" s="2"/>
      <c r="O335" s="2"/>
      <c r="P335" s="2"/>
      <c r="Q335" s="2"/>
      <c r="R335" s="2"/>
      <c r="S335" s="2"/>
    </row>
    <row r="336" spans="1:38" ht="13">
      <c r="B336" s="1"/>
      <c r="E336" s="2"/>
      <c r="F336" s="2" t="s">
        <v>260</v>
      </c>
      <c r="J336" s="2"/>
      <c r="K336" s="2"/>
      <c r="L336" s="2"/>
      <c r="M336" s="2"/>
      <c r="N336" s="2"/>
      <c r="O336" s="2"/>
      <c r="P336" s="2"/>
      <c r="Q336" s="2"/>
      <c r="R336" s="2"/>
      <c r="S336" s="2"/>
    </row>
    <row r="337" spans="2:37" ht="13">
      <c r="B337" s="1"/>
      <c r="E337" s="2"/>
      <c r="F337" s="2" t="s">
        <v>261</v>
      </c>
      <c r="I337" s="2"/>
      <c r="J337" s="2"/>
      <c r="K337" s="2"/>
      <c r="L337" s="2"/>
      <c r="M337" s="2"/>
      <c r="N337" s="2"/>
      <c r="O337" s="2"/>
      <c r="P337" s="2"/>
      <c r="Q337" s="2"/>
      <c r="R337" s="2"/>
      <c r="S337" s="2"/>
    </row>
    <row r="338" spans="2:37" ht="13">
      <c r="B338" s="1"/>
      <c r="E338" s="2" t="s">
        <v>30</v>
      </c>
      <c r="F338" s="1222" t="s">
        <v>262</v>
      </c>
      <c r="G338" s="1222"/>
      <c r="H338" s="1222"/>
      <c r="I338" s="1222"/>
      <c r="J338" s="1222"/>
      <c r="K338" s="1222"/>
      <c r="L338" s="1222"/>
      <c r="M338" s="1222"/>
      <c r="N338" s="1222"/>
      <c r="O338" s="1222"/>
      <c r="P338" s="1222"/>
      <c r="Q338" s="1222"/>
      <c r="R338" s="1222"/>
      <c r="S338" s="1222"/>
      <c r="T338" s="1222"/>
      <c r="U338" s="1222"/>
      <c r="V338" s="1222"/>
      <c r="W338" s="1222"/>
      <c r="X338" s="1222"/>
      <c r="Y338" s="1222"/>
      <c r="Z338" s="1222"/>
      <c r="AA338" s="1222"/>
      <c r="AB338" s="1222"/>
      <c r="AC338" s="1222"/>
      <c r="AD338" s="1222"/>
      <c r="AE338" s="1222"/>
      <c r="AF338" s="1222"/>
      <c r="AG338" s="1222"/>
      <c r="AH338" s="1222"/>
      <c r="AI338" s="1222"/>
      <c r="AJ338" s="1222"/>
      <c r="AK338" s="1222"/>
    </row>
    <row r="339" spans="2:37" ht="13">
      <c r="B339" s="1"/>
      <c r="E339" s="2"/>
      <c r="F339" s="1222"/>
      <c r="G339" s="1222"/>
      <c r="H339" s="1222"/>
      <c r="I339" s="1222"/>
      <c r="J339" s="1222"/>
      <c r="K339" s="1222"/>
      <c r="L339" s="1222"/>
      <c r="M339" s="1222"/>
      <c r="N339" s="1222"/>
      <c r="O339" s="1222"/>
      <c r="P339" s="1222"/>
      <c r="Q339" s="1222"/>
      <c r="R339" s="1222"/>
      <c r="S339" s="1222"/>
      <c r="T339" s="1222"/>
      <c r="U339" s="1222"/>
      <c r="V339" s="1222"/>
      <c r="W339" s="1222"/>
      <c r="X339" s="1222"/>
      <c r="Y339" s="1222"/>
      <c r="Z339" s="1222"/>
      <c r="AA339" s="1222"/>
      <c r="AB339" s="1222"/>
      <c r="AC339" s="1222"/>
      <c r="AD339" s="1222"/>
      <c r="AE339" s="1222"/>
      <c r="AF339" s="1222"/>
      <c r="AG339" s="1222"/>
      <c r="AH339" s="1222"/>
      <c r="AI339" s="1222"/>
      <c r="AJ339" s="1222"/>
      <c r="AK339" s="1222"/>
    </row>
    <row r="340" spans="2:37" ht="13">
      <c r="B340" s="1"/>
      <c r="E340" s="2"/>
      <c r="F340" s="1222"/>
      <c r="G340" s="1222"/>
      <c r="H340" s="1222"/>
      <c r="I340" s="1222"/>
      <c r="J340" s="1222"/>
      <c r="K340" s="1222"/>
      <c r="L340" s="1222"/>
      <c r="M340" s="1222"/>
      <c r="N340" s="1222"/>
      <c r="O340" s="1222"/>
      <c r="P340" s="1222"/>
      <c r="Q340" s="1222"/>
      <c r="R340" s="1222"/>
      <c r="S340" s="1222"/>
      <c r="T340" s="1222"/>
      <c r="U340" s="1222"/>
      <c r="V340" s="1222"/>
      <c r="W340" s="1222"/>
      <c r="X340" s="1222"/>
      <c r="Y340" s="1222"/>
      <c r="Z340" s="1222"/>
      <c r="AA340" s="1222"/>
      <c r="AB340" s="1222"/>
      <c r="AC340" s="1222"/>
      <c r="AD340" s="1222"/>
      <c r="AE340" s="1222"/>
      <c r="AF340" s="1222"/>
      <c r="AG340" s="1222"/>
      <c r="AH340" s="1222"/>
      <c r="AI340" s="1222"/>
      <c r="AJ340" s="1222"/>
      <c r="AK340" s="1222"/>
    </row>
    <row r="341" spans="2:37" ht="13">
      <c r="B341" s="1"/>
      <c r="F341" s="2"/>
      <c r="H341" s="2"/>
      <c r="I341" s="2"/>
      <c r="J341" s="2"/>
      <c r="K341" s="2"/>
      <c r="L341" s="2"/>
      <c r="M341" s="2"/>
      <c r="N341" s="2"/>
      <c r="O341" s="2"/>
      <c r="P341" s="2"/>
      <c r="Q341" s="2"/>
      <c r="R341" s="2"/>
      <c r="S341" s="2"/>
    </row>
    <row r="342" spans="2:37" ht="13">
      <c r="B342" s="1"/>
      <c r="C342" s="1" t="s">
        <v>88</v>
      </c>
      <c r="G342" s="1" t="s">
        <v>263</v>
      </c>
      <c r="I342" s="1"/>
      <c r="J342" s="2"/>
      <c r="K342" s="2"/>
      <c r="L342" s="2"/>
      <c r="M342" s="2"/>
      <c r="N342" s="2"/>
      <c r="O342" s="2"/>
      <c r="P342" s="2"/>
      <c r="Q342" s="2"/>
      <c r="R342" s="2"/>
      <c r="S342" s="2"/>
    </row>
    <row r="343" spans="2:37" ht="13.4" customHeight="1">
      <c r="B343" s="1"/>
      <c r="E343" s="1224" t="s">
        <v>264</v>
      </c>
      <c r="F343" s="1224"/>
      <c r="G343" s="1224"/>
      <c r="H343" s="1224"/>
      <c r="I343" s="1224"/>
      <c r="J343" s="1224"/>
      <c r="K343" s="1224"/>
      <c r="L343" s="1224"/>
      <c r="M343" s="1224"/>
      <c r="N343" s="1224"/>
      <c r="O343" s="1224"/>
      <c r="P343" s="1224"/>
      <c r="Q343" s="1224"/>
      <c r="R343" s="1224"/>
      <c r="S343" s="1224"/>
      <c r="T343" s="1224"/>
      <c r="U343" s="1224"/>
      <c r="V343" s="1224"/>
      <c r="W343" s="1224"/>
      <c r="X343" s="1224"/>
      <c r="Y343" s="1224"/>
      <c r="Z343" s="1224"/>
      <c r="AA343" s="1224"/>
      <c r="AB343" s="1224"/>
      <c r="AC343" s="1224"/>
      <c r="AD343" s="1224"/>
      <c r="AE343" s="1224"/>
      <c r="AF343" s="1224"/>
      <c r="AG343" s="1224"/>
      <c r="AH343" s="1224"/>
      <c r="AI343" s="1224"/>
      <c r="AJ343" s="1224"/>
      <c r="AK343" s="1224"/>
    </row>
    <row r="344" spans="2:37" ht="13">
      <c r="B344" s="1"/>
      <c r="E344" s="1224"/>
      <c r="F344" s="1224"/>
      <c r="G344" s="1224"/>
      <c r="H344" s="1224"/>
      <c r="I344" s="1224"/>
      <c r="J344" s="1224"/>
      <c r="K344" s="1224"/>
      <c r="L344" s="1224"/>
      <c r="M344" s="1224"/>
      <c r="N344" s="1224"/>
      <c r="O344" s="1224"/>
      <c r="P344" s="1224"/>
      <c r="Q344" s="1224"/>
      <c r="R344" s="1224"/>
      <c r="S344" s="1224"/>
      <c r="T344" s="1224"/>
      <c r="U344" s="1224"/>
      <c r="V344" s="1224"/>
      <c r="W344" s="1224"/>
      <c r="X344" s="1224"/>
      <c r="Y344" s="1224"/>
      <c r="Z344" s="1224"/>
      <c r="AA344" s="1224"/>
      <c r="AB344" s="1224"/>
      <c r="AC344" s="1224"/>
      <c r="AD344" s="1224"/>
      <c r="AE344" s="1224"/>
      <c r="AF344" s="1224"/>
      <c r="AG344" s="1224"/>
      <c r="AH344" s="1224"/>
      <c r="AI344" s="1224"/>
      <c r="AJ344" s="1224"/>
      <c r="AK344" s="1224"/>
    </row>
    <row r="345" spans="2:37" ht="13">
      <c r="B345" s="1"/>
      <c r="E345" s="1224"/>
      <c r="F345" s="1224"/>
      <c r="G345" s="1224"/>
      <c r="H345" s="1224"/>
      <c r="I345" s="1224"/>
      <c r="J345" s="1224"/>
      <c r="K345" s="1224"/>
      <c r="L345" s="1224"/>
      <c r="M345" s="1224"/>
      <c r="N345" s="1224"/>
      <c r="O345" s="1224"/>
      <c r="P345" s="1224"/>
      <c r="Q345" s="1224"/>
      <c r="R345" s="1224"/>
      <c r="S345" s="1224"/>
      <c r="T345" s="1224"/>
      <c r="U345" s="1224"/>
      <c r="V345" s="1224"/>
      <c r="W345" s="1224"/>
      <c r="X345" s="1224"/>
      <c r="Y345" s="1224"/>
      <c r="Z345" s="1224"/>
      <c r="AA345" s="1224"/>
      <c r="AB345" s="1224"/>
      <c r="AC345" s="1224"/>
      <c r="AD345" s="1224"/>
      <c r="AE345" s="1224"/>
      <c r="AF345" s="1224"/>
      <c r="AG345" s="1224"/>
      <c r="AH345" s="1224"/>
      <c r="AI345" s="1224"/>
      <c r="AJ345" s="1224"/>
      <c r="AK345" s="1224"/>
    </row>
    <row r="346" spans="2:37" ht="13">
      <c r="B346" s="1"/>
      <c r="E346" s="1224"/>
      <c r="F346" s="1224"/>
      <c r="G346" s="1224"/>
      <c r="H346" s="1224"/>
      <c r="I346" s="1224"/>
      <c r="J346" s="1224"/>
      <c r="K346" s="1224"/>
      <c r="L346" s="1224"/>
      <c r="M346" s="1224"/>
      <c r="N346" s="1224"/>
      <c r="O346" s="1224"/>
      <c r="P346" s="1224"/>
      <c r="Q346" s="1224"/>
      <c r="R346" s="1224"/>
      <c r="S346" s="1224"/>
      <c r="T346" s="1224"/>
      <c r="U346" s="1224"/>
      <c r="V346" s="1224"/>
      <c r="W346" s="1224"/>
      <c r="X346" s="1224"/>
      <c r="Y346" s="1224"/>
      <c r="Z346" s="1224"/>
      <c r="AA346" s="1224"/>
      <c r="AB346" s="1224"/>
      <c r="AC346" s="1224"/>
      <c r="AD346" s="1224"/>
      <c r="AE346" s="1224"/>
      <c r="AF346" s="1224"/>
      <c r="AG346" s="1224"/>
      <c r="AH346" s="1224"/>
      <c r="AI346" s="1224"/>
      <c r="AJ346" s="1224"/>
      <c r="AK346" s="1224"/>
    </row>
    <row r="347" spans="2:37" ht="13">
      <c r="B347" s="1"/>
      <c r="E347" s="1224"/>
      <c r="F347" s="1224"/>
      <c r="G347" s="1224"/>
      <c r="H347" s="1224"/>
      <c r="I347" s="1224"/>
      <c r="J347" s="1224"/>
      <c r="K347" s="1224"/>
      <c r="L347" s="1224"/>
      <c r="M347" s="1224"/>
      <c r="N347" s="1224"/>
      <c r="O347" s="1224"/>
      <c r="P347" s="1224"/>
      <c r="Q347" s="1224"/>
      <c r="R347" s="1224"/>
      <c r="S347" s="1224"/>
      <c r="T347" s="1224"/>
      <c r="U347" s="1224"/>
      <c r="V347" s="1224"/>
      <c r="W347" s="1224"/>
      <c r="X347" s="1224"/>
      <c r="Y347" s="1224"/>
      <c r="Z347" s="1224"/>
      <c r="AA347" s="1224"/>
      <c r="AB347" s="1224"/>
      <c r="AC347" s="1224"/>
      <c r="AD347" s="1224"/>
      <c r="AE347" s="1224"/>
      <c r="AF347" s="1224"/>
      <c r="AG347" s="1224"/>
      <c r="AH347" s="1224"/>
      <c r="AI347" s="1224"/>
      <c r="AJ347" s="1224"/>
      <c r="AK347" s="1224"/>
    </row>
    <row r="348" spans="2:37" ht="13">
      <c r="B348" s="1"/>
      <c r="E348" s="2" t="s">
        <v>17</v>
      </c>
      <c r="F348" s="1222" t="s">
        <v>265</v>
      </c>
      <c r="G348" s="1222"/>
      <c r="H348" s="1222"/>
      <c r="I348" s="1222"/>
      <c r="J348" s="1222"/>
      <c r="K348" s="1222"/>
      <c r="L348" s="1222"/>
      <c r="M348" s="1222"/>
      <c r="N348" s="1222"/>
      <c r="O348" s="1222"/>
      <c r="P348" s="1222"/>
      <c r="Q348" s="1222"/>
      <c r="R348" s="1222"/>
      <c r="S348" s="1222"/>
      <c r="T348" s="1222"/>
      <c r="U348" s="1222"/>
      <c r="V348" s="1222"/>
      <c r="W348" s="1222"/>
      <c r="X348" s="1222"/>
      <c r="Y348" s="1222"/>
      <c r="Z348" s="1222"/>
      <c r="AA348" s="1222"/>
      <c r="AB348" s="1222"/>
      <c r="AC348" s="1222"/>
      <c r="AD348" s="1222"/>
      <c r="AE348" s="1222"/>
      <c r="AF348" s="1222"/>
      <c r="AG348" s="1222"/>
      <c r="AH348" s="1222"/>
      <c r="AI348" s="1222"/>
      <c r="AJ348" s="1222"/>
      <c r="AK348" s="1222"/>
    </row>
    <row r="349" spans="2:37" ht="13">
      <c r="B349" s="1"/>
      <c r="E349" s="2"/>
      <c r="F349" s="1222"/>
      <c r="G349" s="1222"/>
      <c r="H349" s="1222"/>
      <c r="I349" s="1222"/>
      <c r="J349" s="1222"/>
      <c r="K349" s="1222"/>
      <c r="L349" s="1222"/>
      <c r="M349" s="1222"/>
      <c r="N349" s="1222"/>
      <c r="O349" s="1222"/>
      <c r="P349" s="1222"/>
      <c r="Q349" s="1222"/>
      <c r="R349" s="1222"/>
      <c r="S349" s="1222"/>
      <c r="T349" s="1222"/>
      <c r="U349" s="1222"/>
      <c r="V349" s="1222"/>
      <c r="W349" s="1222"/>
      <c r="X349" s="1222"/>
      <c r="Y349" s="1222"/>
      <c r="Z349" s="1222"/>
      <c r="AA349" s="1222"/>
      <c r="AB349" s="1222"/>
      <c r="AC349" s="1222"/>
      <c r="AD349" s="1222"/>
      <c r="AE349" s="1222"/>
      <c r="AF349" s="1222"/>
      <c r="AG349" s="1222"/>
      <c r="AH349" s="1222"/>
      <c r="AI349" s="1222"/>
      <c r="AJ349" s="1222"/>
      <c r="AK349" s="1222"/>
    </row>
    <row r="350" spans="2:37" ht="13">
      <c r="B350" s="1"/>
      <c r="E350" s="2"/>
      <c r="F350" s="1222"/>
      <c r="G350" s="1222"/>
      <c r="H350" s="1222"/>
      <c r="I350" s="1222"/>
      <c r="J350" s="1222"/>
      <c r="K350" s="1222"/>
      <c r="L350" s="1222"/>
      <c r="M350" s="1222"/>
      <c r="N350" s="1222"/>
      <c r="O350" s="1222"/>
      <c r="P350" s="1222"/>
      <c r="Q350" s="1222"/>
      <c r="R350" s="1222"/>
      <c r="S350" s="1222"/>
      <c r="T350" s="1222"/>
      <c r="U350" s="1222"/>
      <c r="V350" s="1222"/>
      <c r="W350" s="1222"/>
      <c r="X350" s="1222"/>
      <c r="Y350" s="1222"/>
      <c r="Z350" s="1222"/>
      <c r="AA350" s="1222"/>
      <c r="AB350" s="1222"/>
      <c r="AC350" s="1222"/>
      <c r="AD350" s="1222"/>
      <c r="AE350" s="1222"/>
      <c r="AF350" s="1222"/>
      <c r="AG350" s="1222"/>
      <c r="AH350" s="1222"/>
      <c r="AI350" s="1222"/>
      <c r="AJ350" s="1222"/>
      <c r="AK350" s="1222"/>
    </row>
    <row r="351" spans="2:37" ht="13">
      <c r="B351" s="1"/>
      <c r="E351" s="2"/>
      <c r="F351" s="1222"/>
      <c r="G351" s="1222"/>
      <c r="H351" s="1222"/>
      <c r="I351" s="1222"/>
      <c r="J351" s="1222"/>
      <c r="K351" s="1222"/>
      <c r="L351" s="1222"/>
      <c r="M351" s="1222"/>
      <c r="N351" s="1222"/>
      <c r="O351" s="1222"/>
      <c r="P351" s="1222"/>
      <c r="Q351" s="1222"/>
      <c r="R351" s="1222"/>
      <c r="S351" s="1222"/>
      <c r="T351" s="1222"/>
      <c r="U351" s="1222"/>
      <c r="V351" s="1222"/>
      <c r="W351" s="1222"/>
      <c r="X351" s="1222"/>
      <c r="Y351" s="1222"/>
      <c r="Z351" s="1222"/>
      <c r="AA351" s="1222"/>
      <c r="AB351" s="1222"/>
      <c r="AC351" s="1222"/>
      <c r="AD351" s="1222"/>
      <c r="AE351" s="1222"/>
      <c r="AF351" s="1222"/>
      <c r="AG351" s="1222"/>
      <c r="AH351" s="1222"/>
      <c r="AI351" s="1222"/>
      <c r="AJ351" s="1222"/>
      <c r="AK351" s="1222"/>
    </row>
    <row r="352" spans="2:37" ht="13">
      <c r="B352" s="1"/>
      <c r="E352" s="2" t="s">
        <v>30</v>
      </c>
      <c r="F352" s="1222" t="s">
        <v>266</v>
      </c>
      <c r="G352" s="1222"/>
      <c r="H352" s="1222"/>
      <c r="I352" s="1222"/>
      <c r="J352" s="1222"/>
      <c r="K352" s="1222"/>
      <c r="L352" s="1222"/>
      <c r="M352" s="1222"/>
      <c r="N352" s="1222"/>
      <c r="O352" s="1222"/>
      <c r="P352" s="1222"/>
      <c r="Q352" s="1222"/>
      <c r="R352" s="1222"/>
      <c r="S352" s="1222"/>
      <c r="T352" s="1222"/>
      <c r="U352" s="1222"/>
      <c r="V352" s="1222"/>
      <c r="W352" s="1222"/>
      <c r="X352" s="1222"/>
      <c r="Y352" s="1222"/>
      <c r="Z352" s="1222"/>
      <c r="AA352" s="1222"/>
      <c r="AB352" s="1222"/>
      <c r="AC352" s="1222"/>
      <c r="AD352" s="1222"/>
      <c r="AE352" s="1222"/>
      <c r="AF352" s="1222"/>
      <c r="AG352" s="1222"/>
      <c r="AH352" s="1222"/>
      <c r="AI352" s="1222"/>
      <c r="AJ352" s="1222"/>
      <c r="AK352" s="1222"/>
    </row>
    <row r="353" spans="1:38" ht="13">
      <c r="B353" s="1"/>
      <c r="F353" s="1222"/>
      <c r="G353" s="1222"/>
      <c r="H353" s="1222"/>
      <c r="I353" s="1222"/>
      <c r="J353" s="1222"/>
      <c r="K353" s="1222"/>
      <c r="L353" s="1222"/>
      <c r="M353" s="1222"/>
      <c r="N353" s="1222"/>
      <c r="O353" s="1222"/>
      <c r="P353" s="1222"/>
      <c r="Q353" s="1222"/>
      <c r="R353" s="1222"/>
      <c r="S353" s="1222"/>
      <c r="T353" s="1222"/>
      <c r="U353" s="1222"/>
      <c r="V353" s="1222"/>
      <c r="W353" s="1222"/>
      <c r="X353" s="1222"/>
      <c r="Y353" s="1222"/>
      <c r="Z353" s="1222"/>
      <c r="AA353" s="1222"/>
      <c r="AB353" s="1222"/>
      <c r="AC353" s="1222"/>
      <c r="AD353" s="1222"/>
      <c r="AE353" s="1222"/>
      <c r="AF353" s="1222"/>
      <c r="AG353" s="1222"/>
      <c r="AH353" s="1222"/>
      <c r="AI353" s="1222"/>
      <c r="AJ353" s="1222"/>
      <c r="AK353" s="1222"/>
    </row>
    <row r="354" spans="1:38" ht="13">
      <c r="B354" s="1"/>
      <c r="F354" s="1222"/>
      <c r="G354" s="1222"/>
      <c r="H354" s="1222"/>
      <c r="I354" s="1222"/>
      <c r="J354" s="1222"/>
      <c r="K354" s="1222"/>
      <c r="L354" s="1222"/>
      <c r="M354" s="1222"/>
      <c r="N354" s="1222"/>
      <c r="O354" s="1222"/>
      <c r="P354" s="1222"/>
      <c r="Q354" s="1222"/>
      <c r="R354" s="1222"/>
      <c r="S354" s="1222"/>
      <c r="T354" s="1222"/>
      <c r="U354" s="1222"/>
      <c r="V354" s="1222"/>
      <c r="W354" s="1222"/>
      <c r="X354" s="1222"/>
      <c r="Y354" s="1222"/>
      <c r="Z354" s="1222"/>
      <c r="AA354" s="1222"/>
      <c r="AB354" s="1222"/>
      <c r="AC354" s="1222"/>
      <c r="AD354" s="1222"/>
      <c r="AE354" s="1222"/>
      <c r="AF354" s="1222"/>
      <c r="AG354" s="1222"/>
      <c r="AH354" s="1222"/>
      <c r="AI354" s="1222"/>
      <c r="AJ354" s="1222"/>
      <c r="AK354" s="1222"/>
    </row>
    <row r="355" spans="1:38" ht="13">
      <c r="B355" s="1"/>
      <c r="F355" s="2"/>
      <c r="H355" s="2"/>
      <c r="I355" s="2"/>
      <c r="J355" s="2"/>
      <c r="K355" s="2"/>
      <c r="L355" s="2"/>
      <c r="M355" s="2"/>
      <c r="N355" s="2"/>
      <c r="O355" s="2"/>
      <c r="P355" s="2"/>
      <c r="Q355" s="2"/>
      <c r="R355" s="2"/>
      <c r="S355" s="2"/>
    </row>
    <row r="356" spans="1:38" ht="13">
      <c r="A356" s="4"/>
      <c r="B356" s="10" t="s">
        <v>267</v>
      </c>
      <c r="C356" s="10" t="s">
        <v>57</v>
      </c>
      <c r="D356" s="4"/>
      <c r="E356" s="10"/>
      <c r="F356" s="4"/>
      <c r="G356" s="4"/>
      <c r="H356" s="4"/>
      <c r="I356" s="4"/>
      <c r="J356" s="4"/>
      <c r="K356" s="4"/>
      <c r="L356" s="4"/>
      <c r="M356" s="1036"/>
      <c r="N356" s="1036"/>
      <c r="O356" s="1036"/>
      <c r="P356" s="1036"/>
      <c r="Q356" s="1036"/>
      <c r="R356" s="1036"/>
      <c r="S356" s="1036"/>
      <c r="T356" s="1036"/>
      <c r="U356" s="4"/>
      <c r="V356" s="4"/>
      <c r="W356" s="4"/>
      <c r="X356" s="4"/>
      <c r="Y356" s="4"/>
      <c r="Z356" s="4"/>
      <c r="AA356" s="4"/>
      <c r="AB356" s="4"/>
      <c r="AC356" s="4"/>
      <c r="AD356" s="4"/>
      <c r="AE356" s="4"/>
      <c r="AF356" s="4"/>
      <c r="AG356" s="4"/>
      <c r="AH356" s="4"/>
      <c r="AI356" s="4"/>
      <c r="AJ356" s="4"/>
      <c r="AK356" s="4"/>
      <c r="AL356" s="4"/>
    </row>
    <row r="357" spans="1:38" ht="13">
      <c r="B357" s="1"/>
      <c r="D357" s="383"/>
      <c r="E357" s="1"/>
      <c r="M357" s="2"/>
      <c r="N357" s="2"/>
      <c r="O357" s="2"/>
      <c r="P357" s="2"/>
      <c r="Q357" s="2"/>
      <c r="R357" s="2"/>
      <c r="S357" s="2"/>
      <c r="T357" s="2"/>
    </row>
    <row r="358" spans="1:38" ht="13.4" customHeight="1">
      <c r="B358" s="1"/>
      <c r="C358" s="10" t="s">
        <v>268</v>
      </c>
      <c r="D358" s="4"/>
      <c r="E358" s="4"/>
      <c r="F358" s="4"/>
      <c r="G358" s="4"/>
      <c r="H358" s="4"/>
      <c r="I358" s="331"/>
      <c r="J358" s="331"/>
      <c r="K358" s="331"/>
      <c r="L358" s="331"/>
      <c r="M358" s="331"/>
      <c r="N358" s="331"/>
      <c r="O358" s="331"/>
      <c r="P358" s="331"/>
      <c r="Q358" s="331"/>
      <c r="R358" s="331"/>
      <c r="S358" s="331"/>
      <c r="T358" s="331"/>
      <c r="U358" s="331"/>
      <c r="V358" s="331"/>
      <c r="W358" s="331"/>
      <c r="X358" s="331"/>
      <c r="Y358" s="331"/>
      <c r="Z358" s="331"/>
      <c r="AA358" s="331"/>
      <c r="AB358" s="331"/>
      <c r="AC358" s="331"/>
      <c r="AD358" s="331"/>
      <c r="AE358" s="331"/>
      <c r="AF358" s="331"/>
      <c r="AG358" s="331"/>
      <c r="AH358" s="331"/>
      <c r="AI358" s="331"/>
      <c r="AJ358" s="331"/>
      <c r="AK358" s="331"/>
    </row>
    <row r="359" spans="1:38" ht="13.4" customHeight="1">
      <c r="B359" s="1"/>
      <c r="C359" s="1"/>
      <c r="E359" s="1110"/>
      <c r="F359" s="1110"/>
      <c r="G359" s="1110"/>
      <c r="H359" s="1110"/>
      <c r="I359" s="1110"/>
      <c r="J359" s="1110"/>
      <c r="K359" s="1110"/>
      <c r="L359" s="1110"/>
      <c r="M359" s="1110"/>
      <c r="N359" s="1110"/>
      <c r="O359" s="1110"/>
      <c r="P359" s="1110"/>
      <c r="Q359" s="1110"/>
      <c r="R359" s="1110"/>
      <c r="S359" s="1110"/>
      <c r="T359" s="1110"/>
      <c r="U359" s="1110"/>
      <c r="V359" s="1110"/>
      <c r="W359" s="1110"/>
      <c r="X359" s="1110"/>
      <c r="Y359" s="1110"/>
      <c r="Z359" s="1110"/>
      <c r="AA359" s="1110"/>
      <c r="AB359" s="1110"/>
      <c r="AC359" s="1110"/>
      <c r="AD359" s="1110"/>
      <c r="AE359" s="1110"/>
      <c r="AF359" s="1110"/>
      <c r="AG359" s="1110"/>
      <c r="AH359" s="1110"/>
      <c r="AI359" s="1110"/>
      <c r="AJ359" s="1110"/>
      <c r="AK359" s="1110"/>
    </row>
    <row r="360" spans="1:38" ht="13">
      <c r="B360" s="1"/>
      <c r="D360" s="1" t="s">
        <v>3</v>
      </c>
      <c r="E360" s="1" t="s">
        <v>269</v>
      </c>
      <c r="I360" s="2"/>
      <c r="J360" s="2"/>
      <c r="K360" s="2"/>
      <c r="L360" s="2"/>
      <c r="M360" s="2"/>
      <c r="N360" s="2"/>
      <c r="O360" s="2"/>
      <c r="P360" s="2"/>
      <c r="Q360" s="2"/>
      <c r="R360" s="2"/>
      <c r="S360" s="2"/>
    </row>
    <row r="361" spans="1:38" ht="13">
      <c r="B361" s="1"/>
      <c r="E361" t="s">
        <v>17</v>
      </c>
      <c r="F361" s="2" t="s">
        <v>270</v>
      </c>
      <c r="I361" s="2"/>
      <c r="J361" s="2"/>
      <c r="K361" s="2"/>
      <c r="L361" s="2"/>
      <c r="M361" s="2"/>
      <c r="N361" s="2"/>
      <c r="O361" s="2"/>
      <c r="P361" s="2"/>
      <c r="Q361" s="2"/>
      <c r="R361" s="2"/>
      <c r="S361" s="2"/>
    </row>
    <row r="362" spans="1:38" ht="13">
      <c r="B362" s="1"/>
      <c r="F362" s="2" t="s">
        <v>271</v>
      </c>
      <c r="I362" s="2"/>
      <c r="J362" s="2"/>
      <c r="K362" s="2"/>
      <c r="L362" s="2"/>
      <c r="M362" s="2"/>
      <c r="N362" s="2"/>
      <c r="O362" s="2"/>
      <c r="P362" s="2"/>
      <c r="Q362" s="2"/>
      <c r="R362" s="2"/>
      <c r="S362" s="2"/>
    </row>
    <row r="363" spans="1:38" ht="13">
      <c r="B363" s="1"/>
      <c r="F363" s="2" t="s">
        <v>272</v>
      </c>
      <c r="G363" s="2"/>
      <c r="K363" s="2"/>
      <c r="L363" s="2"/>
      <c r="M363" s="2"/>
      <c r="N363" s="2"/>
      <c r="O363" s="2"/>
      <c r="P363" s="2"/>
      <c r="Q363" s="2"/>
      <c r="R363" s="2"/>
      <c r="S363" s="2"/>
    </row>
    <row r="364" spans="1:38" ht="13">
      <c r="B364" s="1"/>
      <c r="E364" t="s">
        <v>30</v>
      </c>
      <c r="F364" s="2" t="s">
        <v>273</v>
      </c>
      <c r="I364" s="2"/>
      <c r="J364" s="2"/>
      <c r="K364" s="2"/>
      <c r="L364" s="2"/>
      <c r="M364" s="2"/>
      <c r="N364" s="2"/>
      <c r="O364" s="2"/>
      <c r="P364" s="2"/>
      <c r="Q364" s="2"/>
      <c r="R364" s="2"/>
      <c r="S364" s="2"/>
    </row>
    <row r="365" spans="1:38" ht="13">
      <c r="B365" s="1"/>
      <c r="E365" t="s">
        <v>38</v>
      </c>
      <c r="F365" s="2" t="s">
        <v>274</v>
      </c>
      <c r="I365" s="2"/>
      <c r="J365" s="2"/>
      <c r="K365" s="2"/>
      <c r="L365" s="2"/>
      <c r="M365" s="2"/>
      <c r="N365" s="2"/>
      <c r="O365" s="2"/>
      <c r="P365" s="2"/>
      <c r="Q365" s="2"/>
      <c r="R365" s="2"/>
      <c r="S365" s="2"/>
    </row>
    <row r="366" spans="1:38" ht="13">
      <c r="B366" s="1"/>
      <c r="F366" s="2" t="s">
        <v>275</v>
      </c>
      <c r="J366" s="2"/>
      <c r="K366" s="2"/>
      <c r="L366" s="2"/>
      <c r="M366" s="2"/>
      <c r="N366" s="2"/>
      <c r="O366" s="2"/>
      <c r="P366" s="2"/>
      <c r="Q366" s="2"/>
      <c r="R366" s="2"/>
      <c r="S366" s="2"/>
    </row>
    <row r="367" spans="1:38" ht="13">
      <c r="B367" s="1"/>
      <c r="E367" s="1225" t="s">
        <v>276</v>
      </c>
      <c r="F367" s="1225"/>
      <c r="G367" s="1225"/>
      <c r="H367" s="1225"/>
      <c r="I367" s="1225"/>
      <c r="J367" s="1225"/>
      <c r="K367" s="1225"/>
      <c r="L367" s="1225"/>
      <c r="M367" s="1225"/>
      <c r="N367" s="1225"/>
      <c r="O367" s="1225"/>
      <c r="P367" s="1225"/>
      <c r="Q367" s="1225"/>
      <c r="R367" s="1225"/>
      <c r="S367" s="1225"/>
      <c r="T367" s="1225"/>
      <c r="U367" s="1225"/>
      <c r="V367" s="1225"/>
      <c r="W367" s="1225"/>
      <c r="X367" s="1225"/>
      <c r="Y367" s="1225"/>
      <c r="Z367" s="1225"/>
      <c r="AA367" s="1225"/>
      <c r="AB367" s="1225"/>
      <c r="AC367" s="1225"/>
      <c r="AD367" s="1225"/>
      <c r="AE367" s="1225"/>
      <c r="AF367" s="1225"/>
      <c r="AG367" s="1225"/>
      <c r="AH367" s="1225"/>
      <c r="AI367" s="1225"/>
      <c r="AJ367" s="1225"/>
      <c r="AK367" s="1225"/>
      <c r="AL367" s="1225"/>
    </row>
    <row r="368" spans="1:38" ht="13">
      <c r="B368" s="1"/>
      <c r="E368" s="1225"/>
      <c r="F368" s="1225"/>
      <c r="G368" s="1225"/>
      <c r="H368" s="1225"/>
      <c r="I368" s="1225"/>
      <c r="J368" s="1225"/>
      <c r="K368" s="1225"/>
      <c r="L368" s="1225"/>
      <c r="M368" s="1225"/>
      <c r="N368" s="1225"/>
      <c r="O368" s="1225"/>
      <c r="P368" s="1225"/>
      <c r="Q368" s="1225"/>
      <c r="R368" s="1225"/>
      <c r="S368" s="1225"/>
      <c r="T368" s="1225"/>
      <c r="U368" s="1225"/>
      <c r="V368" s="1225"/>
      <c r="W368" s="1225"/>
      <c r="X368" s="1225"/>
      <c r="Y368" s="1225"/>
      <c r="Z368" s="1225"/>
      <c r="AA368" s="1225"/>
      <c r="AB368" s="1225"/>
      <c r="AC368" s="1225"/>
      <c r="AD368" s="1225"/>
      <c r="AE368" s="1225"/>
      <c r="AF368" s="1225"/>
      <c r="AG368" s="1225"/>
      <c r="AH368" s="1225"/>
      <c r="AI368" s="1225"/>
      <c r="AJ368" s="1225"/>
      <c r="AK368" s="1225"/>
      <c r="AL368" s="1225"/>
    </row>
    <row r="369" spans="1:37" s="1227" customFormat="1" ht="13">
      <c r="A369"/>
      <c r="B369" s="1"/>
      <c r="C369"/>
      <c r="D369"/>
      <c r="E369" s="1226" t="s">
        <v>277</v>
      </c>
      <c r="F369" s="1226"/>
      <c r="G369" s="1226"/>
      <c r="H369" s="1226"/>
      <c r="I369" s="1226"/>
      <c r="J369" s="1226"/>
      <c r="K369" s="1226"/>
      <c r="L369" s="1226"/>
      <c r="M369" s="1226"/>
      <c r="N369" s="1226"/>
      <c r="O369" s="1226"/>
      <c r="P369" s="1226"/>
      <c r="Q369" s="1226"/>
      <c r="R369" s="1226"/>
      <c r="S369" s="1226"/>
      <c r="T369" s="1226"/>
      <c r="U369" s="1226"/>
      <c r="V369" s="1226"/>
      <c r="W369" s="1226"/>
      <c r="X369" s="1226"/>
      <c r="Y369" s="1226"/>
      <c r="Z369" s="1226"/>
      <c r="AA369" s="1226"/>
      <c r="AB369" s="1226"/>
      <c r="AC369" s="1226"/>
      <c r="AD369" s="1226"/>
      <c r="AE369" s="1226"/>
      <c r="AF369" s="1226"/>
      <c r="AG369" s="1226"/>
      <c r="AH369" s="1226"/>
      <c r="AI369" s="1226"/>
      <c r="AJ369" s="1226"/>
      <c r="AK369" s="1226"/>
    </row>
    <row r="370" spans="1:37" s="1227" customFormat="1" ht="13">
      <c r="A370"/>
      <c r="B370" s="1"/>
      <c r="C370" s="1"/>
      <c r="D370"/>
      <c r="E370" s="1226"/>
      <c r="F370" s="1226"/>
      <c r="G370" s="1226"/>
      <c r="H370" s="1226"/>
      <c r="I370" s="1226"/>
      <c r="J370" s="1226"/>
      <c r="K370" s="1226"/>
      <c r="L370" s="1226"/>
      <c r="M370" s="1226"/>
      <c r="N370" s="1226"/>
      <c r="O370" s="1226"/>
      <c r="P370" s="1226"/>
      <c r="Q370" s="1226"/>
      <c r="R370" s="1226"/>
      <c r="S370" s="1226"/>
      <c r="T370" s="1226"/>
      <c r="U370" s="1226"/>
      <c r="V370" s="1226"/>
      <c r="W370" s="1226"/>
      <c r="X370" s="1226"/>
      <c r="Y370" s="1226"/>
      <c r="Z370" s="1226"/>
      <c r="AA370" s="1226"/>
      <c r="AB370" s="1226"/>
      <c r="AC370" s="1226"/>
      <c r="AD370" s="1226"/>
      <c r="AE370" s="1226"/>
      <c r="AF370" s="1226"/>
      <c r="AG370" s="1226"/>
      <c r="AH370" s="1226"/>
      <c r="AI370" s="1226"/>
      <c r="AJ370" s="1226"/>
      <c r="AK370" s="1226"/>
    </row>
    <row r="371" spans="1:37" ht="13">
      <c r="B371" s="1"/>
      <c r="E371" s="2"/>
      <c r="F371" s="1137"/>
      <c r="G371" s="1137"/>
      <c r="H371" s="1137"/>
      <c r="I371" s="1137"/>
      <c r="J371" s="1137"/>
      <c r="K371" s="1137"/>
      <c r="L371" s="1137"/>
      <c r="M371" s="1137"/>
      <c r="N371" s="1137"/>
      <c r="O371" s="1137"/>
      <c r="P371" s="1137"/>
      <c r="Q371" s="1137"/>
      <c r="R371" s="1137"/>
      <c r="S371" s="1137"/>
      <c r="T371" s="1137"/>
      <c r="U371" s="1137"/>
      <c r="V371" s="1137"/>
      <c r="W371" s="1137"/>
      <c r="X371" s="1137"/>
      <c r="Y371" s="1137"/>
      <c r="Z371" s="1137"/>
      <c r="AA371" s="1137"/>
      <c r="AB371" s="1137"/>
      <c r="AC371" s="1137"/>
      <c r="AD371" s="1137"/>
      <c r="AE371" s="1137"/>
      <c r="AF371" s="1137"/>
      <c r="AG371" s="1137"/>
      <c r="AH371" s="1137"/>
      <c r="AI371" s="1137"/>
      <c r="AJ371" s="1137"/>
      <c r="AK371" s="1137"/>
    </row>
    <row r="372" spans="1:37" ht="13">
      <c r="B372" s="1"/>
      <c r="D372" s="1" t="s">
        <v>15</v>
      </c>
      <c r="E372" s="1" t="s">
        <v>278</v>
      </c>
      <c r="J372" s="2"/>
      <c r="K372" s="2"/>
      <c r="L372" s="2"/>
      <c r="M372" s="2"/>
      <c r="N372" s="2"/>
      <c r="O372" s="2"/>
      <c r="P372" s="2"/>
      <c r="Q372" s="2"/>
      <c r="R372" s="2"/>
      <c r="S372" s="2"/>
    </row>
    <row r="373" spans="1:37" ht="13">
      <c r="B373" s="1"/>
      <c r="E373" s="2" t="s">
        <v>279</v>
      </c>
      <c r="F373" s="2"/>
      <c r="G373" s="2"/>
      <c r="H373" s="2"/>
      <c r="I373" s="2"/>
      <c r="J373" s="2"/>
      <c r="K373" s="2"/>
      <c r="L373" s="2"/>
      <c r="M373" s="2"/>
      <c r="N373" s="2"/>
      <c r="O373" s="2"/>
      <c r="P373" s="2"/>
      <c r="Q373" s="2"/>
      <c r="R373" s="2"/>
      <c r="S373" s="2"/>
    </row>
    <row r="374" spans="1:37" ht="13">
      <c r="B374" s="1"/>
      <c r="E374" s="2" t="s">
        <v>280</v>
      </c>
      <c r="F374" s="2"/>
      <c r="G374" s="2"/>
      <c r="H374" s="2"/>
      <c r="I374" s="2"/>
      <c r="J374" s="2"/>
      <c r="K374" s="2"/>
      <c r="L374" s="2"/>
      <c r="M374" s="2"/>
      <c r="N374" s="2"/>
      <c r="O374" s="2"/>
      <c r="P374" s="2"/>
      <c r="Q374" s="2"/>
      <c r="R374" s="2"/>
      <c r="S374" s="2"/>
    </row>
    <row r="375" spans="1:37" ht="13">
      <c r="B375" s="1"/>
      <c r="E375" s="2"/>
      <c r="F375" s="2"/>
      <c r="G375" s="2"/>
      <c r="H375" s="2"/>
      <c r="I375" s="2"/>
      <c r="J375" s="2"/>
      <c r="K375" s="2"/>
      <c r="L375" s="2"/>
      <c r="M375" s="2"/>
      <c r="N375" s="2"/>
      <c r="O375" s="2"/>
      <c r="P375" s="2"/>
      <c r="Q375" s="2"/>
      <c r="R375" s="2"/>
      <c r="S375" s="2"/>
    </row>
    <row r="376" spans="1:37" ht="13">
      <c r="B376" s="1"/>
      <c r="D376" s="1" t="s">
        <v>93</v>
      </c>
      <c r="E376" s="1" t="s">
        <v>281</v>
      </c>
      <c r="J376" s="2"/>
      <c r="K376" s="2"/>
      <c r="L376" s="2"/>
      <c r="M376" s="2"/>
      <c r="N376" s="2"/>
      <c r="O376" s="2"/>
      <c r="P376" s="2"/>
      <c r="Q376" s="2"/>
      <c r="R376" s="2"/>
      <c r="S376" s="2"/>
    </row>
    <row r="377" spans="1:37" ht="13">
      <c r="B377" s="1"/>
      <c r="E377" s="2" t="s">
        <v>17</v>
      </c>
      <c r="F377" s="2" t="s">
        <v>282</v>
      </c>
      <c r="G377" s="2"/>
      <c r="I377" s="2"/>
      <c r="J377" s="2"/>
      <c r="K377" s="2"/>
      <c r="L377" s="2"/>
      <c r="M377" s="2"/>
      <c r="N377" s="2"/>
      <c r="O377" s="2"/>
      <c r="P377" s="2"/>
      <c r="Q377" s="2"/>
      <c r="R377" s="2"/>
      <c r="S377" s="2"/>
    </row>
    <row r="378" spans="1:37" ht="13">
      <c r="B378" s="1"/>
      <c r="E378" s="2"/>
      <c r="F378" s="70" t="s">
        <v>283</v>
      </c>
      <c r="G378" s="2"/>
      <c r="I378" s="70"/>
      <c r="J378" s="2"/>
      <c r="K378" s="2"/>
      <c r="L378" s="2"/>
      <c r="M378" s="2"/>
      <c r="N378" s="2"/>
      <c r="O378" s="2"/>
      <c r="P378" s="2"/>
      <c r="Q378" s="2"/>
      <c r="R378" s="2"/>
      <c r="S378" s="2"/>
    </row>
    <row r="379" spans="1:37" ht="13">
      <c r="B379" s="1"/>
      <c r="E379" s="2" t="s">
        <v>30</v>
      </c>
      <c r="F379" s="2" t="s">
        <v>284</v>
      </c>
      <c r="G379" s="2"/>
      <c r="I379" s="70"/>
      <c r="J379" s="2"/>
      <c r="K379" s="2"/>
      <c r="L379" s="2"/>
      <c r="M379" s="2"/>
      <c r="N379" s="2"/>
      <c r="O379" s="2"/>
      <c r="P379" s="2"/>
      <c r="Q379" s="2"/>
      <c r="R379" s="2"/>
      <c r="S379" s="2"/>
    </row>
    <row r="380" spans="1:37" ht="13">
      <c r="B380" s="1"/>
      <c r="E380" s="2"/>
      <c r="F380" s="2"/>
      <c r="G380" s="2"/>
      <c r="I380" s="70"/>
      <c r="J380" s="2"/>
      <c r="K380" s="2"/>
      <c r="L380" s="2"/>
      <c r="M380" s="2"/>
      <c r="N380" s="2"/>
      <c r="O380" s="2"/>
      <c r="P380" s="2"/>
      <c r="Q380" s="2"/>
      <c r="R380" s="2"/>
      <c r="S380" s="2"/>
    </row>
    <row r="381" spans="1:37" ht="13">
      <c r="B381" s="1"/>
      <c r="D381" s="1" t="s">
        <v>98</v>
      </c>
      <c r="E381" s="1" t="s">
        <v>285</v>
      </c>
      <c r="J381" s="2"/>
      <c r="K381" s="2"/>
      <c r="L381" s="2"/>
      <c r="M381" s="2"/>
      <c r="N381" s="2"/>
      <c r="O381" s="2"/>
      <c r="P381" s="2"/>
      <c r="Q381" s="2"/>
      <c r="R381" s="2"/>
      <c r="S381" s="2"/>
    </row>
    <row r="382" spans="1:37" ht="13">
      <c r="B382" s="1"/>
      <c r="D382" s="1"/>
      <c r="E382" s="2" t="s">
        <v>279</v>
      </c>
      <c r="F382" s="2"/>
      <c r="G382" s="2"/>
      <c r="J382" s="2"/>
      <c r="K382" s="2"/>
      <c r="L382" s="2"/>
      <c r="M382" s="2"/>
      <c r="N382" s="2"/>
      <c r="O382" s="2"/>
      <c r="P382" s="2"/>
      <c r="Q382" s="2"/>
      <c r="R382" s="2"/>
      <c r="S382" s="2"/>
    </row>
    <row r="383" spans="1:37" ht="13">
      <c r="B383" s="1"/>
      <c r="D383" s="1"/>
      <c r="E383" s="2" t="s">
        <v>286</v>
      </c>
      <c r="F383" s="2"/>
      <c r="G383" s="2"/>
      <c r="J383" s="2"/>
      <c r="K383" s="2"/>
      <c r="L383" s="2"/>
      <c r="M383" s="2"/>
      <c r="N383" s="2"/>
      <c r="O383" s="2"/>
      <c r="P383" s="2"/>
      <c r="Q383" s="2"/>
      <c r="R383" s="2"/>
      <c r="S383" s="2"/>
    </row>
    <row r="384" spans="1:37" ht="13">
      <c r="B384" s="1"/>
      <c r="D384" s="1"/>
      <c r="E384" s="2"/>
      <c r="F384" s="2"/>
      <c r="G384" s="2"/>
      <c r="J384" s="2"/>
      <c r="K384" s="2"/>
      <c r="L384" s="2"/>
      <c r="M384" s="2"/>
      <c r="N384" s="2"/>
      <c r="O384" s="2"/>
      <c r="P384" s="2"/>
      <c r="Q384" s="2"/>
      <c r="R384" s="2"/>
      <c r="S384" s="2"/>
    </row>
    <row r="385" spans="1:38" s="96" customFormat="1" ht="13">
      <c r="A385"/>
      <c r="B385" s="1"/>
      <c r="C385"/>
      <c r="D385" s="1" t="s">
        <v>101</v>
      </c>
      <c r="E385" s="1" t="s">
        <v>287</v>
      </c>
      <c r="F385"/>
      <c r="G385"/>
      <c r="H385"/>
      <c r="I385"/>
      <c r="J385" s="2"/>
      <c r="K385" s="2"/>
      <c r="L385" s="2"/>
      <c r="M385" s="2"/>
      <c r="N385" s="2"/>
      <c r="O385" s="2"/>
      <c r="P385" s="2"/>
      <c r="Q385" s="2"/>
      <c r="R385" s="2"/>
      <c r="S385" s="2"/>
      <c r="T385"/>
      <c r="U385"/>
      <c r="V385"/>
      <c r="W385"/>
      <c r="X385"/>
      <c r="Y385"/>
      <c r="Z385"/>
      <c r="AA385"/>
      <c r="AB385"/>
      <c r="AC385"/>
      <c r="AD385"/>
      <c r="AE385"/>
      <c r="AF385"/>
      <c r="AG385"/>
      <c r="AH385"/>
      <c r="AI385"/>
      <c r="AJ385"/>
      <c r="AK385"/>
      <c r="AL385"/>
    </row>
    <row r="386" spans="1:38" s="96" customFormat="1" ht="13">
      <c r="A386"/>
      <c r="B386" s="1"/>
      <c r="C386"/>
      <c r="D386"/>
      <c r="E386" s="2" t="s">
        <v>17</v>
      </c>
      <c r="F386" s="2" t="s">
        <v>288</v>
      </c>
      <c r="G386" s="2"/>
      <c r="H386"/>
      <c r="I386" s="2"/>
      <c r="J386" s="2"/>
      <c r="K386" s="2"/>
      <c r="L386" s="2"/>
      <c r="M386" s="2"/>
      <c r="N386" s="2"/>
      <c r="O386" s="2"/>
      <c r="P386" s="2"/>
      <c r="Q386" s="2"/>
      <c r="R386" s="2"/>
      <c r="S386" s="2"/>
      <c r="T386"/>
      <c r="U386"/>
      <c r="V386"/>
      <c r="W386"/>
      <c r="X386"/>
      <c r="Y386"/>
      <c r="Z386"/>
      <c r="AA386"/>
      <c r="AB386"/>
      <c r="AC386"/>
      <c r="AD386"/>
      <c r="AE386"/>
      <c r="AF386"/>
      <c r="AG386"/>
      <c r="AH386"/>
      <c r="AI386"/>
      <c r="AJ386"/>
      <c r="AK386"/>
      <c r="AL386"/>
    </row>
    <row r="387" spans="1:38" s="96" customFormat="1" ht="13">
      <c r="A387"/>
      <c r="B387" s="1"/>
      <c r="C387"/>
      <c r="D387"/>
      <c r="E387" s="2"/>
      <c r="F387" s="70" t="s">
        <v>283</v>
      </c>
      <c r="G387" s="2"/>
      <c r="H387"/>
      <c r="I387" s="2"/>
      <c r="J387" s="2"/>
      <c r="K387" s="2"/>
      <c r="L387" s="2"/>
      <c r="M387" s="2"/>
      <c r="N387" s="2"/>
      <c r="O387" s="2"/>
      <c r="P387" s="2"/>
      <c r="Q387" s="2"/>
      <c r="R387" s="2"/>
      <c r="S387" s="2"/>
      <c r="T387"/>
      <c r="U387"/>
      <c r="V387"/>
      <c r="W387"/>
      <c r="X387"/>
      <c r="Y387"/>
      <c r="Z387"/>
      <c r="AA387"/>
      <c r="AB387"/>
      <c r="AC387"/>
      <c r="AD387"/>
      <c r="AE387"/>
      <c r="AF387"/>
      <c r="AG387"/>
      <c r="AH387"/>
      <c r="AI387"/>
      <c r="AJ387"/>
      <c r="AK387"/>
      <c r="AL387"/>
    </row>
    <row r="388" spans="1:38" ht="13">
      <c r="B388" s="1"/>
      <c r="E388" s="2" t="s">
        <v>30</v>
      </c>
      <c r="F388" s="1222" t="s">
        <v>289</v>
      </c>
      <c r="G388" s="1222"/>
      <c r="H388" s="1222"/>
      <c r="I388" s="1222"/>
      <c r="J388" s="1222"/>
      <c r="K388" s="1222"/>
      <c r="L388" s="1222"/>
      <c r="M388" s="1222"/>
      <c r="N388" s="1222"/>
      <c r="O388" s="1222"/>
      <c r="P388" s="1222"/>
      <c r="Q388" s="1222"/>
      <c r="R388" s="1222"/>
      <c r="S388" s="1222"/>
      <c r="T388" s="1222"/>
      <c r="U388" s="1222"/>
      <c r="V388" s="1222"/>
      <c r="W388" s="1222"/>
      <c r="X388" s="1222"/>
      <c r="Y388" s="1222"/>
      <c r="Z388" s="1222"/>
      <c r="AA388" s="1222"/>
      <c r="AB388" s="1222"/>
      <c r="AC388" s="1222"/>
      <c r="AD388" s="1222"/>
      <c r="AE388" s="1222"/>
      <c r="AF388" s="1222"/>
      <c r="AG388" s="1222"/>
      <c r="AH388" s="1222"/>
      <c r="AI388" s="1222"/>
      <c r="AJ388" s="1222"/>
      <c r="AK388" s="1222"/>
    </row>
    <row r="389" spans="1:38" ht="13">
      <c r="B389" s="1"/>
      <c r="E389" s="2"/>
      <c r="F389" s="1222"/>
      <c r="G389" s="1222"/>
      <c r="H389" s="1222"/>
      <c r="I389" s="1222"/>
      <c r="J389" s="1222"/>
      <c r="K389" s="1222"/>
      <c r="L389" s="1222"/>
      <c r="M389" s="1222"/>
      <c r="N389" s="1222"/>
      <c r="O389" s="1222"/>
      <c r="P389" s="1222"/>
      <c r="Q389" s="1222"/>
      <c r="R389" s="1222"/>
      <c r="S389" s="1222"/>
      <c r="T389" s="1222"/>
      <c r="U389" s="1222"/>
      <c r="V389" s="1222"/>
      <c r="W389" s="1222"/>
      <c r="X389" s="1222"/>
      <c r="Y389" s="1222"/>
      <c r="Z389" s="1222"/>
      <c r="AA389" s="1222"/>
      <c r="AB389" s="1222"/>
      <c r="AC389" s="1222"/>
      <c r="AD389" s="1222"/>
      <c r="AE389" s="1222"/>
      <c r="AF389" s="1222"/>
      <c r="AG389" s="1222"/>
      <c r="AH389" s="1222"/>
      <c r="AI389" s="1222"/>
      <c r="AJ389" s="1222"/>
      <c r="AK389" s="1222"/>
    </row>
    <row r="390" spans="1:38" ht="13">
      <c r="B390" s="1"/>
      <c r="E390" s="2"/>
      <c r="F390" s="1222"/>
      <c r="G390" s="1222"/>
      <c r="H390" s="1222"/>
      <c r="I390" s="1222"/>
      <c r="J390" s="1222"/>
      <c r="K390" s="1222"/>
      <c r="L390" s="1222"/>
      <c r="M390" s="1222"/>
      <c r="N390" s="1222"/>
      <c r="O390" s="1222"/>
      <c r="P390" s="1222"/>
      <c r="Q390" s="1222"/>
      <c r="R390" s="1222"/>
      <c r="S390" s="1222"/>
      <c r="T390" s="1222"/>
      <c r="U390" s="1222"/>
      <c r="V390" s="1222"/>
      <c r="W390" s="1222"/>
      <c r="X390" s="1222"/>
      <c r="Y390" s="1222"/>
      <c r="Z390" s="1222"/>
      <c r="AA390" s="1222"/>
      <c r="AB390" s="1222"/>
      <c r="AC390" s="1222"/>
      <c r="AD390" s="1222"/>
      <c r="AE390" s="1222"/>
      <c r="AF390" s="1222"/>
      <c r="AG390" s="1222"/>
      <c r="AH390" s="1222"/>
      <c r="AI390" s="1222"/>
      <c r="AJ390" s="1222"/>
      <c r="AK390" s="1222"/>
    </row>
    <row r="391" spans="1:38" ht="13">
      <c r="B391" s="1"/>
      <c r="E391" s="2"/>
      <c r="F391" s="1109"/>
      <c r="G391" s="1109"/>
      <c r="H391" s="1109"/>
      <c r="I391" s="1109"/>
      <c r="J391" s="1109"/>
      <c r="K391" s="1109"/>
      <c r="L391" s="1109"/>
      <c r="M391" s="1109"/>
      <c r="N391" s="1109"/>
      <c r="O391" s="1109"/>
      <c r="P391" s="1109"/>
      <c r="Q391" s="1109"/>
      <c r="R391" s="1109"/>
      <c r="S391" s="1109"/>
      <c r="T391" s="1109"/>
      <c r="U391" s="1109"/>
      <c r="V391" s="1109"/>
      <c r="W391" s="1109"/>
      <c r="X391" s="1109"/>
      <c r="Y391" s="1109"/>
      <c r="Z391" s="1109"/>
      <c r="AA391" s="1109"/>
      <c r="AB391" s="1109"/>
      <c r="AC391" s="1109"/>
      <c r="AD391" s="1109"/>
      <c r="AE391" s="1109"/>
      <c r="AF391" s="1109"/>
      <c r="AG391" s="1109"/>
      <c r="AH391" s="1109"/>
      <c r="AI391" s="1109"/>
      <c r="AJ391" s="1109"/>
      <c r="AK391" s="1109"/>
      <c r="AL391" s="1110"/>
    </row>
    <row r="392" spans="1:38" ht="13">
      <c r="B392" s="1"/>
      <c r="C392" s="1"/>
      <c r="D392" s="1" t="s">
        <v>105</v>
      </c>
      <c r="E392" s="1" t="s">
        <v>290</v>
      </c>
      <c r="F392" s="2"/>
      <c r="G392" s="1"/>
      <c r="I392" s="70"/>
      <c r="J392" s="2"/>
      <c r="K392" s="2"/>
      <c r="L392" s="2"/>
      <c r="M392" s="2"/>
      <c r="N392" s="2"/>
      <c r="O392" s="2"/>
      <c r="P392" s="2"/>
      <c r="Q392" s="2"/>
      <c r="R392" s="2"/>
      <c r="S392" s="2"/>
    </row>
    <row r="393" spans="1:38" ht="13.4" customHeight="1">
      <c r="B393" s="1"/>
      <c r="D393" s="1"/>
      <c r="E393" s="2" t="s">
        <v>291</v>
      </c>
      <c r="F393" s="1137"/>
      <c r="G393" s="1137"/>
      <c r="H393" s="1137"/>
      <c r="I393" s="1137"/>
      <c r="J393" s="1137"/>
      <c r="K393" s="1137"/>
      <c r="L393" s="1137"/>
      <c r="M393" s="1137"/>
      <c r="N393" s="1137"/>
      <c r="O393" s="1137"/>
      <c r="P393" s="1137"/>
      <c r="Q393" s="1137"/>
      <c r="R393" s="1137"/>
      <c r="S393" s="1137"/>
      <c r="T393" s="1137"/>
      <c r="U393" s="1137"/>
      <c r="V393" s="1137"/>
      <c r="W393" s="1137"/>
      <c r="X393" s="1137"/>
      <c r="Y393" s="1137"/>
      <c r="Z393" s="1137"/>
      <c r="AA393" s="1137"/>
      <c r="AB393" s="1137"/>
      <c r="AC393" s="1137"/>
      <c r="AD393" s="1137"/>
      <c r="AE393" s="1137"/>
      <c r="AF393" s="1137"/>
      <c r="AG393" s="1137"/>
      <c r="AH393" s="1137"/>
      <c r="AI393" s="1137"/>
      <c r="AJ393" s="1137"/>
      <c r="AK393" s="1137"/>
    </row>
    <row r="394" spans="1:38" ht="13">
      <c r="B394" s="1"/>
      <c r="E394" t="s">
        <v>286</v>
      </c>
      <c r="F394" s="331"/>
      <c r="G394" s="331"/>
      <c r="H394" s="331"/>
      <c r="I394" s="331"/>
      <c r="J394" s="331"/>
      <c r="K394" s="331"/>
      <c r="L394" s="331"/>
      <c r="M394" s="331"/>
      <c r="N394" s="331"/>
      <c r="O394" s="331"/>
      <c r="P394" s="331"/>
      <c r="Q394" s="331"/>
      <c r="R394" s="331"/>
      <c r="S394" s="331"/>
      <c r="T394" s="331"/>
      <c r="U394" s="331"/>
      <c r="V394" s="331"/>
      <c r="W394" s="331"/>
      <c r="X394" s="331"/>
      <c r="Y394" s="331"/>
      <c r="Z394" s="331"/>
      <c r="AA394" s="331"/>
      <c r="AB394" s="331"/>
      <c r="AC394" s="331"/>
      <c r="AD394" s="331"/>
      <c r="AE394" s="331"/>
      <c r="AF394" s="331"/>
      <c r="AG394" s="331"/>
      <c r="AH394" s="331"/>
      <c r="AI394" s="331"/>
      <c r="AJ394" s="331"/>
      <c r="AK394" s="331"/>
      <c r="AL394" s="331"/>
    </row>
    <row r="395" spans="1:38" s="96" customFormat="1" ht="13">
      <c r="A395"/>
      <c r="B395" s="1"/>
      <c r="C395"/>
      <c r="D395"/>
      <c r="E395"/>
      <c r="F395"/>
      <c r="G395"/>
      <c r="H395"/>
      <c r="I395"/>
      <c r="J395"/>
      <c r="K395"/>
      <c r="L395"/>
      <c r="M395"/>
      <c r="N395"/>
      <c r="O395"/>
      <c r="P395"/>
      <c r="Q395"/>
      <c r="R395"/>
      <c r="S395" s="2"/>
      <c r="T395"/>
      <c r="U395"/>
      <c r="V395"/>
      <c r="W395"/>
      <c r="X395"/>
      <c r="Y395"/>
      <c r="Z395"/>
      <c r="AA395"/>
      <c r="AB395"/>
      <c r="AC395"/>
      <c r="AD395"/>
      <c r="AE395"/>
      <c r="AF395"/>
      <c r="AG395"/>
      <c r="AH395"/>
      <c r="AI395"/>
      <c r="AJ395"/>
      <c r="AK395"/>
      <c r="AL395"/>
    </row>
    <row r="396" spans="1:38" s="96" customFormat="1" ht="13" hidden="1">
      <c r="A396"/>
      <c r="B396" s="1"/>
      <c r="C396"/>
      <c r="D396"/>
      <c r="E396"/>
      <c r="F396"/>
      <c r="G396"/>
      <c r="H396"/>
      <c r="I396"/>
      <c r="J396"/>
      <c r="K396"/>
      <c r="L396"/>
      <c r="M396"/>
      <c r="N396"/>
      <c r="O396"/>
      <c r="P396"/>
      <c r="Q396"/>
      <c r="R396"/>
      <c r="S396" s="2"/>
      <c r="T396"/>
      <c r="U396"/>
      <c r="V396"/>
      <c r="W396"/>
      <c r="X396"/>
      <c r="Y396"/>
      <c r="Z396"/>
      <c r="AA396"/>
      <c r="AB396"/>
      <c r="AC396"/>
      <c r="AD396"/>
      <c r="AE396"/>
      <c r="AF396"/>
      <c r="AG396"/>
      <c r="AH396"/>
      <c r="AI396"/>
      <c r="AJ396"/>
      <c r="AK396"/>
      <c r="AL396"/>
    </row>
    <row r="397" spans="1:38" ht="13" hidden="1">
      <c r="B397" s="1"/>
      <c r="S397" s="2"/>
    </row>
    <row r="398" spans="1:38" ht="13" hidden="1">
      <c r="B398" s="1"/>
      <c r="S398" s="2"/>
    </row>
    <row r="399" spans="1:38" ht="13" hidden="1">
      <c r="B399" s="1"/>
      <c r="S399" s="2"/>
    </row>
    <row r="400" spans="1:38" ht="13" hidden="1">
      <c r="B400" s="1"/>
      <c r="S400" s="2"/>
    </row>
    <row r="401" spans="2:19" ht="13" hidden="1">
      <c r="B401" s="1"/>
      <c r="S401" s="2"/>
    </row>
    <row r="402" spans="2:19" ht="13" hidden="1">
      <c r="B402" s="1"/>
      <c r="S402" s="2"/>
    </row>
    <row r="403" spans="2:19" ht="13" hidden="1">
      <c r="B403" s="1"/>
      <c r="S403" s="2"/>
    </row>
    <row r="404" spans="2:19" ht="13" hidden="1">
      <c r="B404" s="1"/>
      <c r="S404" s="2"/>
    </row>
    <row r="405" spans="2:19" ht="13" hidden="1">
      <c r="B405" s="1"/>
      <c r="S405" s="2"/>
    </row>
    <row r="406" spans="2:19" ht="13" hidden="1">
      <c r="B406" s="1"/>
      <c r="S406" s="2"/>
    </row>
    <row r="407" spans="2:19" ht="13" hidden="1">
      <c r="B407" s="1"/>
      <c r="S407" s="2"/>
    </row>
    <row r="408" spans="2:19" ht="13" hidden="1">
      <c r="B408" s="1"/>
      <c r="D408" s="1"/>
      <c r="E408" s="2"/>
      <c r="F408" s="2"/>
      <c r="G408" s="2"/>
      <c r="H408" s="2"/>
      <c r="I408" s="2"/>
      <c r="J408" s="2"/>
      <c r="K408" s="2"/>
      <c r="L408" s="2"/>
      <c r="M408" s="2"/>
      <c r="N408" s="2"/>
      <c r="O408" s="2"/>
      <c r="P408" s="2"/>
      <c r="Q408" s="2"/>
      <c r="R408" s="2"/>
      <c r="S408" s="2"/>
    </row>
    <row r="409" spans="2:19" ht="13" hidden="1">
      <c r="B409" s="1"/>
      <c r="D409" s="1"/>
      <c r="E409" s="2"/>
      <c r="F409" s="2"/>
      <c r="G409" s="2"/>
      <c r="H409" s="2"/>
      <c r="I409" s="2"/>
      <c r="J409" s="2"/>
      <c r="K409" s="2"/>
      <c r="L409" s="2"/>
      <c r="M409" s="2"/>
      <c r="N409" s="2"/>
      <c r="O409" s="2"/>
      <c r="P409" s="2"/>
      <c r="Q409" s="2"/>
      <c r="R409" s="2"/>
      <c r="S409" s="2"/>
    </row>
    <row r="410" spans="2:19" hidden="1">
      <c r="J410" s="2"/>
      <c r="K410" s="2"/>
      <c r="L410" s="2"/>
      <c r="M410" s="2"/>
      <c r="N410" s="2"/>
      <c r="O410" s="2"/>
      <c r="P410" s="2"/>
      <c r="Q410" s="2"/>
      <c r="R410" s="2"/>
      <c r="S410" s="2"/>
    </row>
    <row r="411" spans="2:19" hidden="1">
      <c r="J411" s="2"/>
      <c r="K411" s="2"/>
      <c r="L411" s="2"/>
      <c r="M411" s="2"/>
      <c r="N411" s="2"/>
      <c r="O411" s="2"/>
      <c r="P411" s="2"/>
      <c r="Q411" s="2"/>
      <c r="R411" s="2"/>
      <c r="S411" s="2"/>
    </row>
    <row r="412" spans="2:19" hidden="1">
      <c r="J412" s="2"/>
      <c r="K412" s="2"/>
      <c r="L412" s="2"/>
      <c r="M412" s="2"/>
      <c r="N412" s="2"/>
      <c r="O412" s="2"/>
      <c r="P412" s="2"/>
      <c r="Q412" s="2"/>
      <c r="R412" s="2"/>
      <c r="S412" s="2"/>
    </row>
    <row r="413" spans="2:19" hidden="1">
      <c r="J413" s="2"/>
      <c r="K413" s="2"/>
      <c r="L413" s="2"/>
      <c r="M413" s="2"/>
      <c r="N413" s="2"/>
      <c r="O413" s="2"/>
      <c r="P413" s="2"/>
      <c r="Q413" s="2"/>
      <c r="R413" s="2"/>
      <c r="S413" s="2"/>
    </row>
    <row r="414" spans="2:19" hidden="1">
      <c r="J414" s="2"/>
      <c r="K414" s="2"/>
      <c r="L414" s="2"/>
      <c r="M414" s="2"/>
      <c r="N414" s="2"/>
      <c r="O414" s="2"/>
      <c r="P414" s="2"/>
      <c r="Q414" s="2"/>
      <c r="R414" s="2"/>
      <c r="S414" s="2"/>
    </row>
    <row r="415" spans="2:19" hidden="1">
      <c r="J415" s="2"/>
      <c r="K415" s="2"/>
      <c r="L415" s="2"/>
      <c r="M415" s="2"/>
      <c r="N415" s="2"/>
      <c r="O415" s="2"/>
      <c r="P415" s="2"/>
      <c r="Q415" s="2"/>
      <c r="R415" s="2"/>
      <c r="S415" s="2"/>
    </row>
    <row r="416" spans="2:19" hidden="1">
      <c r="J416" s="2"/>
      <c r="K416" s="2"/>
      <c r="L416" s="2"/>
      <c r="M416" s="2"/>
      <c r="N416" s="2"/>
      <c r="O416" s="2"/>
      <c r="P416" s="2"/>
      <c r="Q416" s="2"/>
      <c r="R416" s="2"/>
      <c r="S416" s="2"/>
    </row>
    <row r="417" spans="2:19" hidden="1">
      <c r="J417" s="2"/>
      <c r="K417" s="2"/>
      <c r="L417" s="2"/>
      <c r="M417" s="2"/>
      <c r="N417" s="2"/>
      <c r="O417" s="2"/>
      <c r="P417" s="2"/>
      <c r="Q417" s="2"/>
      <c r="R417" s="2"/>
      <c r="S417" s="2"/>
    </row>
    <row r="418" spans="2:19" hidden="1">
      <c r="J418" s="2"/>
      <c r="K418" s="2"/>
      <c r="L418" s="2"/>
      <c r="M418" s="2"/>
      <c r="N418" s="2"/>
      <c r="O418" s="2"/>
      <c r="P418" s="2"/>
      <c r="Q418" s="2"/>
      <c r="R418" s="2"/>
      <c r="S418" s="2"/>
    </row>
    <row r="419" spans="2:19" hidden="1">
      <c r="L419" s="2"/>
      <c r="M419" s="2"/>
      <c r="N419" s="2"/>
      <c r="O419" s="2"/>
      <c r="P419" s="2"/>
      <c r="Q419" s="2"/>
      <c r="R419" s="2"/>
      <c r="S419" s="2"/>
    </row>
    <row r="420" spans="2:19" hidden="1">
      <c r="J420" s="2"/>
      <c r="K420" s="2"/>
      <c r="L420" s="2"/>
      <c r="M420" s="2"/>
      <c r="N420" s="2"/>
      <c r="O420" s="2"/>
      <c r="P420" s="2"/>
      <c r="Q420" s="2"/>
      <c r="R420" s="2"/>
      <c r="S420" s="2"/>
    </row>
    <row r="421" spans="2:19" ht="13" hidden="1">
      <c r="B421" s="1"/>
      <c r="D421" s="1"/>
      <c r="E421" s="2"/>
      <c r="F421" s="2"/>
      <c r="G421" s="2"/>
      <c r="H421" s="2"/>
      <c r="I421" s="2"/>
      <c r="J421" s="2"/>
      <c r="K421" s="2"/>
      <c r="L421" s="2"/>
      <c r="M421" s="2"/>
      <c r="N421" s="2"/>
      <c r="O421" s="2"/>
      <c r="P421" s="2"/>
      <c r="Q421" s="2"/>
      <c r="R421" s="2"/>
      <c r="S421" s="2"/>
    </row>
    <row r="422" spans="2:19" ht="13" hidden="1">
      <c r="B422" s="1"/>
      <c r="C422" s="1"/>
      <c r="D422" s="1"/>
      <c r="E422" s="2"/>
      <c r="F422" s="2"/>
      <c r="G422" s="2"/>
      <c r="H422" s="2"/>
      <c r="I422" s="2"/>
      <c r="J422" s="2"/>
      <c r="K422" s="2"/>
      <c r="L422" s="2"/>
      <c r="M422" s="2"/>
      <c r="N422" s="2"/>
      <c r="O422" s="2"/>
      <c r="P422" s="2"/>
      <c r="Q422" s="2"/>
      <c r="R422" s="2"/>
      <c r="S422" s="2"/>
    </row>
    <row r="423" spans="2:19" ht="13" hidden="1">
      <c r="D423" s="1"/>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43" zoomScaleNormal="100" workbookViewId="0">
      <selection activeCell="AP4" sqref="AP4:AU4"/>
    </sheetView>
  </sheetViews>
  <sheetFormatPr defaultColWidth="2.7265625" defaultRowHeight="15.75" customHeight="1"/>
  <cols>
    <col min="1" max="13" width="2.7265625" style="965"/>
    <col min="14" max="14" width="4.7265625" style="965" customWidth="1"/>
    <col min="15" max="37" width="2.7265625" style="965"/>
    <col min="38" max="38" width="3" style="965" customWidth="1"/>
    <col min="39" max="45" width="2.7265625" style="965"/>
    <col min="46" max="46" width="4.7265625" style="965" customWidth="1"/>
    <col min="47" max="64" width="2.7265625" style="965"/>
    <col min="65" max="65" width="10.453125" style="965" hidden="1" customWidth="1"/>
    <col min="66" max="70" width="5.453125" style="965" bestFit="1" customWidth="1"/>
    <col min="71" max="71" width="6.1796875" style="965" bestFit="1" customWidth="1"/>
    <col min="72" max="76" width="5.453125" style="965" bestFit="1" customWidth="1"/>
    <col min="77" max="77" width="6.1796875" style="965" bestFit="1" customWidth="1"/>
    <col min="78" max="78" width="5.453125" style="965" bestFit="1" customWidth="1"/>
    <col min="79" max="16384" width="2.7265625" style="965"/>
  </cols>
  <sheetData>
    <row r="1" spans="1:65" ht="15.75" customHeight="1">
      <c r="A1" s="2154" t="s">
        <v>2470</v>
      </c>
      <c r="B1" s="2155"/>
      <c r="C1" s="2155"/>
      <c r="D1" s="2155"/>
      <c r="E1" s="2155"/>
      <c r="F1" s="2155"/>
      <c r="G1" s="2155"/>
      <c r="H1" s="2155"/>
      <c r="I1" s="2155"/>
      <c r="J1" s="2155"/>
      <c r="K1" s="2155"/>
      <c r="L1" s="2155"/>
      <c r="M1" s="2155"/>
      <c r="N1" s="2155"/>
      <c r="O1" s="2155"/>
      <c r="P1" s="2155"/>
      <c r="Q1" s="2155"/>
      <c r="R1" s="2155"/>
      <c r="S1" s="2155"/>
      <c r="T1" s="2155"/>
      <c r="U1" s="2155"/>
      <c r="V1" s="2155"/>
      <c r="W1" s="2155"/>
      <c r="X1" s="2155"/>
      <c r="Y1" s="2155"/>
      <c r="Z1" s="2155"/>
      <c r="AA1" s="2155"/>
      <c r="AB1" s="2155"/>
      <c r="AC1" s="2155"/>
      <c r="AD1" s="2155"/>
      <c r="AE1" s="2155"/>
      <c r="AF1" s="2155"/>
      <c r="AG1" s="2155"/>
      <c r="AH1" s="2155"/>
      <c r="AI1" s="2155"/>
      <c r="AJ1" s="2155"/>
      <c r="AK1" s="2155"/>
      <c r="AL1" s="2155"/>
      <c r="AM1" s="2155"/>
      <c r="AN1" s="2155"/>
      <c r="AO1" s="2155"/>
      <c r="AP1" s="2155"/>
      <c r="AQ1" s="2155"/>
      <c r="AR1" s="2155"/>
      <c r="AS1" s="2155"/>
      <c r="AT1" s="2155"/>
      <c r="AU1" s="2155"/>
      <c r="AV1" s="2155"/>
      <c r="AW1" s="2155"/>
      <c r="AX1" s="2155"/>
      <c r="AY1" s="2155"/>
      <c r="AZ1" s="2155"/>
      <c r="BA1" s="2155"/>
      <c r="BB1" s="2155"/>
      <c r="BC1" s="2155"/>
      <c r="BD1" s="2155"/>
      <c r="BE1" s="2156"/>
    </row>
    <row r="2" spans="1:65" ht="15.75" customHeight="1">
      <c r="A2" s="2157" t="s">
        <v>2471</v>
      </c>
      <c r="B2" s="2158"/>
      <c r="C2" s="2158"/>
      <c r="D2" s="2158"/>
      <c r="E2" s="2158"/>
      <c r="F2" s="2158"/>
      <c r="G2" s="2158"/>
      <c r="H2" s="2158"/>
      <c r="I2" s="2158"/>
      <c r="J2" s="2158"/>
      <c r="K2" s="2158"/>
      <c r="L2" s="2158"/>
      <c r="M2" s="2158"/>
      <c r="N2" s="2158"/>
      <c r="O2" s="2158"/>
      <c r="P2" s="2158"/>
      <c r="Q2" s="2158"/>
      <c r="R2" s="2158"/>
      <c r="S2" s="2158"/>
      <c r="T2" s="2158"/>
      <c r="U2" s="2158"/>
      <c r="V2" s="2158"/>
      <c r="W2" s="2158"/>
      <c r="X2" s="2158"/>
      <c r="Y2" s="2158"/>
      <c r="Z2" s="2158"/>
      <c r="AA2" s="2158"/>
      <c r="AB2" s="2158"/>
      <c r="AC2" s="2158"/>
      <c r="AD2" s="2158"/>
      <c r="AE2" s="2158"/>
      <c r="AF2" s="2158"/>
      <c r="AG2" s="2158"/>
      <c r="AH2" s="2158"/>
      <c r="AI2" s="2158"/>
      <c r="AJ2" s="2158"/>
      <c r="AK2" s="2158"/>
      <c r="AL2" s="2158"/>
      <c r="AM2" s="2158"/>
      <c r="AN2" s="2158"/>
      <c r="AO2" s="2158"/>
      <c r="AP2" s="2158"/>
      <c r="AQ2" s="2158"/>
      <c r="AR2" s="2158"/>
      <c r="AS2" s="2158"/>
      <c r="AT2" s="2158"/>
      <c r="AU2" s="2158"/>
      <c r="AV2" s="2158"/>
      <c r="AW2" s="2158"/>
      <c r="AX2" s="2158"/>
      <c r="AY2" s="2158"/>
      <c r="AZ2" s="2158"/>
      <c r="BA2" s="2158"/>
      <c r="BB2" s="2158"/>
      <c r="BC2" s="2158"/>
      <c r="BD2" s="2158"/>
      <c r="BE2" s="2159"/>
      <c r="BF2" s="966"/>
    </row>
    <row r="3" spans="1:65" ht="15.75" customHeight="1" thickBot="1">
      <c r="A3" s="980"/>
      <c r="B3" s="974"/>
      <c r="C3" s="974"/>
      <c r="D3" s="974"/>
      <c r="E3" s="974"/>
      <c r="F3" s="974"/>
      <c r="G3" s="974"/>
      <c r="H3" s="974"/>
      <c r="I3" s="974"/>
      <c r="J3" s="974"/>
      <c r="K3" s="974"/>
      <c r="L3" s="974"/>
      <c r="M3" s="974"/>
      <c r="N3" s="974"/>
      <c r="O3" s="974"/>
      <c r="P3" s="974"/>
      <c r="Q3" s="974"/>
      <c r="R3" s="974"/>
      <c r="S3" s="974"/>
      <c r="T3" s="974"/>
      <c r="U3" s="974"/>
      <c r="V3" s="974"/>
      <c r="W3" s="974"/>
      <c r="X3" s="974"/>
      <c r="Y3" s="974"/>
      <c r="Z3" s="974"/>
      <c r="AA3" s="974"/>
      <c r="AB3" s="974"/>
      <c r="AC3" s="974"/>
      <c r="AD3" s="974"/>
      <c r="AE3" s="974"/>
      <c r="AF3" s="974"/>
      <c r="AG3" s="974"/>
      <c r="AH3" s="974"/>
      <c r="AI3" s="974"/>
      <c r="AJ3" s="974"/>
      <c r="AK3" s="974"/>
      <c r="AL3" s="974"/>
      <c r="AM3" s="974"/>
      <c r="AN3" s="974"/>
      <c r="AO3" s="974"/>
      <c r="AP3" s="974"/>
      <c r="AQ3" s="974"/>
      <c r="AR3" s="974"/>
      <c r="AS3" s="974"/>
      <c r="AT3" s="974"/>
      <c r="AU3" s="974"/>
      <c r="AV3" s="974"/>
      <c r="AW3" s="974"/>
      <c r="AX3" s="974"/>
      <c r="AY3" s="974"/>
      <c r="AZ3" s="974"/>
      <c r="BA3" s="974"/>
      <c r="BB3" s="974"/>
      <c r="BC3" s="974"/>
      <c r="BD3" s="974"/>
      <c r="BE3" s="1218"/>
    </row>
    <row r="4" spans="1:65" ht="15.75" customHeight="1" thickBot="1">
      <c r="A4" s="980"/>
      <c r="B4" s="982" t="s">
        <v>76</v>
      </c>
      <c r="C4" s="982"/>
      <c r="D4" s="982"/>
      <c r="E4" s="982"/>
      <c r="F4" s="982"/>
      <c r="G4" s="974"/>
      <c r="H4" s="974"/>
      <c r="I4" s="974"/>
      <c r="J4" s="974"/>
      <c r="K4" s="974"/>
      <c r="L4" s="2160" t="str">
        <f>IF(Application!H18="","",Application!H18)</f>
        <v>Baler Place</v>
      </c>
      <c r="M4" s="2161"/>
      <c r="N4" s="2161"/>
      <c r="O4" s="2161"/>
      <c r="P4" s="2161"/>
      <c r="Q4" s="2161"/>
      <c r="R4" s="2161"/>
      <c r="S4" s="2161"/>
      <c r="T4" s="2161"/>
      <c r="U4" s="2161"/>
      <c r="V4" s="2161"/>
      <c r="W4" s="2161"/>
      <c r="X4" s="2161"/>
      <c r="Y4" s="2161"/>
      <c r="Z4" s="2161"/>
      <c r="AA4" s="2161"/>
      <c r="AB4" s="2161"/>
      <c r="AC4" s="2162"/>
      <c r="AD4" s="974"/>
      <c r="AE4" s="974"/>
      <c r="AF4" s="2163" t="s">
        <v>2472</v>
      </c>
      <c r="AG4" s="2163"/>
      <c r="AH4" s="2163"/>
      <c r="AI4" s="2163"/>
      <c r="AJ4" s="2163"/>
      <c r="AK4" s="2163"/>
      <c r="AL4" s="2163"/>
      <c r="AM4" s="2163"/>
      <c r="AN4" s="2163"/>
      <c r="AO4" s="2163"/>
      <c r="AP4" s="2164"/>
      <c r="AQ4" s="2165"/>
      <c r="AR4" s="2165"/>
      <c r="AS4" s="2165"/>
      <c r="AT4" s="2165"/>
      <c r="AU4" s="2165"/>
      <c r="AV4" s="974"/>
      <c r="AW4" s="974"/>
      <c r="AX4" s="974"/>
      <c r="AY4" s="974"/>
      <c r="AZ4" s="974"/>
      <c r="BA4" s="974"/>
      <c r="BB4" s="974"/>
      <c r="BC4" s="974"/>
      <c r="BD4" s="974"/>
      <c r="BE4" s="1218"/>
    </row>
    <row r="5" spans="1:65" ht="15.75" customHeight="1" thickBot="1">
      <c r="A5" s="980"/>
      <c r="B5" s="974"/>
      <c r="C5" s="974"/>
      <c r="D5" s="974"/>
      <c r="E5" s="974"/>
      <c r="F5" s="974"/>
      <c r="G5" s="974"/>
      <c r="H5" s="974"/>
      <c r="I5" s="974"/>
      <c r="J5" s="974"/>
      <c r="K5" s="974"/>
      <c r="L5" s="974"/>
      <c r="M5" s="974"/>
      <c r="N5" s="974"/>
      <c r="O5" s="974"/>
      <c r="P5" s="974"/>
      <c r="Q5" s="974"/>
      <c r="R5" s="974"/>
      <c r="S5" s="974"/>
      <c r="T5" s="974"/>
      <c r="U5" s="974"/>
      <c r="V5" s="974"/>
      <c r="W5" s="974"/>
      <c r="X5" s="974"/>
      <c r="Y5" s="974"/>
      <c r="Z5" s="974"/>
      <c r="AA5" s="974"/>
      <c r="AB5" s="974"/>
      <c r="AC5" s="974"/>
      <c r="AD5" s="974"/>
      <c r="AE5" s="974"/>
      <c r="AF5" s="2163" t="s">
        <v>2473</v>
      </c>
      <c r="AG5" s="2163"/>
      <c r="AH5" s="2163"/>
      <c r="AI5" s="2163"/>
      <c r="AJ5" s="2163"/>
      <c r="AK5" s="2163"/>
      <c r="AL5" s="2163"/>
      <c r="AM5" s="2163"/>
      <c r="AN5" s="2163"/>
      <c r="AO5" s="2163"/>
      <c r="AP5" s="2164"/>
      <c r="AQ5" s="2165"/>
      <c r="AR5" s="2165"/>
      <c r="AS5" s="2165"/>
      <c r="AT5" s="2165"/>
      <c r="AU5" s="2165"/>
      <c r="AV5" s="974"/>
      <c r="AW5" s="974"/>
      <c r="AX5" s="974"/>
      <c r="AY5" s="974"/>
      <c r="AZ5" s="974"/>
      <c r="BA5" s="974"/>
      <c r="BB5" s="974"/>
      <c r="BC5" s="974"/>
      <c r="BD5" s="974"/>
      <c r="BE5" s="1218"/>
    </row>
    <row r="6" spans="1:65" ht="15.75" customHeight="1" thickBot="1">
      <c r="A6" s="980"/>
      <c r="B6" s="982" t="s">
        <v>2474</v>
      </c>
      <c r="C6" s="974"/>
      <c r="D6" s="974"/>
      <c r="E6" s="974"/>
      <c r="F6" s="974"/>
      <c r="G6" s="974"/>
      <c r="H6" s="974"/>
      <c r="I6" s="974"/>
      <c r="J6" s="974"/>
      <c r="K6" s="974"/>
      <c r="L6" s="2160" t="str">
        <f>IF(Application!H16="","",Application!H16)</f>
        <v>CRP Baler Place LP</v>
      </c>
      <c r="M6" s="2161"/>
      <c r="N6" s="2161"/>
      <c r="O6" s="2161"/>
      <c r="P6" s="2161"/>
      <c r="Q6" s="2161"/>
      <c r="R6" s="2161"/>
      <c r="S6" s="2161"/>
      <c r="T6" s="2161"/>
      <c r="U6" s="2161"/>
      <c r="V6" s="2161"/>
      <c r="W6" s="2161"/>
      <c r="X6" s="2161"/>
      <c r="Y6" s="2161"/>
      <c r="Z6" s="2161"/>
      <c r="AA6" s="2161"/>
      <c r="AB6" s="2161"/>
      <c r="AC6" s="2162"/>
      <c r="AD6" s="974"/>
      <c r="AE6" s="974"/>
      <c r="AF6" s="2166" t="s">
        <v>2475</v>
      </c>
      <c r="AG6" s="2166"/>
      <c r="AH6" s="2166"/>
      <c r="AI6" s="2166"/>
      <c r="AJ6" s="2166"/>
      <c r="AK6" s="2166"/>
      <c r="AL6" s="2166"/>
      <c r="AM6" s="2166"/>
      <c r="AN6" s="2166"/>
      <c r="AO6" s="2166"/>
      <c r="AP6" s="2153">
        <v>0</v>
      </c>
      <c r="AQ6" s="2153"/>
      <c r="AR6" s="2153"/>
      <c r="AS6" s="2153"/>
      <c r="AT6" s="2153"/>
      <c r="AU6" s="2153"/>
      <c r="AV6" s="974"/>
      <c r="AW6" s="974"/>
      <c r="AX6" s="974"/>
      <c r="AY6" s="974"/>
      <c r="AZ6" s="974"/>
      <c r="BA6" s="974"/>
      <c r="BB6" s="974"/>
      <c r="BC6" s="974"/>
      <c r="BD6" s="974"/>
      <c r="BE6" s="1218"/>
    </row>
    <row r="7" spans="1:65" ht="15" thickBot="1">
      <c r="A7" s="980"/>
      <c r="B7" s="974"/>
      <c r="C7" s="974"/>
      <c r="D7" s="974"/>
      <c r="E7" s="974"/>
      <c r="F7" s="974"/>
      <c r="G7" s="974"/>
      <c r="H7" s="974"/>
      <c r="I7" s="974"/>
      <c r="J7" s="974"/>
      <c r="K7" s="974"/>
      <c r="L7" s="974"/>
      <c r="M7" s="974"/>
      <c r="N7" s="974"/>
      <c r="O7" s="974"/>
      <c r="P7" s="974"/>
      <c r="Q7" s="974"/>
      <c r="R7" s="974"/>
      <c r="S7" s="974"/>
      <c r="T7" s="974"/>
      <c r="U7" s="974"/>
      <c r="V7" s="974"/>
      <c r="W7" s="974"/>
      <c r="X7" s="974"/>
      <c r="Y7" s="974"/>
      <c r="Z7" s="974"/>
      <c r="AA7" s="974"/>
      <c r="AB7" s="974"/>
      <c r="AC7" s="974"/>
      <c r="AD7" s="974"/>
      <c r="AE7" s="974"/>
      <c r="AF7" s="2166" t="s">
        <v>2476</v>
      </c>
      <c r="AG7" s="2166"/>
      <c r="AH7" s="2166"/>
      <c r="AI7" s="2166"/>
      <c r="AJ7" s="2166"/>
      <c r="AK7" s="2166"/>
      <c r="AL7" s="2166"/>
      <c r="AM7" s="2166"/>
      <c r="AN7" s="2166"/>
      <c r="AO7" s="2166"/>
      <c r="AP7" s="2153">
        <v>0</v>
      </c>
      <c r="AQ7" s="2153"/>
      <c r="AR7" s="2153"/>
      <c r="AS7" s="2153"/>
      <c r="AT7" s="2153"/>
      <c r="AU7" s="2153"/>
      <c r="AV7" s="974"/>
      <c r="AW7" s="974"/>
      <c r="AX7" s="974"/>
      <c r="AY7" s="974"/>
      <c r="AZ7" s="974"/>
      <c r="BA7" s="974"/>
      <c r="BB7" s="974"/>
      <c r="BC7" s="974"/>
      <c r="BD7" s="974"/>
      <c r="BE7" s="1218"/>
    </row>
    <row r="8" spans="1:65" ht="15" thickBot="1">
      <c r="A8" s="980"/>
      <c r="B8" s="982" t="s">
        <v>2477</v>
      </c>
      <c r="C8" s="974"/>
      <c r="D8" s="974"/>
      <c r="E8" s="974"/>
      <c r="F8" s="974"/>
      <c r="G8" s="974"/>
      <c r="H8" s="974"/>
      <c r="I8" s="974"/>
      <c r="J8" s="974"/>
      <c r="K8" s="974"/>
      <c r="L8" s="974"/>
      <c r="M8" s="974"/>
      <c r="N8" s="974"/>
      <c r="O8" s="974"/>
      <c r="P8" s="974"/>
      <c r="Q8" s="974"/>
      <c r="R8" s="974"/>
      <c r="S8" s="974"/>
      <c r="T8" s="974"/>
      <c r="U8" s="974"/>
      <c r="V8" s="974"/>
      <c r="W8" s="974"/>
      <c r="X8" s="974"/>
      <c r="Y8" s="974"/>
      <c r="Z8" s="974"/>
      <c r="AA8" s="974"/>
      <c r="AB8" s="2167" t="str">
        <f>Application!T197</f>
        <v>No</v>
      </c>
      <c r="AC8" s="2168"/>
      <c r="AD8" s="2169"/>
      <c r="AE8" s="974"/>
      <c r="AF8" s="2166" t="s">
        <v>2478</v>
      </c>
      <c r="AG8" s="2166"/>
      <c r="AH8" s="2166"/>
      <c r="AI8" s="2166"/>
      <c r="AJ8" s="2166"/>
      <c r="AK8" s="2166"/>
      <c r="AL8" s="2166"/>
      <c r="AM8" s="2166"/>
      <c r="AN8" s="2166"/>
      <c r="AO8" s="2166"/>
      <c r="AP8" s="2153" t="s">
        <v>1244</v>
      </c>
      <c r="AQ8" s="2153"/>
      <c r="AR8" s="2153"/>
      <c r="AS8" s="2153"/>
      <c r="AT8" s="2153"/>
      <c r="AU8" s="2153"/>
      <c r="AV8" s="974"/>
      <c r="AW8" s="974"/>
      <c r="AX8" s="974"/>
      <c r="AY8" s="974"/>
      <c r="AZ8" s="974"/>
      <c r="BA8" s="974"/>
      <c r="BB8" s="974"/>
      <c r="BC8" s="974"/>
      <c r="BD8" s="974"/>
      <c r="BE8" s="1218"/>
      <c r="BM8" s="965" t="s">
        <v>2405</v>
      </c>
    </row>
    <row r="9" spans="1:65" ht="14.5">
      <c r="A9" s="974"/>
      <c r="B9" s="974"/>
      <c r="C9" s="974"/>
      <c r="D9" s="974"/>
      <c r="E9" s="974"/>
      <c r="F9" s="974"/>
      <c r="G9" s="974"/>
      <c r="H9" s="974"/>
      <c r="I9" s="974"/>
      <c r="J9" s="974"/>
      <c r="K9" s="974"/>
      <c r="L9" s="974"/>
      <c r="M9" s="974"/>
      <c r="N9" s="974"/>
      <c r="O9" s="974"/>
      <c r="P9" s="974"/>
      <c r="Q9" s="974"/>
      <c r="R9" s="974"/>
      <c r="S9" s="974"/>
      <c r="T9" s="974"/>
      <c r="U9" s="974"/>
      <c r="V9" s="974"/>
      <c r="W9" s="974"/>
      <c r="X9" s="974"/>
      <c r="Y9" s="974"/>
      <c r="Z9" s="974"/>
      <c r="AA9" s="974"/>
      <c r="AB9" s="974"/>
      <c r="AC9" s="974"/>
      <c r="AD9" s="974"/>
      <c r="AE9" s="974"/>
      <c r="AF9" s="2163" t="s">
        <v>2479</v>
      </c>
      <c r="AG9" s="2163"/>
      <c r="AH9" s="2163"/>
      <c r="AI9" s="2163"/>
      <c r="AJ9" s="2163"/>
      <c r="AK9" s="2163"/>
      <c r="AL9" s="2163"/>
      <c r="AM9" s="2163"/>
      <c r="AN9" s="2163"/>
      <c r="AO9" s="2163"/>
      <c r="AP9" s="2164"/>
      <c r="AQ9" s="2165"/>
      <c r="AR9" s="2165"/>
      <c r="AS9" s="2165"/>
      <c r="AT9" s="2165"/>
      <c r="AU9" s="2165"/>
      <c r="AV9" s="974"/>
      <c r="AW9" s="974"/>
      <c r="AX9" s="974"/>
      <c r="AY9" s="974"/>
      <c r="AZ9" s="974"/>
      <c r="BA9" s="974"/>
      <c r="BB9" s="974"/>
      <c r="BC9" s="974"/>
      <c r="BD9" s="974"/>
      <c r="BE9" s="1218"/>
      <c r="BM9" s="965" t="s">
        <v>2480</v>
      </c>
    </row>
    <row r="10" spans="1:65" ht="14.5">
      <c r="A10" s="980"/>
      <c r="B10" s="982" t="s">
        <v>2481</v>
      </c>
      <c r="C10" s="982"/>
      <c r="D10" s="982"/>
      <c r="E10" s="982"/>
      <c r="F10" s="982"/>
      <c r="G10" s="982"/>
      <c r="H10" s="982"/>
      <c r="I10" s="982"/>
      <c r="J10" s="982"/>
      <c r="K10" s="982"/>
      <c r="L10" s="982"/>
      <c r="M10" s="974"/>
      <c r="N10" s="2178">
        <f>Application!AO627</f>
        <v>8997535</v>
      </c>
      <c r="O10" s="2178"/>
      <c r="P10" s="2178"/>
      <c r="Q10" s="2178"/>
      <c r="R10" s="2178"/>
      <c r="S10" s="2178"/>
      <c r="T10" s="2178"/>
      <c r="U10" s="974"/>
      <c r="V10" s="974"/>
      <c r="W10" s="974"/>
      <c r="X10" s="1020"/>
      <c r="Y10" s="1020"/>
      <c r="Z10" s="1020"/>
      <c r="AA10" s="1020"/>
      <c r="AB10" s="1020"/>
      <c r="AC10" s="1020"/>
      <c r="AD10" s="1020"/>
      <c r="AE10" s="1020"/>
      <c r="AF10" s="2163" t="s">
        <v>2482</v>
      </c>
      <c r="AG10" s="2163"/>
      <c r="AH10" s="2163"/>
      <c r="AI10" s="2163"/>
      <c r="AJ10" s="2163"/>
      <c r="AK10" s="2163"/>
      <c r="AL10" s="2163"/>
      <c r="AM10" s="2163"/>
      <c r="AN10" s="2163"/>
      <c r="AO10" s="2163"/>
      <c r="AP10" s="2164"/>
      <c r="AQ10" s="2165"/>
      <c r="AR10" s="2165"/>
      <c r="AS10" s="2165"/>
      <c r="AT10" s="2165"/>
      <c r="AU10" s="2165"/>
      <c r="AV10" s="1020"/>
      <c r="AW10" s="1020"/>
      <c r="AX10" s="974"/>
      <c r="AY10" s="974"/>
      <c r="AZ10" s="974"/>
      <c r="BA10" s="974"/>
      <c r="BB10" s="974"/>
      <c r="BC10" s="974"/>
      <c r="BD10" s="974"/>
      <c r="BE10" s="1218"/>
      <c r="BM10" s="965" t="s">
        <v>2483</v>
      </c>
    </row>
    <row r="11" spans="1:65" ht="14.5">
      <c r="A11" s="980"/>
      <c r="B11" s="982" t="s">
        <v>2484</v>
      </c>
      <c r="C11" s="982"/>
      <c r="D11" s="982"/>
      <c r="E11" s="982"/>
      <c r="F11" s="982"/>
      <c r="G11" s="982"/>
      <c r="H11" s="982"/>
      <c r="I11" s="982"/>
      <c r="J11" s="982"/>
      <c r="K11" s="982"/>
      <c r="L11" s="982"/>
      <c r="M11" s="974"/>
      <c r="N11" s="2178">
        <f>Application!AA933</f>
        <v>0</v>
      </c>
      <c r="O11" s="2178"/>
      <c r="P11" s="2178"/>
      <c r="Q11" s="2178"/>
      <c r="R11" s="2178"/>
      <c r="S11" s="2178"/>
      <c r="T11" s="2178"/>
      <c r="U11" s="974"/>
      <c r="V11" s="974"/>
      <c r="W11" s="974"/>
      <c r="X11" s="1020"/>
      <c r="Y11" s="1020"/>
      <c r="Z11" s="1020"/>
      <c r="AA11" s="1020"/>
      <c r="AB11" s="1020"/>
      <c r="AC11" s="1020"/>
      <c r="AD11" s="1020"/>
      <c r="AE11" s="1020"/>
      <c r="AF11" s="2163" t="s">
        <v>2485</v>
      </c>
      <c r="AG11" s="2163"/>
      <c r="AH11" s="2163"/>
      <c r="AI11" s="2163"/>
      <c r="AJ11" s="2163"/>
      <c r="AK11" s="2163"/>
      <c r="AL11" s="2163"/>
      <c r="AM11" s="2163"/>
      <c r="AN11" s="2163"/>
      <c r="AO11" s="2163"/>
      <c r="AP11" s="2164"/>
      <c r="AQ11" s="2165"/>
      <c r="AR11" s="2165"/>
      <c r="AS11" s="2165"/>
      <c r="AT11" s="2165"/>
      <c r="AU11" s="2165"/>
      <c r="AV11" s="1020"/>
      <c r="AW11" s="1020"/>
      <c r="AX11" s="974"/>
      <c r="AY11" s="974"/>
      <c r="AZ11" s="974"/>
      <c r="BA11" s="974"/>
      <c r="BB11" s="974"/>
      <c r="BC11" s="974"/>
      <c r="BD11" s="974"/>
      <c r="BE11" s="1218"/>
      <c r="BM11" s="965" t="s">
        <v>1244</v>
      </c>
    </row>
    <row r="12" spans="1:65" ht="15" thickBot="1">
      <c r="A12" s="974"/>
      <c r="B12" s="974"/>
      <c r="C12" s="974"/>
      <c r="D12" s="974"/>
      <c r="E12" s="974"/>
      <c r="F12" s="974"/>
      <c r="G12" s="974"/>
      <c r="H12" s="974"/>
      <c r="I12" s="974"/>
      <c r="J12" s="974"/>
      <c r="K12" s="974"/>
      <c r="L12" s="974"/>
      <c r="M12" s="974"/>
      <c r="N12" s="974"/>
      <c r="O12" s="974"/>
      <c r="P12" s="974"/>
      <c r="Q12" s="974"/>
      <c r="R12" s="974"/>
      <c r="S12" s="974"/>
      <c r="T12" s="974"/>
      <c r="U12" s="974"/>
      <c r="V12" s="974"/>
      <c r="W12" s="974"/>
      <c r="X12" s="1020"/>
      <c r="Y12" s="1020"/>
      <c r="Z12" s="1020"/>
      <c r="AA12" s="1020"/>
      <c r="AB12" s="1020"/>
      <c r="AC12" s="1020"/>
      <c r="AD12" s="1020"/>
      <c r="AE12" s="1020"/>
      <c r="AF12" s="1020"/>
      <c r="AG12" s="1020"/>
      <c r="AH12" s="1020"/>
      <c r="AI12" s="1020"/>
      <c r="AJ12" s="1020"/>
      <c r="AK12" s="1020"/>
      <c r="AL12" s="1020"/>
      <c r="AM12" s="1020"/>
      <c r="AN12" s="1020"/>
      <c r="AO12" s="1020"/>
      <c r="AP12" s="1020"/>
      <c r="AQ12" s="1020"/>
      <c r="AR12" s="1020"/>
      <c r="AS12" s="1020"/>
      <c r="AT12" s="1020"/>
      <c r="AU12" s="1020"/>
      <c r="AV12" s="974"/>
      <c r="AW12" s="974"/>
      <c r="AX12" s="974"/>
      <c r="AY12" s="974"/>
      <c r="AZ12" s="974"/>
      <c r="BA12" s="974"/>
      <c r="BB12" s="974"/>
      <c r="BC12" s="974"/>
      <c r="BD12" s="974"/>
      <c r="BE12" s="970"/>
      <c r="BM12" s="965" t="s">
        <v>2486</v>
      </c>
    </row>
    <row r="13" spans="1:65" ht="15" thickBot="1">
      <c r="A13" s="974"/>
      <c r="B13" s="2185" t="s">
        <v>2487</v>
      </c>
      <c r="C13" s="2186"/>
      <c r="D13" s="2186"/>
      <c r="E13" s="2186"/>
      <c r="F13" s="2186"/>
      <c r="G13" s="2186"/>
      <c r="H13" s="2186"/>
      <c r="I13" s="2186"/>
      <c r="J13" s="2186"/>
      <c r="K13" s="2186"/>
      <c r="L13" s="2186"/>
      <c r="M13" s="2186"/>
      <c r="N13" s="2186"/>
      <c r="O13" s="2186"/>
      <c r="P13" s="2187"/>
      <c r="Q13" s="2188" t="s">
        <v>895</v>
      </c>
      <c r="R13" s="2189"/>
      <c r="S13" s="2189"/>
      <c r="T13" s="2190"/>
      <c r="U13" s="1020"/>
      <c r="V13" s="974"/>
      <c r="W13" s="974"/>
      <c r="X13" s="974"/>
      <c r="Y13" s="974"/>
      <c r="Z13" s="974"/>
      <c r="AA13" s="2179" t="s">
        <v>2488</v>
      </c>
      <c r="AB13" s="2179"/>
      <c r="AC13" s="2179"/>
      <c r="AD13" s="2179"/>
      <c r="AE13" s="2179"/>
      <c r="AF13" s="2179"/>
      <c r="AG13" s="2179"/>
      <c r="AH13" s="2179"/>
      <c r="AI13" s="2179"/>
      <c r="AJ13" s="2179"/>
      <c r="AK13" s="2179"/>
      <c r="AL13" s="2179"/>
      <c r="AM13" s="2179"/>
      <c r="AN13" s="2179"/>
      <c r="AO13" s="2180">
        <f>Application!W473</f>
        <v>0</v>
      </c>
      <c r="AP13" s="2181"/>
      <c r="AQ13" s="2181"/>
      <c r="AR13" s="2181"/>
      <c r="AS13" s="2181"/>
      <c r="AT13" s="1020"/>
      <c r="AU13" s="1020"/>
      <c r="AV13" s="1020"/>
      <c r="AW13" s="1020"/>
      <c r="AX13" s="1020"/>
      <c r="AY13" s="1020"/>
      <c r="AZ13" s="1020"/>
      <c r="BA13" s="1020"/>
      <c r="BB13" s="1020"/>
      <c r="BC13" s="1020"/>
      <c r="BD13" s="1020"/>
      <c r="BE13" s="970"/>
      <c r="BM13" s="965" t="s">
        <v>2489</v>
      </c>
    </row>
    <row r="14" spans="1:65" ht="15" thickBot="1">
      <c r="A14" s="974"/>
      <c r="B14" s="974"/>
      <c r="C14" s="974"/>
      <c r="D14" s="974"/>
      <c r="E14" s="974"/>
      <c r="F14" s="974"/>
      <c r="G14" s="974"/>
      <c r="H14" s="974"/>
      <c r="I14" s="974"/>
      <c r="J14" s="974"/>
      <c r="K14" s="974"/>
      <c r="L14" s="974"/>
      <c r="M14" s="974"/>
      <c r="N14" s="974"/>
      <c r="O14" s="974"/>
      <c r="P14" s="974"/>
      <c r="Q14" s="974"/>
      <c r="R14" s="974"/>
      <c r="S14" s="974"/>
      <c r="T14" s="974"/>
      <c r="U14" s="974"/>
      <c r="V14" s="974"/>
      <c r="W14" s="974"/>
      <c r="X14" s="974"/>
      <c r="Y14" s="974"/>
      <c r="Z14" s="974"/>
      <c r="AA14" s="2182" t="s">
        <v>2490</v>
      </c>
      <c r="AB14" s="2182"/>
      <c r="AC14" s="2182"/>
      <c r="AD14" s="2182"/>
      <c r="AE14" s="2182"/>
      <c r="AF14" s="2182"/>
      <c r="AG14" s="2182"/>
      <c r="AH14" s="2182"/>
      <c r="AI14" s="2182"/>
      <c r="AJ14" s="2182"/>
      <c r="AK14" s="2182"/>
      <c r="AL14" s="2182"/>
      <c r="AM14" s="2182"/>
      <c r="AN14" s="2182"/>
      <c r="AO14" s="2183"/>
      <c r="AP14" s="2184"/>
      <c r="AQ14" s="2184"/>
      <c r="AR14" s="2184"/>
      <c r="AS14" s="2184"/>
      <c r="AT14" s="1020"/>
      <c r="AU14" s="1020"/>
      <c r="AV14" s="1020"/>
      <c r="AW14" s="1020"/>
      <c r="AX14" s="1020"/>
      <c r="AY14" s="1020"/>
      <c r="AZ14" s="1020"/>
      <c r="BA14" s="1020"/>
      <c r="BB14" s="1020"/>
      <c r="BC14" s="1020"/>
      <c r="BD14" s="1020"/>
      <c r="BE14" s="970"/>
    </row>
    <row r="15" spans="1:65" ht="15" thickBot="1">
      <c r="A15" s="974"/>
      <c r="B15" s="2191" t="s">
        <v>2491</v>
      </c>
      <c r="C15" s="2192"/>
      <c r="D15" s="2192"/>
      <c r="E15" s="2192"/>
      <c r="F15" s="2192"/>
      <c r="G15" s="2192"/>
      <c r="H15" s="2192"/>
      <c r="I15" s="2192"/>
      <c r="J15" s="2192"/>
      <c r="K15" s="2192"/>
      <c r="L15" s="2192"/>
      <c r="M15" s="2192"/>
      <c r="N15" s="2192"/>
      <c r="O15" s="2192"/>
      <c r="P15" s="2192"/>
      <c r="Q15" s="2192"/>
      <c r="R15" s="2193"/>
      <c r="S15" s="2194" t="str">
        <f>IF(Application!AB214="","",Application!AB214)</f>
        <v/>
      </c>
      <c r="T15" s="2194"/>
      <c r="U15" s="2194"/>
      <c r="V15" s="2194"/>
      <c r="W15" s="2195"/>
      <c r="X15" s="1020"/>
      <c r="Y15" s="974"/>
      <c r="Z15" s="974"/>
      <c r="AA15" s="2179" t="s">
        <v>2492</v>
      </c>
      <c r="AB15" s="2179"/>
      <c r="AC15" s="2179"/>
      <c r="AD15" s="2179"/>
      <c r="AE15" s="2179"/>
      <c r="AF15" s="2179"/>
      <c r="AG15" s="2179"/>
      <c r="AH15" s="2179"/>
      <c r="AI15" s="2179"/>
      <c r="AJ15" s="2179"/>
      <c r="AK15" s="2179"/>
      <c r="AL15" s="2179"/>
      <c r="AM15" s="2179"/>
      <c r="AN15" s="2179"/>
      <c r="AO15" s="2183"/>
      <c r="AP15" s="2184"/>
      <c r="AQ15" s="2184"/>
      <c r="AR15" s="2184"/>
      <c r="AS15" s="2184"/>
      <c r="AT15" s="1020"/>
      <c r="AU15" s="1020"/>
      <c r="AV15" s="1020"/>
      <c r="AW15" s="1020"/>
      <c r="AX15" s="1020"/>
      <c r="AY15" s="1020"/>
      <c r="AZ15" s="1020"/>
      <c r="BA15" s="1020"/>
      <c r="BB15" s="1020"/>
      <c r="BC15" s="1020"/>
      <c r="BD15" s="1020"/>
      <c r="BE15" s="970"/>
    </row>
    <row r="16" spans="1:65" ht="15" thickBot="1">
      <c r="A16" s="980"/>
      <c r="B16" s="974"/>
      <c r="C16" s="974"/>
      <c r="D16" s="974"/>
      <c r="E16" s="974"/>
      <c r="F16" s="974"/>
      <c r="G16" s="974"/>
      <c r="H16" s="974"/>
      <c r="I16" s="974"/>
      <c r="J16" s="974"/>
      <c r="K16" s="974"/>
      <c r="L16" s="974"/>
      <c r="M16" s="974"/>
      <c r="N16" s="974"/>
      <c r="O16" s="974"/>
      <c r="P16" s="974"/>
      <c r="Q16" s="974"/>
      <c r="R16" s="974"/>
      <c r="S16" s="974"/>
      <c r="T16" s="974"/>
      <c r="U16" s="974"/>
      <c r="V16" s="974"/>
      <c r="W16" s="974"/>
      <c r="X16" s="974"/>
      <c r="Y16" s="974"/>
      <c r="Z16" s="974"/>
      <c r="AA16" s="974"/>
      <c r="AB16" s="974"/>
      <c r="AC16" s="974"/>
      <c r="AD16" s="974"/>
      <c r="AE16" s="974"/>
      <c r="AF16" s="974"/>
      <c r="AG16" s="974"/>
      <c r="AH16" s="974"/>
      <c r="AI16" s="974"/>
      <c r="AJ16" s="974"/>
      <c r="AK16" s="974"/>
      <c r="AL16" s="974"/>
      <c r="AM16" s="974"/>
      <c r="AN16" s="974"/>
      <c r="AO16" s="974"/>
      <c r="AP16" s="974"/>
      <c r="AQ16" s="974"/>
      <c r="AR16" s="974"/>
      <c r="AS16" s="974"/>
      <c r="AT16" s="974"/>
      <c r="AU16" s="974"/>
      <c r="AV16" s="974"/>
      <c r="AW16" s="974"/>
      <c r="AX16" s="974"/>
      <c r="AY16" s="974"/>
      <c r="AZ16" s="974"/>
      <c r="BA16" s="974"/>
      <c r="BB16" s="974"/>
      <c r="BC16" s="974"/>
      <c r="BD16" s="974"/>
      <c r="BE16" s="970"/>
    </row>
    <row r="17" spans="1:58" ht="14.5">
      <c r="A17" s="974"/>
      <c r="B17" s="2196" t="s">
        <v>2493</v>
      </c>
      <c r="C17" s="2197"/>
      <c r="D17" s="2197"/>
      <c r="E17" s="2197"/>
      <c r="F17" s="2197"/>
      <c r="G17" s="2197"/>
      <c r="H17" s="2197"/>
      <c r="I17" s="2197"/>
      <c r="J17" s="2197"/>
      <c r="K17" s="2197"/>
      <c r="L17" s="2197"/>
      <c r="M17" s="2197"/>
      <c r="N17" s="2197"/>
      <c r="O17" s="2197"/>
      <c r="P17" s="2197"/>
      <c r="Q17" s="2197"/>
      <c r="R17" s="2197"/>
      <c r="S17" s="2197"/>
      <c r="T17" s="2197"/>
      <c r="U17" s="2197"/>
      <c r="V17" s="2197"/>
      <c r="W17" s="2197"/>
      <c r="X17" s="2197"/>
      <c r="Y17" s="2197"/>
      <c r="Z17" s="2197"/>
      <c r="AA17" s="2197"/>
      <c r="AB17" s="2197"/>
      <c r="AC17" s="2197"/>
      <c r="AD17" s="2197"/>
      <c r="AE17" s="2197"/>
      <c r="AF17" s="2197"/>
      <c r="AG17" s="2197"/>
      <c r="AH17" s="2197"/>
      <c r="AI17" s="2197"/>
      <c r="AJ17" s="2197"/>
      <c r="AK17" s="2197"/>
      <c r="AL17" s="2197"/>
      <c r="AM17" s="2197"/>
      <c r="AN17" s="2197"/>
      <c r="AO17" s="2197"/>
      <c r="AP17" s="2197"/>
      <c r="AQ17" s="2197"/>
      <c r="AR17" s="2197"/>
      <c r="AS17" s="2197"/>
      <c r="AT17" s="2197"/>
      <c r="AU17" s="2197"/>
      <c r="AV17" s="2197"/>
      <c r="AW17" s="2197"/>
      <c r="AX17" s="2197"/>
      <c r="AY17" s="2198"/>
      <c r="AZ17" s="974"/>
      <c r="BA17" s="974"/>
      <c r="BB17" s="974"/>
      <c r="BC17" s="974"/>
      <c r="BD17" s="974"/>
      <c r="BE17" s="970"/>
      <c r="BF17" s="966"/>
    </row>
    <row r="18" spans="1:58" ht="15.75" customHeight="1">
      <c r="A18" s="974"/>
      <c r="B18" s="2199" t="s">
        <v>2494</v>
      </c>
      <c r="C18" s="2200"/>
      <c r="D18" s="2200"/>
      <c r="E18" s="2200"/>
      <c r="F18" s="2200"/>
      <c r="G18" s="2200"/>
      <c r="H18" s="2200"/>
      <c r="I18" s="2201"/>
      <c r="J18" s="2202" t="s">
        <v>2423</v>
      </c>
      <c r="K18" s="2203"/>
      <c r="L18" s="2203"/>
      <c r="M18" s="2203"/>
      <c r="N18" s="2203"/>
      <c r="O18" s="2204"/>
      <c r="P18" s="2202" t="s">
        <v>1377</v>
      </c>
      <c r="Q18" s="2203"/>
      <c r="R18" s="2203"/>
      <c r="S18" s="2203"/>
      <c r="T18" s="2203"/>
      <c r="U18" s="2204"/>
      <c r="V18" s="2202" t="s">
        <v>1378</v>
      </c>
      <c r="W18" s="2203"/>
      <c r="X18" s="2203"/>
      <c r="Y18" s="2203"/>
      <c r="Z18" s="2203"/>
      <c r="AA18" s="2204"/>
      <c r="AB18" s="2202" t="s">
        <v>1379</v>
      </c>
      <c r="AC18" s="2203"/>
      <c r="AD18" s="2203"/>
      <c r="AE18" s="2203"/>
      <c r="AF18" s="2203"/>
      <c r="AG18" s="2204"/>
      <c r="AH18" s="2202" t="s">
        <v>1380</v>
      </c>
      <c r="AI18" s="2203"/>
      <c r="AJ18" s="2203"/>
      <c r="AK18" s="2203"/>
      <c r="AL18" s="2203"/>
      <c r="AM18" s="2204"/>
      <c r="AN18" s="2202" t="s">
        <v>1381</v>
      </c>
      <c r="AO18" s="2203"/>
      <c r="AP18" s="2203"/>
      <c r="AQ18" s="2203"/>
      <c r="AR18" s="2203"/>
      <c r="AS18" s="2204"/>
      <c r="AT18" s="2202" t="s">
        <v>2495</v>
      </c>
      <c r="AU18" s="2203"/>
      <c r="AV18" s="2203"/>
      <c r="AW18" s="2203"/>
      <c r="AX18" s="2203"/>
      <c r="AY18" s="2205"/>
      <c r="AZ18" s="974"/>
      <c r="BA18" s="974"/>
      <c r="BB18" s="974"/>
      <c r="BC18" s="974"/>
      <c r="BD18" s="974"/>
      <c r="BE18" s="970"/>
    </row>
    <row r="19" spans="1:58" ht="14.5">
      <c r="A19" s="974"/>
      <c r="B19" s="2206">
        <v>0.3</v>
      </c>
      <c r="C19" s="2207"/>
      <c r="D19" s="2207"/>
      <c r="E19" s="2207"/>
      <c r="F19" s="2207"/>
      <c r="G19" s="2207"/>
      <c r="H19" s="2207"/>
      <c r="I19" s="2208"/>
      <c r="J19" s="2209">
        <f t="shared" ref="J19:J28" si="0">SUM(P19:AS19)</f>
        <v>25</v>
      </c>
      <c r="K19" s="2210"/>
      <c r="L19" s="2210"/>
      <c r="M19" s="2210"/>
      <c r="N19" s="2210"/>
      <c r="O19" s="2211"/>
      <c r="P19" s="2209" cm="1">
        <f t="array" ref="P19">SUMPRODUCT((Application!$B$718:$B$752 = 'CalHFA Addendum'!P$18)*(Application!$AC$718:$AC$752 = 'CalHFA Addendum'!$B19),Application!$G$718:$G$752)</f>
        <v>0</v>
      </c>
      <c r="Q19" s="2210"/>
      <c r="R19" s="2210"/>
      <c r="S19" s="2210"/>
      <c r="T19" s="2210"/>
      <c r="U19" s="2211"/>
      <c r="V19" s="2209" cm="1">
        <f t="array" ref="V19">SUMPRODUCT((Application!$B$714:$B$738 = 'CalHFA Addendum'!V$18)*(Application!$AC$714:$AC$738 = 'CalHFA Addendum'!$B19),Application!$G$714:$G$738)</f>
        <v>0</v>
      </c>
      <c r="W19" s="2210"/>
      <c r="X19" s="2210"/>
      <c r="Y19" s="2210"/>
      <c r="Z19" s="2210"/>
      <c r="AA19" s="2211"/>
      <c r="AB19" s="2209" cm="1">
        <f t="array" ref="AB19">SUMPRODUCT((Application!$B$714:$B$738 = 'CalHFA Addendum'!AB$18)*(Application!$AC$714:$AC$738 = 'CalHFA Addendum'!$B19),Application!$G$714:$G$738)</f>
        <v>10</v>
      </c>
      <c r="AC19" s="2210"/>
      <c r="AD19" s="2210"/>
      <c r="AE19" s="2210"/>
      <c r="AF19" s="2210"/>
      <c r="AG19" s="2211"/>
      <c r="AH19" s="2209" cm="1">
        <f t="array" ref="AH19">SUMPRODUCT((Application!$B$714:$B$738 = 'CalHFA Addendum'!AH$18)*(Application!$AC$714:$AC$738 = 'CalHFA Addendum'!$B19),Application!$G$714:$G$738)</f>
        <v>15</v>
      </c>
      <c r="AI19" s="2210"/>
      <c r="AJ19" s="2210"/>
      <c r="AK19" s="2210"/>
      <c r="AL19" s="2210"/>
      <c r="AM19" s="2211"/>
      <c r="AN19" s="2209" cm="1">
        <f t="array" ref="AN19">SUMPRODUCT((Application!$B$714:$B$738 = 'CalHFA Addendum'!AN$18)*(Application!$AC$714:$AC$738 = 'CalHFA Addendum'!$B19),Application!$G$714:$G$738)</f>
        <v>0</v>
      </c>
      <c r="AO19" s="2210"/>
      <c r="AP19" s="2210"/>
      <c r="AQ19" s="2210"/>
      <c r="AR19" s="2210"/>
      <c r="AS19" s="2211"/>
      <c r="AT19" s="2212">
        <f t="shared" ref="AT19:AT29" si="1">J19/$J$29</f>
        <v>0.48076923076923078</v>
      </c>
      <c r="AU19" s="2213"/>
      <c r="AV19" s="2213"/>
      <c r="AW19" s="2213"/>
      <c r="AX19" s="2213"/>
      <c r="AY19" s="2214"/>
      <c r="AZ19" s="984"/>
      <c r="BA19" s="974"/>
      <c r="BB19" s="974"/>
      <c r="BC19" s="974"/>
      <c r="BD19" s="974"/>
      <c r="BE19" s="970"/>
    </row>
    <row r="20" spans="1:58" ht="15" customHeight="1">
      <c r="A20" s="974"/>
      <c r="B20" s="2206">
        <v>0.4</v>
      </c>
      <c r="C20" s="2207"/>
      <c r="D20" s="2207"/>
      <c r="E20" s="2207"/>
      <c r="F20" s="2207"/>
      <c r="G20" s="2207"/>
      <c r="H20" s="2207"/>
      <c r="I20" s="2208"/>
      <c r="J20" s="2209">
        <f t="shared" si="0"/>
        <v>0</v>
      </c>
      <c r="K20" s="2210"/>
      <c r="L20" s="2210"/>
      <c r="M20" s="2210"/>
      <c r="N20" s="2210"/>
      <c r="O20" s="2211"/>
      <c r="P20" s="2209" cm="1">
        <f t="array" ref="P20">SUMPRODUCT((Application!$B$718:$B$752 = 'CalHFA Addendum'!P$18)*(Application!$AC$718:$AC$752 = 'CalHFA Addendum'!$B20),Application!$G$718:$G$752)</f>
        <v>0</v>
      </c>
      <c r="Q20" s="2210"/>
      <c r="R20" s="2210"/>
      <c r="S20" s="2210"/>
      <c r="T20" s="2210"/>
      <c r="U20" s="2211"/>
      <c r="V20" s="2209" cm="1">
        <f t="array" ref="V20">SUMPRODUCT((Application!$B$714:$B$738 = 'CalHFA Addendum'!V$18)*(Application!$AC$714:$AC$738 = 'CalHFA Addendum'!$B20),Application!$G$714:$G$738)</f>
        <v>0</v>
      </c>
      <c r="W20" s="2210"/>
      <c r="X20" s="2210"/>
      <c r="Y20" s="2210"/>
      <c r="Z20" s="2210"/>
      <c r="AA20" s="2211"/>
      <c r="AB20" s="2209" cm="1">
        <f t="array" ref="AB20">SUMPRODUCT((Application!$B$714:$B$738 = 'CalHFA Addendum'!AB$18)*(Application!$AC$714:$AC$738 = 'CalHFA Addendum'!$B20),Application!$G$714:$G$738)</f>
        <v>0</v>
      </c>
      <c r="AC20" s="2210"/>
      <c r="AD20" s="2210"/>
      <c r="AE20" s="2210"/>
      <c r="AF20" s="2210"/>
      <c r="AG20" s="2211"/>
      <c r="AH20" s="2209" cm="1">
        <f t="array" ref="AH20">SUMPRODUCT((Application!$B$714:$B$738 = 'CalHFA Addendum'!AH$18)*(Application!$AC$714:$AC$738 = 'CalHFA Addendum'!$B20),Application!$G$714:$G$738)</f>
        <v>0</v>
      </c>
      <c r="AI20" s="2210"/>
      <c r="AJ20" s="2210"/>
      <c r="AK20" s="2210"/>
      <c r="AL20" s="2210"/>
      <c r="AM20" s="2211"/>
      <c r="AN20" s="2209" cm="1">
        <f t="array" ref="AN20">SUMPRODUCT((Application!$B$714:$B$738 = 'CalHFA Addendum'!AN$18)*(Application!$AC$714:$AC$738 = 'CalHFA Addendum'!$B20),Application!$G$714:$G$738)</f>
        <v>0</v>
      </c>
      <c r="AO20" s="2210"/>
      <c r="AP20" s="2210"/>
      <c r="AQ20" s="2210"/>
      <c r="AR20" s="2210"/>
      <c r="AS20" s="2211"/>
      <c r="AT20" s="2212">
        <f t="shared" si="1"/>
        <v>0</v>
      </c>
      <c r="AU20" s="2213"/>
      <c r="AV20" s="2213"/>
      <c r="AW20" s="2213"/>
      <c r="AX20" s="2213"/>
      <c r="AY20" s="2214"/>
      <c r="AZ20" s="974"/>
      <c r="BA20" s="974"/>
      <c r="BB20" s="974"/>
      <c r="BC20" s="974"/>
      <c r="BD20" s="974"/>
      <c r="BE20" s="970"/>
    </row>
    <row r="21" spans="1:58" ht="14.5">
      <c r="A21" s="974"/>
      <c r="B21" s="2206">
        <v>0.5</v>
      </c>
      <c r="C21" s="2207"/>
      <c r="D21" s="2207"/>
      <c r="E21" s="2207"/>
      <c r="F21" s="2207"/>
      <c r="G21" s="2207"/>
      <c r="H21" s="2207"/>
      <c r="I21" s="2208"/>
      <c r="J21" s="2209">
        <f t="shared" si="0"/>
        <v>0</v>
      </c>
      <c r="K21" s="2210"/>
      <c r="L21" s="2210"/>
      <c r="M21" s="2210"/>
      <c r="N21" s="2210"/>
      <c r="O21" s="2211"/>
      <c r="P21" s="2209" cm="1">
        <f t="array" ref="P21">SUMPRODUCT((Application!$B$714:$B$738 = 'CalHFA Addendum'!P$18)*(Application!$AC$714:$AC$738 = 'CalHFA Addendum'!$B21),Application!$G$714:$G$738)</f>
        <v>0</v>
      </c>
      <c r="Q21" s="2210"/>
      <c r="R21" s="2210"/>
      <c r="S21" s="2210"/>
      <c r="T21" s="2210"/>
      <c r="U21" s="2211"/>
      <c r="V21" s="2209" cm="1">
        <f t="array" ref="V21">SUMPRODUCT((Application!$B$714:$B$738 = 'CalHFA Addendum'!V$18)*(Application!$AC$714:$AC$738 = 'CalHFA Addendum'!$B21),Application!$G$714:$G$738)</f>
        <v>0</v>
      </c>
      <c r="W21" s="2210"/>
      <c r="X21" s="2210"/>
      <c r="Y21" s="2210"/>
      <c r="Z21" s="2210"/>
      <c r="AA21" s="2211"/>
      <c r="AB21" s="2209" cm="1">
        <f t="array" ref="AB21">SUMPRODUCT((Application!$B$714:$B$738 = 'CalHFA Addendum'!AB$18)*(Application!$AC$714:$AC$738 = 'CalHFA Addendum'!$B21),Application!$G$714:$G$738)</f>
        <v>0</v>
      </c>
      <c r="AC21" s="2210"/>
      <c r="AD21" s="2210"/>
      <c r="AE21" s="2210"/>
      <c r="AF21" s="2210"/>
      <c r="AG21" s="2211"/>
      <c r="AH21" s="2209" cm="1">
        <f t="array" ref="AH21">SUMPRODUCT((Application!$B$714:$B$738 = 'CalHFA Addendum'!AH$18)*(Application!$AC$714:$AC$738 = 'CalHFA Addendum'!$B21),Application!$G$714:$G$738)</f>
        <v>0</v>
      </c>
      <c r="AI21" s="2210"/>
      <c r="AJ21" s="2210"/>
      <c r="AK21" s="2210"/>
      <c r="AL21" s="2210"/>
      <c r="AM21" s="2211"/>
      <c r="AN21" s="2209" cm="1">
        <f t="array" ref="AN21">SUMPRODUCT((Application!$B$714:$B$738 = 'CalHFA Addendum'!AN$18)*(Application!$AC$714:$AC$738 = 'CalHFA Addendum'!$B21),Application!$G$714:$G$738)</f>
        <v>0</v>
      </c>
      <c r="AO21" s="2210"/>
      <c r="AP21" s="2210"/>
      <c r="AQ21" s="2210"/>
      <c r="AR21" s="2210"/>
      <c r="AS21" s="2211"/>
      <c r="AT21" s="2212">
        <f t="shared" si="1"/>
        <v>0</v>
      </c>
      <c r="AU21" s="2213"/>
      <c r="AV21" s="2213"/>
      <c r="AW21" s="2213"/>
      <c r="AX21" s="2213"/>
      <c r="AY21" s="2214"/>
      <c r="AZ21" s="974"/>
      <c r="BA21" s="974"/>
      <c r="BB21" s="974"/>
      <c r="BC21" s="974"/>
      <c r="BD21" s="974"/>
      <c r="BE21" s="970"/>
    </row>
    <row r="22" spans="1:58" ht="14.5">
      <c r="A22" s="974"/>
      <c r="B22" s="2206">
        <v>0.6</v>
      </c>
      <c r="C22" s="2207"/>
      <c r="D22" s="2207"/>
      <c r="E22" s="2207"/>
      <c r="F22" s="2207"/>
      <c r="G22" s="2207"/>
      <c r="H22" s="2207"/>
      <c r="I22" s="2208"/>
      <c r="J22" s="2209">
        <f t="shared" si="0"/>
        <v>27</v>
      </c>
      <c r="K22" s="2210"/>
      <c r="L22" s="2210"/>
      <c r="M22" s="2210"/>
      <c r="N22" s="2210"/>
      <c r="O22" s="2211"/>
      <c r="P22" s="2209" cm="1">
        <f t="array" ref="P22">SUMPRODUCT((Application!$B$714:$B$738 = 'CalHFA Addendum'!P$18)*(Application!$AC$714:$AC$738 = 'CalHFA Addendum'!$B22),Application!$G$714:$G$738)</f>
        <v>0</v>
      </c>
      <c r="Q22" s="2210"/>
      <c r="R22" s="2210"/>
      <c r="S22" s="2210"/>
      <c r="T22" s="2210"/>
      <c r="U22" s="2211"/>
      <c r="V22" s="2209" cm="1">
        <f t="array" ref="V22">SUMPRODUCT((Application!$B$714:$B$738 = 'CalHFA Addendum'!V$18)*(Application!$AC$714:$AC$738 = 'CalHFA Addendum'!$B22),Application!$G$714:$G$738)</f>
        <v>6</v>
      </c>
      <c r="W22" s="2210"/>
      <c r="X22" s="2210"/>
      <c r="Y22" s="2210"/>
      <c r="Z22" s="2210"/>
      <c r="AA22" s="2211"/>
      <c r="AB22" s="2209" cm="1">
        <f t="array" ref="AB22">SUMPRODUCT((Application!$B$714:$B$738 = 'CalHFA Addendum'!AB$18)*(Application!$AC$714:$AC$738 = 'CalHFA Addendum'!$B22),Application!$G$714:$G$738)</f>
        <v>14</v>
      </c>
      <c r="AC22" s="2210"/>
      <c r="AD22" s="2210"/>
      <c r="AE22" s="2210"/>
      <c r="AF22" s="2210"/>
      <c r="AG22" s="2211"/>
      <c r="AH22" s="2209" cm="1">
        <f t="array" ref="AH22">SUMPRODUCT((Application!$B$714:$B$738 = 'CalHFA Addendum'!AH$18)*(Application!$AC$714:$AC$738 = 'CalHFA Addendum'!$B22),Application!$G$714:$G$738)</f>
        <v>7</v>
      </c>
      <c r="AI22" s="2210"/>
      <c r="AJ22" s="2210"/>
      <c r="AK22" s="2210"/>
      <c r="AL22" s="2210"/>
      <c r="AM22" s="2211"/>
      <c r="AN22" s="2209" cm="1">
        <f t="array" ref="AN22">SUMPRODUCT((Application!$B$714:$B$738 = 'CalHFA Addendum'!AN$18)*(Application!$AC$714:$AC$738 = 'CalHFA Addendum'!$B22),Application!$G$714:$G$738)</f>
        <v>0</v>
      </c>
      <c r="AO22" s="2210"/>
      <c r="AP22" s="2210"/>
      <c r="AQ22" s="2210"/>
      <c r="AR22" s="2210"/>
      <c r="AS22" s="2211"/>
      <c r="AT22" s="2212">
        <f t="shared" si="1"/>
        <v>0.51923076923076927</v>
      </c>
      <c r="AU22" s="2213"/>
      <c r="AV22" s="2213"/>
      <c r="AW22" s="2213"/>
      <c r="AX22" s="2213"/>
      <c r="AY22" s="2214"/>
      <c r="AZ22" s="974"/>
      <c r="BA22" s="974"/>
      <c r="BB22" s="974"/>
      <c r="BC22" s="974"/>
      <c r="BD22" s="974"/>
      <c r="BE22" s="970"/>
    </row>
    <row r="23" spans="1:58" ht="14.5">
      <c r="A23" s="974"/>
      <c r="B23" s="2206">
        <v>0.7</v>
      </c>
      <c r="C23" s="2207"/>
      <c r="D23" s="2207"/>
      <c r="E23" s="2207"/>
      <c r="F23" s="2207"/>
      <c r="G23" s="2207"/>
      <c r="H23" s="2207"/>
      <c r="I23" s="2208"/>
      <c r="J23" s="2209">
        <f t="shared" si="0"/>
        <v>0</v>
      </c>
      <c r="K23" s="2210"/>
      <c r="L23" s="2210"/>
      <c r="M23" s="2210"/>
      <c r="N23" s="2210"/>
      <c r="O23" s="2211"/>
      <c r="P23" s="2209" cm="1">
        <f t="array" ref="P23">SUMPRODUCT((Application!$B$714:$B$738 = 'CalHFA Addendum'!P$18)*(Application!$AC$714:$AC$738 = 'CalHFA Addendum'!$B23),Application!$G$714:$G$738)</f>
        <v>0</v>
      </c>
      <c r="Q23" s="2210"/>
      <c r="R23" s="2210"/>
      <c r="S23" s="2210"/>
      <c r="T23" s="2210"/>
      <c r="U23" s="2211"/>
      <c r="V23" s="2209" cm="1">
        <f t="array" ref="V23">SUMPRODUCT((Application!$B$714:$B$738 = 'CalHFA Addendum'!V$18)*(Application!$AC$714:$AC$738 = 'CalHFA Addendum'!$B23),Application!$G$714:$G$738)</f>
        <v>0</v>
      </c>
      <c r="W23" s="2210"/>
      <c r="X23" s="2210"/>
      <c r="Y23" s="2210"/>
      <c r="Z23" s="2210"/>
      <c r="AA23" s="2211"/>
      <c r="AB23" s="2209" cm="1">
        <f t="array" ref="AB23">SUMPRODUCT((Application!$B$714:$B$738 = 'CalHFA Addendum'!AB$18)*(Application!$AC$714:$AC$738 = 'CalHFA Addendum'!$B23),Application!$G$714:$G$738)</f>
        <v>0</v>
      </c>
      <c r="AC23" s="2210"/>
      <c r="AD23" s="2210"/>
      <c r="AE23" s="2210"/>
      <c r="AF23" s="2210"/>
      <c r="AG23" s="2211"/>
      <c r="AH23" s="2209" cm="1">
        <f t="array" ref="AH23">SUMPRODUCT((Application!$B$714:$B$738 = 'CalHFA Addendum'!AH$18)*(Application!$AC$714:$AC$738 = 'CalHFA Addendum'!$B23),Application!$G$714:$G$738)</f>
        <v>0</v>
      </c>
      <c r="AI23" s="2210"/>
      <c r="AJ23" s="2210"/>
      <c r="AK23" s="2210"/>
      <c r="AL23" s="2210"/>
      <c r="AM23" s="2211"/>
      <c r="AN23" s="2209" cm="1">
        <f t="array" ref="AN23">SUMPRODUCT((Application!$B$714:$B$738 = 'CalHFA Addendum'!AN$18)*(Application!$AC$714:$AC$738 = 'CalHFA Addendum'!$B23),Application!$G$714:$G$738)</f>
        <v>0</v>
      </c>
      <c r="AO23" s="2210"/>
      <c r="AP23" s="2210"/>
      <c r="AQ23" s="2210"/>
      <c r="AR23" s="2210"/>
      <c r="AS23" s="2211"/>
      <c r="AT23" s="2212">
        <f t="shared" si="1"/>
        <v>0</v>
      </c>
      <c r="AU23" s="2213"/>
      <c r="AV23" s="2213"/>
      <c r="AW23" s="2213"/>
      <c r="AX23" s="2213"/>
      <c r="AY23" s="2214"/>
      <c r="AZ23" s="974"/>
      <c r="BA23" s="974"/>
      <c r="BB23" s="974"/>
      <c r="BC23" s="974"/>
      <c r="BD23" s="974"/>
      <c r="BE23" s="970"/>
    </row>
    <row r="24" spans="1:58" ht="14.5">
      <c r="A24" s="974"/>
      <c r="B24" s="2206">
        <v>0.8</v>
      </c>
      <c r="C24" s="2207"/>
      <c r="D24" s="2207"/>
      <c r="E24" s="2207"/>
      <c r="F24" s="2207"/>
      <c r="G24" s="2207"/>
      <c r="H24" s="2207"/>
      <c r="I24" s="2208"/>
      <c r="J24" s="2209">
        <f t="shared" si="0"/>
        <v>0</v>
      </c>
      <c r="K24" s="2210"/>
      <c r="L24" s="2210"/>
      <c r="M24" s="2210"/>
      <c r="N24" s="2210"/>
      <c r="O24" s="2211"/>
      <c r="P24" s="2209" cm="1">
        <f t="array" ref="P24">SUMPRODUCT((Application!$B$714:$B$738 = 'CalHFA Addendum'!P$18)*(Application!$AC$714:$AC$738 = 'CalHFA Addendum'!$B24),Application!$G$714:$G$738)</f>
        <v>0</v>
      </c>
      <c r="Q24" s="2210"/>
      <c r="R24" s="2210"/>
      <c r="S24" s="2210"/>
      <c r="T24" s="2210"/>
      <c r="U24" s="2211"/>
      <c r="V24" s="2209" cm="1">
        <f t="array" ref="V24">SUMPRODUCT((Application!$B$714:$B$738 = 'CalHFA Addendum'!V$18)*(Application!$AC$714:$AC$738 = 'CalHFA Addendum'!$B24),Application!$G$714:$G$738)</f>
        <v>0</v>
      </c>
      <c r="W24" s="2210"/>
      <c r="X24" s="2210"/>
      <c r="Y24" s="2210"/>
      <c r="Z24" s="2210"/>
      <c r="AA24" s="2211"/>
      <c r="AB24" s="2209" cm="1">
        <f t="array" ref="AB24">SUMPRODUCT((Application!$B$714:$B$738 = 'CalHFA Addendum'!AB$18)*(Application!$AC$714:$AC$738 = 'CalHFA Addendum'!$B24),Application!$G$714:$G$738)</f>
        <v>0</v>
      </c>
      <c r="AC24" s="2210"/>
      <c r="AD24" s="2210"/>
      <c r="AE24" s="2210"/>
      <c r="AF24" s="2210"/>
      <c r="AG24" s="2211"/>
      <c r="AH24" s="2209" cm="1">
        <f t="array" ref="AH24">SUMPRODUCT((Application!$B$714:$B$738 = 'CalHFA Addendum'!AH$18)*(Application!$AC$714:$AC$738 = 'CalHFA Addendum'!$B24),Application!$G$714:$G$738)</f>
        <v>0</v>
      </c>
      <c r="AI24" s="2210"/>
      <c r="AJ24" s="2210"/>
      <c r="AK24" s="2210"/>
      <c r="AL24" s="2210"/>
      <c r="AM24" s="2211"/>
      <c r="AN24" s="2209" cm="1">
        <f t="array" ref="AN24">SUMPRODUCT((Application!$B$714:$B$738 = 'CalHFA Addendum'!AN$18)*(Application!$AC$714:$AC$738 = 'CalHFA Addendum'!$B24),Application!$G$714:$G$738)</f>
        <v>0</v>
      </c>
      <c r="AO24" s="2210"/>
      <c r="AP24" s="2210"/>
      <c r="AQ24" s="2210"/>
      <c r="AR24" s="2210"/>
      <c r="AS24" s="2211"/>
      <c r="AT24" s="2212">
        <f t="shared" si="1"/>
        <v>0</v>
      </c>
      <c r="AU24" s="2213"/>
      <c r="AV24" s="2213"/>
      <c r="AW24" s="2213"/>
      <c r="AX24" s="2213"/>
      <c r="AY24" s="2214"/>
      <c r="AZ24" s="974"/>
      <c r="BA24" s="974"/>
      <c r="BB24" s="974"/>
      <c r="BC24" s="974"/>
      <c r="BD24" s="974"/>
      <c r="BE24" s="970"/>
    </row>
    <row r="25" spans="1:58" ht="14.5">
      <c r="A25" s="974"/>
      <c r="B25" s="2206">
        <v>0.9</v>
      </c>
      <c r="C25" s="2207"/>
      <c r="D25" s="2207"/>
      <c r="E25" s="2207"/>
      <c r="F25" s="2207"/>
      <c r="G25" s="2207"/>
      <c r="H25" s="2207"/>
      <c r="I25" s="2208"/>
      <c r="J25" s="2209">
        <f t="shared" si="0"/>
        <v>0</v>
      </c>
      <c r="K25" s="2210"/>
      <c r="L25" s="2210"/>
      <c r="M25" s="2210"/>
      <c r="N25" s="2210"/>
      <c r="O25" s="2211"/>
      <c r="P25" s="2209" cm="1">
        <f t="array" ref="P25">SUMPRODUCT((Application!$B$714:$B$738 = 'CalHFA Addendum'!P$18)*(Application!$AC$714:$AC$738 = 'CalHFA Addendum'!$B25),Application!$G$714:$G$738)</f>
        <v>0</v>
      </c>
      <c r="Q25" s="2210"/>
      <c r="R25" s="2210"/>
      <c r="S25" s="2210"/>
      <c r="T25" s="2210"/>
      <c r="U25" s="2211"/>
      <c r="V25" s="2209" cm="1">
        <f t="array" ref="V25">SUMPRODUCT((Application!$B$714:$B$738 = 'CalHFA Addendum'!V$18)*(Application!$AC$714:$AC$738 = 'CalHFA Addendum'!$B25),Application!$G$714:$G$738)</f>
        <v>0</v>
      </c>
      <c r="W25" s="2210"/>
      <c r="X25" s="2210"/>
      <c r="Y25" s="2210"/>
      <c r="Z25" s="2210"/>
      <c r="AA25" s="2211"/>
      <c r="AB25" s="2209" cm="1">
        <f t="array" ref="AB25">SUMPRODUCT((Application!$B$714:$B$738 = 'CalHFA Addendum'!AB$18)*(Application!$AC$714:$AC$738 = 'CalHFA Addendum'!$B25),Application!$G$714:$G$738)</f>
        <v>0</v>
      </c>
      <c r="AC25" s="2210"/>
      <c r="AD25" s="2210"/>
      <c r="AE25" s="2210"/>
      <c r="AF25" s="2210"/>
      <c r="AG25" s="2211"/>
      <c r="AH25" s="2209" cm="1">
        <f t="array" ref="AH25">SUMPRODUCT((Application!$B$714:$B$738 = 'CalHFA Addendum'!AH$18)*(Application!$AC$714:$AC$738 = 'CalHFA Addendum'!$B25),Application!$G$714:$G$738)</f>
        <v>0</v>
      </c>
      <c r="AI25" s="2210"/>
      <c r="AJ25" s="2210"/>
      <c r="AK25" s="2210"/>
      <c r="AL25" s="2210"/>
      <c r="AM25" s="2211"/>
      <c r="AN25" s="2209" cm="1">
        <f t="array" ref="AN25">SUMPRODUCT((Application!$B$714:$B$738 = 'CalHFA Addendum'!AN$18)*(Application!$AC$714:$AC$738 = 'CalHFA Addendum'!$B25),Application!$G$714:$G$738)</f>
        <v>0</v>
      </c>
      <c r="AO25" s="2210"/>
      <c r="AP25" s="2210"/>
      <c r="AQ25" s="2210"/>
      <c r="AR25" s="2210"/>
      <c r="AS25" s="2211"/>
      <c r="AT25" s="2212">
        <f t="shared" si="1"/>
        <v>0</v>
      </c>
      <c r="AU25" s="2213"/>
      <c r="AV25" s="2213"/>
      <c r="AW25" s="2213"/>
      <c r="AX25" s="2213"/>
      <c r="AY25" s="2214"/>
      <c r="AZ25" s="974"/>
      <c r="BA25" s="974"/>
      <c r="BB25" s="974"/>
      <c r="BC25" s="974"/>
      <c r="BD25" s="974"/>
      <c r="BE25" s="970"/>
    </row>
    <row r="26" spans="1:58" ht="14.5">
      <c r="A26" s="974"/>
      <c r="B26" s="2206">
        <v>1</v>
      </c>
      <c r="C26" s="2207"/>
      <c r="D26" s="2207"/>
      <c r="E26" s="2207"/>
      <c r="F26" s="2207"/>
      <c r="G26" s="2207"/>
      <c r="H26" s="2207"/>
      <c r="I26" s="2208"/>
      <c r="J26" s="2209">
        <f t="shared" si="0"/>
        <v>0</v>
      </c>
      <c r="K26" s="2210"/>
      <c r="L26" s="2210"/>
      <c r="M26" s="2210"/>
      <c r="N26" s="2210"/>
      <c r="O26" s="2211"/>
      <c r="P26" s="2209" cm="1">
        <f t="array" ref="P26">SUMPRODUCT((Application!$B$714:$B$738 = 'CalHFA Addendum'!P$18)*(Application!$AC$714:$AC$738 = 'CalHFA Addendum'!$B26),Application!$G$714:$G$738)</f>
        <v>0</v>
      </c>
      <c r="Q26" s="2210"/>
      <c r="R26" s="2210"/>
      <c r="S26" s="2210"/>
      <c r="T26" s="2210"/>
      <c r="U26" s="2211"/>
      <c r="V26" s="2209" cm="1">
        <f t="array" ref="V26">SUMPRODUCT((Application!$B$714:$B$738 = 'CalHFA Addendum'!V$18)*(Application!$AC$714:$AC$738 = 'CalHFA Addendum'!$B26),Application!$G$714:$G$738)</f>
        <v>0</v>
      </c>
      <c r="W26" s="2210"/>
      <c r="X26" s="2210"/>
      <c r="Y26" s="2210"/>
      <c r="Z26" s="2210"/>
      <c r="AA26" s="2211"/>
      <c r="AB26" s="2209" cm="1">
        <f t="array" ref="AB26">SUMPRODUCT((Application!$B$714:$B$738 = 'CalHFA Addendum'!AB$18)*(Application!$AC$714:$AC$738 = 'CalHFA Addendum'!$B26),Application!$G$714:$G$738)</f>
        <v>0</v>
      </c>
      <c r="AC26" s="2210"/>
      <c r="AD26" s="2210"/>
      <c r="AE26" s="2210"/>
      <c r="AF26" s="2210"/>
      <c r="AG26" s="2211"/>
      <c r="AH26" s="2209" cm="1">
        <f t="array" ref="AH26">SUMPRODUCT((Application!$B$714:$B$738 = 'CalHFA Addendum'!AH$18)*(Application!$AC$714:$AC$738 = 'CalHFA Addendum'!$B26),Application!$G$714:$G$738)</f>
        <v>0</v>
      </c>
      <c r="AI26" s="2210"/>
      <c r="AJ26" s="2210"/>
      <c r="AK26" s="2210"/>
      <c r="AL26" s="2210"/>
      <c r="AM26" s="2211"/>
      <c r="AN26" s="2209" cm="1">
        <f t="array" ref="AN26">SUMPRODUCT((Application!$B$714:$B$738 = 'CalHFA Addendum'!AN$18)*(Application!$AC$714:$AC$738 = 'CalHFA Addendum'!$B26),Application!$G$714:$G$738)</f>
        <v>0</v>
      </c>
      <c r="AO26" s="2210"/>
      <c r="AP26" s="2210"/>
      <c r="AQ26" s="2210"/>
      <c r="AR26" s="2210"/>
      <c r="AS26" s="2211"/>
      <c r="AT26" s="2212">
        <f t="shared" si="1"/>
        <v>0</v>
      </c>
      <c r="AU26" s="2213"/>
      <c r="AV26" s="2213"/>
      <c r="AW26" s="2213"/>
      <c r="AX26" s="2213"/>
      <c r="AY26" s="2214"/>
      <c r="AZ26" s="974"/>
      <c r="BA26" s="974"/>
      <c r="BB26" s="974"/>
      <c r="BC26" s="974"/>
      <c r="BD26" s="974"/>
      <c r="BE26" s="970"/>
    </row>
    <row r="27" spans="1:58" ht="14.5">
      <c r="A27" s="974"/>
      <c r="B27" s="2206">
        <v>1.1000000000000001</v>
      </c>
      <c r="C27" s="2207"/>
      <c r="D27" s="2207"/>
      <c r="E27" s="2207"/>
      <c r="F27" s="2207"/>
      <c r="G27" s="2207"/>
      <c r="H27" s="2207"/>
      <c r="I27" s="2208"/>
      <c r="J27" s="2209">
        <f t="shared" si="0"/>
        <v>0</v>
      </c>
      <c r="K27" s="2210"/>
      <c r="L27" s="2210"/>
      <c r="M27" s="2210"/>
      <c r="N27" s="2210"/>
      <c r="O27" s="2211"/>
      <c r="P27" s="2209" cm="1">
        <f t="array" ref="P27">SUMPRODUCT((Application!$B$714:$B$738 = 'CalHFA Addendum'!P$18)*(Application!$AC$714:$AC$738 = 'CalHFA Addendum'!$B27),Application!$G$714:$G$738)</f>
        <v>0</v>
      </c>
      <c r="Q27" s="2210"/>
      <c r="R27" s="2210"/>
      <c r="S27" s="2210"/>
      <c r="T27" s="2210"/>
      <c r="U27" s="2211"/>
      <c r="V27" s="2209" cm="1">
        <f t="array" ref="V27">SUMPRODUCT((Application!$B$714:$B$738 = 'CalHFA Addendum'!V$18)*(Application!$AC$714:$AC$738 = 'CalHFA Addendum'!$B27),Application!$G$714:$G$738)</f>
        <v>0</v>
      </c>
      <c r="W27" s="2210"/>
      <c r="X27" s="2210"/>
      <c r="Y27" s="2210"/>
      <c r="Z27" s="2210"/>
      <c r="AA27" s="2211"/>
      <c r="AB27" s="2209" cm="1">
        <f t="array" ref="AB27">SUMPRODUCT((Application!$B$714:$B$738 = 'CalHFA Addendum'!AB$18)*(Application!$AC$714:$AC$738 = 'CalHFA Addendum'!$B27),Application!$G$714:$G$738)</f>
        <v>0</v>
      </c>
      <c r="AC27" s="2210"/>
      <c r="AD27" s="2210"/>
      <c r="AE27" s="2210"/>
      <c r="AF27" s="2210"/>
      <c r="AG27" s="2211"/>
      <c r="AH27" s="2209" cm="1">
        <f t="array" ref="AH27">SUMPRODUCT((Application!$B$714:$B$738 = 'CalHFA Addendum'!AH$18)*(Application!$AC$714:$AC$738 = 'CalHFA Addendum'!$B27),Application!$G$714:$G$738)</f>
        <v>0</v>
      </c>
      <c r="AI27" s="2210"/>
      <c r="AJ27" s="2210"/>
      <c r="AK27" s="2210"/>
      <c r="AL27" s="2210"/>
      <c r="AM27" s="2211"/>
      <c r="AN27" s="2209" cm="1">
        <f t="array" ref="AN27">SUMPRODUCT((Application!$B$714:$B$738 = 'CalHFA Addendum'!AN$18)*(Application!$AC$714:$AC$738 = 'CalHFA Addendum'!$B27),Application!$G$714:$G$738)</f>
        <v>0</v>
      </c>
      <c r="AO27" s="2210"/>
      <c r="AP27" s="2210"/>
      <c r="AQ27" s="2210"/>
      <c r="AR27" s="2210"/>
      <c r="AS27" s="2211"/>
      <c r="AT27" s="2212">
        <f t="shared" si="1"/>
        <v>0</v>
      </c>
      <c r="AU27" s="2213"/>
      <c r="AV27" s="2213"/>
      <c r="AW27" s="2213"/>
      <c r="AX27" s="2213"/>
      <c r="AY27" s="2214"/>
      <c r="AZ27" s="974"/>
      <c r="BA27" s="974"/>
      <c r="BB27" s="974"/>
      <c r="BC27" s="974"/>
      <c r="BD27" s="974"/>
      <c r="BE27" s="970"/>
    </row>
    <row r="28" spans="1:58" ht="15" thickBot="1">
      <c r="A28" s="974"/>
      <c r="B28" s="2225" t="s">
        <v>2496</v>
      </c>
      <c r="C28" s="2226"/>
      <c r="D28" s="2226"/>
      <c r="E28" s="2226"/>
      <c r="F28" s="2226"/>
      <c r="G28" s="2226"/>
      <c r="H28" s="2226"/>
      <c r="I28" s="2227"/>
      <c r="J28" s="2228">
        <f t="shared" si="0"/>
        <v>0</v>
      </c>
      <c r="K28" s="2229"/>
      <c r="L28" s="2229"/>
      <c r="M28" s="2229"/>
      <c r="N28" s="2229"/>
      <c r="O28" s="2230"/>
      <c r="P28" s="2228">
        <f>_xlfn.IFNA(VLOOKUP(P$18,Application!$J$758:$S$761,6,FALSE), 0)</f>
        <v>0</v>
      </c>
      <c r="Q28" s="2229"/>
      <c r="R28" s="2229"/>
      <c r="S28" s="2229"/>
      <c r="T28" s="2229"/>
      <c r="U28" s="2230"/>
      <c r="V28" s="2228">
        <f>_xlfn.IFNA(VLOOKUP(V$18,Application!$J$758:$S$761,6,FALSE), 0)</f>
        <v>0</v>
      </c>
      <c r="W28" s="2229"/>
      <c r="X28" s="2229"/>
      <c r="Y28" s="2229"/>
      <c r="Z28" s="2229"/>
      <c r="AA28" s="2230"/>
      <c r="AB28" s="2228">
        <f>_xlfn.IFNA(VLOOKUP(AB$18,Application!$J$758:$S$761,6,FALSE), 0)</f>
        <v>0</v>
      </c>
      <c r="AC28" s="2229"/>
      <c r="AD28" s="2229"/>
      <c r="AE28" s="2229"/>
      <c r="AF28" s="2229"/>
      <c r="AG28" s="2230"/>
      <c r="AH28" s="2228">
        <f>_xlfn.IFNA(VLOOKUP(AH$18,Application!$J$758:$S$761,6,FALSE), 0)</f>
        <v>0</v>
      </c>
      <c r="AI28" s="2229"/>
      <c r="AJ28" s="2229"/>
      <c r="AK28" s="2229"/>
      <c r="AL28" s="2229"/>
      <c r="AM28" s="2230"/>
      <c r="AN28" s="2228">
        <f>_xlfn.IFNA(VLOOKUP(AN$18,Application!$J$758:$S$761,6,FALSE), 0)</f>
        <v>0</v>
      </c>
      <c r="AO28" s="2229"/>
      <c r="AP28" s="2229"/>
      <c r="AQ28" s="2229"/>
      <c r="AR28" s="2229"/>
      <c r="AS28" s="2230"/>
      <c r="AT28" s="2231">
        <f t="shared" si="1"/>
        <v>0</v>
      </c>
      <c r="AU28" s="2232"/>
      <c r="AV28" s="2232"/>
      <c r="AW28" s="2232"/>
      <c r="AX28" s="2232"/>
      <c r="AY28" s="2233"/>
      <c r="AZ28" s="974"/>
      <c r="BA28" s="974"/>
      <c r="BB28" s="974"/>
      <c r="BC28" s="974"/>
      <c r="BD28" s="974"/>
      <c r="BE28" s="970"/>
    </row>
    <row r="29" spans="1:58" ht="15" thickBot="1">
      <c r="A29" s="974"/>
      <c r="B29" s="2240" t="s">
        <v>2423</v>
      </c>
      <c r="C29" s="2241"/>
      <c r="D29" s="2241"/>
      <c r="E29" s="2241"/>
      <c r="F29" s="2241"/>
      <c r="G29" s="2241"/>
      <c r="H29" s="2241"/>
      <c r="I29" s="2242"/>
      <c r="J29" s="2243">
        <f>SUM(J19:O28)</f>
        <v>52</v>
      </c>
      <c r="K29" s="2241"/>
      <c r="L29" s="2241"/>
      <c r="M29" s="2241"/>
      <c r="N29" s="2241"/>
      <c r="O29" s="2242"/>
      <c r="P29" s="2243">
        <f>SUM(P19:U28)</f>
        <v>0</v>
      </c>
      <c r="Q29" s="2241"/>
      <c r="R29" s="2241"/>
      <c r="S29" s="2241"/>
      <c r="T29" s="2241"/>
      <c r="U29" s="2242"/>
      <c r="V29" s="2243">
        <f>SUM(V19:AA28)</f>
        <v>6</v>
      </c>
      <c r="W29" s="2241"/>
      <c r="X29" s="2241"/>
      <c r="Y29" s="2241"/>
      <c r="Z29" s="2241"/>
      <c r="AA29" s="2242"/>
      <c r="AB29" s="2243">
        <f>SUM(AB19:AG28)</f>
        <v>24</v>
      </c>
      <c r="AC29" s="2241"/>
      <c r="AD29" s="2241"/>
      <c r="AE29" s="2241"/>
      <c r="AF29" s="2241"/>
      <c r="AG29" s="2242"/>
      <c r="AH29" s="2243">
        <f>SUM(AH19:AM28)</f>
        <v>22</v>
      </c>
      <c r="AI29" s="2241"/>
      <c r="AJ29" s="2241"/>
      <c r="AK29" s="2241"/>
      <c r="AL29" s="2241"/>
      <c r="AM29" s="2242"/>
      <c r="AN29" s="2243">
        <f>SUM(AN19:AS28)</f>
        <v>0</v>
      </c>
      <c r="AO29" s="2241"/>
      <c r="AP29" s="2241"/>
      <c r="AQ29" s="2241"/>
      <c r="AR29" s="2241"/>
      <c r="AS29" s="2242"/>
      <c r="AT29" s="2260">
        <f t="shared" si="1"/>
        <v>1</v>
      </c>
      <c r="AU29" s="2261"/>
      <c r="AV29" s="2261"/>
      <c r="AW29" s="2261"/>
      <c r="AX29" s="2261"/>
      <c r="AY29" s="2262"/>
      <c r="AZ29" s="974"/>
      <c r="BA29" s="974"/>
      <c r="BB29" s="974"/>
      <c r="BC29" s="974"/>
      <c r="BD29" s="974"/>
      <c r="BE29" s="970"/>
    </row>
    <row r="30" spans="1:58" ht="15" thickBot="1">
      <c r="A30" s="980"/>
      <c r="B30" s="974"/>
      <c r="C30" s="974"/>
      <c r="D30" s="974"/>
      <c r="E30" s="974"/>
      <c r="F30" s="974"/>
      <c r="G30" s="974"/>
      <c r="H30" s="974"/>
      <c r="I30" s="974"/>
      <c r="J30" s="974"/>
      <c r="K30" s="974"/>
      <c r="L30" s="974"/>
      <c r="M30" s="974"/>
      <c r="N30" s="974"/>
      <c r="O30" s="974"/>
      <c r="P30" s="974"/>
      <c r="Q30" s="974"/>
      <c r="R30" s="974"/>
      <c r="S30" s="974"/>
      <c r="T30" s="974"/>
      <c r="U30" s="974"/>
      <c r="V30" s="974"/>
      <c r="W30" s="974"/>
      <c r="X30" s="974"/>
      <c r="Y30" s="974"/>
      <c r="Z30" s="974"/>
      <c r="AA30" s="974"/>
      <c r="AB30" s="974"/>
      <c r="AC30" s="974"/>
      <c r="AD30" s="974"/>
      <c r="AE30" s="974"/>
      <c r="AF30" s="974"/>
      <c r="AG30" s="974"/>
      <c r="AH30" s="974"/>
      <c r="AI30" s="974"/>
      <c r="AJ30" s="974"/>
      <c r="AK30" s="974"/>
      <c r="AL30" s="974"/>
      <c r="AM30" s="974"/>
      <c r="AN30" s="974"/>
      <c r="AO30" s="974"/>
      <c r="AP30" s="974"/>
      <c r="AQ30" s="974"/>
      <c r="AR30" s="974"/>
      <c r="AS30" s="974"/>
      <c r="AT30" s="974"/>
      <c r="AU30" s="974"/>
      <c r="AV30" s="974"/>
      <c r="AW30" s="974"/>
      <c r="AX30" s="974"/>
      <c r="AY30" s="974"/>
      <c r="AZ30" s="974"/>
      <c r="BA30" s="974"/>
      <c r="BB30" s="974"/>
      <c r="BC30" s="974"/>
      <c r="BD30" s="974"/>
      <c r="BE30" s="970"/>
    </row>
    <row r="31" spans="1:58" ht="15" thickBot="1">
      <c r="A31" s="974"/>
      <c r="B31" s="2248" t="s">
        <v>2497</v>
      </c>
      <c r="C31" s="2249"/>
      <c r="D31" s="2249"/>
      <c r="E31" s="2249"/>
      <c r="F31" s="2249"/>
      <c r="G31" s="2249"/>
      <c r="H31" s="2249"/>
      <c r="I31" s="2249"/>
      <c r="J31" s="2249"/>
      <c r="K31" s="2249"/>
      <c r="L31" s="2249"/>
      <c r="M31" s="2249"/>
      <c r="N31" s="2249"/>
      <c r="O31" s="2249"/>
      <c r="P31" s="2249"/>
      <c r="Q31" s="2249"/>
      <c r="R31" s="2249"/>
      <c r="S31" s="2249"/>
      <c r="T31" s="2249"/>
      <c r="U31" s="2249"/>
      <c r="V31" s="2249"/>
      <c r="W31" s="2249"/>
      <c r="X31" s="2249"/>
      <c r="Y31" s="2249"/>
      <c r="Z31" s="2249"/>
      <c r="AA31" s="2249"/>
      <c r="AB31" s="2249"/>
      <c r="AC31" s="2249"/>
      <c r="AD31" s="2249"/>
      <c r="AE31" s="2249"/>
      <c r="AF31" s="2249"/>
      <c r="AG31" s="2249"/>
      <c r="AH31" s="2249"/>
      <c r="AI31" s="2249"/>
      <c r="AJ31" s="2249"/>
      <c r="AK31" s="2249"/>
      <c r="AL31" s="2249"/>
      <c r="AM31" s="2249"/>
      <c r="AN31" s="2249"/>
      <c r="AO31" s="2249"/>
      <c r="AP31" s="2249"/>
      <c r="AQ31" s="2249"/>
      <c r="AR31" s="2249"/>
      <c r="AS31" s="2249"/>
      <c r="AT31" s="2249"/>
      <c r="AU31" s="2249"/>
      <c r="AV31" s="2249"/>
      <c r="AW31" s="2249"/>
      <c r="AX31" s="2249"/>
      <c r="AY31" s="2249"/>
      <c r="AZ31" s="2249"/>
      <c r="BA31" s="2249"/>
      <c r="BB31" s="2249"/>
      <c r="BC31" s="2249"/>
      <c r="BD31" s="2250"/>
      <c r="BE31" s="970"/>
    </row>
    <row r="32" spans="1:58" ht="15" thickBot="1">
      <c r="A32" s="974"/>
      <c r="B32" s="2263" t="s">
        <v>2498</v>
      </c>
      <c r="C32" s="2264"/>
      <c r="D32" s="2264"/>
      <c r="E32" s="2264"/>
      <c r="F32" s="2264"/>
      <c r="G32" s="2264"/>
      <c r="H32" s="2264"/>
      <c r="I32" s="2264"/>
      <c r="J32" s="2234" t="s">
        <v>2499</v>
      </c>
      <c r="K32" s="2235"/>
      <c r="L32" s="2235"/>
      <c r="M32" s="2235"/>
      <c r="N32" s="2234" t="s">
        <v>2500</v>
      </c>
      <c r="O32" s="2235"/>
      <c r="P32" s="2235"/>
      <c r="Q32" s="2237"/>
      <c r="R32" s="2257" t="s">
        <v>2501</v>
      </c>
      <c r="S32" s="2258"/>
      <c r="T32" s="2258"/>
      <c r="U32" s="2258"/>
      <c r="V32" s="2258"/>
      <c r="W32" s="2258"/>
      <c r="X32" s="2258"/>
      <c r="Y32" s="2258"/>
      <c r="Z32" s="2258"/>
      <c r="AA32" s="2258"/>
      <c r="AB32" s="2258"/>
      <c r="AC32" s="2258"/>
      <c r="AD32" s="2258"/>
      <c r="AE32" s="2258"/>
      <c r="AF32" s="2258"/>
      <c r="AG32" s="2258"/>
      <c r="AH32" s="2258"/>
      <c r="AI32" s="2258"/>
      <c r="AJ32" s="2258"/>
      <c r="AK32" s="2258"/>
      <c r="AL32" s="2258"/>
      <c r="AM32" s="2258"/>
      <c r="AN32" s="2258"/>
      <c r="AO32" s="2258"/>
      <c r="AP32" s="2258"/>
      <c r="AQ32" s="2258"/>
      <c r="AR32" s="2258"/>
      <c r="AS32" s="2258"/>
      <c r="AT32" s="2258"/>
      <c r="AU32" s="2258"/>
      <c r="AV32" s="2258"/>
      <c r="AW32" s="2258"/>
      <c r="AX32" s="2258"/>
      <c r="AY32" s="2258"/>
      <c r="AZ32" s="2258"/>
      <c r="BA32" s="2258"/>
      <c r="BB32" s="2258"/>
      <c r="BC32" s="2258"/>
      <c r="BD32" s="2259"/>
      <c r="BE32" s="970"/>
    </row>
    <row r="33" spans="1:58" ht="15" customHeight="1">
      <c r="A33" s="974"/>
      <c r="B33" s="2265"/>
      <c r="C33" s="2266"/>
      <c r="D33" s="2266"/>
      <c r="E33" s="2266"/>
      <c r="F33" s="2266"/>
      <c r="G33" s="2266"/>
      <c r="H33" s="2266"/>
      <c r="I33" s="2266"/>
      <c r="J33" s="2236"/>
      <c r="K33" s="2236"/>
      <c r="L33" s="2236"/>
      <c r="M33" s="2236"/>
      <c r="N33" s="2236"/>
      <c r="O33" s="2236"/>
      <c r="P33" s="2236"/>
      <c r="Q33" s="2238"/>
      <c r="R33" s="2251" t="s">
        <v>2502</v>
      </c>
      <c r="S33" s="2252"/>
      <c r="T33" s="2252"/>
      <c r="U33" s="2252"/>
      <c r="V33" s="2252"/>
      <c r="W33" s="2252"/>
      <c r="X33" s="2252"/>
      <c r="Y33" s="2252"/>
      <c r="Z33" s="2252"/>
      <c r="AA33" s="2252"/>
      <c r="AB33" s="2252"/>
      <c r="AC33" s="2252"/>
      <c r="AD33" s="2252"/>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2252"/>
      <c r="BB33" s="2252"/>
      <c r="BC33" s="2252"/>
      <c r="BD33" s="2253"/>
      <c r="BE33" s="970"/>
    </row>
    <row r="34" spans="1:58" ht="15.75" customHeight="1" thickBot="1">
      <c r="A34" s="974"/>
      <c r="B34" s="2265"/>
      <c r="C34" s="2266"/>
      <c r="D34" s="2266"/>
      <c r="E34" s="2266"/>
      <c r="F34" s="2266"/>
      <c r="G34" s="2266"/>
      <c r="H34" s="2266"/>
      <c r="I34" s="2266"/>
      <c r="J34" s="2236"/>
      <c r="K34" s="2236"/>
      <c r="L34" s="2236"/>
      <c r="M34" s="2236"/>
      <c r="N34" s="2236"/>
      <c r="O34" s="2236"/>
      <c r="P34" s="2236"/>
      <c r="Q34" s="2238"/>
      <c r="R34" s="2254"/>
      <c r="S34" s="2255"/>
      <c r="T34" s="2255"/>
      <c r="U34" s="2255"/>
      <c r="V34" s="2255"/>
      <c r="W34" s="2255"/>
      <c r="X34" s="2255"/>
      <c r="Y34" s="2255"/>
      <c r="Z34" s="2255"/>
      <c r="AA34" s="2255"/>
      <c r="AB34" s="2255"/>
      <c r="AC34" s="2255"/>
      <c r="AD34" s="2255"/>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2255"/>
      <c r="BB34" s="2255"/>
      <c r="BC34" s="2255"/>
      <c r="BD34" s="2256"/>
      <c r="BE34" s="970"/>
    </row>
    <row r="35" spans="1:58" ht="15.75" customHeight="1">
      <c r="A35" s="974"/>
      <c r="B35" s="2265"/>
      <c r="C35" s="2266"/>
      <c r="D35" s="2266"/>
      <c r="E35" s="2266"/>
      <c r="F35" s="2266"/>
      <c r="G35" s="2266"/>
      <c r="H35" s="2266"/>
      <c r="I35" s="2266"/>
      <c r="J35" s="2236"/>
      <c r="K35" s="2236"/>
      <c r="L35" s="2236"/>
      <c r="M35" s="2236"/>
      <c r="N35" s="2236"/>
      <c r="O35" s="2236"/>
      <c r="P35" s="2236"/>
      <c r="Q35" s="2236"/>
      <c r="R35" s="2239">
        <v>0.3</v>
      </c>
      <c r="S35" s="2239"/>
      <c r="T35" s="2239"/>
      <c r="U35" s="2239"/>
      <c r="V35" s="2239">
        <v>0.4</v>
      </c>
      <c r="W35" s="2239"/>
      <c r="X35" s="2239"/>
      <c r="Y35" s="2239"/>
      <c r="Z35" s="2239">
        <v>0.5</v>
      </c>
      <c r="AA35" s="2239"/>
      <c r="AB35" s="2239"/>
      <c r="AC35" s="2239"/>
      <c r="AD35" s="2239">
        <v>0.6</v>
      </c>
      <c r="AE35" s="2239"/>
      <c r="AF35" s="2239"/>
      <c r="AG35" s="2239"/>
      <c r="AH35" s="2239">
        <v>0.7</v>
      </c>
      <c r="AI35" s="2239"/>
      <c r="AJ35" s="2239"/>
      <c r="AK35" s="2239"/>
      <c r="AL35" s="2215">
        <v>0.8</v>
      </c>
      <c r="AM35" s="2216"/>
      <c r="AN35" s="2216"/>
      <c r="AO35" s="2217"/>
      <c r="AP35" s="2218">
        <v>1.2</v>
      </c>
      <c r="AQ35" s="2219"/>
      <c r="AR35" s="2220"/>
      <c r="AS35" s="2221" t="s">
        <v>2503</v>
      </c>
      <c r="AT35" s="2222"/>
      <c r="AU35" s="2222"/>
      <c r="AV35" s="2222"/>
      <c r="AW35" s="2222"/>
      <c r="AX35" s="2223"/>
      <c r="AY35" s="2221" t="s">
        <v>2504</v>
      </c>
      <c r="AZ35" s="2222"/>
      <c r="BA35" s="2222"/>
      <c r="BB35" s="2222"/>
      <c r="BC35" s="2222"/>
      <c r="BD35" s="2224"/>
      <c r="BE35" s="970"/>
    </row>
    <row r="36" spans="1:58" ht="15.75" customHeight="1">
      <c r="A36" s="974"/>
      <c r="B36" s="2244" t="s">
        <v>2505</v>
      </c>
      <c r="C36" s="2245"/>
      <c r="D36" s="2245"/>
      <c r="E36" s="2245"/>
      <c r="F36" s="2245"/>
      <c r="G36" s="2245"/>
      <c r="H36" s="2245"/>
      <c r="I36" s="2245"/>
      <c r="J36" s="2246" t="s">
        <v>2506</v>
      </c>
      <c r="K36" s="2246"/>
      <c r="L36" s="2246"/>
      <c r="M36" s="2246"/>
      <c r="N36" s="2246">
        <v>55</v>
      </c>
      <c r="O36" s="2246"/>
      <c r="P36" s="2246"/>
      <c r="Q36" s="2246"/>
      <c r="R36" s="2247">
        <v>0</v>
      </c>
      <c r="S36" s="2247"/>
      <c r="T36" s="2247"/>
      <c r="U36" s="2247"/>
      <c r="V36" s="2247">
        <v>0</v>
      </c>
      <c r="W36" s="2247"/>
      <c r="X36" s="2247"/>
      <c r="Y36" s="2247"/>
      <c r="Z36" s="2247">
        <v>10</v>
      </c>
      <c r="AA36" s="2247"/>
      <c r="AB36" s="2247"/>
      <c r="AC36" s="2247"/>
      <c r="AD36" s="2247">
        <v>10</v>
      </c>
      <c r="AE36" s="2247"/>
      <c r="AF36" s="2247"/>
      <c r="AG36" s="2247"/>
      <c r="AH36" s="2247">
        <v>30</v>
      </c>
      <c r="AI36" s="2247"/>
      <c r="AJ36" s="2247"/>
      <c r="AK36" s="2247"/>
      <c r="AL36" s="2267">
        <v>0</v>
      </c>
      <c r="AM36" s="2268"/>
      <c r="AN36" s="2268"/>
      <c r="AO36" s="2269"/>
      <c r="AP36" s="2267">
        <v>0</v>
      </c>
      <c r="AQ36" s="2268"/>
      <c r="AR36" s="2269"/>
      <c r="AS36" s="2270">
        <f t="shared" ref="AS36:AS47" si="2">SUM(R36:AR36)</f>
        <v>50</v>
      </c>
      <c r="AT36" s="2271"/>
      <c r="AU36" s="2271"/>
      <c r="AV36" s="2271"/>
      <c r="AW36" s="2271"/>
      <c r="AX36" s="2272"/>
      <c r="AY36" s="2273">
        <f t="shared" ref="AY36:AY47" si="3">AS36/$J$29</f>
        <v>0.96153846153846156</v>
      </c>
      <c r="AZ36" s="2274"/>
      <c r="BA36" s="2274"/>
      <c r="BB36" s="2274"/>
      <c r="BC36" s="2274"/>
      <c r="BD36" s="2275"/>
      <c r="BE36" s="970"/>
    </row>
    <row r="37" spans="1:58" ht="15.75" customHeight="1">
      <c r="A37" s="974"/>
      <c r="B37" s="2244" t="s">
        <v>2507</v>
      </c>
      <c r="C37" s="2245"/>
      <c r="D37" s="2245"/>
      <c r="E37" s="2245"/>
      <c r="F37" s="2245"/>
      <c r="G37" s="2245"/>
      <c r="H37" s="2245"/>
      <c r="I37" s="2245"/>
      <c r="J37" s="2246" t="s">
        <v>2508</v>
      </c>
      <c r="K37" s="2246"/>
      <c r="L37" s="2246"/>
      <c r="M37" s="2246"/>
      <c r="N37" s="2246">
        <v>55</v>
      </c>
      <c r="O37" s="2246"/>
      <c r="P37" s="2246"/>
      <c r="Q37" s="2246"/>
      <c r="R37" s="2247">
        <v>10</v>
      </c>
      <c r="S37" s="2247"/>
      <c r="T37" s="2247"/>
      <c r="U37" s="2247"/>
      <c r="V37" s="2247"/>
      <c r="W37" s="2247"/>
      <c r="X37" s="2247"/>
      <c r="Y37" s="2247"/>
      <c r="Z37" s="2247"/>
      <c r="AA37" s="2247"/>
      <c r="AB37" s="2247"/>
      <c r="AC37" s="2247"/>
      <c r="AD37" s="2247"/>
      <c r="AE37" s="2247"/>
      <c r="AF37" s="2247"/>
      <c r="AG37" s="2247"/>
      <c r="AH37" s="2247"/>
      <c r="AI37" s="2247"/>
      <c r="AJ37" s="2247"/>
      <c r="AK37" s="2247"/>
      <c r="AL37" s="2267"/>
      <c r="AM37" s="2268"/>
      <c r="AN37" s="2268"/>
      <c r="AO37" s="2269"/>
      <c r="AP37" s="2267"/>
      <c r="AQ37" s="2268"/>
      <c r="AR37" s="2269"/>
      <c r="AS37" s="2270">
        <f t="shared" si="2"/>
        <v>10</v>
      </c>
      <c r="AT37" s="2271"/>
      <c r="AU37" s="2271"/>
      <c r="AV37" s="2271"/>
      <c r="AW37" s="2271"/>
      <c r="AX37" s="2272"/>
      <c r="AY37" s="2273">
        <f t="shared" si="3"/>
        <v>0.19230769230769232</v>
      </c>
      <c r="AZ37" s="2274"/>
      <c r="BA37" s="2274"/>
      <c r="BB37" s="2274"/>
      <c r="BC37" s="2274"/>
      <c r="BD37" s="2275"/>
      <c r="BE37" s="970"/>
    </row>
    <row r="38" spans="1:58" ht="15.75" customHeight="1">
      <c r="A38" s="974"/>
      <c r="B38" s="2244" t="s">
        <v>2509</v>
      </c>
      <c r="C38" s="2245"/>
      <c r="D38" s="2245"/>
      <c r="E38" s="2245"/>
      <c r="F38" s="2245"/>
      <c r="G38" s="2245"/>
      <c r="H38" s="2245"/>
      <c r="I38" s="2245"/>
      <c r="J38" s="2246" t="s">
        <v>2510</v>
      </c>
      <c r="K38" s="2246"/>
      <c r="L38" s="2246"/>
      <c r="M38" s="2246"/>
      <c r="N38" s="2246">
        <v>55</v>
      </c>
      <c r="O38" s="2246"/>
      <c r="P38" s="2246"/>
      <c r="Q38" s="2246"/>
      <c r="R38" s="2247"/>
      <c r="S38" s="2247"/>
      <c r="T38" s="2247"/>
      <c r="U38" s="2247"/>
      <c r="V38" s="2247"/>
      <c r="W38" s="2247"/>
      <c r="X38" s="2247"/>
      <c r="Y38" s="2247"/>
      <c r="Z38" s="2247"/>
      <c r="AA38" s="2247"/>
      <c r="AB38" s="2247"/>
      <c r="AC38" s="2247"/>
      <c r="AD38" s="2247"/>
      <c r="AE38" s="2247"/>
      <c r="AF38" s="2247"/>
      <c r="AG38" s="2247"/>
      <c r="AH38" s="2247"/>
      <c r="AI38" s="2247"/>
      <c r="AJ38" s="2247"/>
      <c r="AK38" s="2247"/>
      <c r="AL38" s="2267"/>
      <c r="AM38" s="2268"/>
      <c r="AN38" s="2268"/>
      <c r="AO38" s="2269"/>
      <c r="AP38" s="2267"/>
      <c r="AQ38" s="2268"/>
      <c r="AR38" s="2269"/>
      <c r="AS38" s="2270">
        <f t="shared" si="2"/>
        <v>0</v>
      </c>
      <c r="AT38" s="2271"/>
      <c r="AU38" s="2271"/>
      <c r="AV38" s="2271"/>
      <c r="AW38" s="2271"/>
      <c r="AX38" s="2272"/>
      <c r="AY38" s="2273">
        <f t="shared" si="3"/>
        <v>0</v>
      </c>
      <c r="AZ38" s="2274"/>
      <c r="BA38" s="2274"/>
      <c r="BB38" s="2274"/>
      <c r="BC38" s="2274"/>
      <c r="BD38" s="2275"/>
      <c r="BE38" s="970"/>
    </row>
    <row r="39" spans="1:58" ht="15.75" customHeight="1">
      <c r="A39" s="974"/>
      <c r="B39" s="2244" t="s">
        <v>2511</v>
      </c>
      <c r="C39" s="2245"/>
      <c r="D39" s="2245"/>
      <c r="E39" s="2245"/>
      <c r="F39" s="2245"/>
      <c r="G39" s="2245"/>
      <c r="H39" s="2245"/>
      <c r="I39" s="2245"/>
      <c r="J39" s="2246"/>
      <c r="K39" s="2246"/>
      <c r="L39" s="2246"/>
      <c r="M39" s="2246"/>
      <c r="N39" s="2246"/>
      <c r="O39" s="2246"/>
      <c r="P39" s="2246"/>
      <c r="Q39" s="2246"/>
      <c r="R39" s="2247"/>
      <c r="S39" s="2247"/>
      <c r="T39" s="2247"/>
      <c r="U39" s="2247"/>
      <c r="V39" s="2247"/>
      <c r="W39" s="2247"/>
      <c r="X39" s="2247"/>
      <c r="Y39" s="2247"/>
      <c r="Z39" s="2247"/>
      <c r="AA39" s="2247"/>
      <c r="AB39" s="2247"/>
      <c r="AC39" s="2247"/>
      <c r="AD39" s="2247"/>
      <c r="AE39" s="2247"/>
      <c r="AF39" s="2247"/>
      <c r="AG39" s="2247"/>
      <c r="AH39" s="2247"/>
      <c r="AI39" s="2247"/>
      <c r="AJ39" s="2247"/>
      <c r="AK39" s="2247"/>
      <c r="AL39" s="2267"/>
      <c r="AM39" s="2268"/>
      <c r="AN39" s="2268"/>
      <c r="AO39" s="2269"/>
      <c r="AP39" s="2267"/>
      <c r="AQ39" s="2268"/>
      <c r="AR39" s="2269"/>
      <c r="AS39" s="2270">
        <f t="shared" si="2"/>
        <v>0</v>
      </c>
      <c r="AT39" s="2271"/>
      <c r="AU39" s="2271"/>
      <c r="AV39" s="2271"/>
      <c r="AW39" s="2271"/>
      <c r="AX39" s="2272"/>
      <c r="AY39" s="2273">
        <f t="shared" si="3"/>
        <v>0</v>
      </c>
      <c r="AZ39" s="2274"/>
      <c r="BA39" s="2274"/>
      <c r="BB39" s="2274"/>
      <c r="BC39" s="2274"/>
      <c r="BD39" s="2275"/>
      <c r="BE39" s="970"/>
    </row>
    <row r="40" spans="1:58" ht="15.75" customHeight="1">
      <c r="A40" s="974"/>
      <c r="B40" s="2244" t="s">
        <v>2511</v>
      </c>
      <c r="C40" s="2245"/>
      <c r="D40" s="2245"/>
      <c r="E40" s="2245"/>
      <c r="F40" s="2245"/>
      <c r="G40" s="2245"/>
      <c r="H40" s="2245"/>
      <c r="I40" s="2245"/>
      <c r="J40" s="2246"/>
      <c r="K40" s="2246"/>
      <c r="L40" s="2246"/>
      <c r="M40" s="2246"/>
      <c r="N40" s="2246"/>
      <c r="O40" s="2246"/>
      <c r="P40" s="2246"/>
      <c r="Q40" s="2246"/>
      <c r="R40" s="2247"/>
      <c r="S40" s="2247"/>
      <c r="T40" s="2247"/>
      <c r="U40" s="2247"/>
      <c r="V40" s="2247"/>
      <c r="W40" s="2247"/>
      <c r="X40" s="2247"/>
      <c r="Y40" s="2247"/>
      <c r="Z40" s="2247"/>
      <c r="AA40" s="2247"/>
      <c r="AB40" s="2247"/>
      <c r="AC40" s="2247"/>
      <c r="AD40" s="2247"/>
      <c r="AE40" s="2247"/>
      <c r="AF40" s="2247"/>
      <c r="AG40" s="2247"/>
      <c r="AH40" s="2247"/>
      <c r="AI40" s="2247"/>
      <c r="AJ40" s="2247"/>
      <c r="AK40" s="2247"/>
      <c r="AL40" s="2267"/>
      <c r="AM40" s="2268"/>
      <c r="AN40" s="2268"/>
      <c r="AO40" s="2269"/>
      <c r="AP40" s="2267"/>
      <c r="AQ40" s="2268"/>
      <c r="AR40" s="2269"/>
      <c r="AS40" s="2270">
        <f t="shared" si="2"/>
        <v>0</v>
      </c>
      <c r="AT40" s="2271"/>
      <c r="AU40" s="2271"/>
      <c r="AV40" s="2271"/>
      <c r="AW40" s="2271"/>
      <c r="AX40" s="2272"/>
      <c r="AY40" s="2273">
        <f t="shared" si="3"/>
        <v>0</v>
      </c>
      <c r="AZ40" s="2274"/>
      <c r="BA40" s="2274"/>
      <c r="BB40" s="2274"/>
      <c r="BC40" s="2274"/>
      <c r="BD40" s="2275"/>
      <c r="BE40" s="970"/>
    </row>
    <row r="41" spans="1:58" ht="15.75" customHeight="1">
      <c r="A41" s="974"/>
      <c r="B41" s="2244" t="s">
        <v>2512</v>
      </c>
      <c r="C41" s="2245"/>
      <c r="D41" s="2245"/>
      <c r="E41" s="2245"/>
      <c r="F41" s="2245"/>
      <c r="G41" s="2245"/>
      <c r="H41" s="2245"/>
      <c r="I41" s="2245"/>
      <c r="J41" s="2246"/>
      <c r="K41" s="2246"/>
      <c r="L41" s="2246"/>
      <c r="M41" s="2246"/>
      <c r="N41" s="2246"/>
      <c r="O41" s="2246"/>
      <c r="P41" s="2246"/>
      <c r="Q41" s="2246"/>
      <c r="R41" s="2247"/>
      <c r="S41" s="2247"/>
      <c r="T41" s="2247"/>
      <c r="U41" s="2247"/>
      <c r="V41" s="2247"/>
      <c r="W41" s="2247"/>
      <c r="X41" s="2247"/>
      <c r="Y41" s="2247"/>
      <c r="Z41" s="2247"/>
      <c r="AA41" s="2247"/>
      <c r="AB41" s="2247"/>
      <c r="AC41" s="2247"/>
      <c r="AD41" s="2247"/>
      <c r="AE41" s="2247"/>
      <c r="AF41" s="2247"/>
      <c r="AG41" s="2247"/>
      <c r="AH41" s="2247"/>
      <c r="AI41" s="2247"/>
      <c r="AJ41" s="2247"/>
      <c r="AK41" s="2247"/>
      <c r="AL41" s="2267"/>
      <c r="AM41" s="2268"/>
      <c r="AN41" s="2268"/>
      <c r="AO41" s="2269"/>
      <c r="AP41" s="2267"/>
      <c r="AQ41" s="2268"/>
      <c r="AR41" s="2269"/>
      <c r="AS41" s="2270">
        <f t="shared" si="2"/>
        <v>0</v>
      </c>
      <c r="AT41" s="2271"/>
      <c r="AU41" s="2271"/>
      <c r="AV41" s="2271"/>
      <c r="AW41" s="2271"/>
      <c r="AX41" s="2272"/>
      <c r="AY41" s="2273">
        <f t="shared" si="3"/>
        <v>0</v>
      </c>
      <c r="AZ41" s="2274"/>
      <c r="BA41" s="2274"/>
      <c r="BB41" s="2274"/>
      <c r="BC41" s="2274"/>
      <c r="BD41" s="2275"/>
      <c r="BE41" s="970"/>
    </row>
    <row r="42" spans="1:58" ht="15.75" customHeight="1">
      <c r="A42" s="974"/>
      <c r="B42" s="2244" t="s">
        <v>2512</v>
      </c>
      <c r="C42" s="2245"/>
      <c r="D42" s="2245"/>
      <c r="E42" s="2245"/>
      <c r="F42" s="2245"/>
      <c r="G42" s="2245"/>
      <c r="H42" s="2245"/>
      <c r="I42" s="2245"/>
      <c r="J42" s="2246"/>
      <c r="K42" s="2246"/>
      <c r="L42" s="2246"/>
      <c r="M42" s="2246"/>
      <c r="N42" s="2246"/>
      <c r="O42" s="2246"/>
      <c r="P42" s="2246"/>
      <c r="Q42" s="2246"/>
      <c r="R42" s="2247"/>
      <c r="S42" s="2247"/>
      <c r="T42" s="2247"/>
      <c r="U42" s="2247"/>
      <c r="V42" s="2247"/>
      <c r="W42" s="2247"/>
      <c r="X42" s="2247"/>
      <c r="Y42" s="2247"/>
      <c r="Z42" s="2247"/>
      <c r="AA42" s="2247"/>
      <c r="AB42" s="2247"/>
      <c r="AC42" s="2247"/>
      <c r="AD42" s="2247"/>
      <c r="AE42" s="2247"/>
      <c r="AF42" s="2247"/>
      <c r="AG42" s="2247"/>
      <c r="AH42" s="2247"/>
      <c r="AI42" s="2247"/>
      <c r="AJ42" s="2247"/>
      <c r="AK42" s="2247"/>
      <c r="AL42" s="2267"/>
      <c r="AM42" s="2268"/>
      <c r="AN42" s="2268"/>
      <c r="AO42" s="2269"/>
      <c r="AP42" s="2267"/>
      <c r="AQ42" s="2268"/>
      <c r="AR42" s="2269"/>
      <c r="AS42" s="2270">
        <f t="shared" si="2"/>
        <v>0</v>
      </c>
      <c r="AT42" s="2271"/>
      <c r="AU42" s="2271"/>
      <c r="AV42" s="2271"/>
      <c r="AW42" s="2271"/>
      <c r="AX42" s="2272"/>
      <c r="AY42" s="2273">
        <f t="shared" si="3"/>
        <v>0</v>
      </c>
      <c r="AZ42" s="2274"/>
      <c r="BA42" s="2274"/>
      <c r="BB42" s="2274"/>
      <c r="BC42" s="2274"/>
      <c r="BD42" s="2275"/>
      <c r="BE42" s="970"/>
    </row>
    <row r="43" spans="1:58" ht="15.75" customHeight="1">
      <c r="A43" s="974"/>
      <c r="B43" s="2276" t="s">
        <v>2513</v>
      </c>
      <c r="C43" s="2277"/>
      <c r="D43" s="2277"/>
      <c r="E43" s="2277"/>
      <c r="F43" s="2277"/>
      <c r="G43" s="2277"/>
      <c r="H43" s="2277"/>
      <c r="I43" s="2277"/>
      <c r="J43" s="2246"/>
      <c r="K43" s="2246"/>
      <c r="L43" s="2246"/>
      <c r="M43" s="2246"/>
      <c r="N43" s="2246"/>
      <c r="O43" s="2246"/>
      <c r="P43" s="2246"/>
      <c r="Q43" s="2246"/>
      <c r="R43" s="2247"/>
      <c r="S43" s="2247"/>
      <c r="T43" s="2247"/>
      <c r="U43" s="2247"/>
      <c r="V43" s="2247"/>
      <c r="W43" s="2247"/>
      <c r="X43" s="2247"/>
      <c r="Y43" s="2247"/>
      <c r="Z43" s="2247"/>
      <c r="AA43" s="2247"/>
      <c r="AB43" s="2247"/>
      <c r="AC43" s="2247"/>
      <c r="AD43" s="2247"/>
      <c r="AE43" s="2247"/>
      <c r="AF43" s="2247"/>
      <c r="AG43" s="2247"/>
      <c r="AH43" s="2247"/>
      <c r="AI43" s="2247"/>
      <c r="AJ43" s="2247"/>
      <c r="AK43" s="2247"/>
      <c r="AL43" s="2267"/>
      <c r="AM43" s="2268"/>
      <c r="AN43" s="2268"/>
      <c r="AO43" s="2269"/>
      <c r="AP43" s="2267"/>
      <c r="AQ43" s="2268"/>
      <c r="AR43" s="2269"/>
      <c r="AS43" s="2270">
        <f t="shared" si="2"/>
        <v>0</v>
      </c>
      <c r="AT43" s="2271"/>
      <c r="AU43" s="2271"/>
      <c r="AV43" s="2271"/>
      <c r="AW43" s="2271"/>
      <c r="AX43" s="2272"/>
      <c r="AY43" s="2273">
        <f t="shared" si="3"/>
        <v>0</v>
      </c>
      <c r="AZ43" s="2274"/>
      <c r="BA43" s="2274"/>
      <c r="BB43" s="2274"/>
      <c r="BC43" s="2274"/>
      <c r="BD43" s="2275"/>
      <c r="BE43" s="970"/>
    </row>
    <row r="44" spans="1:58" ht="15.75" customHeight="1">
      <c r="A44" s="974"/>
      <c r="B44" s="2276" t="s">
        <v>2514</v>
      </c>
      <c r="C44" s="2277"/>
      <c r="D44" s="2277"/>
      <c r="E44" s="2277"/>
      <c r="F44" s="2277"/>
      <c r="G44" s="2277"/>
      <c r="H44" s="2277"/>
      <c r="I44" s="2277"/>
      <c r="J44" s="2246"/>
      <c r="K44" s="2246"/>
      <c r="L44" s="2246"/>
      <c r="M44" s="2246"/>
      <c r="N44" s="2246"/>
      <c r="O44" s="2246"/>
      <c r="P44" s="2246"/>
      <c r="Q44" s="2246"/>
      <c r="R44" s="2247"/>
      <c r="S44" s="2247"/>
      <c r="T44" s="2247"/>
      <c r="U44" s="2247"/>
      <c r="V44" s="2247"/>
      <c r="W44" s="2247"/>
      <c r="X44" s="2247"/>
      <c r="Y44" s="2247"/>
      <c r="Z44" s="2247"/>
      <c r="AA44" s="2247"/>
      <c r="AB44" s="2247"/>
      <c r="AC44" s="2247"/>
      <c r="AD44" s="2247"/>
      <c r="AE44" s="2247"/>
      <c r="AF44" s="2247"/>
      <c r="AG44" s="2247"/>
      <c r="AH44" s="2247"/>
      <c r="AI44" s="2247"/>
      <c r="AJ44" s="2247"/>
      <c r="AK44" s="2247"/>
      <c r="AL44" s="2267"/>
      <c r="AM44" s="2268"/>
      <c r="AN44" s="2268"/>
      <c r="AO44" s="2269"/>
      <c r="AP44" s="2267"/>
      <c r="AQ44" s="2268"/>
      <c r="AR44" s="2269"/>
      <c r="AS44" s="2270">
        <f t="shared" si="2"/>
        <v>0</v>
      </c>
      <c r="AT44" s="2271"/>
      <c r="AU44" s="2271"/>
      <c r="AV44" s="2271"/>
      <c r="AW44" s="2271"/>
      <c r="AX44" s="2272"/>
      <c r="AY44" s="2273">
        <f t="shared" si="3"/>
        <v>0</v>
      </c>
      <c r="AZ44" s="2274"/>
      <c r="BA44" s="2274"/>
      <c r="BB44" s="2274"/>
      <c r="BC44" s="2274"/>
      <c r="BD44" s="2275"/>
      <c r="BE44" s="970"/>
    </row>
    <row r="45" spans="1:58" ht="15.75" customHeight="1">
      <c r="A45" s="974"/>
      <c r="B45" s="2276" t="s">
        <v>2515</v>
      </c>
      <c r="C45" s="2277"/>
      <c r="D45" s="2277"/>
      <c r="E45" s="2277"/>
      <c r="F45" s="2277"/>
      <c r="G45" s="2277"/>
      <c r="H45" s="2277"/>
      <c r="I45" s="2277"/>
      <c r="J45" s="2246"/>
      <c r="K45" s="2246"/>
      <c r="L45" s="2246"/>
      <c r="M45" s="2246"/>
      <c r="N45" s="2246"/>
      <c r="O45" s="2246"/>
      <c r="P45" s="2246"/>
      <c r="Q45" s="2246"/>
      <c r="R45" s="2247"/>
      <c r="S45" s="2247"/>
      <c r="T45" s="2247"/>
      <c r="U45" s="2247"/>
      <c r="V45" s="2247"/>
      <c r="W45" s="2247"/>
      <c r="X45" s="2247"/>
      <c r="Y45" s="2247"/>
      <c r="Z45" s="2247"/>
      <c r="AA45" s="2247"/>
      <c r="AB45" s="2247"/>
      <c r="AC45" s="2247"/>
      <c r="AD45" s="2247"/>
      <c r="AE45" s="2247"/>
      <c r="AF45" s="2247"/>
      <c r="AG45" s="2247"/>
      <c r="AH45" s="2247"/>
      <c r="AI45" s="2247"/>
      <c r="AJ45" s="2247"/>
      <c r="AK45" s="2247"/>
      <c r="AL45" s="2267"/>
      <c r="AM45" s="2268"/>
      <c r="AN45" s="2268"/>
      <c r="AO45" s="2269"/>
      <c r="AP45" s="2267"/>
      <c r="AQ45" s="2268"/>
      <c r="AR45" s="2269"/>
      <c r="AS45" s="2270">
        <f t="shared" si="2"/>
        <v>0</v>
      </c>
      <c r="AT45" s="2271"/>
      <c r="AU45" s="2271"/>
      <c r="AV45" s="2271"/>
      <c r="AW45" s="2271"/>
      <c r="AX45" s="2272"/>
      <c r="AY45" s="2273">
        <f t="shared" si="3"/>
        <v>0</v>
      </c>
      <c r="AZ45" s="2274"/>
      <c r="BA45" s="2274"/>
      <c r="BB45" s="2274"/>
      <c r="BC45" s="2274"/>
      <c r="BD45" s="2275"/>
      <c r="BE45" s="970"/>
    </row>
    <row r="46" spans="1:58" ht="15.75" customHeight="1">
      <c r="A46" s="974"/>
      <c r="B46" s="2276" t="s">
        <v>2516</v>
      </c>
      <c r="C46" s="2277"/>
      <c r="D46" s="2277"/>
      <c r="E46" s="2277"/>
      <c r="F46" s="2277"/>
      <c r="G46" s="2277"/>
      <c r="H46" s="2277"/>
      <c r="I46" s="2277"/>
      <c r="J46" s="2246"/>
      <c r="K46" s="2246"/>
      <c r="L46" s="2246"/>
      <c r="M46" s="2246"/>
      <c r="N46" s="2246">
        <v>99</v>
      </c>
      <c r="O46" s="2246"/>
      <c r="P46" s="2246"/>
      <c r="Q46" s="2246"/>
      <c r="R46" s="2247"/>
      <c r="S46" s="2247"/>
      <c r="T46" s="2247"/>
      <c r="U46" s="2247"/>
      <c r="V46" s="2247"/>
      <c r="W46" s="2247"/>
      <c r="X46" s="2247"/>
      <c r="Y46" s="2247"/>
      <c r="Z46" s="2247"/>
      <c r="AA46" s="2247"/>
      <c r="AB46" s="2247"/>
      <c r="AC46" s="2247"/>
      <c r="AD46" s="2247"/>
      <c r="AE46" s="2247"/>
      <c r="AF46" s="2247"/>
      <c r="AG46" s="2247"/>
      <c r="AH46" s="2247"/>
      <c r="AI46" s="2247"/>
      <c r="AJ46" s="2247"/>
      <c r="AK46" s="2247"/>
      <c r="AL46" s="2267"/>
      <c r="AM46" s="2268"/>
      <c r="AN46" s="2268"/>
      <c r="AO46" s="2269"/>
      <c r="AP46" s="2267"/>
      <c r="AQ46" s="2268"/>
      <c r="AR46" s="2269"/>
      <c r="AS46" s="2270">
        <f t="shared" si="2"/>
        <v>0</v>
      </c>
      <c r="AT46" s="2271"/>
      <c r="AU46" s="2271"/>
      <c r="AV46" s="2271"/>
      <c r="AW46" s="2271"/>
      <c r="AX46" s="2272"/>
      <c r="AY46" s="2273">
        <f t="shared" si="3"/>
        <v>0</v>
      </c>
      <c r="AZ46" s="2274"/>
      <c r="BA46" s="2274"/>
      <c r="BB46" s="2274"/>
      <c r="BC46" s="2274"/>
      <c r="BD46" s="2275"/>
      <c r="BE46" s="970"/>
    </row>
    <row r="47" spans="1:58" ht="15.75" customHeight="1" thickBot="1">
      <c r="A47" s="974"/>
      <c r="B47" s="2290" t="s">
        <v>1103</v>
      </c>
      <c r="C47" s="2291"/>
      <c r="D47" s="2291"/>
      <c r="E47" s="2291"/>
      <c r="F47" s="2291"/>
      <c r="G47" s="2291"/>
      <c r="H47" s="2291"/>
      <c r="I47" s="2291"/>
      <c r="J47" s="2292"/>
      <c r="K47" s="2292"/>
      <c r="L47" s="2292"/>
      <c r="M47" s="2292"/>
      <c r="N47" s="2292"/>
      <c r="O47" s="2292"/>
      <c r="P47" s="2292"/>
      <c r="Q47" s="2292"/>
      <c r="R47" s="2289"/>
      <c r="S47" s="2289"/>
      <c r="T47" s="2289"/>
      <c r="U47" s="2289"/>
      <c r="V47" s="2289"/>
      <c r="W47" s="2289"/>
      <c r="X47" s="2289"/>
      <c r="Y47" s="2289"/>
      <c r="Z47" s="2289"/>
      <c r="AA47" s="2289"/>
      <c r="AB47" s="2289"/>
      <c r="AC47" s="2289"/>
      <c r="AD47" s="2289"/>
      <c r="AE47" s="2289"/>
      <c r="AF47" s="2289"/>
      <c r="AG47" s="2289"/>
      <c r="AH47" s="2289"/>
      <c r="AI47" s="2289"/>
      <c r="AJ47" s="2289"/>
      <c r="AK47" s="2289"/>
      <c r="AL47" s="2278"/>
      <c r="AM47" s="2279"/>
      <c r="AN47" s="2279"/>
      <c r="AO47" s="2280"/>
      <c r="AP47" s="2278"/>
      <c r="AQ47" s="2279"/>
      <c r="AR47" s="2280"/>
      <c r="AS47" s="2270">
        <f t="shared" si="2"/>
        <v>0</v>
      </c>
      <c r="AT47" s="2271"/>
      <c r="AU47" s="2271"/>
      <c r="AV47" s="2271"/>
      <c r="AW47" s="2271"/>
      <c r="AX47" s="2272"/>
      <c r="AY47" s="2281">
        <f t="shared" si="3"/>
        <v>0</v>
      </c>
      <c r="AZ47" s="2282"/>
      <c r="BA47" s="2282"/>
      <c r="BB47" s="2282"/>
      <c r="BC47" s="2282"/>
      <c r="BD47" s="2283"/>
      <c r="BE47" s="970"/>
    </row>
    <row r="48" spans="1:58" ht="15.75" customHeight="1">
      <c r="A48" s="974"/>
      <c r="B48" s="1019" t="s">
        <v>2517</v>
      </c>
      <c r="C48" s="974"/>
      <c r="D48" s="974"/>
      <c r="E48" s="974"/>
      <c r="F48" s="974"/>
      <c r="G48" s="974"/>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c r="AL48" s="974"/>
      <c r="AM48" s="974"/>
      <c r="AN48" s="974"/>
      <c r="AO48" s="974"/>
      <c r="AP48" s="974"/>
      <c r="AQ48" s="974"/>
      <c r="AR48" s="974"/>
      <c r="AS48" s="974"/>
      <c r="AT48" s="974"/>
      <c r="AU48" s="974"/>
      <c r="AV48" s="974"/>
      <c r="AW48" s="974"/>
      <c r="AX48" s="974"/>
      <c r="AY48" s="974"/>
      <c r="AZ48" s="974"/>
      <c r="BA48" s="974"/>
      <c r="BB48" s="974"/>
      <c r="BC48" s="974"/>
      <c r="BD48" s="974"/>
      <c r="BE48" s="970"/>
      <c r="BF48" s="966"/>
    </row>
    <row r="49" spans="1:58" ht="15.75" customHeight="1" thickBot="1">
      <c r="A49" s="974"/>
      <c r="B49" s="1019" t="s">
        <v>2518</v>
      </c>
      <c r="C49" s="974"/>
      <c r="D49" s="974"/>
      <c r="E49" s="974"/>
      <c r="F49" s="974"/>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c r="AL49" s="974"/>
      <c r="AM49" s="974"/>
      <c r="AN49" s="974"/>
      <c r="AO49" s="974"/>
      <c r="AP49" s="982"/>
      <c r="AQ49" s="982"/>
      <c r="AR49" s="982"/>
      <c r="AS49" s="982"/>
      <c r="AT49" s="982"/>
      <c r="AU49" s="982"/>
      <c r="AV49" s="982"/>
      <c r="AW49" s="982"/>
      <c r="AX49" s="974"/>
      <c r="AY49" s="974"/>
      <c r="AZ49" s="974"/>
      <c r="BA49" s="974"/>
      <c r="BB49" s="974"/>
      <c r="BC49" s="974"/>
      <c r="BD49" s="974"/>
      <c r="BE49" s="970"/>
      <c r="BF49" s="966"/>
    </row>
    <row r="50" spans="1:58" ht="15.75" customHeight="1">
      <c r="A50" s="974"/>
      <c r="B50" s="2284" t="s">
        <v>2519</v>
      </c>
      <c r="C50" s="2285"/>
      <c r="D50" s="2285"/>
      <c r="E50" s="2285"/>
      <c r="F50" s="2285"/>
      <c r="G50" s="2285"/>
      <c r="H50" s="2285"/>
      <c r="I50" s="2285"/>
      <c r="J50" s="2285"/>
      <c r="K50" s="2285"/>
      <c r="L50" s="2285"/>
      <c r="M50" s="2285"/>
      <c r="N50" s="2285"/>
      <c r="O50" s="2285"/>
      <c r="P50" s="2285"/>
      <c r="Q50" s="2285"/>
      <c r="R50" s="2285"/>
      <c r="S50" s="2285"/>
      <c r="T50" s="2285"/>
      <c r="U50" s="2285"/>
      <c r="V50" s="2285"/>
      <c r="W50" s="2285"/>
      <c r="X50" s="2285"/>
      <c r="Y50" s="2285"/>
      <c r="Z50" s="2285"/>
      <c r="AA50" s="2285"/>
      <c r="AB50" s="2285"/>
      <c r="AC50" s="2285"/>
      <c r="AD50" s="2285"/>
      <c r="AE50" s="2285"/>
      <c r="AF50" s="2285"/>
      <c r="AG50" s="2285"/>
      <c r="AH50" s="2285"/>
      <c r="AI50" s="2285"/>
      <c r="AJ50" s="2285"/>
      <c r="AK50" s="2285"/>
      <c r="AL50" s="2285"/>
      <c r="AM50" s="2285"/>
      <c r="AN50" s="2285"/>
      <c r="AO50" s="2286"/>
      <c r="AP50" s="982"/>
      <c r="AQ50" s="982"/>
      <c r="AR50" s="982"/>
      <c r="AS50" s="982"/>
      <c r="AT50" s="982"/>
      <c r="AU50" s="982"/>
      <c r="AV50" s="982"/>
      <c r="AW50" s="982"/>
      <c r="AX50" s="974"/>
      <c r="AY50" s="974"/>
      <c r="AZ50" s="974"/>
      <c r="BA50" s="974"/>
      <c r="BB50" s="974"/>
      <c r="BC50" s="974"/>
      <c r="BD50" s="974"/>
      <c r="BE50" s="970"/>
    </row>
    <row r="51" spans="1:58" ht="33.75" customHeight="1">
      <c r="A51" s="974"/>
      <c r="B51" s="2129" t="s">
        <v>2520</v>
      </c>
      <c r="C51" s="2130"/>
      <c r="D51" s="2130"/>
      <c r="E51" s="2130"/>
      <c r="F51" s="2130"/>
      <c r="G51" s="2130"/>
      <c r="H51" s="2130"/>
      <c r="I51" s="2130"/>
      <c r="J51" s="2130" t="s">
        <v>2521</v>
      </c>
      <c r="K51" s="2130"/>
      <c r="L51" s="2130"/>
      <c r="M51" s="2130"/>
      <c r="N51" s="2130"/>
      <c r="O51" s="2130"/>
      <c r="P51" s="2130"/>
      <c r="Q51" s="2130"/>
      <c r="R51" s="2287" t="s">
        <v>2522</v>
      </c>
      <c r="S51" s="2287"/>
      <c r="T51" s="2287"/>
      <c r="U51" s="2287"/>
      <c r="V51" s="2287"/>
      <c r="W51" s="2287"/>
      <c r="X51" s="2287"/>
      <c r="Y51" s="2287"/>
      <c r="Z51" s="2287" t="s">
        <v>2523</v>
      </c>
      <c r="AA51" s="2287"/>
      <c r="AB51" s="2287"/>
      <c r="AC51" s="2287"/>
      <c r="AD51" s="2287"/>
      <c r="AE51" s="2287"/>
      <c r="AF51" s="2287"/>
      <c r="AG51" s="2287"/>
      <c r="AH51" s="2287" t="s">
        <v>2524</v>
      </c>
      <c r="AI51" s="2287"/>
      <c r="AJ51" s="2287"/>
      <c r="AK51" s="2287"/>
      <c r="AL51" s="2287"/>
      <c r="AM51" s="2287"/>
      <c r="AN51" s="2287"/>
      <c r="AO51" s="2288"/>
      <c r="AP51" s="982"/>
      <c r="AQ51" s="982"/>
      <c r="AR51" s="982"/>
      <c r="AS51" s="982"/>
      <c r="AT51" s="982"/>
      <c r="AU51" s="982"/>
      <c r="AV51" s="982"/>
      <c r="AW51" s="982"/>
      <c r="AX51" s="984"/>
      <c r="AY51" s="974"/>
      <c r="AZ51" s="974"/>
      <c r="BA51" s="974"/>
      <c r="BB51" s="974"/>
      <c r="BC51" s="974"/>
      <c r="BD51" s="974"/>
      <c r="BE51" s="970"/>
    </row>
    <row r="52" spans="1:58" ht="15.75" customHeight="1">
      <c r="A52" s="974"/>
      <c r="B52" s="2276" t="s">
        <v>2525</v>
      </c>
      <c r="C52" s="2277"/>
      <c r="D52" s="2277"/>
      <c r="E52" s="2277"/>
      <c r="F52" s="2277"/>
      <c r="G52" s="2277"/>
      <c r="H52" s="2277"/>
      <c r="I52" s="2277"/>
      <c r="J52" s="2293">
        <v>0</v>
      </c>
      <c r="K52" s="2293"/>
      <c r="L52" s="2293"/>
      <c r="M52" s="2293"/>
      <c r="N52" s="2293"/>
      <c r="O52" s="2293"/>
      <c r="P52" s="2293"/>
      <c r="Q52" s="2293"/>
      <c r="R52" s="2294">
        <v>0</v>
      </c>
      <c r="S52" s="2294"/>
      <c r="T52" s="2294"/>
      <c r="U52" s="2294"/>
      <c r="V52" s="2294"/>
      <c r="W52" s="2294"/>
      <c r="X52" s="2294"/>
      <c r="Y52" s="2294"/>
      <c r="Z52" s="2295">
        <v>0</v>
      </c>
      <c r="AA52" s="2295"/>
      <c r="AB52" s="2295"/>
      <c r="AC52" s="2295"/>
      <c r="AD52" s="2295"/>
      <c r="AE52" s="2295"/>
      <c r="AF52" s="2295"/>
      <c r="AG52" s="2295"/>
      <c r="AH52" s="2296"/>
      <c r="AI52" s="2296"/>
      <c r="AJ52" s="2296"/>
      <c r="AK52" s="2296"/>
      <c r="AL52" s="2296"/>
      <c r="AM52" s="2296"/>
      <c r="AN52" s="2296"/>
      <c r="AO52" s="2297"/>
      <c r="AP52" s="982"/>
      <c r="AQ52" s="982"/>
      <c r="AR52" s="982"/>
      <c r="AS52" s="982"/>
      <c r="AT52" s="982"/>
      <c r="AU52" s="982"/>
      <c r="AV52" s="982"/>
      <c r="AW52" s="982"/>
      <c r="AX52" s="984"/>
      <c r="AY52" s="974"/>
      <c r="AZ52" s="974"/>
      <c r="BA52" s="974"/>
      <c r="BB52" s="974"/>
      <c r="BC52" s="974"/>
      <c r="BD52" s="974"/>
      <c r="BE52" s="970"/>
    </row>
    <row r="53" spans="1:58" ht="15.75" customHeight="1">
      <c r="A53" s="974"/>
      <c r="B53" s="2276" t="s">
        <v>2526</v>
      </c>
      <c r="C53" s="2277"/>
      <c r="D53" s="2277"/>
      <c r="E53" s="2277"/>
      <c r="F53" s="2277"/>
      <c r="G53" s="2277"/>
      <c r="H53" s="2277"/>
      <c r="I53" s="2277"/>
      <c r="J53" s="2293">
        <v>0</v>
      </c>
      <c r="K53" s="2293"/>
      <c r="L53" s="2293"/>
      <c r="M53" s="2293"/>
      <c r="N53" s="2293"/>
      <c r="O53" s="2293"/>
      <c r="P53" s="2293"/>
      <c r="Q53" s="2293"/>
      <c r="R53" s="2294">
        <v>0</v>
      </c>
      <c r="S53" s="2294"/>
      <c r="T53" s="2294"/>
      <c r="U53" s="2294"/>
      <c r="V53" s="2294"/>
      <c r="W53" s="2294"/>
      <c r="X53" s="2294"/>
      <c r="Y53" s="2294"/>
      <c r="Z53" s="2295">
        <v>0</v>
      </c>
      <c r="AA53" s="2295"/>
      <c r="AB53" s="2295"/>
      <c r="AC53" s="2295"/>
      <c r="AD53" s="2295"/>
      <c r="AE53" s="2295"/>
      <c r="AF53" s="2295"/>
      <c r="AG53" s="2295"/>
      <c r="AH53" s="2296"/>
      <c r="AI53" s="2296"/>
      <c r="AJ53" s="2296"/>
      <c r="AK53" s="2296"/>
      <c r="AL53" s="2296"/>
      <c r="AM53" s="2296"/>
      <c r="AN53" s="2296"/>
      <c r="AO53" s="2297"/>
      <c r="AP53" s="982"/>
      <c r="AQ53" s="982"/>
      <c r="AR53" s="982"/>
      <c r="AS53" s="982"/>
      <c r="AT53" s="982"/>
      <c r="AU53" s="982"/>
      <c r="AV53" s="982"/>
      <c r="AW53" s="982"/>
      <c r="AX53" s="974"/>
      <c r="AY53" s="974"/>
      <c r="AZ53" s="974"/>
      <c r="BA53" s="974"/>
      <c r="BB53" s="974"/>
      <c r="BC53" s="974"/>
      <c r="BD53" s="974"/>
      <c r="BE53" s="970"/>
    </row>
    <row r="54" spans="1:58" ht="15.75" customHeight="1">
      <c r="A54" s="974"/>
      <c r="B54" s="2276"/>
      <c r="C54" s="2277"/>
      <c r="D54" s="2277"/>
      <c r="E54" s="2277"/>
      <c r="F54" s="2277"/>
      <c r="G54" s="2277"/>
      <c r="H54" s="2277"/>
      <c r="I54" s="2277"/>
      <c r="J54" s="2293"/>
      <c r="K54" s="2293"/>
      <c r="L54" s="2293"/>
      <c r="M54" s="2293"/>
      <c r="N54" s="2293"/>
      <c r="O54" s="2293"/>
      <c r="P54" s="2293"/>
      <c r="Q54" s="2293"/>
      <c r="R54" s="2294"/>
      <c r="S54" s="2294"/>
      <c r="T54" s="2294"/>
      <c r="U54" s="2294"/>
      <c r="V54" s="2294"/>
      <c r="W54" s="2294"/>
      <c r="X54" s="2294"/>
      <c r="Y54" s="2294"/>
      <c r="Z54" s="2295"/>
      <c r="AA54" s="2295"/>
      <c r="AB54" s="2295"/>
      <c r="AC54" s="2295"/>
      <c r="AD54" s="2295"/>
      <c r="AE54" s="2295"/>
      <c r="AF54" s="2295"/>
      <c r="AG54" s="2295"/>
      <c r="AH54" s="2296"/>
      <c r="AI54" s="2296"/>
      <c r="AJ54" s="2296"/>
      <c r="AK54" s="2296"/>
      <c r="AL54" s="2296"/>
      <c r="AM54" s="2296"/>
      <c r="AN54" s="2296"/>
      <c r="AO54" s="2297"/>
      <c r="AP54" s="982"/>
      <c r="AQ54" s="982"/>
      <c r="AR54" s="982"/>
      <c r="AS54" s="982"/>
      <c r="AT54" s="982"/>
      <c r="AU54" s="982"/>
      <c r="AV54" s="982"/>
      <c r="AW54" s="982"/>
      <c r="AX54" s="974"/>
      <c r="AY54" s="974"/>
      <c r="AZ54" s="974"/>
      <c r="BA54" s="974"/>
      <c r="BB54" s="974"/>
      <c r="BC54" s="974"/>
      <c r="BD54" s="974"/>
      <c r="BE54" s="970"/>
    </row>
    <row r="55" spans="1:58" ht="15.75" customHeight="1">
      <c r="A55" s="974"/>
      <c r="B55" s="2276"/>
      <c r="C55" s="2277"/>
      <c r="D55" s="2277"/>
      <c r="E55" s="2277"/>
      <c r="F55" s="2277"/>
      <c r="G55" s="2277"/>
      <c r="H55" s="2277"/>
      <c r="I55" s="2277"/>
      <c r="J55" s="2293"/>
      <c r="K55" s="2293"/>
      <c r="L55" s="2293"/>
      <c r="M55" s="2293"/>
      <c r="N55" s="2293"/>
      <c r="O55" s="2293"/>
      <c r="P55" s="2293"/>
      <c r="Q55" s="2293"/>
      <c r="R55" s="2294"/>
      <c r="S55" s="2294"/>
      <c r="T55" s="2294"/>
      <c r="U55" s="2294"/>
      <c r="V55" s="2294"/>
      <c r="W55" s="2294"/>
      <c r="X55" s="2294"/>
      <c r="Y55" s="2294"/>
      <c r="Z55" s="2295"/>
      <c r="AA55" s="2295"/>
      <c r="AB55" s="2295"/>
      <c r="AC55" s="2295"/>
      <c r="AD55" s="2295"/>
      <c r="AE55" s="2295"/>
      <c r="AF55" s="2295"/>
      <c r="AG55" s="2295"/>
      <c r="AH55" s="2296"/>
      <c r="AI55" s="2296"/>
      <c r="AJ55" s="2296"/>
      <c r="AK55" s="2296"/>
      <c r="AL55" s="2296"/>
      <c r="AM55" s="2296"/>
      <c r="AN55" s="2296"/>
      <c r="AO55" s="2297"/>
      <c r="AP55" s="982"/>
      <c r="AQ55" s="982"/>
      <c r="AR55" s="982"/>
      <c r="AS55" s="982"/>
      <c r="AT55" s="982" t="s">
        <v>253</v>
      </c>
      <c r="AU55" s="982"/>
      <c r="AV55" s="982"/>
      <c r="AW55" s="982"/>
      <c r="AX55" s="974"/>
      <c r="AY55" s="974"/>
      <c r="AZ55" s="974"/>
      <c r="BA55" s="974"/>
      <c r="BB55" s="974"/>
      <c r="BC55" s="974"/>
      <c r="BD55" s="974"/>
      <c r="BE55" s="970"/>
    </row>
    <row r="56" spans="1:58" ht="15.75" customHeight="1">
      <c r="A56" s="974"/>
      <c r="B56" s="2276"/>
      <c r="C56" s="2277"/>
      <c r="D56" s="2277"/>
      <c r="E56" s="2277"/>
      <c r="F56" s="2277"/>
      <c r="G56" s="2277"/>
      <c r="H56" s="2277"/>
      <c r="I56" s="2277"/>
      <c r="J56" s="2293"/>
      <c r="K56" s="2293"/>
      <c r="L56" s="2293"/>
      <c r="M56" s="2293"/>
      <c r="N56" s="2293"/>
      <c r="O56" s="2293"/>
      <c r="P56" s="2293"/>
      <c r="Q56" s="2293"/>
      <c r="R56" s="2294"/>
      <c r="S56" s="2294"/>
      <c r="T56" s="2294"/>
      <c r="U56" s="2294"/>
      <c r="V56" s="2294"/>
      <c r="W56" s="2294"/>
      <c r="X56" s="2294"/>
      <c r="Y56" s="2294"/>
      <c r="Z56" s="2295"/>
      <c r="AA56" s="2295"/>
      <c r="AB56" s="2295"/>
      <c r="AC56" s="2295"/>
      <c r="AD56" s="2295"/>
      <c r="AE56" s="2295"/>
      <c r="AF56" s="2295"/>
      <c r="AG56" s="2295"/>
      <c r="AH56" s="2296"/>
      <c r="AI56" s="2296"/>
      <c r="AJ56" s="2296"/>
      <c r="AK56" s="2296"/>
      <c r="AL56" s="2296"/>
      <c r="AM56" s="2296"/>
      <c r="AN56" s="2296"/>
      <c r="AO56" s="2297"/>
      <c r="AP56" s="982"/>
      <c r="AQ56" s="982"/>
      <c r="AR56" s="982"/>
      <c r="AS56" s="982"/>
      <c r="AT56" s="982"/>
      <c r="AU56" s="982"/>
      <c r="AV56" s="982"/>
      <c r="AW56" s="982"/>
      <c r="AX56" s="974"/>
      <c r="AY56" s="974"/>
      <c r="AZ56" s="974"/>
      <c r="BA56" s="974"/>
      <c r="BB56" s="974"/>
      <c r="BC56" s="974"/>
      <c r="BD56" s="974"/>
      <c r="BE56" s="970"/>
    </row>
    <row r="57" spans="1:58" s="1017" customFormat="1" ht="15.75" customHeight="1" thickBot="1">
      <c r="A57" s="982"/>
      <c r="B57" s="2149" t="s">
        <v>2423</v>
      </c>
      <c r="C57" s="2150"/>
      <c r="D57" s="2150"/>
      <c r="E57" s="2150"/>
      <c r="F57" s="2150"/>
      <c r="G57" s="2150"/>
      <c r="H57" s="2150"/>
      <c r="I57" s="2150"/>
      <c r="J57" s="2150"/>
      <c r="K57" s="2150"/>
      <c r="L57" s="2150"/>
      <c r="M57" s="2150"/>
      <c r="N57" s="2150"/>
      <c r="O57" s="2150"/>
      <c r="P57" s="2150"/>
      <c r="Q57" s="2150"/>
      <c r="R57" s="2307">
        <f>SUM(R52:Y56)</f>
        <v>0</v>
      </c>
      <c r="S57" s="2307"/>
      <c r="T57" s="2307"/>
      <c r="U57" s="2307"/>
      <c r="V57" s="2307"/>
      <c r="W57" s="2307"/>
      <c r="X57" s="2307"/>
      <c r="Y57" s="2307"/>
      <c r="Z57" s="2308">
        <f>SUM(Z52:AG56)</f>
        <v>0</v>
      </c>
      <c r="AA57" s="2308"/>
      <c r="AB57" s="2308"/>
      <c r="AC57" s="2308"/>
      <c r="AD57" s="2308"/>
      <c r="AE57" s="2308"/>
      <c r="AF57" s="2308"/>
      <c r="AG57" s="2308"/>
      <c r="AH57" s="2309"/>
      <c r="AI57" s="2309"/>
      <c r="AJ57" s="2309"/>
      <c r="AK57" s="2309"/>
      <c r="AL57" s="2309"/>
      <c r="AM57" s="2309"/>
      <c r="AN57" s="2309"/>
      <c r="AO57" s="2310"/>
      <c r="AP57" s="982"/>
      <c r="AQ57" s="982"/>
      <c r="AR57" s="982"/>
      <c r="AS57" s="982"/>
      <c r="AT57" s="982"/>
      <c r="AU57" s="982"/>
      <c r="AV57" s="982"/>
      <c r="AW57" s="982"/>
      <c r="AX57" s="982"/>
      <c r="AY57" s="982"/>
      <c r="AZ57" s="982"/>
      <c r="BA57" s="982"/>
      <c r="BB57" s="982"/>
      <c r="BC57" s="982"/>
      <c r="BD57" s="982"/>
      <c r="BE57" s="1018"/>
    </row>
    <row r="58" spans="1:58" ht="15.75" customHeight="1" thickBot="1">
      <c r="A58" s="974"/>
      <c r="B58" s="974"/>
      <c r="C58" s="974"/>
      <c r="D58" s="974"/>
      <c r="E58" s="974"/>
      <c r="F58" s="974"/>
      <c r="G58" s="974"/>
      <c r="H58" s="974"/>
      <c r="I58" s="974"/>
      <c r="J58" s="974"/>
      <c r="K58" s="974"/>
      <c r="L58" s="974"/>
      <c r="M58" s="974"/>
      <c r="N58" s="974"/>
      <c r="O58" s="974"/>
      <c r="P58" s="974"/>
      <c r="Q58" s="974"/>
      <c r="R58" s="974"/>
      <c r="S58" s="974"/>
      <c r="T58" s="974"/>
      <c r="U58" s="974"/>
      <c r="V58" s="974"/>
      <c r="W58" s="974"/>
      <c r="X58" s="974"/>
      <c r="Y58" s="974"/>
      <c r="Z58" s="974"/>
      <c r="AA58" s="974"/>
      <c r="AB58" s="974"/>
      <c r="AC58" s="974"/>
      <c r="AD58" s="974"/>
      <c r="AE58" s="974"/>
      <c r="AF58" s="974"/>
      <c r="AG58" s="974"/>
      <c r="AH58" s="974"/>
      <c r="AI58" s="974"/>
      <c r="AJ58" s="974"/>
      <c r="AK58" s="974"/>
      <c r="AL58" s="974"/>
      <c r="AM58" s="974"/>
      <c r="AN58" s="974"/>
      <c r="AO58" s="974"/>
      <c r="AP58" s="974"/>
      <c r="AQ58" s="974"/>
      <c r="AR58" s="974"/>
      <c r="AS58" s="974"/>
      <c r="AT58" s="974"/>
      <c r="AU58" s="974"/>
      <c r="AV58" s="974"/>
      <c r="AW58" s="974"/>
      <c r="AX58" s="974"/>
      <c r="AY58" s="974"/>
      <c r="AZ58" s="974"/>
      <c r="BA58" s="974"/>
      <c r="BB58" s="974"/>
      <c r="BC58" s="974"/>
      <c r="BD58" s="974"/>
      <c r="BE58" s="970"/>
    </row>
    <row r="59" spans="1:58" ht="15.75" customHeight="1">
      <c r="A59" s="974"/>
      <c r="B59" s="2311" t="s">
        <v>2520</v>
      </c>
      <c r="C59" s="2312"/>
      <c r="D59" s="2312"/>
      <c r="E59" s="2312"/>
      <c r="F59" s="2312"/>
      <c r="G59" s="2312"/>
      <c r="H59" s="2312"/>
      <c r="I59" s="2313"/>
      <c r="J59" s="2197" t="s">
        <v>2527</v>
      </c>
      <c r="K59" s="2197"/>
      <c r="L59" s="2197"/>
      <c r="M59" s="2197"/>
      <c r="N59" s="2197"/>
      <c r="O59" s="2197"/>
      <c r="P59" s="2197"/>
      <c r="Q59" s="2197"/>
      <c r="R59" s="2197"/>
      <c r="S59" s="2197"/>
      <c r="T59" s="2197"/>
      <c r="U59" s="2197"/>
      <c r="V59" s="2197"/>
      <c r="W59" s="2197"/>
      <c r="X59" s="2197"/>
      <c r="Y59" s="2197"/>
      <c r="Z59" s="2197"/>
      <c r="AA59" s="2197"/>
      <c r="AB59" s="2197"/>
      <c r="AC59" s="2197"/>
      <c r="AD59" s="2197"/>
      <c r="AE59" s="2197"/>
      <c r="AF59" s="2197"/>
      <c r="AG59" s="2197"/>
      <c r="AH59" s="2197"/>
      <c r="AI59" s="2197"/>
      <c r="AJ59" s="2197"/>
      <c r="AK59" s="2197"/>
      <c r="AL59" s="2197"/>
      <c r="AM59" s="2197"/>
      <c r="AN59" s="2197"/>
      <c r="AO59" s="2197"/>
      <c r="AP59" s="2197"/>
      <c r="AQ59" s="2197"/>
      <c r="AR59" s="2197"/>
      <c r="AS59" s="2197"/>
      <c r="AT59" s="2197"/>
      <c r="AU59" s="2197"/>
      <c r="AV59" s="2197"/>
      <c r="AW59" s="2198"/>
      <c r="AX59" s="974"/>
      <c r="AY59" s="974"/>
      <c r="AZ59" s="974"/>
      <c r="BA59" s="974"/>
      <c r="BB59" s="974"/>
      <c r="BC59" s="974"/>
      <c r="BD59" s="974"/>
      <c r="BE59" s="970"/>
    </row>
    <row r="60" spans="1:58" ht="15.75" customHeight="1">
      <c r="A60" s="974"/>
      <c r="B60" s="2298" t="str">
        <f>IF(B52="", "", B52)</f>
        <v>Services Company 1</v>
      </c>
      <c r="C60" s="2299"/>
      <c r="D60" s="2299"/>
      <c r="E60" s="2299"/>
      <c r="F60" s="2299"/>
      <c r="G60" s="2299"/>
      <c r="H60" s="2299"/>
      <c r="I60" s="2300"/>
      <c r="J60" s="2301"/>
      <c r="K60" s="2302"/>
      <c r="L60" s="2302"/>
      <c r="M60" s="2302"/>
      <c r="N60" s="2302"/>
      <c r="O60" s="2302"/>
      <c r="P60" s="2302"/>
      <c r="Q60" s="2302"/>
      <c r="R60" s="2302"/>
      <c r="S60" s="2302"/>
      <c r="T60" s="2302"/>
      <c r="U60" s="2302"/>
      <c r="V60" s="2302"/>
      <c r="W60" s="2302"/>
      <c r="X60" s="2302"/>
      <c r="Y60" s="2302"/>
      <c r="Z60" s="2302"/>
      <c r="AA60" s="2302"/>
      <c r="AB60" s="2302"/>
      <c r="AC60" s="2302"/>
      <c r="AD60" s="2302"/>
      <c r="AE60" s="2302"/>
      <c r="AF60" s="2302"/>
      <c r="AG60" s="2302"/>
      <c r="AH60" s="2302"/>
      <c r="AI60" s="2302"/>
      <c r="AJ60" s="2302"/>
      <c r="AK60" s="2302"/>
      <c r="AL60" s="2302"/>
      <c r="AM60" s="2302"/>
      <c r="AN60" s="2302"/>
      <c r="AO60" s="2302"/>
      <c r="AP60" s="2302"/>
      <c r="AQ60" s="2302"/>
      <c r="AR60" s="2302"/>
      <c r="AS60" s="2302"/>
      <c r="AT60" s="2302"/>
      <c r="AU60" s="2302"/>
      <c r="AV60" s="2302"/>
      <c r="AW60" s="2303"/>
      <c r="AX60" s="974"/>
      <c r="AY60" s="974"/>
      <c r="AZ60" s="974"/>
      <c r="BA60" s="974"/>
      <c r="BB60" s="974"/>
      <c r="BC60" s="974"/>
      <c r="BD60" s="974"/>
      <c r="BE60" s="970"/>
    </row>
    <row r="61" spans="1:58" ht="15.75" customHeight="1">
      <c r="A61" s="974"/>
      <c r="B61" s="2298" t="str">
        <f>IF(B53="", "", B53)</f>
        <v>Services Company 2</v>
      </c>
      <c r="C61" s="2299"/>
      <c r="D61" s="2299"/>
      <c r="E61" s="2299"/>
      <c r="F61" s="2299"/>
      <c r="G61" s="2299"/>
      <c r="H61" s="2299"/>
      <c r="I61" s="2300"/>
      <c r="J61" s="2301"/>
      <c r="K61" s="2302"/>
      <c r="L61" s="2302"/>
      <c r="M61" s="2302"/>
      <c r="N61" s="2302"/>
      <c r="O61" s="2302"/>
      <c r="P61" s="2302"/>
      <c r="Q61" s="2302"/>
      <c r="R61" s="2302"/>
      <c r="S61" s="2302"/>
      <c r="T61" s="2302"/>
      <c r="U61" s="2302"/>
      <c r="V61" s="2302"/>
      <c r="W61" s="2302"/>
      <c r="X61" s="2302"/>
      <c r="Y61" s="2302"/>
      <c r="Z61" s="2302"/>
      <c r="AA61" s="2302"/>
      <c r="AB61" s="2302"/>
      <c r="AC61" s="2302"/>
      <c r="AD61" s="2302"/>
      <c r="AE61" s="2302"/>
      <c r="AF61" s="2302"/>
      <c r="AG61" s="2302"/>
      <c r="AH61" s="2302"/>
      <c r="AI61" s="2302"/>
      <c r="AJ61" s="2302"/>
      <c r="AK61" s="2302"/>
      <c r="AL61" s="2302"/>
      <c r="AM61" s="2302"/>
      <c r="AN61" s="2302"/>
      <c r="AO61" s="2302"/>
      <c r="AP61" s="2302"/>
      <c r="AQ61" s="2302"/>
      <c r="AR61" s="2302"/>
      <c r="AS61" s="2302"/>
      <c r="AT61" s="2302"/>
      <c r="AU61" s="2302"/>
      <c r="AV61" s="2302"/>
      <c r="AW61" s="2303"/>
      <c r="AX61" s="974"/>
      <c r="AY61" s="974"/>
      <c r="AZ61" s="974"/>
      <c r="BA61" s="974"/>
      <c r="BB61" s="974"/>
      <c r="BC61" s="974"/>
      <c r="BD61" s="974"/>
      <c r="BE61" s="970"/>
    </row>
    <row r="62" spans="1:58" ht="15.75" customHeight="1">
      <c r="A62" s="974"/>
      <c r="B62" s="2298" t="str">
        <f>IF(B54="", "", B54)</f>
        <v/>
      </c>
      <c r="C62" s="2299"/>
      <c r="D62" s="2299"/>
      <c r="E62" s="2299"/>
      <c r="F62" s="2299"/>
      <c r="G62" s="2299"/>
      <c r="H62" s="2299"/>
      <c r="I62" s="2300"/>
      <c r="J62" s="2301"/>
      <c r="K62" s="2302"/>
      <c r="L62" s="2302"/>
      <c r="M62" s="2302"/>
      <c r="N62" s="2302"/>
      <c r="O62" s="2302"/>
      <c r="P62" s="2302"/>
      <c r="Q62" s="2302"/>
      <c r="R62" s="2302"/>
      <c r="S62" s="2302"/>
      <c r="T62" s="2302"/>
      <c r="U62" s="2302"/>
      <c r="V62" s="2302"/>
      <c r="W62" s="2302"/>
      <c r="X62" s="2302"/>
      <c r="Y62" s="2302"/>
      <c r="Z62" s="2302"/>
      <c r="AA62" s="2302"/>
      <c r="AB62" s="2302"/>
      <c r="AC62" s="2302"/>
      <c r="AD62" s="2302"/>
      <c r="AE62" s="2302"/>
      <c r="AF62" s="2302"/>
      <c r="AG62" s="2302"/>
      <c r="AH62" s="2302"/>
      <c r="AI62" s="2302"/>
      <c r="AJ62" s="2302"/>
      <c r="AK62" s="2302"/>
      <c r="AL62" s="2302"/>
      <c r="AM62" s="2302"/>
      <c r="AN62" s="2302"/>
      <c r="AO62" s="2302"/>
      <c r="AP62" s="2302"/>
      <c r="AQ62" s="2302"/>
      <c r="AR62" s="2302"/>
      <c r="AS62" s="2302"/>
      <c r="AT62" s="2302"/>
      <c r="AU62" s="2302"/>
      <c r="AV62" s="2302"/>
      <c r="AW62" s="2303"/>
      <c r="AX62" s="974"/>
      <c r="AY62" s="974"/>
      <c r="AZ62" s="974"/>
      <c r="BA62" s="974"/>
      <c r="BB62" s="974"/>
      <c r="BC62" s="974"/>
      <c r="BD62" s="974"/>
      <c r="BE62" s="970"/>
    </row>
    <row r="63" spans="1:58" ht="15.75" customHeight="1">
      <c r="A63" s="974"/>
      <c r="B63" s="2298" t="str">
        <f>IF(B55="", "", B55)</f>
        <v/>
      </c>
      <c r="C63" s="2299"/>
      <c r="D63" s="2299"/>
      <c r="E63" s="2299"/>
      <c r="F63" s="2299"/>
      <c r="G63" s="2299"/>
      <c r="H63" s="2299"/>
      <c r="I63" s="2300"/>
      <c r="J63" s="2301"/>
      <c r="K63" s="2302"/>
      <c r="L63" s="2302"/>
      <c r="M63" s="2302"/>
      <c r="N63" s="2302"/>
      <c r="O63" s="2302"/>
      <c r="P63" s="2302"/>
      <c r="Q63" s="2302"/>
      <c r="R63" s="2302"/>
      <c r="S63" s="2302"/>
      <c r="T63" s="2302"/>
      <c r="U63" s="2302"/>
      <c r="V63" s="2302"/>
      <c r="W63" s="2302"/>
      <c r="X63" s="2302"/>
      <c r="Y63" s="2302"/>
      <c r="Z63" s="2302"/>
      <c r="AA63" s="2302"/>
      <c r="AB63" s="2302"/>
      <c r="AC63" s="2302"/>
      <c r="AD63" s="2302"/>
      <c r="AE63" s="2302"/>
      <c r="AF63" s="2302"/>
      <c r="AG63" s="2302"/>
      <c r="AH63" s="2302"/>
      <c r="AI63" s="2302"/>
      <c r="AJ63" s="2302"/>
      <c r="AK63" s="2302"/>
      <c r="AL63" s="2302"/>
      <c r="AM63" s="2302"/>
      <c r="AN63" s="2302"/>
      <c r="AO63" s="2302"/>
      <c r="AP63" s="2302"/>
      <c r="AQ63" s="2302"/>
      <c r="AR63" s="2302"/>
      <c r="AS63" s="2302"/>
      <c r="AT63" s="2302"/>
      <c r="AU63" s="2302"/>
      <c r="AV63" s="2302"/>
      <c r="AW63" s="2303"/>
      <c r="AX63" s="974"/>
      <c r="AY63" s="974"/>
      <c r="AZ63" s="974"/>
      <c r="BA63" s="974"/>
      <c r="BB63" s="974"/>
      <c r="BC63" s="974"/>
      <c r="BD63" s="974"/>
      <c r="BE63" s="970"/>
    </row>
    <row r="64" spans="1:58" ht="15.75" customHeight="1" thickBot="1">
      <c r="A64" s="974"/>
      <c r="B64" s="2304" t="str">
        <f>IF(B56="", "", B56)</f>
        <v/>
      </c>
      <c r="C64" s="2305"/>
      <c r="D64" s="2305"/>
      <c r="E64" s="2305"/>
      <c r="F64" s="2305"/>
      <c r="G64" s="2305"/>
      <c r="H64" s="2305"/>
      <c r="I64" s="2306"/>
      <c r="J64" s="2314"/>
      <c r="K64" s="2315"/>
      <c r="L64" s="2315"/>
      <c r="M64" s="2315"/>
      <c r="N64" s="2315"/>
      <c r="O64" s="2315"/>
      <c r="P64" s="2315"/>
      <c r="Q64" s="2315"/>
      <c r="R64" s="2315"/>
      <c r="S64" s="2315"/>
      <c r="T64" s="2315"/>
      <c r="U64" s="2315"/>
      <c r="V64" s="2315"/>
      <c r="W64" s="2315"/>
      <c r="X64" s="2315"/>
      <c r="Y64" s="2315"/>
      <c r="Z64" s="2315"/>
      <c r="AA64" s="2315"/>
      <c r="AB64" s="2315"/>
      <c r="AC64" s="2315"/>
      <c r="AD64" s="2315"/>
      <c r="AE64" s="2315"/>
      <c r="AF64" s="2315"/>
      <c r="AG64" s="2315"/>
      <c r="AH64" s="2315"/>
      <c r="AI64" s="2315"/>
      <c r="AJ64" s="2315"/>
      <c r="AK64" s="2315"/>
      <c r="AL64" s="2315"/>
      <c r="AM64" s="2315"/>
      <c r="AN64" s="2315"/>
      <c r="AO64" s="2315"/>
      <c r="AP64" s="2315"/>
      <c r="AQ64" s="2315"/>
      <c r="AR64" s="2315"/>
      <c r="AS64" s="2315"/>
      <c r="AT64" s="2315"/>
      <c r="AU64" s="2315"/>
      <c r="AV64" s="2315"/>
      <c r="AW64" s="2316"/>
      <c r="AX64" s="974"/>
      <c r="AY64" s="974"/>
      <c r="AZ64" s="974"/>
      <c r="BA64" s="974"/>
      <c r="BB64" s="974"/>
      <c r="BC64" s="974"/>
      <c r="BD64" s="974"/>
      <c r="BE64" s="970"/>
    </row>
    <row r="65" spans="1:65" ht="15.75" customHeight="1">
      <c r="A65" s="974"/>
      <c r="B65" s="974"/>
      <c r="C65" s="974"/>
      <c r="D65" s="974"/>
      <c r="E65" s="974"/>
      <c r="F65" s="974"/>
      <c r="G65" s="974"/>
      <c r="H65" s="974"/>
      <c r="I65" s="974"/>
      <c r="J65" s="974"/>
      <c r="K65" s="974"/>
      <c r="L65" s="974"/>
      <c r="M65" s="974"/>
      <c r="N65" s="974"/>
      <c r="O65" s="974"/>
      <c r="P65" s="974"/>
      <c r="Q65" s="974"/>
      <c r="R65" s="974"/>
      <c r="S65" s="974"/>
      <c r="T65" s="974"/>
      <c r="U65" s="974"/>
      <c r="V65" s="974"/>
      <c r="W65" s="974"/>
      <c r="X65" s="974"/>
      <c r="Y65" s="974"/>
      <c r="Z65" s="974"/>
      <c r="AA65" s="974"/>
      <c r="AB65" s="974"/>
      <c r="AC65" s="974"/>
      <c r="AD65" s="974"/>
      <c r="AE65" s="974"/>
      <c r="AF65" s="974"/>
      <c r="AG65" s="974"/>
      <c r="AH65" s="974"/>
      <c r="AI65" s="974"/>
      <c r="AJ65" s="974"/>
      <c r="AK65" s="974"/>
      <c r="AL65" s="974"/>
      <c r="AM65" s="974"/>
      <c r="AN65" s="974"/>
      <c r="AO65" s="974"/>
      <c r="AP65" s="974"/>
      <c r="AQ65" s="974"/>
      <c r="AR65" s="974"/>
      <c r="AS65" s="974"/>
      <c r="AT65" s="974"/>
      <c r="AU65" s="974"/>
      <c r="AV65" s="974"/>
      <c r="AW65" s="974"/>
      <c r="AX65" s="974"/>
      <c r="AY65" s="974"/>
      <c r="AZ65" s="974"/>
      <c r="BA65" s="974"/>
      <c r="BB65" s="974"/>
      <c r="BC65" s="974"/>
      <c r="BD65" s="974"/>
      <c r="BE65" s="970"/>
    </row>
    <row r="66" spans="1:65" ht="15.75" customHeight="1">
      <c r="A66" s="974"/>
      <c r="B66" s="1017" t="s">
        <v>2528</v>
      </c>
      <c r="C66" s="1017"/>
      <c r="D66" s="1017"/>
      <c r="E66" s="1017"/>
      <c r="F66" s="1017"/>
      <c r="G66" s="1017"/>
      <c r="H66" s="1017"/>
      <c r="I66" s="1017"/>
      <c r="J66" s="1017"/>
      <c r="K66" s="1017"/>
      <c r="L66" s="974"/>
      <c r="M66" s="974"/>
      <c r="N66" s="974"/>
      <c r="O66" s="974"/>
      <c r="P66" s="974"/>
      <c r="Q66" s="974"/>
      <c r="R66" s="974"/>
      <c r="S66" s="974"/>
      <c r="T66" s="974"/>
      <c r="U66" s="974"/>
      <c r="V66" s="974"/>
      <c r="W66" s="974"/>
      <c r="X66" s="974"/>
      <c r="Y66" s="974"/>
      <c r="Z66" s="974"/>
      <c r="AA66" s="974"/>
      <c r="AB66" s="974"/>
      <c r="AC66" s="974"/>
      <c r="AD66" s="974"/>
      <c r="AE66" s="974"/>
      <c r="AF66" s="974"/>
      <c r="AG66" s="974"/>
      <c r="AH66" s="974"/>
      <c r="AI66" s="974"/>
      <c r="AJ66" s="974"/>
      <c r="AK66" s="974"/>
      <c r="AL66" s="974"/>
      <c r="AM66" s="974"/>
      <c r="AN66" s="974"/>
      <c r="AO66" s="974"/>
      <c r="AP66" s="974"/>
      <c r="AQ66" s="974"/>
      <c r="AR66" s="974"/>
      <c r="AS66" s="974"/>
      <c r="AT66" s="974"/>
      <c r="AU66" s="974"/>
      <c r="AV66" s="974"/>
      <c r="AW66" s="974"/>
      <c r="AX66" s="974"/>
      <c r="AY66" s="974"/>
      <c r="AZ66" s="974"/>
      <c r="BA66" s="974"/>
      <c r="BB66" s="974"/>
      <c r="BC66" s="974"/>
      <c r="BD66" s="974"/>
      <c r="BE66" s="970"/>
    </row>
    <row r="67" spans="1:65" ht="15.75" customHeight="1" thickBot="1">
      <c r="A67" s="974"/>
      <c r="B67" s="974"/>
      <c r="C67" s="974"/>
      <c r="D67" s="974"/>
      <c r="E67" s="974"/>
      <c r="F67" s="974"/>
      <c r="G67" s="974"/>
      <c r="H67" s="974"/>
      <c r="I67" s="974"/>
      <c r="J67" s="974"/>
      <c r="K67" s="974"/>
      <c r="L67" s="974"/>
      <c r="M67" s="974"/>
      <c r="N67" s="974"/>
      <c r="O67" s="974"/>
      <c r="P67" s="974"/>
      <c r="Q67" s="974"/>
      <c r="R67" s="974"/>
      <c r="S67" s="974"/>
      <c r="T67" s="974"/>
      <c r="U67" s="974"/>
      <c r="V67" s="974"/>
      <c r="W67" s="974"/>
      <c r="X67" s="974"/>
      <c r="Y67" s="974"/>
      <c r="Z67" s="974"/>
      <c r="AA67" s="974"/>
      <c r="AB67" s="974"/>
      <c r="AC67" s="974"/>
      <c r="AD67" s="974"/>
      <c r="AE67" s="974"/>
      <c r="AF67" s="974"/>
      <c r="AG67" s="974"/>
      <c r="AH67" s="974"/>
      <c r="AI67" s="974"/>
      <c r="AJ67" s="974"/>
      <c r="AK67" s="974"/>
      <c r="AL67" s="974"/>
      <c r="AM67" s="974"/>
      <c r="AN67" s="974"/>
      <c r="AO67" s="974"/>
      <c r="AP67" s="974"/>
      <c r="AQ67" s="974"/>
      <c r="AR67" s="974"/>
      <c r="AS67" s="974"/>
      <c r="AT67" s="974"/>
      <c r="AU67" s="974"/>
      <c r="AV67" s="974"/>
      <c r="AW67" s="974"/>
      <c r="AX67" s="974"/>
      <c r="AY67" s="974"/>
      <c r="AZ67" s="974"/>
      <c r="BA67" s="974"/>
      <c r="BB67" s="974"/>
      <c r="BC67" s="974"/>
      <c r="BD67" s="974"/>
      <c r="BE67" s="970"/>
    </row>
    <row r="68" spans="1:65" ht="15.75" customHeight="1" thickBot="1">
      <c r="A68" s="974"/>
      <c r="B68" s="2196" t="s">
        <v>2529</v>
      </c>
      <c r="C68" s="2197"/>
      <c r="D68" s="2197"/>
      <c r="E68" s="2197"/>
      <c r="F68" s="2197"/>
      <c r="G68" s="2197"/>
      <c r="H68" s="2197"/>
      <c r="I68" s="2197"/>
      <c r="J68" s="2197"/>
      <c r="K68" s="2197"/>
      <c r="L68" s="2197"/>
      <c r="M68" s="2197"/>
      <c r="N68" s="2197"/>
      <c r="O68" s="2197"/>
      <c r="P68" s="2197"/>
      <c r="Q68" s="2197"/>
      <c r="R68" s="2197"/>
      <c r="S68" s="2197"/>
      <c r="T68" s="2197"/>
      <c r="U68" s="2197"/>
      <c r="V68" s="2197"/>
      <c r="W68" s="2197"/>
      <c r="X68" s="2197"/>
      <c r="Y68" s="2197"/>
      <c r="Z68" s="2197"/>
      <c r="AA68" s="2198"/>
      <c r="AB68" s="974"/>
      <c r="AC68" s="2389" t="s">
        <v>2530</v>
      </c>
      <c r="AD68" s="2390"/>
      <c r="AE68" s="2390"/>
      <c r="AF68" s="2390"/>
      <c r="AG68" s="2390"/>
      <c r="AH68" s="2390"/>
      <c r="AI68" s="2390"/>
      <c r="AJ68" s="2390"/>
      <c r="AK68" s="2390"/>
      <c r="AL68" s="2390"/>
      <c r="AM68" s="2390"/>
      <c r="AN68" s="2390"/>
      <c r="AO68" s="2390"/>
      <c r="AP68" s="2390"/>
      <c r="AQ68" s="2390"/>
      <c r="AR68" s="2390"/>
      <c r="AS68" s="2390"/>
      <c r="AT68" s="2390"/>
      <c r="AU68" s="2390"/>
      <c r="AV68" s="2516" t="s">
        <v>895</v>
      </c>
      <c r="AW68" s="2349"/>
      <c r="AX68" s="2349"/>
      <c r="AY68" s="2349"/>
      <c r="AZ68" s="2349"/>
      <c r="BA68" s="2349"/>
      <c r="BB68" s="2349"/>
      <c r="BC68" s="2350"/>
      <c r="BD68" s="974"/>
      <c r="BE68" s="970"/>
      <c r="BM68" s="1016" t="s">
        <v>2531</v>
      </c>
    </row>
    <row r="69" spans="1:65" ht="15.75" customHeight="1" thickTop="1" thickBot="1">
      <c r="A69" s="974"/>
      <c r="B69" s="2517" t="s">
        <v>2532</v>
      </c>
      <c r="C69" s="2518"/>
      <c r="D69" s="2518"/>
      <c r="E69" s="2518"/>
      <c r="F69" s="2518"/>
      <c r="G69" s="2518"/>
      <c r="H69" s="2518"/>
      <c r="I69" s="2518"/>
      <c r="J69" s="2518"/>
      <c r="K69" s="2518"/>
      <c r="L69" s="2518"/>
      <c r="M69" s="2518"/>
      <c r="N69" s="2518"/>
      <c r="O69" s="2519" t="s">
        <v>2533</v>
      </c>
      <c r="P69" s="2520"/>
      <c r="Q69" s="2520"/>
      <c r="R69" s="2520"/>
      <c r="S69" s="2520"/>
      <c r="T69" s="2520"/>
      <c r="U69" s="2520"/>
      <c r="V69" s="2520"/>
      <c r="W69" s="2520"/>
      <c r="X69" s="2520"/>
      <c r="Y69" s="2520"/>
      <c r="Z69" s="2520"/>
      <c r="AA69" s="2521"/>
      <c r="AB69" s="974"/>
      <c r="AC69" s="2522" t="s">
        <v>2534</v>
      </c>
      <c r="AD69" s="2523"/>
      <c r="AE69" s="2523"/>
      <c r="AF69" s="2523"/>
      <c r="AG69" s="2523"/>
      <c r="AH69" s="2523"/>
      <c r="AI69" s="2523"/>
      <c r="AJ69" s="2523"/>
      <c r="AK69" s="2523"/>
      <c r="AL69" s="2523"/>
      <c r="AM69" s="2523"/>
      <c r="AN69" s="2523"/>
      <c r="AO69" s="2523"/>
      <c r="AP69" s="2523"/>
      <c r="AQ69" s="2523"/>
      <c r="AR69" s="2523"/>
      <c r="AS69" s="2523"/>
      <c r="AT69" s="2523"/>
      <c r="AU69" s="2523"/>
      <c r="AV69" s="2524"/>
      <c r="AW69" s="2525"/>
      <c r="AX69" s="2525"/>
      <c r="AY69" s="2525"/>
      <c r="AZ69" s="2525"/>
      <c r="BA69" s="2525"/>
      <c r="BB69" s="2525"/>
      <c r="BC69" s="2526"/>
      <c r="BD69" s="974"/>
      <c r="BE69" s="970"/>
      <c r="BM69" s="1015" t="s">
        <v>837</v>
      </c>
    </row>
    <row r="70" spans="1:65" ht="15.75" customHeight="1">
      <c r="A70" s="974"/>
      <c r="B70" s="2244" t="s">
        <v>2535</v>
      </c>
      <c r="C70" s="2245"/>
      <c r="D70" s="2245"/>
      <c r="E70" s="2245"/>
      <c r="F70" s="2245"/>
      <c r="G70" s="2245"/>
      <c r="H70" s="2245"/>
      <c r="I70" s="2245"/>
      <c r="J70" s="2245"/>
      <c r="K70" s="2245"/>
      <c r="L70" s="2245"/>
      <c r="M70" s="2245"/>
      <c r="N70" s="2245"/>
      <c r="O70" s="2324">
        <v>0</v>
      </c>
      <c r="P70" s="2324"/>
      <c r="Q70" s="2324"/>
      <c r="R70" s="2324"/>
      <c r="S70" s="2324"/>
      <c r="T70" s="2324"/>
      <c r="U70" s="2324"/>
      <c r="V70" s="2324"/>
      <c r="W70" s="2324"/>
      <c r="X70" s="2324"/>
      <c r="Y70" s="2324"/>
      <c r="Z70" s="2324"/>
      <c r="AA70" s="2325"/>
      <c r="AB70" s="974"/>
      <c r="AC70" s="2284" t="s">
        <v>2536</v>
      </c>
      <c r="AD70" s="2285"/>
      <c r="AE70" s="2285"/>
      <c r="AF70" s="2328"/>
      <c r="AG70" s="2328"/>
      <c r="AH70" s="2328"/>
      <c r="AI70" s="2328"/>
      <c r="AJ70" s="2328"/>
      <c r="AK70" s="2328"/>
      <c r="AL70" s="2328"/>
      <c r="AM70" s="2328"/>
      <c r="AN70" s="2328"/>
      <c r="AO70" s="2328"/>
      <c r="AP70" s="2328"/>
      <c r="AQ70" s="2328"/>
      <c r="AR70" s="2328"/>
      <c r="AS70" s="2328"/>
      <c r="AT70" s="2328"/>
      <c r="AU70" s="2329"/>
      <c r="AV70" s="974"/>
      <c r="AW70" s="974"/>
      <c r="AX70" s="974"/>
      <c r="AY70" s="974"/>
      <c r="AZ70" s="974"/>
      <c r="BA70" s="974"/>
      <c r="BB70" s="974"/>
      <c r="BC70" s="974"/>
      <c r="BD70" s="974"/>
      <c r="BE70" s="970"/>
      <c r="BM70" s="1014" t="s">
        <v>895</v>
      </c>
    </row>
    <row r="71" spans="1:65" ht="15.75" customHeight="1" thickBot="1">
      <c r="A71" s="974"/>
      <c r="B71" s="2244" t="s">
        <v>2537</v>
      </c>
      <c r="C71" s="2245"/>
      <c r="D71" s="2245"/>
      <c r="E71" s="2245"/>
      <c r="F71" s="2245"/>
      <c r="G71" s="2245"/>
      <c r="H71" s="2245"/>
      <c r="I71" s="2245"/>
      <c r="J71" s="2245"/>
      <c r="K71" s="2245"/>
      <c r="L71" s="2245"/>
      <c r="M71" s="2245"/>
      <c r="N71" s="2245"/>
      <c r="O71" s="2324">
        <v>0</v>
      </c>
      <c r="P71" s="2324"/>
      <c r="Q71" s="2324"/>
      <c r="R71" s="2324"/>
      <c r="S71" s="2324"/>
      <c r="T71" s="2324"/>
      <c r="U71" s="2324"/>
      <c r="V71" s="2324"/>
      <c r="W71" s="2324"/>
      <c r="X71" s="2324"/>
      <c r="Y71" s="2324"/>
      <c r="Z71" s="2324"/>
      <c r="AA71" s="2325"/>
      <c r="AB71" s="974"/>
      <c r="AC71" s="2330" t="s">
        <v>2538</v>
      </c>
      <c r="AD71" s="2331"/>
      <c r="AE71" s="2331"/>
      <c r="AF71" s="2315"/>
      <c r="AG71" s="2315"/>
      <c r="AH71" s="2315"/>
      <c r="AI71" s="2315"/>
      <c r="AJ71" s="2315"/>
      <c r="AK71" s="2315"/>
      <c r="AL71" s="2315"/>
      <c r="AM71" s="2315"/>
      <c r="AN71" s="2315"/>
      <c r="AO71" s="2315"/>
      <c r="AP71" s="2315"/>
      <c r="AQ71" s="2315"/>
      <c r="AR71" s="2315"/>
      <c r="AS71" s="2315"/>
      <c r="AT71" s="2315"/>
      <c r="AU71" s="2316"/>
      <c r="AV71" s="974"/>
      <c r="AW71" s="974"/>
      <c r="AX71" s="974"/>
      <c r="AY71" s="974"/>
      <c r="AZ71" s="974"/>
      <c r="BA71" s="974"/>
      <c r="BB71" s="974"/>
      <c r="BC71" s="974"/>
      <c r="BD71" s="974"/>
      <c r="BE71" s="970"/>
      <c r="BM71" s="965" t="s">
        <v>2539</v>
      </c>
    </row>
    <row r="72" spans="1:65" ht="15.75" customHeight="1">
      <c r="A72" s="974"/>
      <c r="B72" s="2244" t="s">
        <v>2540</v>
      </c>
      <c r="C72" s="2245"/>
      <c r="D72" s="2245"/>
      <c r="E72" s="2245"/>
      <c r="F72" s="2245"/>
      <c r="G72" s="2245"/>
      <c r="H72" s="2245"/>
      <c r="I72" s="2245"/>
      <c r="J72" s="2245"/>
      <c r="K72" s="2245"/>
      <c r="L72" s="2245"/>
      <c r="M72" s="2245"/>
      <c r="N72" s="2245"/>
      <c r="O72" s="2324">
        <v>0</v>
      </c>
      <c r="P72" s="2324"/>
      <c r="Q72" s="2324"/>
      <c r="R72" s="2324"/>
      <c r="S72" s="2324"/>
      <c r="T72" s="2324"/>
      <c r="U72" s="2324"/>
      <c r="V72" s="2324"/>
      <c r="W72" s="2324"/>
      <c r="X72" s="2324"/>
      <c r="Y72" s="2324"/>
      <c r="Z72" s="2324"/>
      <c r="AA72" s="2325"/>
      <c r="AB72" s="974"/>
      <c r="AC72" s="2531" t="s">
        <v>2541</v>
      </c>
      <c r="AD72" s="2532"/>
      <c r="AE72" s="2532"/>
      <c r="AF72" s="2532"/>
      <c r="AG72" s="2532"/>
      <c r="AH72" s="2532"/>
      <c r="AI72" s="2532"/>
      <c r="AJ72" s="2532"/>
      <c r="AK72" s="2532"/>
      <c r="AL72" s="2532"/>
      <c r="AM72" s="2532"/>
      <c r="AN72" s="2532"/>
      <c r="AO72" s="2532"/>
      <c r="AP72" s="2532"/>
      <c r="AQ72" s="2532"/>
      <c r="AR72" s="2532"/>
      <c r="AS72" s="2532"/>
      <c r="AT72" s="2532"/>
      <c r="AU72" s="2532"/>
      <c r="AV72" s="2285"/>
      <c r="AW72" s="2285"/>
      <c r="AX72" s="2285"/>
      <c r="AY72" s="2285"/>
      <c r="AZ72" s="2285"/>
      <c r="BA72" s="2285"/>
      <c r="BB72" s="2285"/>
      <c r="BC72" s="2286"/>
      <c r="BD72" s="974"/>
      <c r="BE72" s="970"/>
    </row>
    <row r="73" spans="1:65" ht="15.75" customHeight="1">
      <c r="A73" s="974"/>
      <c r="B73" s="2276" t="s">
        <v>2542</v>
      </c>
      <c r="C73" s="2277"/>
      <c r="D73" s="2277"/>
      <c r="E73" s="2277"/>
      <c r="F73" s="2277"/>
      <c r="G73" s="2277"/>
      <c r="H73" s="2277"/>
      <c r="I73" s="2277"/>
      <c r="J73" s="2277"/>
      <c r="K73" s="2277"/>
      <c r="L73" s="2277"/>
      <c r="M73" s="2277"/>
      <c r="N73" s="2277"/>
      <c r="O73" s="2324">
        <v>0</v>
      </c>
      <c r="P73" s="2324"/>
      <c r="Q73" s="2324"/>
      <c r="R73" s="2324"/>
      <c r="S73" s="2324"/>
      <c r="T73" s="2324"/>
      <c r="U73" s="2324"/>
      <c r="V73" s="2324"/>
      <c r="W73" s="2324"/>
      <c r="X73" s="2324"/>
      <c r="Y73" s="2324"/>
      <c r="Z73" s="2324"/>
      <c r="AA73" s="2325"/>
      <c r="AB73" s="974"/>
      <c r="AC73" s="2317" t="s">
        <v>2543</v>
      </c>
      <c r="AD73" s="2318"/>
      <c r="AE73" s="2318"/>
      <c r="AF73" s="2318"/>
      <c r="AG73" s="2318"/>
      <c r="AH73" s="2318"/>
      <c r="AI73" s="2318"/>
      <c r="AJ73" s="2318"/>
      <c r="AK73" s="2318"/>
      <c r="AL73" s="2318"/>
      <c r="AM73" s="2318"/>
      <c r="AN73" s="2318"/>
      <c r="AO73" s="2318"/>
      <c r="AP73" s="2318"/>
      <c r="AQ73" s="2318"/>
      <c r="AR73" s="2318"/>
      <c r="AS73" s="2318"/>
      <c r="AT73" s="2318"/>
      <c r="AU73" s="2318"/>
      <c r="AV73" s="2318"/>
      <c r="AW73" s="2318"/>
      <c r="AX73" s="2318"/>
      <c r="AY73" s="2318"/>
      <c r="AZ73" s="2318"/>
      <c r="BA73" s="2318"/>
      <c r="BB73" s="2318"/>
      <c r="BC73" s="2319"/>
      <c r="BD73" s="974"/>
      <c r="BE73" s="970"/>
    </row>
    <row r="74" spans="1:65" ht="15.75" customHeight="1">
      <c r="A74" s="974"/>
      <c r="B74" s="2323"/>
      <c r="C74" s="2293"/>
      <c r="D74" s="2293"/>
      <c r="E74" s="2293"/>
      <c r="F74" s="2293"/>
      <c r="G74" s="2293"/>
      <c r="H74" s="2293"/>
      <c r="I74" s="2293"/>
      <c r="J74" s="2293"/>
      <c r="K74" s="2293"/>
      <c r="L74" s="2293"/>
      <c r="M74" s="2293"/>
      <c r="N74" s="2293"/>
      <c r="O74" s="2324"/>
      <c r="P74" s="2324"/>
      <c r="Q74" s="2324"/>
      <c r="R74" s="2324"/>
      <c r="S74" s="2324"/>
      <c r="T74" s="2324"/>
      <c r="U74" s="2324"/>
      <c r="V74" s="2324"/>
      <c r="W74" s="2324"/>
      <c r="X74" s="2324"/>
      <c r="Y74" s="2324"/>
      <c r="Z74" s="2324"/>
      <c r="AA74" s="2325"/>
      <c r="AB74" s="974"/>
      <c r="AC74" s="2317"/>
      <c r="AD74" s="2318"/>
      <c r="AE74" s="2318"/>
      <c r="AF74" s="2318"/>
      <c r="AG74" s="2318"/>
      <c r="AH74" s="2318"/>
      <c r="AI74" s="2318"/>
      <c r="AJ74" s="2318"/>
      <c r="AK74" s="2318"/>
      <c r="AL74" s="2318"/>
      <c r="AM74" s="2318"/>
      <c r="AN74" s="2318"/>
      <c r="AO74" s="2318"/>
      <c r="AP74" s="2318"/>
      <c r="AQ74" s="2318"/>
      <c r="AR74" s="2318"/>
      <c r="AS74" s="2318"/>
      <c r="AT74" s="2318"/>
      <c r="AU74" s="2318"/>
      <c r="AV74" s="2318"/>
      <c r="AW74" s="2318"/>
      <c r="AX74" s="2318"/>
      <c r="AY74" s="2318"/>
      <c r="AZ74" s="2318"/>
      <c r="BA74" s="2318"/>
      <c r="BB74" s="2318"/>
      <c r="BC74" s="2319"/>
      <c r="BD74" s="974"/>
      <c r="BE74" s="970"/>
    </row>
    <row r="75" spans="1:65" ht="15.75" customHeight="1" thickBot="1">
      <c r="A75" s="974"/>
      <c r="B75" s="2326" t="s">
        <v>1553</v>
      </c>
      <c r="C75" s="2327"/>
      <c r="D75" s="2327"/>
      <c r="E75" s="2327"/>
      <c r="F75" s="2327"/>
      <c r="G75" s="2327"/>
      <c r="H75" s="2327"/>
      <c r="I75" s="2327"/>
      <c r="J75" s="2327"/>
      <c r="K75" s="2327"/>
      <c r="L75" s="2327"/>
      <c r="M75" s="2327"/>
      <c r="N75" s="2327"/>
      <c r="O75" s="2507">
        <f>SUM(O70:AA74)</f>
        <v>0</v>
      </c>
      <c r="P75" s="2507"/>
      <c r="Q75" s="2507"/>
      <c r="R75" s="2507"/>
      <c r="S75" s="2507"/>
      <c r="T75" s="2507"/>
      <c r="U75" s="2507"/>
      <c r="V75" s="2507"/>
      <c r="W75" s="2507"/>
      <c r="X75" s="2507"/>
      <c r="Y75" s="2507"/>
      <c r="Z75" s="2507"/>
      <c r="AA75" s="2508"/>
      <c r="AB75" s="974"/>
      <c r="AC75" s="2317"/>
      <c r="AD75" s="2318"/>
      <c r="AE75" s="2318"/>
      <c r="AF75" s="2318"/>
      <c r="AG75" s="2318"/>
      <c r="AH75" s="2318"/>
      <c r="AI75" s="2318"/>
      <c r="AJ75" s="2318"/>
      <c r="AK75" s="2318"/>
      <c r="AL75" s="2318"/>
      <c r="AM75" s="2318"/>
      <c r="AN75" s="2318"/>
      <c r="AO75" s="2318"/>
      <c r="AP75" s="2318"/>
      <c r="AQ75" s="2318"/>
      <c r="AR75" s="2318"/>
      <c r="AS75" s="2318"/>
      <c r="AT75" s="2318"/>
      <c r="AU75" s="2318"/>
      <c r="AV75" s="2318"/>
      <c r="AW75" s="2318"/>
      <c r="AX75" s="2318"/>
      <c r="AY75" s="2318"/>
      <c r="AZ75" s="2318"/>
      <c r="BA75" s="2318"/>
      <c r="BB75" s="2318"/>
      <c r="BC75" s="2319"/>
      <c r="BD75" s="974"/>
      <c r="BE75" s="970"/>
    </row>
    <row r="76" spans="1:65" ht="15.75" customHeight="1">
      <c r="A76" s="974"/>
      <c r="B76" s="974"/>
      <c r="C76" s="974"/>
      <c r="D76" s="974"/>
      <c r="E76" s="974"/>
      <c r="F76" s="974"/>
      <c r="G76" s="974"/>
      <c r="H76" s="974"/>
      <c r="I76" s="974"/>
      <c r="J76" s="974"/>
      <c r="K76" s="974"/>
      <c r="L76" s="974"/>
      <c r="M76" s="974"/>
      <c r="N76" s="974"/>
      <c r="O76" s="974"/>
      <c r="P76" s="974"/>
      <c r="Q76" s="974"/>
      <c r="R76" s="974"/>
      <c r="S76" s="974"/>
      <c r="T76" s="974"/>
      <c r="U76" s="974"/>
      <c r="V76" s="974"/>
      <c r="W76" s="974"/>
      <c r="X76" s="974"/>
      <c r="Y76" s="974"/>
      <c r="Z76" s="974"/>
      <c r="AA76" s="974"/>
      <c r="AB76" s="974"/>
      <c r="AC76" s="2317"/>
      <c r="AD76" s="2318"/>
      <c r="AE76" s="2318"/>
      <c r="AF76" s="2318"/>
      <c r="AG76" s="2318"/>
      <c r="AH76" s="2318"/>
      <c r="AI76" s="2318"/>
      <c r="AJ76" s="2318"/>
      <c r="AK76" s="2318"/>
      <c r="AL76" s="2318"/>
      <c r="AM76" s="2318"/>
      <c r="AN76" s="2318"/>
      <c r="AO76" s="2318"/>
      <c r="AP76" s="2318"/>
      <c r="AQ76" s="2318"/>
      <c r="AR76" s="2318"/>
      <c r="AS76" s="2318"/>
      <c r="AT76" s="2318"/>
      <c r="AU76" s="2318"/>
      <c r="AV76" s="2318"/>
      <c r="AW76" s="2318"/>
      <c r="AX76" s="2318"/>
      <c r="AY76" s="2318"/>
      <c r="AZ76" s="2318"/>
      <c r="BA76" s="2318"/>
      <c r="BB76" s="2318"/>
      <c r="BC76" s="2319"/>
      <c r="BD76" s="974"/>
      <c r="BE76" s="970"/>
    </row>
    <row r="77" spans="1:65" ht="15.75" customHeight="1" thickBot="1">
      <c r="A77" s="974"/>
      <c r="B77" s="974"/>
      <c r="C77" s="974"/>
      <c r="D77" s="974"/>
      <c r="E77" s="974"/>
      <c r="F77" s="974"/>
      <c r="G77" s="974"/>
      <c r="H77" s="974"/>
      <c r="I77" s="974"/>
      <c r="J77" s="974"/>
      <c r="K77" s="974"/>
      <c r="L77" s="974"/>
      <c r="M77" s="974"/>
      <c r="N77" s="974"/>
      <c r="O77" s="974"/>
      <c r="P77" s="974"/>
      <c r="Q77" s="974"/>
      <c r="R77" s="974"/>
      <c r="S77" s="974"/>
      <c r="T77" s="974"/>
      <c r="U77" s="974"/>
      <c r="V77" s="974"/>
      <c r="W77" s="974"/>
      <c r="X77" s="974"/>
      <c r="Y77" s="974"/>
      <c r="Z77" s="974"/>
      <c r="AA77" s="974"/>
      <c r="AB77" s="974"/>
      <c r="AC77" s="2320"/>
      <c r="AD77" s="2321"/>
      <c r="AE77" s="2321"/>
      <c r="AF77" s="2321"/>
      <c r="AG77" s="2321"/>
      <c r="AH77" s="2321"/>
      <c r="AI77" s="2321"/>
      <c r="AJ77" s="2321"/>
      <c r="AK77" s="2321"/>
      <c r="AL77" s="2321"/>
      <c r="AM77" s="2321"/>
      <c r="AN77" s="2321"/>
      <c r="AO77" s="2321"/>
      <c r="AP77" s="2321"/>
      <c r="AQ77" s="2321"/>
      <c r="AR77" s="2321"/>
      <c r="AS77" s="2321"/>
      <c r="AT77" s="2321"/>
      <c r="AU77" s="2321"/>
      <c r="AV77" s="2321"/>
      <c r="AW77" s="2321"/>
      <c r="AX77" s="2321"/>
      <c r="AY77" s="2321"/>
      <c r="AZ77" s="2321"/>
      <c r="BA77" s="2321"/>
      <c r="BB77" s="2321"/>
      <c r="BC77" s="2322"/>
      <c r="BD77" s="974"/>
      <c r="BE77" s="970"/>
    </row>
    <row r="78" spans="1:65" ht="15.75" customHeight="1" thickBot="1">
      <c r="A78" s="974"/>
      <c r="B78" s="1002" t="s">
        <v>2544</v>
      </c>
      <c r="C78" s="1008"/>
      <c r="D78" s="1008"/>
      <c r="E78" s="1008"/>
      <c r="F78" s="1008"/>
      <c r="G78" s="1008"/>
      <c r="H78" s="1008"/>
      <c r="I78" s="1008"/>
      <c r="J78" s="1008"/>
      <c r="K78" s="1008"/>
      <c r="L78" s="1008"/>
      <c r="M78" s="1008"/>
      <c r="N78" s="1008"/>
      <c r="O78" s="1008"/>
      <c r="P78" s="1008"/>
      <c r="Q78" s="1007"/>
      <c r="R78" s="974"/>
      <c r="S78" s="974"/>
      <c r="T78" s="974"/>
      <c r="U78" s="974"/>
      <c r="V78" s="974"/>
      <c r="W78" s="974"/>
      <c r="X78" s="974"/>
      <c r="Y78" s="974"/>
      <c r="Z78" s="974"/>
      <c r="AA78" s="974"/>
      <c r="AB78" s="974"/>
      <c r="AC78" s="974"/>
      <c r="AD78" s="974"/>
      <c r="AE78" s="974"/>
      <c r="AF78" s="974"/>
      <c r="AG78" s="974"/>
      <c r="AH78" s="974"/>
      <c r="AI78" s="974"/>
      <c r="AJ78" s="974"/>
      <c r="AK78" s="974"/>
      <c r="AL78" s="974"/>
      <c r="AM78" s="974"/>
      <c r="AN78" s="974"/>
      <c r="AO78" s="974"/>
      <c r="AP78" s="974"/>
      <c r="AQ78" s="974"/>
      <c r="AR78" s="974"/>
      <c r="AS78" s="974"/>
      <c r="AT78" s="974"/>
      <c r="AU78" s="974"/>
      <c r="AV78" s="974"/>
      <c r="AW78" s="974"/>
      <c r="AX78" s="974"/>
      <c r="AY78" s="974"/>
      <c r="AZ78" s="974"/>
      <c r="BA78" s="974"/>
      <c r="BB78" s="974"/>
      <c r="BC78" s="974"/>
      <c r="BD78" s="974"/>
      <c r="BE78" s="970"/>
    </row>
    <row r="79" spans="1:65" ht="15.75" customHeight="1">
      <c r="A79" s="974"/>
      <c r="B79" s="1002" t="s">
        <v>2545</v>
      </c>
      <c r="C79" s="1001"/>
      <c r="D79" s="1001"/>
      <c r="E79" s="1013"/>
      <c r="F79" s="2509"/>
      <c r="G79" s="2510"/>
      <c r="H79" s="2510"/>
      <c r="I79" s="2510"/>
      <c r="J79" s="2510"/>
      <c r="K79" s="2510"/>
      <c r="L79" s="2510"/>
      <c r="M79" s="2511"/>
      <c r="N79" s="2511"/>
      <c r="O79" s="2511"/>
      <c r="P79" s="2511"/>
      <c r="Q79" s="2512"/>
      <c r="R79" s="974"/>
      <c r="S79" s="974"/>
      <c r="T79" s="974"/>
      <c r="U79" s="974"/>
      <c r="V79" s="974"/>
      <c r="W79" s="974"/>
      <c r="X79" s="974"/>
      <c r="Y79" s="974"/>
      <c r="Z79" s="974"/>
      <c r="AA79" s="974"/>
      <c r="AB79" s="974"/>
      <c r="AC79" s="974"/>
      <c r="AD79" s="974"/>
      <c r="AE79" s="974"/>
      <c r="AF79" s="974"/>
      <c r="AG79" s="974"/>
      <c r="AH79" s="974"/>
      <c r="AI79" s="974"/>
      <c r="AJ79" s="974"/>
      <c r="AK79" s="974"/>
      <c r="AL79" s="974"/>
      <c r="AM79" s="974"/>
      <c r="AN79" s="974"/>
      <c r="AO79" s="974"/>
      <c r="AP79" s="974"/>
      <c r="AQ79" s="974"/>
      <c r="AR79" s="974"/>
      <c r="AS79" s="974"/>
      <c r="AT79" s="974"/>
      <c r="AU79" s="974"/>
      <c r="AV79" s="974"/>
      <c r="AW79" s="974"/>
      <c r="AX79" s="974"/>
      <c r="AY79" s="974"/>
      <c r="AZ79" s="974"/>
      <c r="BA79" s="974"/>
      <c r="BB79" s="974"/>
      <c r="BC79" s="974"/>
      <c r="BD79" s="974"/>
      <c r="BE79" s="970"/>
    </row>
    <row r="80" spans="1:65" ht="15.75" customHeight="1" thickBot="1">
      <c r="A80" s="974"/>
      <c r="B80" s="1006" t="s">
        <v>2546</v>
      </c>
      <c r="C80" s="1005"/>
      <c r="D80" s="1004"/>
      <c r="E80" s="1004"/>
      <c r="F80" s="1004"/>
      <c r="G80" s="1004"/>
      <c r="H80" s="1004"/>
      <c r="I80" s="1004"/>
      <c r="J80" s="1004"/>
      <c r="K80" s="1004"/>
      <c r="L80" s="1003"/>
      <c r="M80" s="1004"/>
      <c r="N80" s="1003"/>
      <c r="O80" s="2513" t="e">
        <f>BR96/SUM($BR$96:$BR$98)</f>
        <v>#DIV/0!</v>
      </c>
      <c r="P80" s="2514"/>
      <c r="Q80" s="2515"/>
      <c r="R80" s="974"/>
      <c r="S80" s="974"/>
      <c r="T80" s="974"/>
      <c r="U80" s="974"/>
      <c r="V80" s="974"/>
      <c r="W80" s="974"/>
      <c r="X80" s="974"/>
      <c r="Y80" s="974"/>
      <c r="Z80" s="974"/>
      <c r="AA80" s="974"/>
      <c r="AB80" s="974"/>
      <c r="AC80" s="974"/>
      <c r="AD80" s="974"/>
      <c r="AE80" s="974"/>
      <c r="AF80" s="974"/>
      <c r="AG80" s="974"/>
      <c r="AH80" s="974"/>
      <c r="AI80" s="974"/>
      <c r="AJ80" s="974"/>
      <c r="AK80" s="974"/>
      <c r="AL80" s="974"/>
      <c r="AM80" s="974"/>
      <c r="AN80" s="974"/>
      <c r="AO80" s="974"/>
      <c r="AP80" s="974"/>
      <c r="AQ80" s="974"/>
      <c r="AR80" s="974"/>
      <c r="AS80" s="974"/>
      <c r="AT80" s="974"/>
      <c r="AU80" s="974"/>
      <c r="AV80" s="974"/>
      <c r="AW80" s="974"/>
      <c r="AX80" s="974"/>
      <c r="AY80" s="974"/>
      <c r="AZ80" s="974"/>
      <c r="BA80" s="974"/>
      <c r="BB80" s="974"/>
      <c r="BC80" s="974"/>
      <c r="BD80" s="974"/>
      <c r="BE80" s="970"/>
    </row>
    <row r="81" spans="1:70" ht="15.75" customHeight="1" thickBot="1">
      <c r="A81" s="974"/>
      <c r="B81" s="1006" t="s">
        <v>2547</v>
      </c>
      <c r="C81" s="1009"/>
      <c r="D81" s="991"/>
      <c r="E81" s="991"/>
      <c r="F81" s="991"/>
      <c r="G81" s="991"/>
      <c r="H81" s="991"/>
      <c r="I81" s="991"/>
      <c r="J81" s="991"/>
      <c r="K81" s="991"/>
      <c r="L81" s="991"/>
      <c r="M81" s="991"/>
      <c r="N81" s="1011"/>
      <c r="O81" s="2527" t="s">
        <v>2335</v>
      </c>
      <c r="P81" s="2528"/>
      <c r="Q81" s="2529"/>
      <c r="R81" s="974"/>
      <c r="S81" s="974"/>
      <c r="T81" s="974"/>
      <c r="U81" s="974"/>
      <c r="V81" s="974"/>
      <c r="W81" s="974"/>
      <c r="X81" s="974"/>
      <c r="Y81" s="974"/>
      <c r="Z81" s="974"/>
      <c r="AA81" s="974"/>
      <c r="AB81" s="974"/>
      <c r="AC81" s="974"/>
      <c r="AD81" s="974"/>
      <c r="AE81" s="974"/>
      <c r="AF81" s="974"/>
      <c r="AG81" s="974"/>
      <c r="AH81" s="974"/>
      <c r="AI81" s="974"/>
      <c r="AJ81" s="974"/>
      <c r="AK81" s="974"/>
      <c r="AL81" s="974"/>
      <c r="AM81" s="974"/>
      <c r="AN81" s="974"/>
      <c r="AO81" s="974"/>
      <c r="AP81" s="974"/>
      <c r="AQ81" s="974"/>
      <c r="AR81" s="974"/>
      <c r="AS81" s="974"/>
      <c r="AT81" s="974"/>
      <c r="AU81" s="974"/>
      <c r="AV81" s="974"/>
      <c r="AW81" s="974"/>
      <c r="AX81" s="974"/>
      <c r="AY81" s="974"/>
      <c r="AZ81" s="974"/>
      <c r="BA81" s="974"/>
      <c r="BB81" s="974"/>
      <c r="BC81" s="974"/>
      <c r="BD81" s="974"/>
      <c r="BE81" s="970"/>
    </row>
    <row r="82" spans="1:70" ht="15.75" customHeight="1" thickBot="1">
      <c r="A82" s="974"/>
      <c r="B82" s="974"/>
      <c r="C82" s="974"/>
      <c r="D82" s="974"/>
      <c r="E82" s="974"/>
      <c r="F82" s="974"/>
      <c r="G82" s="974"/>
      <c r="H82" s="974"/>
      <c r="I82" s="974"/>
      <c r="J82" s="974"/>
      <c r="K82" s="974"/>
      <c r="L82" s="974"/>
      <c r="M82" s="974"/>
      <c r="N82" s="974"/>
      <c r="O82" s="974"/>
      <c r="P82" s="974"/>
      <c r="Q82" s="974"/>
      <c r="R82" s="974"/>
      <c r="S82" s="974"/>
      <c r="T82" s="974"/>
      <c r="U82" s="974"/>
      <c r="V82" s="974"/>
      <c r="W82" s="974"/>
      <c r="X82" s="974"/>
      <c r="Y82" s="974"/>
      <c r="Z82" s="974"/>
      <c r="AA82" s="974"/>
      <c r="AB82" s="974"/>
      <c r="AC82" s="974"/>
      <c r="AD82" s="974"/>
      <c r="AE82" s="974"/>
      <c r="AF82" s="974"/>
      <c r="AG82" s="974"/>
      <c r="AH82" s="974"/>
      <c r="AI82" s="974"/>
      <c r="AJ82" s="974"/>
      <c r="AK82" s="974"/>
      <c r="AL82" s="974"/>
      <c r="AM82" s="974"/>
      <c r="AN82" s="974"/>
      <c r="AO82" s="974"/>
      <c r="AP82" s="974"/>
      <c r="AQ82" s="974"/>
      <c r="AR82" s="974"/>
      <c r="AS82" s="974"/>
      <c r="AT82" s="974"/>
      <c r="AU82" s="974"/>
      <c r="AV82" s="974"/>
      <c r="AW82" s="974"/>
      <c r="AX82" s="974"/>
      <c r="AY82" s="974"/>
      <c r="AZ82" s="974"/>
      <c r="BA82" s="974"/>
      <c r="BB82" s="974"/>
      <c r="BC82" s="974"/>
      <c r="BD82" s="974"/>
      <c r="BE82" s="970"/>
    </row>
    <row r="83" spans="1:70" ht="15.75" customHeight="1">
      <c r="A83" s="974"/>
      <c r="B83" s="2134" t="s">
        <v>2548</v>
      </c>
      <c r="C83" s="2135"/>
      <c r="D83" s="2135"/>
      <c r="E83" s="2135"/>
      <c r="F83" s="2135"/>
      <c r="G83" s="2135"/>
      <c r="H83" s="2135"/>
      <c r="I83" s="2135"/>
      <c r="J83" s="2135"/>
      <c r="K83" s="2135"/>
      <c r="L83" s="2135"/>
      <c r="M83" s="2135"/>
      <c r="N83" s="2135"/>
      <c r="O83" s="2135"/>
      <c r="P83" s="2135"/>
      <c r="Q83" s="2135"/>
      <c r="R83" s="2135"/>
      <c r="S83" s="2135"/>
      <c r="T83" s="2135"/>
      <c r="U83" s="2135"/>
      <c r="V83" s="2135"/>
      <c r="W83" s="2135"/>
      <c r="X83" s="2135"/>
      <c r="Y83" s="2135"/>
      <c r="Z83" s="2135"/>
      <c r="AA83" s="2135"/>
      <c r="AB83" s="2135"/>
      <c r="AC83" s="2135"/>
      <c r="AD83" s="2135"/>
      <c r="AE83" s="2135"/>
      <c r="AF83" s="2135"/>
      <c r="AG83" s="2135"/>
      <c r="AH83" s="2136"/>
      <c r="AI83" s="974"/>
      <c r="AJ83" s="2170" t="s">
        <v>2549</v>
      </c>
      <c r="AK83" s="2171"/>
      <c r="AL83" s="2171"/>
      <c r="AM83" s="2171"/>
      <c r="AN83" s="2171"/>
      <c r="AO83" s="2171"/>
      <c r="AP83" s="2171"/>
      <c r="AQ83" s="2171"/>
      <c r="AR83" s="2171"/>
      <c r="AS83" s="2171"/>
      <c r="AT83" s="2171"/>
      <c r="AU83" s="2171"/>
      <c r="AV83" s="2171"/>
      <c r="AW83" s="2171"/>
      <c r="AX83" s="2171"/>
      <c r="AY83" s="2174" t="s">
        <v>837</v>
      </c>
      <c r="AZ83" s="2174"/>
      <c r="BA83" s="2174"/>
      <c r="BB83" s="2175"/>
      <c r="BC83" s="974"/>
      <c r="BD83" s="974"/>
      <c r="BE83" s="970"/>
    </row>
    <row r="84" spans="1:70" ht="15.75" customHeight="1">
      <c r="A84" s="974"/>
      <c r="B84" s="2129"/>
      <c r="C84" s="2130"/>
      <c r="D84" s="2130"/>
      <c r="E84" s="2130"/>
      <c r="F84" s="2130"/>
      <c r="G84" s="2130"/>
      <c r="H84" s="2130"/>
      <c r="I84" s="2130" t="s">
        <v>2550</v>
      </c>
      <c r="J84" s="2130"/>
      <c r="K84" s="2130"/>
      <c r="L84" s="2130"/>
      <c r="M84" s="2130"/>
      <c r="N84" s="2130"/>
      <c r="O84" s="2130" t="s">
        <v>2551</v>
      </c>
      <c r="P84" s="2130"/>
      <c r="Q84" s="2130"/>
      <c r="R84" s="2130"/>
      <c r="S84" s="2130"/>
      <c r="T84" s="2130"/>
      <c r="U84" s="2130"/>
      <c r="V84" s="2126" t="s">
        <v>2552</v>
      </c>
      <c r="W84" s="2126"/>
      <c r="X84" s="2126"/>
      <c r="Y84" s="2126"/>
      <c r="Z84" s="2126"/>
      <c r="AA84" s="2126"/>
      <c r="AB84" s="2127" t="s">
        <v>2553</v>
      </c>
      <c r="AC84" s="2127"/>
      <c r="AD84" s="2127"/>
      <c r="AE84" s="2127"/>
      <c r="AF84" s="2127"/>
      <c r="AG84" s="2127"/>
      <c r="AH84" s="2128"/>
      <c r="AI84" s="974"/>
      <c r="AJ84" s="2172"/>
      <c r="AK84" s="2173"/>
      <c r="AL84" s="2173"/>
      <c r="AM84" s="2173"/>
      <c r="AN84" s="2173"/>
      <c r="AO84" s="2173"/>
      <c r="AP84" s="2173"/>
      <c r="AQ84" s="2173"/>
      <c r="AR84" s="2173"/>
      <c r="AS84" s="2173"/>
      <c r="AT84" s="2173"/>
      <c r="AU84" s="2173"/>
      <c r="AV84" s="2173"/>
      <c r="AW84" s="2173"/>
      <c r="AX84" s="2173"/>
      <c r="AY84" s="2176"/>
      <c r="AZ84" s="2176"/>
      <c r="BA84" s="2176"/>
      <c r="BB84" s="2177"/>
      <c r="BC84" s="974"/>
      <c r="BD84" s="974"/>
      <c r="BE84" s="970"/>
    </row>
    <row r="85" spans="1:70" ht="15.75" customHeight="1">
      <c r="A85" s="974"/>
      <c r="B85" s="2129"/>
      <c r="C85" s="2130"/>
      <c r="D85" s="2130"/>
      <c r="E85" s="2130"/>
      <c r="F85" s="2130"/>
      <c r="G85" s="2130"/>
      <c r="H85" s="2130"/>
      <c r="I85" s="2130"/>
      <c r="J85" s="2130"/>
      <c r="K85" s="2130"/>
      <c r="L85" s="2130"/>
      <c r="M85" s="2130"/>
      <c r="N85" s="2130"/>
      <c r="O85" s="2130"/>
      <c r="P85" s="2130"/>
      <c r="Q85" s="2130"/>
      <c r="R85" s="2130"/>
      <c r="S85" s="2130"/>
      <c r="T85" s="2130"/>
      <c r="U85" s="2130"/>
      <c r="V85" s="2126"/>
      <c r="W85" s="2126"/>
      <c r="X85" s="2126"/>
      <c r="Y85" s="2126"/>
      <c r="Z85" s="2126"/>
      <c r="AA85" s="2126"/>
      <c r="AB85" s="2127"/>
      <c r="AC85" s="2127"/>
      <c r="AD85" s="2127"/>
      <c r="AE85" s="2127"/>
      <c r="AF85" s="2127"/>
      <c r="AG85" s="2127"/>
      <c r="AH85" s="2128"/>
      <c r="AI85" s="974"/>
      <c r="AJ85" s="2172"/>
      <c r="AK85" s="2173"/>
      <c r="AL85" s="2173"/>
      <c r="AM85" s="2173"/>
      <c r="AN85" s="2173"/>
      <c r="AO85" s="2173"/>
      <c r="AP85" s="2173"/>
      <c r="AQ85" s="2173"/>
      <c r="AR85" s="2173"/>
      <c r="AS85" s="2173"/>
      <c r="AT85" s="2173"/>
      <c r="AU85" s="2173"/>
      <c r="AV85" s="2173"/>
      <c r="AW85" s="2173"/>
      <c r="AX85" s="2173"/>
      <c r="AY85" s="2176"/>
      <c r="AZ85" s="2176"/>
      <c r="BA85" s="2176"/>
      <c r="BB85" s="2177"/>
      <c r="BC85" s="974"/>
      <c r="BD85" s="974"/>
      <c r="BE85" s="970"/>
    </row>
    <row r="86" spans="1:70" ht="15.75" customHeight="1">
      <c r="A86" s="974"/>
      <c r="B86" s="2129" t="s">
        <v>2554</v>
      </c>
      <c r="C86" s="2130"/>
      <c r="D86" s="2130"/>
      <c r="E86" s="2130"/>
      <c r="F86" s="2130"/>
      <c r="G86" s="2130"/>
      <c r="H86" s="2130"/>
      <c r="I86" s="2131">
        <v>0</v>
      </c>
      <c r="J86" s="2131"/>
      <c r="K86" s="2131"/>
      <c r="L86" s="2131"/>
      <c r="M86" s="2131"/>
      <c r="N86" s="2131"/>
      <c r="O86" s="2131">
        <v>0</v>
      </c>
      <c r="P86" s="2131"/>
      <c r="Q86" s="2131"/>
      <c r="R86" s="2131"/>
      <c r="S86" s="2131"/>
      <c r="T86" s="2131"/>
      <c r="U86" s="2131"/>
      <c r="V86" s="2131">
        <v>0</v>
      </c>
      <c r="W86" s="2131"/>
      <c r="X86" s="2131"/>
      <c r="Y86" s="2131"/>
      <c r="Z86" s="2131"/>
      <c r="AA86" s="2131"/>
      <c r="AB86" s="2131">
        <v>0</v>
      </c>
      <c r="AC86" s="2131"/>
      <c r="AD86" s="2131"/>
      <c r="AE86" s="2131"/>
      <c r="AF86" s="2131"/>
      <c r="AG86" s="2131"/>
      <c r="AH86" s="2137"/>
      <c r="AI86" s="974"/>
      <c r="AJ86" s="2172"/>
      <c r="AK86" s="2173"/>
      <c r="AL86" s="2173"/>
      <c r="AM86" s="2173"/>
      <c r="AN86" s="2173"/>
      <c r="AO86" s="2173"/>
      <c r="AP86" s="2173"/>
      <c r="AQ86" s="2173"/>
      <c r="AR86" s="2173"/>
      <c r="AS86" s="2173"/>
      <c r="AT86" s="2173"/>
      <c r="AU86" s="2173"/>
      <c r="AV86" s="2173"/>
      <c r="AW86" s="2173"/>
      <c r="AX86" s="2173"/>
      <c r="AY86" s="2176"/>
      <c r="AZ86" s="2176"/>
      <c r="BA86" s="2176"/>
      <c r="BB86" s="2177"/>
      <c r="BC86" s="974"/>
      <c r="BD86" s="974"/>
      <c r="BE86" s="970"/>
    </row>
    <row r="87" spans="1:70" ht="15.75" customHeight="1">
      <c r="A87" s="974"/>
      <c r="B87" s="2129" t="s">
        <v>2555</v>
      </c>
      <c r="C87" s="2130"/>
      <c r="D87" s="2130"/>
      <c r="E87" s="2130"/>
      <c r="F87" s="2130"/>
      <c r="G87" s="2130"/>
      <c r="H87" s="2130"/>
      <c r="I87" s="2131">
        <v>0</v>
      </c>
      <c r="J87" s="2131"/>
      <c r="K87" s="2131"/>
      <c r="L87" s="2131"/>
      <c r="M87" s="2131"/>
      <c r="N87" s="2131"/>
      <c r="O87" s="2131">
        <v>0</v>
      </c>
      <c r="P87" s="2131"/>
      <c r="Q87" s="2131"/>
      <c r="R87" s="2131"/>
      <c r="S87" s="2131"/>
      <c r="T87" s="2131"/>
      <c r="U87" s="2131"/>
      <c r="V87" s="2131">
        <v>0</v>
      </c>
      <c r="W87" s="2131"/>
      <c r="X87" s="2131"/>
      <c r="Y87" s="2131"/>
      <c r="Z87" s="2131"/>
      <c r="AA87" s="2131"/>
      <c r="AB87" s="2131">
        <v>0</v>
      </c>
      <c r="AC87" s="2131"/>
      <c r="AD87" s="2131"/>
      <c r="AE87" s="2131"/>
      <c r="AF87" s="2131"/>
      <c r="AG87" s="2131"/>
      <c r="AH87" s="2137"/>
      <c r="AI87" s="974"/>
      <c r="AJ87" s="2143" t="s">
        <v>2556</v>
      </c>
      <c r="AK87" s="2144"/>
      <c r="AL87" s="2144"/>
      <c r="AM87" s="2144"/>
      <c r="AN87" s="2144"/>
      <c r="AO87" s="2144"/>
      <c r="AP87" s="2144"/>
      <c r="AQ87" s="2144"/>
      <c r="AR87" s="2144"/>
      <c r="AS87" s="2144"/>
      <c r="AT87" s="2144"/>
      <c r="AU87" s="2144"/>
      <c r="AV87" s="2144"/>
      <c r="AW87" s="2144"/>
      <c r="AX87" s="2144"/>
      <c r="AY87" s="2144"/>
      <c r="AZ87" s="2144"/>
      <c r="BA87" s="2144"/>
      <c r="BB87" s="2145"/>
      <c r="BC87" s="974"/>
      <c r="BD87" s="974"/>
      <c r="BE87" s="970"/>
    </row>
    <row r="88" spans="1:70" ht="15.75" customHeight="1" thickBot="1">
      <c r="A88" s="974"/>
      <c r="B88" s="2149" t="s">
        <v>2557</v>
      </c>
      <c r="C88" s="2150"/>
      <c r="D88" s="2150"/>
      <c r="E88" s="2150"/>
      <c r="F88" s="2150"/>
      <c r="G88" s="2150"/>
      <c r="H88" s="2150"/>
      <c r="I88" s="2151">
        <v>0</v>
      </c>
      <c r="J88" s="2151"/>
      <c r="K88" s="2151"/>
      <c r="L88" s="2151"/>
      <c r="M88" s="2151"/>
      <c r="N88" s="2151"/>
      <c r="O88" s="2151">
        <v>0</v>
      </c>
      <c r="P88" s="2151"/>
      <c r="Q88" s="2151"/>
      <c r="R88" s="2151"/>
      <c r="S88" s="2151"/>
      <c r="T88" s="2151"/>
      <c r="U88" s="2151"/>
      <c r="V88" s="2151">
        <v>0</v>
      </c>
      <c r="W88" s="2151"/>
      <c r="X88" s="2151"/>
      <c r="Y88" s="2151"/>
      <c r="Z88" s="2151"/>
      <c r="AA88" s="2151"/>
      <c r="AB88" s="2151">
        <v>0</v>
      </c>
      <c r="AC88" s="2151"/>
      <c r="AD88" s="2151"/>
      <c r="AE88" s="2151"/>
      <c r="AF88" s="2151"/>
      <c r="AG88" s="2151"/>
      <c r="AH88" s="2152"/>
      <c r="AI88" s="974"/>
      <c r="AJ88" s="2146"/>
      <c r="AK88" s="2147"/>
      <c r="AL88" s="2147"/>
      <c r="AM88" s="2147"/>
      <c r="AN88" s="2147"/>
      <c r="AO88" s="2147"/>
      <c r="AP88" s="2147"/>
      <c r="AQ88" s="2147"/>
      <c r="AR88" s="2147"/>
      <c r="AS88" s="2147"/>
      <c r="AT88" s="2147"/>
      <c r="AU88" s="2147"/>
      <c r="AV88" s="2147"/>
      <c r="AW88" s="2147"/>
      <c r="AX88" s="2147"/>
      <c r="AY88" s="2147"/>
      <c r="AZ88" s="2147"/>
      <c r="BA88" s="2147"/>
      <c r="BB88" s="2148"/>
      <c r="BC88" s="974"/>
      <c r="BD88" s="974"/>
      <c r="BE88" s="970"/>
    </row>
    <row r="89" spans="1:70" ht="15.75" customHeight="1">
      <c r="A89" s="974"/>
      <c r="B89" s="974"/>
      <c r="C89" s="974"/>
      <c r="D89" s="974"/>
      <c r="E89" s="974"/>
      <c r="F89" s="974"/>
      <c r="G89" s="974"/>
      <c r="H89" s="974"/>
      <c r="I89" s="974"/>
      <c r="J89" s="974"/>
      <c r="K89" s="974"/>
      <c r="L89" s="974"/>
      <c r="M89" s="974"/>
      <c r="N89" s="974"/>
      <c r="O89" s="974"/>
      <c r="P89" s="974"/>
      <c r="Q89" s="974"/>
      <c r="R89" s="974"/>
      <c r="S89" s="974"/>
      <c r="T89" s="974"/>
      <c r="U89" s="974"/>
      <c r="V89" s="974"/>
      <c r="W89" s="974"/>
      <c r="X89" s="974"/>
      <c r="Y89" s="974"/>
      <c r="Z89" s="974"/>
      <c r="AA89" s="974"/>
      <c r="AB89" s="974"/>
      <c r="AC89" s="974"/>
      <c r="AD89" s="974"/>
      <c r="AE89" s="974"/>
      <c r="AF89" s="974"/>
      <c r="AG89" s="974"/>
      <c r="AH89" s="974"/>
      <c r="AI89" s="974"/>
      <c r="AJ89" s="974"/>
      <c r="AK89" s="974"/>
      <c r="AL89" s="974"/>
      <c r="AM89" s="974"/>
      <c r="AN89" s="974"/>
      <c r="AO89" s="974"/>
      <c r="AP89" s="974"/>
      <c r="AQ89" s="974"/>
      <c r="AR89" s="974"/>
      <c r="AS89" s="974"/>
      <c r="AT89" s="974"/>
      <c r="AU89" s="974"/>
      <c r="AV89" s="974"/>
      <c r="AW89" s="974"/>
      <c r="AX89" s="974"/>
      <c r="AY89" s="974"/>
      <c r="AZ89" s="974"/>
      <c r="BA89" s="974"/>
      <c r="BB89" s="974"/>
      <c r="BC89" s="974"/>
      <c r="BD89" s="974"/>
      <c r="BE89" s="970"/>
    </row>
    <row r="90" spans="1:70" ht="15.75" customHeight="1" thickBot="1">
      <c r="A90" s="974"/>
      <c r="B90" s="974"/>
      <c r="C90" s="974"/>
      <c r="D90" s="974"/>
      <c r="E90" s="974"/>
      <c r="F90" s="974"/>
      <c r="G90" s="974"/>
      <c r="H90" s="974"/>
      <c r="I90" s="974"/>
      <c r="J90" s="974"/>
      <c r="K90" s="974"/>
      <c r="L90" s="974"/>
      <c r="M90" s="974"/>
      <c r="N90" s="974"/>
      <c r="O90" s="974"/>
      <c r="P90" s="974"/>
      <c r="Q90" s="974"/>
      <c r="R90" s="974"/>
      <c r="S90" s="974"/>
      <c r="T90" s="974"/>
      <c r="U90" s="974"/>
      <c r="V90" s="974"/>
      <c r="W90" s="974"/>
      <c r="X90" s="974"/>
      <c r="Y90" s="974"/>
      <c r="Z90" s="974"/>
      <c r="AA90" s="974"/>
      <c r="AB90" s="974"/>
      <c r="AC90" s="974"/>
      <c r="AD90" s="974"/>
      <c r="AE90" s="974"/>
      <c r="AF90" s="974"/>
      <c r="AG90" s="974"/>
      <c r="AH90" s="974"/>
      <c r="AI90" s="974"/>
      <c r="AJ90" s="974"/>
      <c r="AK90" s="974"/>
      <c r="AL90" s="974"/>
      <c r="AM90" s="974"/>
      <c r="AN90" s="974"/>
      <c r="AO90" s="974"/>
      <c r="AP90" s="974"/>
      <c r="AQ90" s="974"/>
      <c r="AR90" s="974"/>
      <c r="AS90" s="974"/>
      <c r="AT90" s="974"/>
      <c r="AU90" s="974"/>
      <c r="AV90" s="974"/>
      <c r="AW90" s="974"/>
      <c r="AX90" s="974"/>
      <c r="AY90" s="974"/>
      <c r="AZ90" s="974"/>
      <c r="BA90" s="974"/>
      <c r="BB90" s="974"/>
      <c r="BC90" s="974"/>
      <c r="BD90" s="974"/>
      <c r="BE90" s="970"/>
    </row>
    <row r="91" spans="1:70" ht="15.75" customHeight="1" thickBot="1">
      <c r="A91" s="974"/>
      <c r="B91" s="1002" t="s">
        <v>2558</v>
      </c>
      <c r="C91" s="1012"/>
      <c r="D91" s="1008"/>
      <c r="E91" s="1008"/>
      <c r="F91" s="1008"/>
      <c r="G91" s="1008"/>
      <c r="H91" s="1008"/>
      <c r="I91" s="1008"/>
      <c r="J91" s="1008"/>
      <c r="K91" s="1008"/>
      <c r="L91" s="1008"/>
      <c r="M91" s="1008"/>
      <c r="N91" s="1008"/>
      <c r="O91" s="1008"/>
      <c r="P91" s="1008"/>
      <c r="Q91" s="1007"/>
      <c r="R91" s="974"/>
      <c r="S91" s="974"/>
      <c r="T91" s="974"/>
      <c r="U91" s="974"/>
      <c r="V91" s="974"/>
      <c r="W91" s="974"/>
      <c r="X91" s="974"/>
      <c r="Y91" s="974"/>
      <c r="Z91" s="974"/>
      <c r="AA91" s="974"/>
      <c r="AB91" s="974"/>
      <c r="AC91" s="974"/>
      <c r="AD91" s="974"/>
      <c r="AE91" s="974"/>
      <c r="AF91" s="974"/>
      <c r="AG91" s="974"/>
      <c r="AH91" s="974"/>
      <c r="AI91" s="974"/>
      <c r="AJ91" s="974"/>
      <c r="AK91" s="974"/>
      <c r="AL91" s="974"/>
      <c r="AM91" s="974"/>
      <c r="AN91" s="974"/>
      <c r="AO91" s="974"/>
      <c r="AP91" s="974"/>
      <c r="AQ91" s="974"/>
      <c r="AR91" s="974"/>
      <c r="AS91" s="974"/>
      <c r="AT91" s="974"/>
      <c r="AU91" s="974"/>
      <c r="AV91" s="974"/>
      <c r="AW91" s="974"/>
      <c r="AX91" s="974"/>
      <c r="AY91" s="974"/>
      <c r="AZ91" s="974"/>
      <c r="BA91" s="974"/>
      <c r="BB91" s="974"/>
      <c r="BC91" s="974"/>
      <c r="BD91" s="974"/>
      <c r="BE91" s="970"/>
    </row>
    <row r="92" spans="1:70" ht="15.75" customHeight="1">
      <c r="A92" s="974"/>
      <c r="B92" s="999" t="s">
        <v>2545</v>
      </c>
      <c r="C92" s="999"/>
      <c r="D92" s="998"/>
      <c r="E92" s="997"/>
      <c r="F92" s="2530"/>
      <c r="G92" s="2511"/>
      <c r="H92" s="2511"/>
      <c r="I92" s="2511"/>
      <c r="J92" s="2511"/>
      <c r="K92" s="2511"/>
      <c r="L92" s="2511"/>
      <c r="M92" s="2511"/>
      <c r="N92" s="2511"/>
      <c r="O92" s="2511"/>
      <c r="P92" s="2511"/>
      <c r="Q92" s="2512"/>
      <c r="R92" s="974"/>
      <c r="S92" s="974"/>
      <c r="T92" s="974"/>
      <c r="U92" s="974"/>
      <c r="V92" s="974"/>
      <c r="W92" s="974"/>
      <c r="X92" s="974"/>
      <c r="Y92" s="974"/>
      <c r="Z92" s="974"/>
      <c r="AA92" s="974"/>
      <c r="AB92" s="974"/>
      <c r="AC92" s="974"/>
      <c r="AD92" s="974"/>
      <c r="AE92" s="974"/>
      <c r="AF92" s="974"/>
      <c r="AG92" s="974"/>
      <c r="AH92" s="974"/>
      <c r="AI92" s="974"/>
      <c r="AJ92" s="974"/>
      <c r="AK92" s="974"/>
      <c r="AL92" s="974"/>
      <c r="AM92" s="974"/>
      <c r="AN92" s="974"/>
      <c r="AO92" s="974"/>
      <c r="AP92" s="974"/>
      <c r="AQ92" s="974"/>
      <c r="AR92" s="974"/>
      <c r="AS92" s="974"/>
      <c r="AT92" s="974"/>
      <c r="AU92" s="974"/>
      <c r="AV92" s="974"/>
      <c r="AW92" s="974"/>
      <c r="AX92" s="974"/>
      <c r="AY92" s="974"/>
      <c r="AZ92" s="974"/>
      <c r="BA92" s="974"/>
      <c r="BB92" s="974"/>
      <c r="BC92" s="974"/>
      <c r="BD92" s="974"/>
      <c r="BE92" s="970"/>
    </row>
    <row r="93" spans="1:70" ht="15.75" customHeight="1" thickBot="1">
      <c r="A93" s="974"/>
      <c r="B93" s="1006" t="s">
        <v>2546</v>
      </c>
      <c r="C93" s="1005"/>
      <c r="D93" s="1004"/>
      <c r="E93" s="1004"/>
      <c r="F93" s="1004"/>
      <c r="G93" s="1004"/>
      <c r="H93" s="1004"/>
      <c r="I93" s="1004"/>
      <c r="J93" s="1004"/>
      <c r="K93" s="1004"/>
      <c r="L93" s="1003"/>
      <c r="M93" s="1004"/>
      <c r="N93" s="1003"/>
      <c r="O93" s="2513" t="e">
        <f>BR97/SUM($BR$96:$BR$98)</f>
        <v>#DIV/0!</v>
      </c>
      <c r="P93" s="2514"/>
      <c r="Q93" s="2515"/>
      <c r="R93" s="974"/>
      <c r="S93" s="974"/>
      <c r="T93" s="974"/>
      <c r="U93" s="974"/>
      <c r="V93" s="974"/>
      <c r="W93" s="974"/>
      <c r="X93" s="974"/>
      <c r="Y93" s="974"/>
      <c r="Z93" s="974"/>
      <c r="AA93" s="974"/>
      <c r="AB93" s="974"/>
      <c r="AC93" s="974"/>
      <c r="AD93" s="974"/>
      <c r="AE93" s="974"/>
      <c r="AF93" s="974"/>
      <c r="AG93" s="974"/>
      <c r="AH93" s="974"/>
      <c r="AI93" s="974"/>
      <c r="AJ93" s="974"/>
      <c r="AK93" s="974"/>
      <c r="AL93" s="974"/>
      <c r="AM93" s="974"/>
      <c r="AN93" s="974"/>
      <c r="AO93" s="974"/>
      <c r="AP93" s="974"/>
      <c r="AQ93" s="974"/>
      <c r="AR93" s="974"/>
      <c r="AS93" s="974"/>
      <c r="AT93" s="974"/>
      <c r="AU93" s="974"/>
      <c r="AV93" s="974"/>
      <c r="AW93" s="974"/>
      <c r="AX93" s="974"/>
      <c r="AY93" s="974"/>
      <c r="AZ93" s="974"/>
      <c r="BA93" s="974"/>
      <c r="BB93" s="974"/>
      <c r="BC93" s="974"/>
      <c r="BD93" s="974"/>
      <c r="BE93" s="970"/>
    </row>
    <row r="94" spans="1:70" ht="15.75" customHeight="1" thickBot="1">
      <c r="A94" s="974"/>
      <c r="B94" s="1006" t="s">
        <v>2559</v>
      </c>
      <c r="C94" s="1009"/>
      <c r="D94" s="991"/>
      <c r="E94" s="991"/>
      <c r="F94" s="991"/>
      <c r="G94" s="991"/>
      <c r="H94" s="991"/>
      <c r="I94" s="991"/>
      <c r="J94" s="991"/>
      <c r="K94" s="991"/>
      <c r="L94" s="991"/>
      <c r="M94" s="991"/>
      <c r="N94" s="1011"/>
      <c r="O94" s="2527" t="s">
        <v>2335</v>
      </c>
      <c r="P94" s="2528"/>
      <c r="Q94" s="2529"/>
      <c r="R94" s="974"/>
      <c r="S94" s="974"/>
      <c r="T94" s="974"/>
      <c r="U94" s="974"/>
      <c r="V94" s="974"/>
      <c r="W94" s="974"/>
      <c r="X94" s="974"/>
      <c r="Y94" s="974"/>
      <c r="Z94" s="974"/>
      <c r="AA94" s="974"/>
      <c r="AB94" s="974"/>
      <c r="AC94" s="974"/>
      <c r="AD94" s="974"/>
      <c r="AE94" s="974"/>
      <c r="AF94" s="974"/>
      <c r="AG94" s="974"/>
      <c r="AH94" s="974"/>
      <c r="AI94" s="974"/>
      <c r="AJ94" s="974"/>
      <c r="AK94" s="974"/>
      <c r="AL94" s="974"/>
      <c r="AM94" s="974"/>
      <c r="AN94" s="974"/>
      <c r="AO94" s="974"/>
      <c r="AP94" s="974"/>
      <c r="AQ94" s="974"/>
      <c r="AR94" s="974"/>
      <c r="AS94" s="974"/>
      <c r="AT94" s="974"/>
      <c r="AU94" s="974"/>
      <c r="AV94" s="974"/>
      <c r="AW94" s="974"/>
      <c r="AX94" s="974"/>
      <c r="AY94" s="974"/>
      <c r="AZ94" s="974"/>
      <c r="BA94" s="974"/>
      <c r="BB94" s="974"/>
      <c r="BC94" s="974"/>
      <c r="BD94" s="974"/>
      <c r="BE94" s="970"/>
    </row>
    <row r="95" spans="1:70" ht="15.75" customHeight="1" thickBot="1">
      <c r="A95" s="974"/>
      <c r="B95" s="974"/>
      <c r="C95" s="974"/>
      <c r="D95" s="974"/>
      <c r="E95" s="974"/>
      <c r="F95" s="974"/>
      <c r="G95" s="974"/>
      <c r="H95" s="974"/>
      <c r="I95" s="974"/>
      <c r="J95" s="974"/>
      <c r="K95" s="974"/>
      <c r="L95" s="974"/>
      <c r="M95" s="974"/>
      <c r="N95" s="974"/>
      <c r="O95" s="974"/>
      <c r="P95" s="974"/>
      <c r="Q95" s="974"/>
      <c r="R95" s="974"/>
      <c r="S95" s="974"/>
      <c r="T95" s="974"/>
      <c r="U95" s="974"/>
      <c r="V95" s="974"/>
      <c r="W95" s="974"/>
      <c r="X95" s="974"/>
      <c r="Y95" s="974"/>
      <c r="Z95" s="974"/>
      <c r="AA95" s="974"/>
      <c r="AB95" s="974"/>
      <c r="AC95" s="974"/>
      <c r="AD95" s="974"/>
      <c r="AE95" s="974"/>
      <c r="AF95" s="974"/>
      <c r="AG95" s="974"/>
      <c r="AH95" s="974"/>
      <c r="AI95" s="974"/>
      <c r="AJ95" s="974"/>
      <c r="AK95" s="974"/>
      <c r="AL95" s="974"/>
      <c r="AM95" s="974"/>
      <c r="AN95" s="974"/>
      <c r="AO95" s="974"/>
      <c r="AP95" s="974"/>
      <c r="AQ95" s="974"/>
      <c r="AR95" s="974"/>
      <c r="AS95" s="974"/>
      <c r="AT95" s="974"/>
      <c r="AU95" s="974"/>
      <c r="AV95" s="974"/>
      <c r="AW95" s="974"/>
      <c r="AX95" s="974"/>
      <c r="AY95" s="974"/>
      <c r="AZ95" s="974"/>
      <c r="BA95" s="974"/>
      <c r="BB95" s="974"/>
      <c r="BC95" s="974"/>
      <c r="BD95" s="974"/>
      <c r="BE95" s="970"/>
    </row>
    <row r="96" spans="1:70" ht="15.75" customHeight="1">
      <c r="A96" s="974"/>
      <c r="B96" s="2134" t="s">
        <v>2560</v>
      </c>
      <c r="C96" s="2135"/>
      <c r="D96" s="2135"/>
      <c r="E96" s="2135"/>
      <c r="F96" s="2135"/>
      <c r="G96" s="2135"/>
      <c r="H96" s="2135"/>
      <c r="I96" s="2135"/>
      <c r="J96" s="2135"/>
      <c r="K96" s="2135"/>
      <c r="L96" s="2135"/>
      <c r="M96" s="2135"/>
      <c r="N96" s="2135"/>
      <c r="O96" s="2135"/>
      <c r="P96" s="2135"/>
      <c r="Q96" s="2135"/>
      <c r="R96" s="2135"/>
      <c r="S96" s="2135"/>
      <c r="T96" s="2135"/>
      <c r="U96" s="2135"/>
      <c r="V96" s="2135"/>
      <c r="W96" s="2135"/>
      <c r="X96" s="2135"/>
      <c r="Y96" s="2135"/>
      <c r="Z96" s="2135"/>
      <c r="AA96" s="2135"/>
      <c r="AB96" s="2135"/>
      <c r="AC96" s="2135"/>
      <c r="AD96" s="2135"/>
      <c r="AE96" s="2135"/>
      <c r="AF96" s="2135"/>
      <c r="AG96" s="2135"/>
      <c r="AH96" s="2136"/>
      <c r="AI96" s="974"/>
      <c r="AJ96" s="2170" t="s">
        <v>2561</v>
      </c>
      <c r="AK96" s="2171"/>
      <c r="AL96" s="2171"/>
      <c r="AM96" s="2171"/>
      <c r="AN96" s="2171"/>
      <c r="AO96" s="2171"/>
      <c r="AP96" s="2171"/>
      <c r="AQ96" s="2171"/>
      <c r="AR96" s="2171"/>
      <c r="AS96" s="2171"/>
      <c r="AT96" s="2171"/>
      <c r="AU96" s="2171"/>
      <c r="AV96" s="2171"/>
      <c r="AW96" s="2171"/>
      <c r="AX96" s="2171"/>
      <c r="AY96" s="2174" t="s">
        <v>837</v>
      </c>
      <c r="AZ96" s="2174"/>
      <c r="BA96" s="2174"/>
      <c r="BB96" s="2175"/>
      <c r="BC96" s="974"/>
      <c r="BD96" s="974"/>
      <c r="BE96" s="970"/>
      <c r="BQ96" s="1010" t="str">
        <f>Application!M243</f>
        <v>PSCDC Baler LLC</v>
      </c>
      <c r="BR96" s="1010">
        <f>Application!AH245</f>
        <v>0</v>
      </c>
    </row>
    <row r="97" spans="1:70" ht="15.75" customHeight="1">
      <c r="A97" s="974"/>
      <c r="B97" s="2129"/>
      <c r="C97" s="2130"/>
      <c r="D97" s="2130"/>
      <c r="E97" s="2130"/>
      <c r="F97" s="2130"/>
      <c r="G97" s="2130"/>
      <c r="H97" s="2130"/>
      <c r="I97" s="2130" t="s">
        <v>2550</v>
      </c>
      <c r="J97" s="2130"/>
      <c r="K97" s="2130"/>
      <c r="L97" s="2130"/>
      <c r="M97" s="2130"/>
      <c r="N97" s="2130"/>
      <c r="O97" s="2130" t="s">
        <v>2551</v>
      </c>
      <c r="P97" s="2130"/>
      <c r="Q97" s="2130"/>
      <c r="R97" s="2130"/>
      <c r="S97" s="2130"/>
      <c r="T97" s="2130"/>
      <c r="U97" s="2130"/>
      <c r="V97" s="2126" t="s">
        <v>2552</v>
      </c>
      <c r="W97" s="2126"/>
      <c r="X97" s="2126"/>
      <c r="Y97" s="2126"/>
      <c r="Z97" s="2126"/>
      <c r="AA97" s="2126"/>
      <c r="AB97" s="2127" t="s">
        <v>2553</v>
      </c>
      <c r="AC97" s="2127"/>
      <c r="AD97" s="2127"/>
      <c r="AE97" s="2127"/>
      <c r="AF97" s="2127"/>
      <c r="AG97" s="2127"/>
      <c r="AH97" s="2128"/>
      <c r="AI97" s="974"/>
      <c r="AJ97" s="2172"/>
      <c r="AK97" s="2173"/>
      <c r="AL97" s="2173"/>
      <c r="AM97" s="2173"/>
      <c r="AN97" s="2173"/>
      <c r="AO97" s="2173"/>
      <c r="AP97" s="2173"/>
      <c r="AQ97" s="2173"/>
      <c r="AR97" s="2173"/>
      <c r="AS97" s="2173"/>
      <c r="AT97" s="2173"/>
      <c r="AU97" s="2173"/>
      <c r="AV97" s="2173"/>
      <c r="AW97" s="2173"/>
      <c r="AX97" s="2173"/>
      <c r="AY97" s="2176"/>
      <c r="AZ97" s="2176"/>
      <c r="BA97" s="2176"/>
      <c r="BB97" s="2177"/>
      <c r="BC97" s="974"/>
      <c r="BD97" s="974"/>
      <c r="BE97" s="970"/>
      <c r="BQ97" s="1010" t="str">
        <f>Application!M251</f>
        <v>CRP Baler Place AGP LLC</v>
      </c>
      <c r="BR97" s="1010">
        <f>Application!AH253</f>
        <v>0</v>
      </c>
    </row>
    <row r="98" spans="1:70" ht="15.75" customHeight="1">
      <c r="A98" s="974"/>
      <c r="B98" s="2129"/>
      <c r="C98" s="2130"/>
      <c r="D98" s="2130"/>
      <c r="E98" s="2130"/>
      <c r="F98" s="2130"/>
      <c r="G98" s="2130"/>
      <c r="H98" s="2130"/>
      <c r="I98" s="2130"/>
      <c r="J98" s="2130"/>
      <c r="K98" s="2130"/>
      <c r="L98" s="2130"/>
      <c r="M98" s="2130"/>
      <c r="N98" s="2130"/>
      <c r="O98" s="2130"/>
      <c r="P98" s="2130"/>
      <c r="Q98" s="2130"/>
      <c r="R98" s="2130"/>
      <c r="S98" s="2130"/>
      <c r="T98" s="2130"/>
      <c r="U98" s="2130"/>
      <c r="V98" s="2126"/>
      <c r="W98" s="2126"/>
      <c r="X98" s="2126"/>
      <c r="Y98" s="2126"/>
      <c r="Z98" s="2126"/>
      <c r="AA98" s="2126"/>
      <c r="AB98" s="2127"/>
      <c r="AC98" s="2127"/>
      <c r="AD98" s="2127"/>
      <c r="AE98" s="2127"/>
      <c r="AF98" s="2127"/>
      <c r="AG98" s="2127"/>
      <c r="AH98" s="2128"/>
      <c r="AI98" s="974"/>
      <c r="AJ98" s="2172"/>
      <c r="AK98" s="2173"/>
      <c r="AL98" s="2173"/>
      <c r="AM98" s="2173"/>
      <c r="AN98" s="2173"/>
      <c r="AO98" s="2173"/>
      <c r="AP98" s="2173"/>
      <c r="AQ98" s="2173"/>
      <c r="AR98" s="2173"/>
      <c r="AS98" s="2173"/>
      <c r="AT98" s="2173"/>
      <c r="AU98" s="2173"/>
      <c r="AV98" s="2173"/>
      <c r="AW98" s="2173"/>
      <c r="AX98" s="2173"/>
      <c r="AY98" s="2176"/>
      <c r="AZ98" s="2176"/>
      <c r="BA98" s="2176"/>
      <c r="BB98" s="2177"/>
      <c r="BC98" s="974"/>
      <c r="BD98" s="974"/>
      <c r="BE98" s="970"/>
      <c r="BQ98" s="1010">
        <f>Application!M259</f>
        <v>0</v>
      </c>
      <c r="BR98" s="1010">
        <f>Application!AH261</f>
        <v>0</v>
      </c>
    </row>
    <row r="99" spans="1:70" ht="15.75" customHeight="1">
      <c r="A99" s="974"/>
      <c r="B99" s="2129" t="s">
        <v>2554</v>
      </c>
      <c r="C99" s="2130"/>
      <c r="D99" s="2130"/>
      <c r="E99" s="2130"/>
      <c r="F99" s="2130"/>
      <c r="G99" s="2130"/>
      <c r="H99" s="2130"/>
      <c r="I99" s="2131">
        <v>0</v>
      </c>
      <c r="J99" s="2131"/>
      <c r="K99" s="2131"/>
      <c r="L99" s="2131"/>
      <c r="M99" s="2131"/>
      <c r="N99" s="2131"/>
      <c r="O99" s="2131">
        <v>0</v>
      </c>
      <c r="P99" s="2131"/>
      <c r="Q99" s="2131"/>
      <c r="R99" s="2131"/>
      <c r="S99" s="2131"/>
      <c r="T99" s="2131"/>
      <c r="U99" s="2131"/>
      <c r="V99" s="2131">
        <v>0</v>
      </c>
      <c r="W99" s="2131"/>
      <c r="X99" s="2131"/>
      <c r="Y99" s="2131"/>
      <c r="Z99" s="2131"/>
      <c r="AA99" s="2131"/>
      <c r="AB99" s="2131">
        <v>0</v>
      </c>
      <c r="AC99" s="2131"/>
      <c r="AD99" s="2131"/>
      <c r="AE99" s="2131"/>
      <c r="AF99" s="2131"/>
      <c r="AG99" s="2131"/>
      <c r="AH99" s="2137"/>
      <c r="AI99" s="974"/>
      <c r="AJ99" s="2172"/>
      <c r="AK99" s="2173"/>
      <c r="AL99" s="2173"/>
      <c r="AM99" s="2173"/>
      <c r="AN99" s="2173"/>
      <c r="AO99" s="2173"/>
      <c r="AP99" s="2173"/>
      <c r="AQ99" s="2173"/>
      <c r="AR99" s="2173"/>
      <c r="AS99" s="2173"/>
      <c r="AT99" s="2173"/>
      <c r="AU99" s="2173"/>
      <c r="AV99" s="2173"/>
      <c r="AW99" s="2173"/>
      <c r="AX99" s="2173"/>
      <c r="AY99" s="2176"/>
      <c r="AZ99" s="2176"/>
      <c r="BA99" s="2176"/>
      <c r="BB99" s="2177"/>
      <c r="BC99" s="974"/>
      <c r="BD99" s="974"/>
      <c r="BE99" s="970"/>
    </row>
    <row r="100" spans="1:70" ht="15.75" customHeight="1">
      <c r="A100" s="974"/>
      <c r="B100" s="2129" t="s">
        <v>2555</v>
      </c>
      <c r="C100" s="2130"/>
      <c r="D100" s="2130"/>
      <c r="E100" s="2130"/>
      <c r="F100" s="2130"/>
      <c r="G100" s="2130"/>
      <c r="H100" s="2130"/>
      <c r="I100" s="2131">
        <v>0</v>
      </c>
      <c r="J100" s="2131"/>
      <c r="K100" s="2131"/>
      <c r="L100" s="2131"/>
      <c r="M100" s="2131"/>
      <c r="N100" s="2131"/>
      <c r="O100" s="2131">
        <v>0</v>
      </c>
      <c r="P100" s="2131"/>
      <c r="Q100" s="2131"/>
      <c r="R100" s="2131"/>
      <c r="S100" s="2131"/>
      <c r="T100" s="2131"/>
      <c r="U100" s="2131"/>
      <c r="V100" s="2131">
        <v>0</v>
      </c>
      <c r="W100" s="2131"/>
      <c r="X100" s="2131"/>
      <c r="Y100" s="2131"/>
      <c r="Z100" s="2131"/>
      <c r="AA100" s="2131"/>
      <c r="AB100" s="2131">
        <v>0</v>
      </c>
      <c r="AC100" s="2131"/>
      <c r="AD100" s="2131"/>
      <c r="AE100" s="2131"/>
      <c r="AF100" s="2131"/>
      <c r="AG100" s="2131"/>
      <c r="AH100" s="2137"/>
      <c r="AI100" s="974"/>
      <c r="AJ100" s="2143" t="s">
        <v>2556</v>
      </c>
      <c r="AK100" s="2144"/>
      <c r="AL100" s="2144"/>
      <c r="AM100" s="2144"/>
      <c r="AN100" s="2144"/>
      <c r="AO100" s="2144"/>
      <c r="AP100" s="2144"/>
      <c r="AQ100" s="2144"/>
      <c r="AR100" s="2144"/>
      <c r="AS100" s="2144"/>
      <c r="AT100" s="2144"/>
      <c r="AU100" s="2144"/>
      <c r="AV100" s="2144"/>
      <c r="AW100" s="2144"/>
      <c r="AX100" s="2144"/>
      <c r="AY100" s="2144"/>
      <c r="AZ100" s="2144"/>
      <c r="BA100" s="2144"/>
      <c r="BB100" s="2145"/>
      <c r="BC100" s="974"/>
      <c r="BD100" s="974"/>
      <c r="BE100" s="970"/>
    </row>
    <row r="101" spans="1:70" ht="15.75" customHeight="1" thickBot="1">
      <c r="A101" s="974"/>
      <c r="B101" s="2149" t="s">
        <v>2557</v>
      </c>
      <c r="C101" s="2150"/>
      <c r="D101" s="2150"/>
      <c r="E101" s="2150"/>
      <c r="F101" s="2150"/>
      <c r="G101" s="2150"/>
      <c r="H101" s="2150"/>
      <c r="I101" s="2151">
        <v>0</v>
      </c>
      <c r="J101" s="2151"/>
      <c r="K101" s="2151"/>
      <c r="L101" s="2151"/>
      <c r="M101" s="2151"/>
      <c r="N101" s="2151"/>
      <c r="O101" s="2151">
        <v>0</v>
      </c>
      <c r="P101" s="2151"/>
      <c r="Q101" s="2151"/>
      <c r="R101" s="2151"/>
      <c r="S101" s="2151"/>
      <c r="T101" s="2151"/>
      <c r="U101" s="2151"/>
      <c r="V101" s="2151">
        <v>0</v>
      </c>
      <c r="W101" s="2151"/>
      <c r="X101" s="2151"/>
      <c r="Y101" s="2151"/>
      <c r="Z101" s="2151"/>
      <c r="AA101" s="2151"/>
      <c r="AB101" s="2151">
        <v>0</v>
      </c>
      <c r="AC101" s="2151"/>
      <c r="AD101" s="2151"/>
      <c r="AE101" s="2151"/>
      <c r="AF101" s="2151"/>
      <c r="AG101" s="2151"/>
      <c r="AH101" s="2152"/>
      <c r="AI101" s="974"/>
      <c r="AJ101" s="2146"/>
      <c r="AK101" s="2147"/>
      <c r="AL101" s="2147"/>
      <c r="AM101" s="2147"/>
      <c r="AN101" s="2147"/>
      <c r="AO101" s="2147"/>
      <c r="AP101" s="2147"/>
      <c r="AQ101" s="2147"/>
      <c r="AR101" s="2147"/>
      <c r="AS101" s="2147"/>
      <c r="AT101" s="2147"/>
      <c r="AU101" s="2147"/>
      <c r="AV101" s="2147"/>
      <c r="AW101" s="2147"/>
      <c r="AX101" s="2147"/>
      <c r="AY101" s="2147"/>
      <c r="AZ101" s="2147"/>
      <c r="BA101" s="2147"/>
      <c r="BB101" s="2148"/>
      <c r="BC101" s="974"/>
      <c r="BD101" s="974"/>
      <c r="BE101" s="970"/>
    </row>
    <row r="102" spans="1:70" ht="15.75" customHeight="1" thickBot="1">
      <c r="A102" s="974"/>
      <c r="B102" s="974"/>
      <c r="C102" s="974"/>
      <c r="D102" s="974"/>
      <c r="E102" s="974"/>
      <c r="F102" s="974"/>
      <c r="G102" s="974"/>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c r="AL102" s="974"/>
      <c r="AM102" s="974"/>
      <c r="AN102" s="974"/>
      <c r="AO102" s="974"/>
      <c r="AP102" s="974"/>
      <c r="AQ102" s="974"/>
      <c r="AR102" s="974"/>
      <c r="AS102" s="974"/>
      <c r="AT102" s="974"/>
      <c r="AU102" s="974"/>
      <c r="AV102" s="974"/>
      <c r="AW102" s="974"/>
      <c r="AX102" s="974"/>
      <c r="AY102" s="974"/>
      <c r="AZ102" s="974"/>
      <c r="BA102" s="974"/>
      <c r="BB102" s="974"/>
      <c r="BC102" s="974"/>
      <c r="BD102" s="974"/>
      <c r="BE102" s="970"/>
    </row>
    <row r="103" spans="1:70" ht="15.75" customHeight="1" thickBot="1">
      <c r="A103" s="974"/>
      <c r="B103" s="993" t="s">
        <v>2562</v>
      </c>
      <c r="C103" s="1009"/>
      <c r="D103" s="991"/>
      <c r="E103" s="991"/>
      <c r="F103" s="1008"/>
      <c r="G103" s="1008"/>
      <c r="H103" s="1008"/>
      <c r="I103" s="1008"/>
      <c r="J103" s="1008"/>
      <c r="K103" s="1008"/>
      <c r="L103" s="1008"/>
      <c r="M103" s="1008"/>
      <c r="N103" s="1008"/>
      <c r="O103" s="1007"/>
      <c r="P103" s="1008"/>
      <c r="Q103" s="1008"/>
      <c r="R103" s="1007"/>
      <c r="S103" s="974" t="s">
        <v>253</v>
      </c>
      <c r="T103" s="974"/>
      <c r="U103" s="974"/>
      <c r="V103" s="974"/>
      <c r="W103" s="974"/>
      <c r="X103" s="974"/>
      <c r="Y103" s="974"/>
      <c r="Z103" s="974"/>
      <c r="AA103" s="974"/>
      <c r="AB103" s="974"/>
      <c r="AC103" s="974"/>
      <c r="AD103" s="974"/>
      <c r="AE103" s="974"/>
      <c r="AF103" s="974"/>
      <c r="AG103" s="974"/>
      <c r="AH103" s="974"/>
      <c r="AI103" s="974"/>
      <c r="AJ103" s="974"/>
      <c r="AK103" s="974"/>
      <c r="AL103" s="974"/>
      <c r="AM103" s="974"/>
      <c r="AN103" s="974"/>
      <c r="AO103" s="974"/>
      <c r="AP103" s="974"/>
      <c r="AQ103" s="974"/>
      <c r="AR103" s="974"/>
      <c r="AS103" s="974"/>
      <c r="AT103" s="974"/>
      <c r="AU103" s="974"/>
      <c r="AV103" s="974"/>
      <c r="AW103" s="974"/>
      <c r="AX103" s="974"/>
      <c r="AY103" s="974"/>
      <c r="AZ103" s="974"/>
      <c r="BA103" s="974"/>
      <c r="BB103" s="974"/>
      <c r="BC103" s="974"/>
      <c r="BD103" s="974"/>
      <c r="BE103" s="970"/>
    </row>
    <row r="104" spans="1:70" ht="15.75" customHeight="1">
      <c r="A104" s="974"/>
      <c r="B104" s="999" t="s">
        <v>2545</v>
      </c>
      <c r="C104" s="999"/>
      <c r="D104" s="998"/>
      <c r="E104" s="997"/>
      <c r="F104" s="2468"/>
      <c r="G104" s="2469"/>
      <c r="H104" s="2469"/>
      <c r="I104" s="2469"/>
      <c r="J104" s="2469"/>
      <c r="K104" s="2469"/>
      <c r="L104" s="2469"/>
      <c r="M104" s="2469"/>
      <c r="N104" s="2469"/>
      <c r="O104" s="2469"/>
      <c r="P104" s="2469"/>
      <c r="Q104" s="2469"/>
      <c r="R104" s="2470"/>
      <c r="S104" s="974"/>
      <c r="T104" s="974"/>
      <c r="U104" s="974"/>
      <c r="V104" s="974"/>
      <c r="W104" s="974"/>
      <c r="X104" s="974"/>
      <c r="Y104" s="974"/>
      <c r="Z104" s="974"/>
      <c r="AA104" s="974"/>
      <c r="AB104" s="974"/>
      <c r="AC104" s="974"/>
      <c r="AD104" s="974"/>
      <c r="AE104" s="974"/>
      <c r="AF104" s="974"/>
      <c r="AG104" s="974"/>
      <c r="AH104" s="974"/>
      <c r="AI104" s="974"/>
      <c r="AJ104" s="974"/>
      <c r="AK104" s="974"/>
      <c r="AL104" s="974"/>
      <c r="AM104" s="974"/>
      <c r="AN104" s="974"/>
      <c r="AO104" s="974"/>
      <c r="AP104" s="974"/>
      <c r="AQ104" s="974"/>
      <c r="AR104" s="974"/>
      <c r="AS104" s="974"/>
      <c r="AT104" s="974"/>
      <c r="AU104" s="974"/>
      <c r="AV104" s="974"/>
      <c r="AW104" s="974"/>
      <c r="AX104" s="974"/>
      <c r="AY104" s="974"/>
      <c r="AZ104" s="974"/>
      <c r="BA104" s="974"/>
      <c r="BB104" s="974"/>
      <c r="BC104" s="974"/>
      <c r="BD104" s="974"/>
      <c r="BE104" s="970"/>
    </row>
    <row r="105" spans="1:70" ht="15.75" customHeight="1" thickBot="1">
      <c r="A105" s="974"/>
      <c r="B105" s="1006" t="s">
        <v>2546</v>
      </c>
      <c r="C105" s="1005"/>
      <c r="D105" s="1004"/>
      <c r="E105" s="1004"/>
      <c r="F105" s="1004"/>
      <c r="G105" s="1004"/>
      <c r="H105" s="1004"/>
      <c r="I105" s="1004"/>
      <c r="J105" s="1004"/>
      <c r="K105" s="1004"/>
      <c r="L105" s="1003"/>
      <c r="M105" s="1004"/>
      <c r="N105" s="1003"/>
      <c r="O105" s="2527" t="e">
        <f>BR98/SUM(BR96:BR98)</f>
        <v>#DIV/0!</v>
      </c>
      <c r="P105" s="2528"/>
      <c r="Q105" s="2528"/>
      <c r="R105" s="2529"/>
      <c r="S105" s="974"/>
      <c r="T105" s="974"/>
      <c r="U105" s="974"/>
      <c r="V105" s="974"/>
      <c r="W105" s="974"/>
      <c r="X105" s="974"/>
      <c r="Y105" s="974"/>
      <c r="Z105" s="974"/>
      <c r="AA105" s="974"/>
      <c r="AB105" s="974"/>
      <c r="AC105" s="974"/>
      <c r="AD105" s="974"/>
      <c r="AE105" s="974"/>
      <c r="AF105" s="974"/>
      <c r="AG105" s="974"/>
      <c r="AH105" s="974"/>
      <c r="AI105" s="974"/>
      <c r="AJ105" s="974"/>
      <c r="AK105" s="974"/>
      <c r="AL105" s="974"/>
      <c r="AM105" s="974"/>
      <c r="AN105" s="974"/>
      <c r="AO105" s="974"/>
      <c r="AP105" s="974"/>
      <c r="AQ105" s="974"/>
      <c r="AR105" s="974"/>
      <c r="AS105" s="974"/>
      <c r="AT105" s="974"/>
      <c r="AU105" s="974"/>
      <c r="AV105" s="974"/>
      <c r="AW105" s="974"/>
      <c r="AX105" s="974"/>
      <c r="AY105" s="974"/>
      <c r="AZ105" s="974"/>
      <c r="BA105" s="974"/>
      <c r="BB105" s="974"/>
      <c r="BC105" s="974"/>
      <c r="BD105" s="974"/>
      <c r="BE105" s="970"/>
    </row>
    <row r="106" spans="1:70" ht="15.75" customHeight="1" thickBot="1">
      <c r="A106" s="974"/>
      <c r="B106" s="974"/>
      <c r="C106" s="974"/>
      <c r="D106" s="974"/>
      <c r="E106" s="974"/>
      <c r="F106" s="974"/>
      <c r="G106" s="974"/>
      <c r="H106" s="974"/>
      <c r="I106" s="974"/>
      <c r="J106" s="974"/>
      <c r="K106" s="974"/>
      <c r="L106" s="974"/>
      <c r="M106" s="974"/>
      <c r="N106" s="974"/>
      <c r="O106" s="974"/>
      <c r="P106" s="996"/>
      <c r="Q106" s="974"/>
      <c r="R106" s="974"/>
      <c r="S106" s="974"/>
      <c r="T106" s="974"/>
      <c r="U106" s="974"/>
      <c r="V106" s="974"/>
      <c r="W106" s="974"/>
      <c r="X106" s="974"/>
      <c r="Y106" s="974"/>
      <c r="Z106" s="974"/>
      <c r="AA106" s="974"/>
      <c r="AB106" s="974"/>
      <c r="AC106" s="974"/>
      <c r="AD106" s="974"/>
      <c r="AE106" s="974"/>
      <c r="AF106" s="974"/>
      <c r="AG106" s="974"/>
      <c r="AH106" s="974"/>
      <c r="AI106" s="974"/>
      <c r="AJ106" s="974"/>
      <c r="AK106" s="974"/>
      <c r="AL106" s="974"/>
      <c r="AM106" s="974"/>
      <c r="AN106" s="974"/>
      <c r="AO106" s="974"/>
      <c r="AP106" s="974"/>
      <c r="AQ106" s="974"/>
      <c r="AR106" s="974"/>
      <c r="AS106" s="974"/>
      <c r="AT106" s="974"/>
      <c r="AU106" s="974"/>
      <c r="AV106" s="974"/>
      <c r="AW106" s="974"/>
      <c r="AX106" s="974"/>
      <c r="AY106" s="974"/>
      <c r="AZ106" s="974"/>
      <c r="BA106" s="974"/>
      <c r="BB106" s="974"/>
      <c r="BC106" s="974"/>
      <c r="BD106" s="974"/>
      <c r="BE106" s="970"/>
    </row>
    <row r="107" spans="1:70" ht="15.75" customHeight="1">
      <c r="A107" s="974"/>
      <c r="B107" s="2389" t="s">
        <v>2563</v>
      </c>
      <c r="C107" s="2390"/>
      <c r="D107" s="2390"/>
      <c r="E107" s="2390"/>
      <c r="F107" s="2390"/>
      <c r="G107" s="2390"/>
      <c r="H107" s="2390"/>
      <c r="I107" s="2390"/>
      <c r="J107" s="2390"/>
      <c r="K107" s="2390"/>
      <c r="L107" s="2390"/>
      <c r="M107" s="2390"/>
      <c r="N107" s="2390"/>
      <c r="O107" s="2390"/>
      <c r="P107" s="2390"/>
      <c r="Q107" s="2390"/>
      <c r="R107" s="2390"/>
      <c r="S107" s="2390"/>
      <c r="T107" s="2390"/>
      <c r="U107" s="2390"/>
      <c r="V107" s="2390"/>
      <c r="W107" s="2390"/>
      <c r="X107" s="2390"/>
      <c r="Y107" s="2390"/>
      <c r="Z107" s="2390"/>
      <c r="AA107" s="2390"/>
      <c r="AB107" s="2390"/>
      <c r="AC107" s="2390"/>
      <c r="AD107" s="2390"/>
      <c r="AE107" s="2390"/>
      <c r="AF107" s="2390"/>
      <c r="AG107" s="2390"/>
      <c r="AH107" s="2391"/>
      <c r="AI107" s="974"/>
      <c r="AJ107" s="974"/>
      <c r="AK107" s="974"/>
      <c r="AL107" s="974"/>
      <c r="AM107" s="974"/>
      <c r="AN107" s="974"/>
      <c r="AO107" s="974"/>
      <c r="AP107" s="974"/>
      <c r="AQ107" s="974"/>
      <c r="AR107" s="974"/>
      <c r="AS107" s="974"/>
      <c r="AT107" s="974"/>
      <c r="AU107" s="974"/>
      <c r="AV107" s="974"/>
      <c r="AW107" s="974"/>
      <c r="AX107" s="974"/>
      <c r="AY107" s="974"/>
      <c r="AZ107" s="974"/>
      <c r="BA107" s="974"/>
      <c r="BB107" s="974"/>
      <c r="BC107" s="974"/>
      <c r="BD107" s="974"/>
      <c r="BE107" s="970"/>
    </row>
    <row r="108" spans="1:70" ht="16.5" customHeight="1">
      <c r="A108" s="974"/>
      <c r="B108" s="2129"/>
      <c r="C108" s="2130"/>
      <c r="D108" s="2130"/>
      <c r="E108" s="2130"/>
      <c r="F108" s="2130"/>
      <c r="G108" s="2130"/>
      <c r="H108" s="2130"/>
      <c r="I108" s="2130" t="s">
        <v>2550</v>
      </c>
      <c r="J108" s="2130"/>
      <c r="K108" s="2130"/>
      <c r="L108" s="2130"/>
      <c r="M108" s="2130"/>
      <c r="N108" s="2130"/>
      <c r="O108" s="2130" t="s">
        <v>2551</v>
      </c>
      <c r="P108" s="2130"/>
      <c r="Q108" s="2130"/>
      <c r="R108" s="2130"/>
      <c r="S108" s="2130"/>
      <c r="T108" s="2130"/>
      <c r="U108" s="2130"/>
      <c r="V108" s="2126" t="s">
        <v>2552</v>
      </c>
      <c r="W108" s="2126"/>
      <c r="X108" s="2126"/>
      <c r="Y108" s="2126"/>
      <c r="Z108" s="2126"/>
      <c r="AA108" s="2126"/>
      <c r="AB108" s="2127" t="s">
        <v>2553</v>
      </c>
      <c r="AC108" s="2127"/>
      <c r="AD108" s="2127"/>
      <c r="AE108" s="2127"/>
      <c r="AF108" s="2127"/>
      <c r="AG108" s="2127"/>
      <c r="AH108" s="2128"/>
      <c r="AI108" s="974"/>
      <c r="AJ108" s="974"/>
      <c r="AK108" s="974"/>
      <c r="AL108" s="974"/>
      <c r="AM108" s="974"/>
      <c r="AN108" s="974"/>
      <c r="AO108" s="974"/>
      <c r="AP108" s="974"/>
      <c r="AQ108" s="974"/>
      <c r="AR108" s="974"/>
      <c r="AS108" s="974"/>
      <c r="AT108" s="974"/>
      <c r="AU108" s="974"/>
      <c r="AV108" s="974"/>
      <c r="AW108" s="974"/>
      <c r="AX108" s="974"/>
      <c r="AY108" s="974"/>
      <c r="AZ108" s="974"/>
      <c r="BA108" s="974"/>
      <c r="BB108" s="974"/>
      <c r="BC108" s="974"/>
      <c r="BD108" s="974"/>
      <c r="BE108" s="970"/>
    </row>
    <row r="109" spans="1:70" ht="16.5" customHeight="1">
      <c r="A109" s="974"/>
      <c r="B109" s="2129"/>
      <c r="C109" s="2130"/>
      <c r="D109" s="2130"/>
      <c r="E109" s="2130"/>
      <c r="F109" s="2130"/>
      <c r="G109" s="2130"/>
      <c r="H109" s="2130"/>
      <c r="I109" s="2130"/>
      <c r="J109" s="2130"/>
      <c r="K109" s="2130"/>
      <c r="L109" s="2130"/>
      <c r="M109" s="2130"/>
      <c r="N109" s="2130"/>
      <c r="O109" s="2130"/>
      <c r="P109" s="2130"/>
      <c r="Q109" s="2130"/>
      <c r="R109" s="2130"/>
      <c r="S109" s="2130"/>
      <c r="T109" s="2130"/>
      <c r="U109" s="2130"/>
      <c r="V109" s="2126"/>
      <c r="W109" s="2126"/>
      <c r="X109" s="2126"/>
      <c r="Y109" s="2126"/>
      <c r="Z109" s="2126"/>
      <c r="AA109" s="2126"/>
      <c r="AB109" s="2127"/>
      <c r="AC109" s="2127"/>
      <c r="AD109" s="2127"/>
      <c r="AE109" s="2127"/>
      <c r="AF109" s="2127"/>
      <c r="AG109" s="2127"/>
      <c r="AH109" s="2128"/>
      <c r="AI109" s="974"/>
      <c r="AJ109" s="974"/>
      <c r="AK109" s="974"/>
      <c r="AL109" s="974"/>
      <c r="AM109" s="974"/>
      <c r="AN109" s="974"/>
      <c r="AO109" s="974"/>
      <c r="AP109" s="974"/>
      <c r="AQ109" s="974"/>
      <c r="AR109" s="974"/>
      <c r="AS109" s="974"/>
      <c r="AT109" s="974"/>
      <c r="AU109" s="974"/>
      <c r="AV109" s="974"/>
      <c r="AW109" s="974"/>
      <c r="AX109" s="974"/>
      <c r="AY109" s="974"/>
      <c r="AZ109" s="974"/>
      <c r="BA109" s="974"/>
      <c r="BB109" s="974"/>
      <c r="BC109" s="974"/>
      <c r="BD109" s="974"/>
      <c r="BE109" s="970"/>
    </row>
    <row r="110" spans="1:70" ht="15.75" customHeight="1">
      <c r="A110" s="974"/>
      <c r="B110" s="2129" t="s">
        <v>2554</v>
      </c>
      <c r="C110" s="2130"/>
      <c r="D110" s="2130"/>
      <c r="E110" s="2130"/>
      <c r="F110" s="2130"/>
      <c r="G110" s="2130"/>
      <c r="H110" s="2130"/>
      <c r="I110" s="2131">
        <v>0</v>
      </c>
      <c r="J110" s="2131"/>
      <c r="K110" s="2131"/>
      <c r="L110" s="2131"/>
      <c r="M110" s="2131"/>
      <c r="N110" s="2131"/>
      <c r="O110" s="2131">
        <v>0</v>
      </c>
      <c r="P110" s="2131"/>
      <c r="Q110" s="2131"/>
      <c r="R110" s="2131"/>
      <c r="S110" s="2131"/>
      <c r="T110" s="2131"/>
      <c r="U110" s="2131"/>
      <c r="V110" s="2131">
        <v>0</v>
      </c>
      <c r="W110" s="2131"/>
      <c r="X110" s="2131"/>
      <c r="Y110" s="2131"/>
      <c r="Z110" s="2131"/>
      <c r="AA110" s="2131"/>
      <c r="AB110" s="2131">
        <v>0</v>
      </c>
      <c r="AC110" s="2131"/>
      <c r="AD110" s="2131"/>
      <c r="AE110" s="2131"/>
      <c r="AF110" s="2131"/>
      <c r="AG110" s="2131"/>
      <c r="AH110" s="2137"/>
      <c r="AI110" s="974"/>
      <c r="AJ110" s="974"/>
      <c r="AK110" s="974"/>
      <c r="AL110" s="974"/>
      <c r="AM110" s="974"/>
      <c r="AN110" s="974"/>
      <c r="AO110" s="974"/>
      <c r="AP110" s="974"/>
      <c r="AQ110" s="974"/>
      <c r="AR110" s="974"/>
      <c r="AS110" s="974"/>
      <c r="AT110" s="974"/>
      <c r="AU110" s="974"/>
      <c r="AV110" s="974"/>
      <c r="AW110" s="974"/>
      <c r="AX110" s="974"/>
      <c r="AY110" s="974"/>
      <c r="AZ110" s="974"/>
      <c r="BA110" s="974"/>
      <c r="BB110" s="974"/>
      <c r="BC110" s="974"/>
      <c r="BD110" s="974"/>
      <c r="BE110" s="970"/>
    </row>
    <row r="111" spans="1:70" ht="15.75" customHeight="1">
      <c r="A111" s="974"/>
      <c r="B111" s="2129" t="s">
        <v>2555</v>
      </c>
      <c r="C111" s="2130"/>
      <c r="D111" s="2130"/>
      <c r="E111" s="2130"/>
      <c r="F111" s="2130"/>
      <c r="G111" s="2130"/>
      <c r="H111" s="2130"/>
      <c r="I111" s="2131">
        <v>0</v>
      </c>
      <c r="J111" s="2131"/>
      <c r="K111" s="2131"/>
      <c r="L111" s="2131"/>
      <c r="M111" s="2131"/>
      <c r="N111" s="2131"/>
      <c r="O111" s="2131">
        <v>0</v>
      </c>
      <c r="P111" s="2131"/>
      <c r="Q111" s="2131"/>
      <c r="R111" s="2131"/>
      <c r="S111" s="2131"/>
      <c r="T111" s="2131"/>
      <c r="U111" s="2131"/>
      <c r="V111" s="2131">
        <v>0</v>
      </c>
      <c r="W111" s="2131"/>
      <c r="X111" s="2131"/>
      <c r="Y111" s="2131"/>
      <c r="Z111" s="2131"/>
      <c r="AA111" s="2131"/>
      <c r="AB111" s="2131">
        <v>0</v>
      </c>
      <c r="AC111" s="2131"/>
      <c r="AD111" s="2131"/>
      <c r="AE111" s="2131"/>
      <c r="AF111" s="2131"/>
      <c r="AG111" s="2131"/>
      <c r="AH111" s="2137"/>
      <c r="AI111" s="974"/>
      <c r="AJ111" s="974"/>
      <c r="AK111" s="974"/>
      <c r="AL111" s="974"/>
      <c r="AM111" s="974"/>
      <c r="AN111" s="974"/>
      <c r="AO111" s="974"/>
      <c r="AP111" s="974"/>
      <c r="AQ111" s="974"/>
      <c r="AR111" s="974"/>
      <c r="AS111" s="974"/>
      <c r="AT111" s="974"/>
      <c r="AU111" s="974"/>
      <c r="AV111" s="974"/>
      <c r="AW111" s="974"/>
      <c r="AX111" s="974"/>
      <c r="AY111" s="974"/>
      <c r="AZ111" s="974"/>
      <c r="BA111" s="974"/>
      <c r="BB111" s="974"/>
      <c r="BC111" s="974"/>
      <c r="BD111" s="974"/>
      <c r="BE111" s="970"/>
    </row>
    <row r="112" spans="1:70" ht="15.75" customHeight="1" thickBot="1">
      <c r="A112" s="974"/>
      <c r="B112" s="2149" t="s">
        <v>2557</v>
      </c>
      <c r="C112" s="2150"/>
      <c r="D112" s="2150"/>
      <c r="E112" s="2150"/>
      <c r="F112" s="2150"/>
      <c r="G112" s="2150"/>
      <c r="H112" s="2150"/>
      <c r="I112" s="2151">
        <v>0</v>
      </c>
      <c r="J112" s="2151"/>
      <c r="K112" s="2151"/>
      <c r="L112" s="2151"/>
      <c r="M112" s="2151"/>
      <c r="N112" s="2151"/>
      <c r="O112" s="2151">
        <v>0</v>
      </c>
      <c r="P112" s="2151"/>
      <c r="Q112" s="2151"/>
      <c r="R112" s="2151"/>
      <c r="S112" s="2151"/>
      <c r="T112" s="2151"/>
      <c r="U112" s="2151"/>
      <c r="V112" s="2151">
        <v>0</v>
      </c>
      <c r="W112" s="2151"/>
      <c r="X112" s="2151"/>
      <c r="Y112" s="2151"/>
      <c r="Z112" s="2151"/>
      <c r="AA112" s="2151"/>
      <c r="AB112" s="2151">
        <v>0</v>
      </c>
      <c r="AC112" s="2151"/>
      <c r="AD112" s="2151"/>
      <c r="AE112" s="2151"/>
      <c r="AF112" s="2151"/>
      <c r="AG112" s="2151"/>
      <c r="AH112" s="2152"/>
      <c r="AI112" s="974"/>
      <c r="AJ112" s="974"/>
      <c r="AK112" s="974"/>
      <c r="AL112" s="974"/>
      <c r="AM112" s="974"/>
      <c r="AN112" s="974"/>
      <c r="AO112" s="974"/>
      <c r="AP112" s="974"/>
      <c r="AQ112" s="974"/>
      <c r="AR112" s="974"/>
      <c r="AS112" s="974"/>
      <c r="AT112" s="974"/>
      <c r="AU112" s="974"/>
      <c r="AV112" s="974"/>
      <c r="AW112" s="974"/>
      <c r="AX112" s="974"/>
      <c r="AY112" s="974"/>
      <c r="AZ112" s="974"/>
      <c r="BA112" s="974"/>
      <c r="BB112" s="974"/>
      <c r="BC112" s="974"/>
      <c r="BD112" s="974"/>
      <c r="BE112" s="970"/>
    </row>
    <row r="113" spans="1:57" ht="15.75" customHeight="1" thickBot="1">
      <c r="A113" s="974"/>
      <c r="B113" s="974"/>
      <c r="C113" s="974"/>
      <c r="D113" s="974"/>
      <c r="E113" s="974"/>
      <c r="F113" s="974"/>
      <c r="G113" s="974"/>
      <c r="H113" s="974"/>
      <c r="I113" s="974"/>
      <c r="J113" s="974"/>
      <c r="K113" s="974"/>
      <c r="L113" s="974"/>
      <c r="M113" s="974"/>
      <c r="N113" s="974"/>
      <c r="O113" s="974"/>
      <c r="P113" s="974"/>
      <c r="Q113" s="974"/>
      <c r="R113" s="974"/>
      <c r="S113" s="974"/>
      <c r="T113" s="974"/>
      <c r="U113" s="974" t="s">
        <v>253</v>
      </c>
      <c r="V113" s="974"/>
      <c r="W113" s="974"/>
      <c r="X113" s="974"/>
      <c r="Y113" s="974"/>
      <c r="Z113" s="974"/>
      <c r="AA113" s="974"/>
      <c r="AB113" s="974"/>
      <c r="AC113" s="974"/>
      <c r="AD113" s="974"/>
      <c r="AE113" s="974"/>
      <c r="AF113" s="974"/>
      <c r="AG113" s="974"/>
      <c r="AH113" s="974"/>
      <c r="AI113" s="974"/>
      <c r="AJ113" s="974"/>
      <c r="AK113" s="974"/>
      <c r="AL113" s="974"/>
      <c r="AM113" s="974"/>
      <c r="AN113" s="974"/>
      <c r="AO113" s="974"/>
      <c r="AP113" s="974"/>
      <c r="AQ113" s="974"/>
      <c r="AR113" s="974"/>
      <c r="AS113" s="974"/>
      <c r="AT113" s="974"/>
      <c r="AU113" s="974"/>
      <c r="AV113" s="974"/>
      <c r="AW113" s="974"/>
      <c r="AX113" s="974"/>
      <c r="AY113" s="974"/>
      <c r="AZ113" s="974"/>
      <c r="BA113" s="974"/>
      <c r="BB113" s="974"/>
      <c r="BC113" s="974"/>
      <c r="BD113" s="974"/>
      <c r="BE113" s="970"/>
    </row>
    <row r="114" spans="1:57" ht="15.75" customHeight="1" thickBot="1">
      <c r="A114" s="974"/>
      <c r="B114" s="1002" t="s">
        <v>2564</v>
      </c>
      <c r="C114" s="1001"/>
      <c r="D114" s="1001"/>
      <c r="E114" s="1001"/>
      <c r="F114" s="1001"/>
      <c r="G114" s="1001"/>
      <c r="H114" s="1001"/>
      <c r="I114" s="1001"/>
      <c r="J114" s="1001"/>
      <c r="K114" s="1001"/>
      <c r="L114" s="1001"/>
      <c r="M114" s="1001"/>
      <c r="N114" s="1001"/>
      <c r="O114" s="1001"/>
      <c r="P114" s="1001"/>
      <c r="Q114" s="1001"/>
      <c r="R114" s="1000"/>
      <c r="S114" s="974"/>
      <c r="T114" s="974"/>
      <c r="U114" s="974"/>
      <c r="V114" s="974"/>
      <c r="W114" s="974"/>
      <c r="X114" s="974"/>
      <c r="Y114" s="974"/>
      <c r="Z114" s="974"/>
      <c r="AA114" s="974"/>
      <c r="AB114" s="974"/>
      <c r="AC114" s="974"/>
      <c r="AD114" s="974"/>
      <c r="AE114" s="974"/>
      <c r="AF114" s="974"/>
      <c r="AG114" s="974"/>
      <c r="AH114" s="974"/>
      <c r="AI114" s="974"/>
      <c r="AJ114" s="974"/>
      <c r="AK114" s="974"/>
      <c r="AL114" s="974"/>
      <c r="AM114" s="974"/>
      <c r="AN114" s="974"/>
      <c r="AO114" s="974"/>
      <c r="AP114" s="974"/>
      <c r="AQ114" s="974"/>
      <c r="AR114" s="974"/>
      <c r="AS114" s="974"/>
      <c r="AT114" s="974"/>
      <c r="AU114" s="974"/>
      <c r="AV114" s="974"/>
      <c r="AW114" s="974"/>
      <c r="AX114" s="974"/>
      <c r="AY114" s="974"/>
      <c r="AZ114" s="974"/>
      <c r="BA114" s="974"/>
      <c r="BB114" s="974"/>
      <c r="BC114" s="974"/>
      <c r="BD114" s="974"/>
      <c r="BE114" s="970"/>
    </row>
    <row r="115" spans="1:57" ht="15.75" customHeight="1">
      <c r="A115" s="974"/>
      <c r="B115" s="999" t="s">
        <v>2545</v>
      </c>
      <c r="C115" s="999"/>
      <c r="D115" s="998"/>
      <c r="E115" s="997"/>
      <c r="F115" s="2468"/>
      <c r="G115" s="2469"/>
      <c r="H115" s="2469"/>
      <c r="I115" s="2469"/>
      <c r="J115" s="2469"/>
      <c r="K115" s="2469"/>
      <c r="L115" s="2469"/>
      <c r="M115" s="2469"/>
      <c r="N115" s="2469"/>
      <c r="O115" s="2469"/>
      <c r="P115" s="2469"/>
      <c r="Q115" s="2469"/>
      <c r="R115" s="2470"/>
      <c r="S115" s="974"/>
      <c r="T115" s="974"/>
      <c r="U115" s="974"/>
      <c r="V115" s="974"/>
      <c r="W115" s="974"/>
      <c r="X115" s="974"/>
      <c r="Y115" s="974"/>
      <c r="Z115" s="974"/>
      <c r="AA115" s="974"/>
      <c r="AB115" s="974"/>
      <c r="AC115" s="974"/>
      <c r="AD115" s="974"/>
      <c r="AE115" s="974"/>
      <c r="AF115" s="974"/>
      <c r="AG115" s="974"/>
      <c r="AH115" s="974"/>
      <c r="AI115" s="974"/>
      <c r="AJ115" s="974"/>
      <c r="AK115" s="974"/>
      <c r="AL115" s="974"/>
      <c r="AM115" s="974"/>
      <c r="AN115" s="974"/>
      <c r="AO115" s="974"/>
      <c r="AP115" s="974"/>
      <c r="AQ115" s="974"/>
      <c r="AR115" s="974"/>
      <c r="AS115" s="974"/>
      <c r="AT115" s="974"/>
      <c r="AU115" s="974"/>
      <c r="AV115" s="974"/>
      <c r="AW115" s="974"/>
      <c r="AX115" s="974"/>
      <c r="AY115" s="974"/>
      <c r="AZ115" s="974"/>
      <c r="BA115" s="974"/>
      <c r="BB115" s="974"/>
      <c r="BC115" s="974"/>
      <c r="BD115" s="974"/>
      <c r="BE115" s="970"/>
    </row>
    <row r="116" spans="1:57" ht="15.75" customHeight="1" thickBot="1">
      <c r="A116" s="974"/>
      <c r="B116" s="974"/>
      <c r="C116" s="974"/>
      <c r="D116" s="974"/>
      <c r="E116" s="974"/>
      <c r="F116" s="974"/>
      <c r="G116" s="974"/>
      <c r="H116" s="974"/>
      <c r="I116" s="974"/>
      <c r="J116" s="974"/>
      <c r="K116" s="974"/>
      <c r="L116" s="974"/>
      <c r="M116" s="974"/>
      <c r="N116" s="974"/>
      <c r="O116" s="974"/>
      <c r="P116" s="974"/>
      <c r="Q116" s="974"/>
      <c r="R116" s="974"/>
      <c r="S116" s="974"/>
      <c r="T116" s="974"/>
      <c r="U116" s="974"/>
      <c r="V116" s="974"/>
      <c r="W116" s="974"/>
      <c r="X116" s="974"/>
      <c r="Y116" s="974"/>
      <c r="Z116" s="974"/>
      <c r="AA116" s="974"/>
      <c r="AB116" s="974"/>
      <c r="AC116" s="974"/>
      <c r="AD116" s="974"/>
      <c r="AE116" s="974"/>
      <c r="AF116" s="974"/>
      <c r="AG116" s="974"/>
      <c r="AH116" s="974"/>
      <c r="AI116" s="974"/>
      <c r="AJ116" s="974"/>
      <c r="AK116" s="974"/>
      <c r="AL116" s="974"/>
      <c r="AM116" s="974"/>
      <c r="AN116" s="974"/>
      <c r="AO116" s="974"/>
      <c r="AP116" s="974"/>
      <c r="AQ116" s="974"/>
      <c r="AR116" s="974"/>
      <c r="AS116" s="974"/>
      <c r="AT116" s="974"/>
      <c r="AU116" s="974"/>
      <c r="AV116" s="974"/>
      <c r="AW116" s="974"/>
      <c r="AX116" s="974"/>
      <c r="AY116" s="974"/>
      <c r="AZ116" s="974"/>
      <c r="BA116" s="974"/>
      <c r="BB116" s="974"/>
      <c r="BC116" s="974"/>
      <c r="BD116" s="974"/>
      <c r="BE116" s="970"/>
    </row>
    <row r="117" spans="1:57" ht="15.75" customHeight="1">
      <c r="A117" s="974"/>
      <c r="B117" s="2170" t="s">
        <v>2565</v>
      </c>
      <c r="C117" s="2171"/>
      <c r="D117" s="2171"/>
      <c r="E117" s="2171"/>
      <c r="F117" s="2171"/>
      <c r="G117" s="2171"/>
      <c r="H117" s="2171"/>
      <c r="I117" s="2171"/>
      <c r="J117" s="2171"/>
      <c r="K117" s="2171"/>
      <c r="L117" s="2171"/>
      <c r="M117" s="2171"/>
      <c r="N117" s="2171"/>
      <c r="O117" s="2171"/>
      <c r="P117" s="2171"/>
      <c r="Q117" s="2174" t="s">
        <v>837</v>
      </c>
      <c r="R117" s="2174"/>
      <c r="S117" s="2174"/>
      <c r="T117" s="2175"/>
      <c r="U117" s="974"/>
      <c r="V117" s="974"/>
      <c r="W117" s="974"/>
      <c r="X117" s="974"/>
      <c r="Y117" s="974"/>
      <c r="Z117" s="974"/>
      <c r="AA117" s="974"/>
      <c r="AB117" s="974"/>
      <c r="AC117" s="974"/>
      <c r="AD117" s="974"/>
      <c r="AE117" s="974"/>
      <c r="AF117" s="974"/>
      <c r="AG117" s="974"/>
      <c r="AH117" s="974"/>
      <c r="AI117" s="974"/>
      <c r="AJ117" s="974"/>
      <c r="AK117" s="974"/>
      <c r="AL117" s="974"/>
      <c r="AM117" s="974"/>
      <c r="AN117" s="974"/>
      <c r="AO117" s="974"/>
      <c r="AP117" s="974"/>
      <c r="AQ117" s="974"/>
      <c r="AR117" s="974"/>
      <c r="AS117" s="974"/>
      <c r="AT117" s="974"/>
      <c r="AU117" s="974"/>
      <c r="AV117" s="974"/>
      <c r="AW117" s="974"/>
      <c r="AX117" s="974"/>
      <c r="AY117" s="974"/>
      <c r="AZ117" s="974"/>
      <c r="BA117" s="974"/>
      <c r="BB117" s="974"/>
      <c r="BC117" s="974"/>
      <c r="BD117" s="974"/>
      <c r="BE117" s="970"/>
    </row>
    <row r="118" spans="1:57" ht="15.75" customHeight="1">
      <c r="A118" s="974"/>
      <c r="B118" s="2172"/>
      <c r="C118" s="2173"/>
      <c r="D118" s="2173"/>
      <c r="E118" s="2173"/>
      <c r="F118" s="2173"/>
      <c r="G118" s="2173"/>
      <c r="H118" s="2173"/>
      <c r="I118" s="2173"/>
      <c r="J118" s="2173"/>
      <c r="K118" s="2173"/>
      <c r="L118" s="2173"/>
      <c r="M118" s="2173"/>
      <c r="N118" s="2173"/>
      <c r="O118" s="2173"/>
      <c r="P118" s="2173"/>
      <c r="Q118" s="2176"/>
      <c r="R118" s="2176"/>
      <c r="S118" s="2176"/>
      <c r="T118" s="2177"/>
      <c r="U118" s="974"/>
      <c r="V118" s="974"/>
      <c r="W118" s="974"/>
      <c r="X118" s="974"/>
      <c r="Y118" s="974"/>
      <c r="Z118" s="974"/>
      <c r="AA118" s="974"/>
      <c r="AB118" s="974"/>
      <c r="AC118" s="974"/>
      <c r="AD118" s="974"/>
      <c r="AE118" s="974"/>
      <c r="AF118" s="974"/>
      <c r="AG118" s="974"/>
      <c r="AH118" s="974"/>
      <c r="AI118" s="974"/>
      <c r="AJ118" s="974"/>
      <c r="AK118" s="974"/>
      <c r="AL118" s="974"/>
      <c r="AM118" s="974"/>
      <c r="AN118" s="974"/>
      <c r="AO118" s="974"/>
      <c r="AP118" s="974"/>
      <c r="AQ118" s="974"/>
      <c r="AR118" s="974"/>
      <c r="AS118" s="974"/>
      <c r="AT118" s="974"/>
      <c r="AU118" s="974"/>
      <c r="AV118" s="974"/>
      <c r="AW118" s="974"/>
      <c r="AX118" s="974"/>
      <c r="AY118" s="974"/>
      <c r="AZ118" s="974"/>
      <c r="BA118" s="974"/>
      <c r="BB118" s="974"/>
      <c r="BC118" s="974"/>
      <c r="BD118" s="974"/>
      <c r="BE118" s="970"/>
    </row>
    <row r="119" spans="1:57" ht="15.75" customHeight="1">
      <c r="A119" s="974"/>
      <c r="B119" s="2172"/>
      <c r="C119" s="2173"/>
      <c r="D119" s="2173"/>
      <c r="E119" s="2173"/>
      <c r="F119" s="2173"/>
      <c r="G119" s="2173"/>
      <c r="H119" s="2173"/>
      <c r="I119" s="2173"/>
      <c r="J119" s="2173"/>
      <c r="K119" s="2173"/>
      <c r="L119" s="2173"/>
      <c r="M119" s="2173"/>
      <c r="N119" s="2173"/>
      <c r="O119" s="2173"/>
      <c r="P119" s="2173"/>
      <c r="Q119" s="2176"/>
      <c r="R119" s="2176"/>
      <c r="S119" s="2176"/>
      <c r="T119" s="2177"/>
      <c r="U119" s="974"/>
      <c r="V119" s="974"/>
      <c r="W119" s="974"/>
      <c r="X119" s="974"/>
      <c r="Y119" s="974"/>
      <c r="Z119" s="974"/>
      <c r="AA119" s="974"/>
      <c r="AB119" s="974"/>
      <c r="AC119" s="974"/>
      <c r="AD119" s="974"/>
      <c r="AE119" s="974"/>
      <c r="AF119" s="974"/>
      <c r="AG119" s="974"/>
      <c r="AH119" s="974"/>
      <c r="AI119" s="974"/>
      <c r="AJ119" s="974"/>
      <c r="AK119" s="974"/>
      <c r="AL119" s="974"/>
      <c r="AM119" s="974"/>
      <c r="AN119" s="974"/>
      <c r="AO119" s="974"/>
      <c r="AP119" s="974"/>
      <c r="AQ119" s="974"/>
      <c r="AR119" s="974"/>
      <c r="AS119" s="974"/>
      <c r="AT119" s="974"/>
      <c r="AU119" s="974"/>
      <c r="AV119" s="974"/>
      <c r="AW119" s="974"/>
      <c r="AX119" s="974"/>
      <c r="AY119" s="974"/>
      <c r="AZ119" s="974"/>
      <c r="BA119" s="974"/>
      <c r="BB119" s="974"/>
      <c r="BC119" s="974"/>
      <c r="BD119" s="974"/>
      <c r="BE119" s="970"/>
    </row>
    <row r="120" spans="1:57" ht="15.75" customHeight="1">
      <c r="A120" s="974"/>
      <c r="B120" s="2172"/>
      <c r="C120" s="2173"/>
      <c r="D120" s="2173"/>
      <c r="E120" s="2173"/>
      <c r="F120" s="2173"/>
      <c r="G120" s="2173"/>
      <c r="H120" s="2173"/>
      <c r="I120" s="2173"/>
      <c r="J120" s="2173"/>
      <c r="K120" s="2173"/>
      <c r="L120" s="2173"/>
      <c r="M120" s="2173"/>
      <c r="N120" s="2173"/>
      <c r="O120" s="2173"/>
      <c r="P120" s="2173"/>
      <c r="Q120" s="2176"/>
      <c r="R120" s="2176"/>
      <c r="S120" s="2176"/>
      <c r="T120" s="2177"/>
      <c r="U120" s="974"/>
      <c r="V120" s="974"/>
      <c r="W120" s="974"/>
      <c r="X120" s="974"/>
      <c r="Y120" s="974"/>
      <c r="Z120" s="974"/>
      <c r="AA120" s="974"/>
      <c r="AB120" s="974"/>
      <c r="AC120" s="974"/>
      <c r="AD120" s="974"/>
      <c r="AE120" s="974"/>
      <c r="AF120" s="974"/>
      <c r="AG120" s="974"/>
      <c r="AH120" s="974"/>
      <c r="AI120" s="974"/>
      <c r="AJ120" s="974"/>
      <c r="AK120" s="974"/>
      <c r="AL120" s="974"/>
      <c r="AM120" s="974"/>
      <c r="AN120" s="974"/>
      <c r="AO120" s="974"/>
      <c r="AP120" s="974"/>
      <c r="AQ120" s="974"/>
      <c r="AR120" s="974"/>
      <c r="AS120" s="974"/>
      <c r="AT120" s="974"/>
      <c r="AU120" s="974"/>
      <c r="AV120" s="974"/>
      <c r="AW120" s="974"/>
      <c r="AX120" s="974"/>
      <c r="AY120" s="974"/>
      <c r="AZ120" s="974"/>
      <c r="BA120" s="974"/>
      <c r="BB120" s="974"/>
      <c r="BC120" s="974"/>
      <c r="BD120" s="974"/>
      <c r="BE120" s="970"/>
    </row>
    <row r="121" spans="1:57" ht="15.75" customHeight="1">
      <c r="A121" s="974"/>
      <c r="B121" s="2143" t="s">
        <v>2566</v>
      </c>
      <c r="C121" s="2144"/>
      <c r="D121" s="2144"/>
      <c r="E121" s="2144"/>
      <c r="F121" s="2144"/>
      <c r="G121" s="2144"/>
      <c r="H121" s="2144"/>
      <c r="I121" s="2144"/>
      <c r="J121" s="2144"/>
      <c r="K121" s="2144"/>
      <c r="L121" s="2144"/>
      <c r="M121" s="2144"/>
      <c r="N121" s="2144"/>
      <c r="O121" s="2144"/>
      <c r="P121" s="2144"/>
      <c r="Q121" s="2144"/>
      <c r="R121" s="2144"/>
      <c r="S121" s="2144"/>
      <c r="T121" s="2145"/>
      <c r="U121" s="974"/>
      <c r="V121" s="974"/>
      <c r="W121" s="974"/>
      <c r="X121" s="974"/>
      <c r="Y121" s="974"/>
      <c r="Z121" s="974"/>
      <c r="AA121" s="974"/>
      <c r="AB121" s="974"/>
      <c r="AC121" s="974"/>
      <c r="AD121" s="974"/>
      <c r="AE121" s="974"/>
      <c r="AF121" s="974"/>
      <c r="AG121" s="974"/>
      <c r="AH121" s="974"/>
      <c r="AI121" s="974"/>
      <c r="AJ121" s="974"/>
      <c r="AK121" s="974"/>
      <c r="AL121" s="974"/>
      <c r="AM121" s="974"/>
      <c r="AN121" s="974"/>
      <c r="AO121" s="974"/>
      <c r="AP121" s="974"/>
      <c r="AQ121" s="974"/>
      <c r="AR121" s="974"/>
      <c r="AS121" s="974"/>
      <c r="AT121" s="974"/>
      <c r="AU121" s="974"/>
      <c r="AV121" s="974"/>
      <c r="AW121" s="974"/>
      <c r="AX121" s="974"/>
      <c r="AY121" s="974"/>
      <c r="AZ121" s="974"/>
      <c r="BA121" s="974"/>
      <c r="BB121" s="974"/>
      <c r="BC121" s="974"/>
      <c r="BD121" s="974"/>
      <c r="BE121" s="970"/>
    </row>
    <row r="122" spans="1:57" ht="15.75" customHeight="1" thickBot="1">
      <c r="A122" s="974"/>
      <c r="B122" s="2146"/>
      <c r="C122" s="2147"/>
      <c r="D122" s="2147"/>
      <c r="E122" s="2147"/>
      <c r="F122" s="2147"/>
      <c r="G122" s="2147"/>
      <c r="H122" s="2147"/>
      <c r="I122" s="2147"/>
      <c r="J122" s="2147"/>
      <c r="K122" s="2147"/>
      <c r="L122" s="2147"/>
      <c r="M122" s="2147"/>
      <c r="N122" s="2147"/>
      <c r="O122" s="2147"/>
      <c r="P122" s="2147"/>
      <c r="Q122" s="2147"/>
      <c r="R122" s="2147"/>
      <c r="S122" s="2147"/>
      <c r="T122" s="2148"/>
      <c r="U122" s="974"/>
      <c r="V122" s="974"/>
      <c r="W122" s="974"/>
      <c r="X122" s="974"/>
      <c r="Y122" s="974"/>
      <c r="Z122" s="974"/>
      <c r="AA122" s="974"/>
      <c r="AB122" s="974"/>
      <c r="AC122" s="974"/>
      <c r="AD122" s="974"/>
      <c r="AE122" s="974"/>
      <c r="AF122" s="974"/>
      <c r="AG122" s="974"/>
      <c r="AH122" s="974"/>
      <c r="AI122" s="974"/>
      <c r="AJ122" s="974"/>
      <c r="AK122" s="974"/>
      <c r="AL122" s="974"/>
      <c r="AM122" s="974"/>
      <c r="AN122" s="974"/>
      <c r="AO122" s="974"/>
      <c r="AP122" s="974"/>
      <c r="AQ122" s="974"/>
      <c r="AR122" s="974"/>
      <c r="AS122" s="974"/>
      <c r="AT122" s="974"/>
      <c r="AU122" s="974"/>
      <c r="AV122" s="974"/>
      <c r="AW122" s="974"/>
      <c r="AX122" s="974"/>
      <c r="AY122" s="974"/>
      <c r="AZ122" s="974"/>
      <c r="BA122" s="974"/>
      <c r="BB122" s="974"/>
      <c r="BC122" s="974"/>
      <c r="BD122" s="974"/>
      <c r="BE122" s="970"/>
    </row>
    <row r="123" spans="1:57" ht="15.75" customHeight="1" thickBot="1">
      <c r="A123" s="974"/>
      <c r="B123" s="974"/>
      <c r="C123" s="974"/>
      <c r="D123" s="974"/>
      <c r="E123" s="974"/>
      <c r="F123" s="974"/>
      <c r="G123" s="974"/>
      <c r="H123" s="974"/>
      <c r="I123" s="974"/>
      <c r="J123" s="974"/>
      <c r="K123" s="974"/>
      <c r="L123" s="974"/>
      <c r="M123" s="974"/>
      <c r="N123" s="974"/>
      <c r="O123" s="974"/>
      <c r="P123" s="974"/>
      <c r="Q123" s="974"/>
      <c r="R123" s="974"/>
      <c r="S123" s="974"/>
      <c r="T123" s="974"/>
      <c r="U123" s="974"/>
      <c r="V123" s="974"/>
      <c r="W123" s="974"/>
      <c r="X123" s="974"/>
      <c r="Y123" s="974"/>
      <c r="Z123" s="974"/>
      <c r="AA123" s="974"/>
      <c r="AB123" s="974"/>
      <c r="AC123" s="974"/>
      <c r="AD123" s="974"/>
      <c r="AE123" s="974"/>
      <c r="AF123" s="974"/>
      <c r="AG123" s="974"/>
      <c r="AH123" s="974"/>
      <c r="AI123" s="974"/>
      <c r="AJ123" s="974"/>
      <c r="AK123" s="974"/>
      <c r="AL123" s="974"/>
      <c r="AM123" s="974"/>
      <c r="AN123" s="974"/>
      <c r="AO123" s="974"/>
      <c r="AP123" s="974"/>
      <c r="AQ123" s="974"/>
      <c r="AR123" s="974"/>
      <c r="AS123" s="974"/>
      <c r="AT123" s="974"/>
      <c r="AU123" s="974"/>
      <c r="AV123" s="974"/>
      <c r="AW123" s="974"/>
      <c r="AX123" s="974"/>
      <c r="AY123" s="974"/>
      <c r="AZ123" s="974"/>
      <c r="BA123" s="974"/>
      <c r="BB123" s="974"/>
      <c r="BC123" s="974"/>
      <c r="BD123" s="974"/>
      <c r="BE123" s="970"/>
    </row>
    <row r="124" spans="1:57" ht="15.75" customHeight="1" thickBot="1">
      <c r="A124" s="974"/>
      <c r="B124" s="993" t="s">
        <v>2567</v>
      </c>
      <c r="C124" s="991"/>
      <c r="D124" s="991"/>
      <c r="E124" s="991"/>
      <c r="F124" s="991"/>
      <c r="G124" s="991"/>
      <c r="H124" s="991"/>
      <c r="I124" s="991"/>
      <c r="J124" s="991"/>
      <c r="K124" s="991"/>
      <c r="L124" s="991"/>
      <c r="M124" s="991"/>
      <c r="N124" s="991"/>
      <c r="O124" s="991"/>
      <c r="P124" s="991"/>
      <c r="Q124" s="991"/>
      <c r="R124" s="990"/>
      <c r="S124" s="974"/>
      <c r="T124" s="974"/>
      <c r="U124" s="974"/>
      <c r="V124" s="974"/>
      <c r="W124" s="974"/>
      <c r="X124" s="974"/>
      <c r="Y124" s="974"/>
      <c r="Z124" s="974"/>
      <c r="AA124" s="974"/>
      <c r="AB124" s="974"/>
      <c r="AC124" s="974"/>
      <c r="AD124" s="974"/>
      <c r="AE124" s="974"/>
      <c r="AF124" s="974"/>
      <c r="AG124" s="974"/>
      <c r="AH124" s="974"/>
      <c r="AI124" s="974"/>
      <c r="AJ124" s="974"/>
      <c r="AK124" s="974"/>
      <c r="AL124" s="974"/>
      <c r="AM124" s="974"/>
      <c r="AN124" s="974"/>
      <c r="AO124" s="974"/>
      <c r="AP124" s="974"/>
      <c r="AQ124" s="974"/>
      <c r="AR124" s="974"/>
      <c r="AS124" s="974"/>
      <c r="AT124" s="974"/>
      <c r="AU124" s="974"/>
      <c r="AV124" s="974"/>
      <c r="AW124" s="974"/>
      <c r="AX124" s="974"/>
      <c r="AY124" s="974"/>
      <c r="AZ124" s="974"/>
      <c r="BA124" s="974"/>
      <c r="BB124" s="974"/>
      <c r="BC124" s="974"/>
      <c r="BD124" s="974"/>
      <c r="BE124" s="970"/>
    </row>
    <row r="125" spans="1:57" ht="15.75" customHeight="1" thickBot="1">
      <c r="A125" s="974"/>
      <c r="B125" s="974"/>
      <c r="C125" s="974"/>
      <c r="D125" s="974"/>
      <c r="E125" s="974"/>
      <c r="F125" s="974"/>
      <c r="G125" s="974"/>
      <c r="H125" s="974"/>
      <c r="I125" s="974"/>
      <c r="J125" s="974"/>
      <c r="K125" s="974"/>
      <c r="L125" s="974"/>
      <c r="M125" s="974"/>
      <c r="N125" s="974"/>
      <c r="O125" s="974"/>
      <c r="P125" s="996"/>
      <c r="Q125" s="974"/>
      <c r="R125" s="974"/>
      <c r="S125" s="974"/>
      <c r="T125" s="974"/>
      <c r="U125" s="974"/>
      <c r="V125" s="974"/>
      <c r="W125" s="974"/>
      <c r="X125" s="2170" t="s">
        <v>2568</v>
      </c>
      <c r="Y125" s="2171"/>
      <c r="Z125" s="2171"/>
      <c r="AA125" s="2171"/>
      <c r="AB125" s="2171"/>
      <c r="AC125" s="2171"/>
      <c r="AD125" s="2171"/>
      <c r="AE125" s="2171"/>
      <c r="AF125" s="2171"/>
      <c r="AG125" s="2171"/>
      <c r="AH125" s="2171"/>
      <c r="AI125" s="2171"/>
      <c r="AJ125" s="2171"/>
      <c r="AK125" s="2171"/>
      <c r="AL125" s="2171"/>
      <c r="AM125" s="2171"/>
      <c r="AN125" s="2171"/>
      <c r="AO125" s="2171"/>
      <c r="AP125" s="2171"/>
      <c r="AQ125" s="2171"/>
      <c r="AR125" s="2171"/>
      <c r="AS125" s="2171"/>
      <c r="AT125" s="2171"/>
      <c r="AU125" s="2171"/>
      <c r="AV125" s="2171"/>
      <c r="AW125" s="2171"/>
      <c r="AX125" s="2171"/>
      <c r="AY125" s="2171"/>
      <c r="AZ125" s="2171"/>
      <c r="BA125" s="2171"/>
      <c r="BB125" s="2171"/>
      <c r="BC125" s="2171"/>
      <c r="BD125" s="2332"/>
      <c r="BE125" s="970"/>
    </row>
    <row r="126" spans="1:57" ht="15.75" customHeight="1">
      <c r="A126" s="974"/>
      <c r="B126" s="2334" t="s">
        <v>2377</v>
      </c>
      <c r="C126" s="2335"/>
      <c r="D126" s="2335"/>
      <c r="E126" s="2335"/>
      <c r="F126" s="2335"/>
      <c r="G126" s="2335"/>
      <c r="H126" s="2335"/>
      <c r="I126" s="2335"/>
      <c r="J126" s="2335"/>
      <c r="K126" s="2335"/>
      <c r="L126" s="2335"/>
      <c r="M126" s="2335"/>
      <c r="N126" s="2335"/>
      <c r="O126" s="2335"/>
      <c r="P126" s="2335"/>
      <c r="Q126" s="2335"/>
      <c r="R126" s="2335"/>
      <c r="S126" s="2335"/>
      <c r="T126" s="2335"/>
      <c r="U126" s="2336"/>
      <c r="V126" s="974"/>
      <c r="W126" s="974"/>
      <c r="X126" s="2172"/>
      <c r="Y126" s="2173"/>
      <c r="Z126" s="2173"/>
      <c r="AA126" s="2173"/>
      <c r="AB126" s="2173"/>
      <c r="AC126" s="2173"/>
      <c r="AD126" s="2173"/>
      <c r="AE126" s="2173"/>
      <c r="AF126" s="2173"/>
      <c r="AG126" s="2173"/>
      <c r="AH126" s="2173"/>
      <c r="AI126" s="2173"/>
      <c r="AJ126" s="2173"/>
      <c r="AK126" s="2173"/>
      <c r="AL126" s="2173"/>
      <c r="AM126" s="2173"/>
      <c r="AN126" s="2173"/>
      <c r="AO126" s="2173"/>
      <c r="AP126" s="2173"/>
      <c r="AQ126" s="2173"/>
      <c r="AR126" s="2173"/>
      <c r="AS126" s="2173"/>
      <c r="AT126" s="2173"/>
      <c r="AU126" s="2173"/>
      <c r="AV126" s="2173"/>
      <c r="AW126" s="2173"/>
      <c r="AX126" s="2173"/>
      <c r="AY126" s="2173"/>
      <c r="AZ126" s="2173"/>
      <c r="BA126" s="2173"/>
      <c r="BB126" s="2173"/>
      <c r="BC126" s="2173"/>
      <c r="BD126" s="2333"/>
      <c r="BE126" s="970"/>
    </row>
    <row r="127" spans="1:57" ht="15.75" customHeight="1">
      <c r="A127" s="974"/>
      <c r="B127" s="2337"/>
      <c r="C127" s="2338"/>
      <c r="D127" s="2338"/>
      <c r="E127" s="2338"/>
      <c r="F127" s="2338"/>
      <c r="G127" s="2338"/>
      <c r="H127" s="2338"/>
      <c r="I127" s="2130" t="s">
        <v>2569</v>
      </c>
      <c r="J127" s="2130"/>
      <c r="K127" s="2130"/>
      <c r="L127" s="2130"/>
      <c r="M127" s="2130"/>
      <c r="N127" s="2130"/>
      <c r="O127" s="2339" t="s">
        <v>2570</v>
      </c>
      <c r="P127" s="2339"/>
      <c r="Q127" s="2339"/>
      <c r="R127" s="2339"/>
      <c r="S127" s="2339"/>
      <c r="T127" s="2339"/>
      <c r="U127" s="2340"/>
      <c r="V127" s="974"/>
      <c r="W127" s="974"/>
      <c r="X127" s="2317" t="s">
        <v>2543</v>
      </c>
      <c r="Y127" s="2318"/>
      <c r="Z127" s="2318"/>
      <c r="AA127" s="2318"/>
      <c r="AB127" s="2318"/>
      <c r="AC127" s="2318"/>
      <c r="AD127" s="2318"/>
      <c r="AE127" s="2318"/>
      <c r="AF127" s="2318"/>
      <c r="AG127" s="2318"/>
      <c r="AH127" s="2318"/>
      <c r="AI127" s="2318"/>
      <c r="AJ127" s="2318"/>
      <c r="AK127" s="2318"/>
      <c r="AL127" s="2318"/>
      <c r="AM127" s="2318"/>
      <c r="AN127" s="2318"/>
      <c r="AO127" s="2318"/>
      <c r="AP127" s="2318"/>
      <c r="AQ127" s="2318"/>
      <c r="AR127" s="2318"/>
      <c r="AS127" s="2318"/>
      <c r="AT127" s="2318"/>
      <c r="AU127" s="2318"/>
      <c r="AV127" s="2318"/>
      <c r="AW127" s="2318"/>
      <c r="AX127" s="2318"/>
      <c r="AY127" s="2318"/>
      <c r="AZ127" s="2318"/>
      <c r="BA127" s="2318"/>
      <c r="BB127" s="2318"/>
      <c r="BC127" s="2318"/>
      <c r="BD127" s="2319"/>
      <c r="BE127" s="970"/>
    </row>
    <row r="128" spans="1:57" ht="15.75" customHeight="1">
      <c r="A128" s="974"/>
      <c r="B128" s="2343" t="s">
        <v>2571</v>
      </c>
      <c r="C128" s="2344"/>
      <c r="D128" s="2344"/>
      <c r="E128" s="2344"/>
      <c r="F128" s="2344"/>
      <c r="G128" s="2344"/>
      <c r="H128" s="2344"/>
      <c r="I128" s="2131">
        <v>0</v>
      </c>
      <c r="J128" s="2131"/>
      <c r="K128" s="2131"/>
      <c r="L128" s="2131"/>
      <c r="M128" s="2131"/>
      <c r="N128" s="2131"/>
      <c r="O128" s="2131">
        <v>0</v>
      </c>
      <c r="P128" s="2131"/>
      <c r="Q128" s="2131"/>
      <c r="R128" s="2131"/>
      <c r="S128" s="2131"/>
      <c r="T128" s="2131"/>
      <c r="U128" s="2137"/>
      <c r="V128" s="974"/>
      <c r="W128" s="974"/>
      <c r="X128" s="2317"/>
      <c r="Y128" s="2318"/>
      <c r="Z128" s="2318"/>
      <c r="AA128" s="2318"/>
      <c r="AB128" s="2318"/>
      <c r="AC128" s="2318"/>
      <c r="AD128" s="2318"/>
      <c r="AE128" s="2318"/>
      <c r="AF128" s="2318"/>
      <c r="AG128" s="2318"/>
      <c r="AH128" s="2318"/>
      <c r="AI128" s="2318"/>
      <c r="AJ128" s="2318"/>
      <c r="AK128" s="2318"/>
      <c r="AL128" s="2318"/>
      <c r="AM128" s="2318"/>
      <c r="AN128" s="2318"/>
      <c r="AO128" s="2318"/>
      <c r="AP128" s="2318"/>
      <c r="AQ128" s="2318"/>
      <c r="AR128" s="2318"/>
      <c r="AS128" s="2318"/>
      <c r="AT128" s="2318"/>
      <c r="AU128" s="2318"/>
      <c r="AV128" s="2318"/>
      <c r="AW128" s="2318"/>
      <c r="AX128" s="2318"/>
      <c r="AY128" s="2318"/>
      <c r="AZ128" s="2318"/>
      <c r="BA128" s="2318"/>
      <c r="BB128" s="2318"/>
      <c r="BC128" s="2318"/>
      <c r="BD128" s="2319"/>
      <c r="BE128" s="970"/>
    </row>
    <row r="129" spans="1:57" ht="15.75" customHeight="1" thickBot="1">
      <c r="A129" s="974"/>
      <c r="B129" s="2345" t="s">
        <v>2572</v>
      </c>
      <c r="C129" s="2346"/>
      <c r="D129" s="2346"/>
      <c r="E129" s="2346"/>
      <c r="F129" s="2346"/>
      <c r="G129" s="2346"/>
      <c r="H129" s="2346"/>
      <c r="I129" s="2151">
        <v>0</v>
      </c>
      <c r="J129" s="2151"/>
      <c r="K129" s="2151"/>
      <c r="L129" s="2151"/>
      <c r="M129" s="2151"/>
      <c r="N129" s="2151"/>
      <c r="O129" s="2341"/>
      <c r="P129" s="2341"/>
      <c r="Q129" s="2341"/>
      <c r="R129" s="2341"/>
      <c r="S129" s="2341"/>
      <c r="T129" s="2341"/>
      <c r="U129" s="2342"/>
      <c r="V129" s="974"/>
      <c r="W129" s="974"/>
      <c r="X129" s="2317"/>
      <c r="Y129" s="2318"/>
      <c r="Z129" s="2318"/>
      <c r="AA129" s="2318"/>
      <c r="AB129" s="2318"/>
      <c r="AC129" s="2318"/>
      <c r="AD129" s="2318"/>
      <c r="AE129" s="2318"/>
      <c r="AF129" s="2318"/>
      <c r="AG129" s="2318"/>
      <c r="AH129" s="2318"/>
      <c r="AI129" s="2318"/>
      <c r="AJ129" s="2318"/>
      <c r="AK129" s="2318"/>
      <c r="AL129" s="2318"/>
      <c r="AM129" s="2318"/>
      <c r="AN129" s="2318"/>
      <c r="AO129" s="2318"/>
      <c r="AP129" s="2318"/>
      <c r="AQ129" s="2318"/>
      <c r="AR129" s="2318"/>
      <c r="AS129" s="2318"/>
      <c r="AT129" s="2318"/>
      <c r="AU129" s="2318"/>
      <c r="AV129" s="2318"/>
      <c r="AW129" s="2318"/>
      <c r="AX129" s="2318"/>
      <c r="AY129" s="2318"/>
      <c r="AZ129" s="2318"/>
      <c r="BA129" s="2318"/>
      <c r="BB129" s="2318"/>
      <c r="BC129" s="2318"/>
      <c r="BD129" s="2319"/>
      <c r="BE129" s="970"/>
    </row>
    <row r="130" spans="1:57" ht="15.75" customHeight="1" thickBot="1">
      <c r="A130" s="974"/>
      <c r="B130" s="974"/>
      <c r="C130" s="974"/>
      <c r="D130" s="974"/>
      <c r="E130" s="974"/>
      <c r="F130" s="974"/>
      <c r="G130" s="974"/>
      <c r="H130" s="974"/>
      <c r="I130" s="974"/>
      <c r="J130" s="974"/>
      <c r="K130" s="974"/>
      <c r="L130" s="974"/>
      <c r="M130" s="974"/>
      <c r="N130" s="974"/>
      <c r="O130" s="974"/>
      <c r="P130" s="974"/>
      <c r="Q130" s="974"/>
      <c r="R130" s="974"/>
      <c r="S130" s="974"/>
      <c r="T130" s="974"/>
      <c r="U130" s="974"/>
      <c r="V130" s="974"/>
      <c r="W130" s="974"/>
      <c r="X130" s="2317"/>
      <c r="Y130" s="2318"/>
      <c r="Z130" s="2318"/>
      <c r="AA130" s="2318"/>
      <c r="AB130" s="2318"/>
      <c r="AC130" s="2318"/>
      <c r="AD130" s="2318"/>
      <c r="AE130" s="2318"/>
      <c r="AF130" s="2318"/>
      <c r="AG130" s="2318"/>
      <c r="AH130" s="2318"/>
      <c r="AI130" s="2318"/>
      <c r="AJ130" s="2318"/>
      <c r="AK130" s="2318"/>
      <c r="AL130" s="2318"/>
      <c r="AM130" s="2318"/>
      <c r="AN130" s="2318"/>
      <c r="AO130" s="2318"/>
      <c r="AP130" s="2318"/>
      <c r="AQ130" s="2318"/>
      <c r="AR130" s="2318"/>
      <c r="AS130" s="2318"/>
      <c r="AT130" s="2318"/>
      <c r="AU130" s="2318"/>
      <c r="AV130" s="2318"/>
      <c r="AW130" s="2318"/>
      <c r="AX130" s="2318"/>
      <c r="AY130" s="2318"/>
      <c r="AZ130" s="2318"/>
      <c r="BA130" s="2318"/>
      <c r="BB130" s="2318"/>
      <c r="BC130" s="2318"/>
      <c r="BD130" s="2319"/>
      <c r="BE130" s="970"/>
    </row>
    <row r="131" spans="1:57" ht="15.75" customHeight="1" thickBot="1">
      <c r="A131" s="974"/>
      <c r="B131" s="993" t="s">
        <v>2573</v>
      </c>
      <c r="C131" s="992"/>
      <c r="D131" s="992"/>
      <c r="E131" s="992"/>
      <c r="F131" s="992"/>
      <c r="G131" s="992"/>
      <c r="H131" s="992"/>
      <c r="I131" s="992"/>
      <c r="J131" s="992"/>
      <c r="K131" s="992"/>
      <c r="L131" s="992"/>
      <c r="M131" s="992"/>
      <c r="N131" s="992"/>
      <c r="O131" s="992"/>
      <c r="P131" s="994"/>
      <c r="Q131" s="984" t="s">
        <v>253</v>
      </c>
      <c r="R131" s="984" t="s">
        <v>253</v>
      </c>
      <c r="S131" s="974"/>
      <c r="T131" s="974"/>
      <c r="U131" s="974"/>
      <c r="V131" s="974" t="s">
        <v>253</v>
      </c>
      <c r="W131" s="974"/>
      <c r="X131" s="2317"/>
      <c r="Y131" s="2318"/>
      <c r="Z131" s="2318"/>
      <c r="AA131" s="2318"/>
      <c r="AB131" s="2318"/>
      <c r="AC131" s="2318"/>
      <c r="AD131" s="2318"/>
      <c r="AE131" s="2318"/>
      <c r="AF131" s="2318"/>
      <c r="AG131" s="2318"/>
      <c r="AH131" s="2318"/>
      <c r="AI131" s="2318"/>
      <c r="AJ131" s="2318"/>
      <c r="AK131" s="2318"/>
      <c r="AL131" s="2318"/>
      <c r="AM131" s="2318"/>
      <c r="AN131" s="2318"/>
      <c r="AO131" s="2318"/>
      <c r="AP131" s="2318"/>
      <c r="AQ131" s="2318"/>
      <c r="AR131" s="2318"/>
      <c r="AS131" s="2318"/>
      <c r="AT131" s="2318"/>
      <c r="AU131" s="2318"/>
      <c r="AV131" s="2318"/>
      <c r="AW131" s="2318"/>
      <c r="AX131" s="2318"/>
      <c r="AY131" s="2318"/>
      <c r="AZ131" s="2318"/>
      <c r="BA131" s="2318"/>
      <c r="BB131" s="2318"/>
      <c r="BC131" s="2318"/>
      <c r="BD131" s="2319"/>
      <c r="BE131" s="970"/>
    </row>
    <row r="132" spans="1:57" ht="15.75" customHeight="1" thickBot="1">
      <c r="A132" s="974"/>
      <c r="B132" s="974"/>
      <c r="C132" s="974"/>
      <c r="D132" s="974"/>
      <c r="E132" s="974"/>
      <c r="F132" s="974"/>
      <c r="G132" s="974"/>
      <c r="H132" s="974"/>
      <c r="I132" s="974"/>
      <c r="J132" s="974"/>
      <c r="K132" s="974"/>
      <c r="L132" s="974"/>
      <c r="M132" s="974"/>
      <c r="N132" s="974"/>
      <c r="O132" s="974"/>
      <c r="P132" s="974"/>
      <c r="Q132" s="974"/>
      <c r="R132" s="974"/>
      <c r="S132" s="974"/>
      <c r="T132" s="974"/>
      <c r="U132" s="974"/>
      <c r="V132" s="974"/>
      <c r="W132" s="974"/>
      <c r="X132" s="2317"/>
      <c r="Y132" s="2318"/>
      <c r="Z132" s="2318"/>
      <c r="AA132" s="2318"/>
      <c r="AB132" s="2318"/>
      <c r="AC132" s="2318"/>
      <c r="AD132" s="2318"/>
      <c r="AE132" s="2318"/>
      <c r="AF132" s="2318"/>
      <c r="AG132" s="2318"/>
      <c r="AH132" s="2318"/>
      <c r="AI132" s="2318"/>
      <c r="AJ132" s="2318"/>
      <c r="AK132" s="2318"/>
      <c r="AL132" s="2318"/>
      <c r="AM132" s="2318"/>
      <c r="AN132" s="2318"/>
      <c r="AO132" s="2318"/>
      <c r="AP132" s="2318"/>
      <c r="AQ132" s="2318"/>
      <c r="AR132" s="2318"/>
      <c r="AS132" s="2318"/>
      <c r="AT132" s="2318"/>
      <c r="AU132" s="2318"/>
      <c r="AV132" s="2318"/>
      <c r="AW132" s="2318"/>
      <c r="AX132" s="2318"/>
      <c r="AY132" s="2318"/>
      <c r="AZ132" s="2318"/>
      <c r="BA132" s="2318"/>
      <c r="BB132" s="2318"/>
      <c r="BC132" s="2318"/>
      <c r="BD132" s="2319"/>
      <c r="BE132" s="970"/>
    </row>
    <row r="133" spans="1:57" ht="15.75" customHeight="1">
      <c r="A133" s="974"/>
      <c r="B133" s="2196" t="s">
        <v>2574</v>
      </c>
      <c r="C133" s="2197"/>
      <c r="D133" s="2197"/>
      <c r="E133" s="2197"/>
      <c r="F133" s="2197"/>
      <c r="G133" s="2197"/>
      <c r="H133" s="2197"/>
      <c r="I133" s="2197"/>
      <c r="J133" s="2197"/>
      <c r="K133" s="2197"/>
      <c r="L133" s="2197"/>
      <c r="M133" s="2197"/>
      <c r="N133" s="2197"/>
      <c r="O133" s="2197"/>
      <c r="P133" s="2197"/>
      <c r="Q133" s="2197"/>
      <c r="R133" s="2197"/>
      <c r="S133" s="2197"/>
      <c r="T133" s="2197"/>
      <c r="U133" s="2198"/>
      <c r="V133" s="974"/>
      <c r="W133" s="974"/>
      <c r="X133" s="2317"/>
      <c r="Y133" s="2318"/>
      <c r="Z133" s="2318"/>
      <c r="AA133" s="2318"/>
      <c r="AB133" s="2318"/>
      <c r="AC133" s="2318"/>
      <c r="AD133" s="2318"/>
      <c r="AE133" s="2318"/>
      <c r="AF133" s="2318"/>
      <c r="AG133" s="2318"/>
      <c r="AH133" s="2318"/>
      <c r="AI133" s="2318"/>
      <c r="AJ133" s="2318"/>
      <c r="AK133" s="2318"/>
      <c r="AL133" s="2318"/>
      <c r="AM133" s="2318"/>
      <c r="AN133" s="2318"/>
      <c r="AO133" s="2318"/>
      <c r="AP133" s="2318"/>
      <c r="AQ133" s="2318"/>
      <c r="AR133" s="2318"/>
      <c r="AS133" s="2318"/>
      <c r="AT133" s="2318"/>
      <c r="AU133" s="2318"/>
      <c r="AV133" s="2318"/>
      <c r="AW133" s="2318"/>
      <c r="AX133" s="2318"/>
      <c r="AY133" s="2318"/>
      <c r="AZ133" s="2318"/>
      <c r="BA133" s="2318"/>
      <c r="BB133" s="2318"/>
      <c r="BC133" s="2318"/>
      <c r="BD133" s="2319"/>
      <c r="BE133" s="970"/>
    </row>
    <row r="134" spans="1:57" ht="15.75" customHeight="1">
      <c r="A134" s="974"/>
      <c r="B134" s="2337"/>
      <c r="C134" s="2338"/>
      <c r="D134" s="2338"/>
      <c r="E134" s="2338"/>
      <c r="F134" s="2338"/>
      <c r="G134" s="2338"/>
      <c r="H134" s="2338"/>
      <c r="I134" s="2361" t="s">
        <v>2551</v>
      </c>
      <c r="J134" s="2361"/>
      <c r="K134" s="2361"/>
      <c r="L134" s="2361"/>
      <c r="M134" s="2361"/>
      <c r="N134" s="2361"/>
      <c r="O134" s="2361"/>
      <c r="P134" s="2361" t="s">
        <v>2552</v>
      </c>
      <c r="Q134" s="2361"/>
      <c r="R134" s="2361"/>
      <c r="S134" s="2361"/>
      <c r="T134" s="2361"/>
      <c r="U134" s="2362"/>
      <c r="V134" s="974"/>
      <c r="W134" s="974"/>
      <c r="X134" s="2317"/>
      <c r="Y134" s="2318"/>
      <c r="Z134" s="2318"/>
      <c r="AA134" s="2318"/>
      <c r="AB134" s="2318"/>
      <c r="AC134" s="2318"/>
      <c r="AD134" s="2318"/>
      <c r="AE134" s="2318"/>
      <c r="AF134" s="2318"/>
      <c r="AG134" s="2318"/>
      <c r="AH134" s="2318"/>
      <c r="AI134" s="2318"/>
      <c r="AJ134" s="2318"/>
      <c r="AK134" s="2318"/>
      <c r="AL134" s="2318"/>
      <c r="AM134" s="2318"/>
      <c r="AN134" s="2318"/>
      <c r="AO134" s="2318"/>
      <c r="AP134" s="2318"/>
      <c r="AQ134" s="2318"/>
      <c r="AR134" s="2318"/>
      <c r="AS134" s="2318"/>
      <c r="AT134" s="2318"/>
      <c r="AU134" s="2318"/>
      <c r="AV134" s="2318"/>
      <c r="AW134" s="2318"/>
      <c r="AX134" s="2318"/>
      <c r="AY134" s="2318"/>
      <c r="AZ134" s="2318"/>
      <c r="BA134" s="2318"/>
      <c r="BB134" s="2318"/>
      <c r="BC134" s="2318"/>
      <c r="BD134" s="2319"/>
      <c r="BE134" s="970"/>
    </row>
    <row r="135" spans="1:57" ht="15.75" customHeight="1">
      <c r="A135" s="974"/>
      <c r="B135" s="2337"/>
      <c r="C135" s="2338"/>
      <c r="D135" s="2338"/>
      <c r="E135" s="2338"/>
      <c r="F135" s="2338"/>
      <c r="G135" s="2338"/>
      <c r="H135" s="2338"/>
      <c r="I135" s="2361"/>
      <c r="J135" s="2361"/>
      <c r="K135" s="2361"/>
      <c r="L135" s="2361"/>
      <c r="M135" s="2361"/>
      <c r="N135" s="2361"/>
      <c r="O135" s="2361"/>
      <c r="P135" s="2361"/>
      <c r="Q135" s="2361"/>
      <c r="R135" s="2361"/>
      <c r="S135" s="2361"/>
      <c r="T135" s="2361"/>
      <c r="U135" s="2362"/>
      <c r="V135" s="974"/>
      <c r="W135" s="974"/>
      <c r="X135" s="2317"/>
      <c r="Y135" s="2318"/>
      <c r="Z135" s="2318"/>
      <c r="AA135" s="2318"/>
      <c r="AB135" s="2318"/>
      <c r="AC135" s="2318"/>
      <c r="AD135" s="2318"/>
      <c r="AE135" s="2318"/>
      <c r="AF135" s="2318"/>
      <c r="AG135" s="2318"/>
      <c r="AH135" s="2318"/>
      <c r="AI135" s="2318"/>
      <c r="AJ135" s="2318"/>
      <c r="AK135" s="2318"/>
      <c r="AL135" s="2318"/>
      <c r="AM135" s="2318"/>
      <c r="AN135" s="2318"/>
      <c r="AO135" s="2318"/>
      <c r="AP135" s="2318"/>
      <c r="AQ135" s="2318"/>
      <c r="AR135" s="2318"/>
      <c r="AS135" s="2318"/>
      <c r="AT135" s="2318"/>
      <c r="AU135" s="2318"/>
      <c r="AV135" s="2318"/>
      <c r="AW135" s="2318"/>
      <c r="AX135" s="2318"/>
      <c r="AY135" s="2318"/>
      <c r="AZ135" s="2318"/>
      <c r="BA135" s="2318"/>
      <c r="BB135" s="2318"/>
      <c r="BC135" s="2318"/>
      <c r="BD135" s="2319"/>
      <c r="BE135" s="970"/>
    </row>
    <row r="136" spans="1:57" ht="15.75" customHeight="1">
      <c r="A136" s="974"/>
      <c r="B136" s="2343" t="s">
        <v>2571</v>
      </c>
      <c r="C136" s="2344"/>
      <c r="D136" s="2344"/>
      <c r="E136" s="2344"/>
      <c r="F136" s="2344"/>
      <c r="G136" s="2344"/>
      <c r="H136" s="2344"/>
      <c r="I136" s="2131">
        <v>0</v>
      </c>
      <c r="J136" s="2131"/>
      <c r="K136" s="2131"/>
      <c r="L136" s="2131"/>
      <c r="M136" s="2131"/>
      <c r="N136" s="2131"/>
      <c r="O136" s="2131"/>
      <c r="P136" s="2131">
        <v>0</v>
      </c>
      <c r="Q136" s="2131"/>
      <c r="R136" s="2131"/>
      <c r="S136" s="2131"/>
      <c r="T136" s="2131"/>
      <c r="U136" s="2137"/>
      <c r="V136" s="974"/>
      <c r="W136" s="974"/>
      <c r="X136" s="2317"/>
      <c r="Y136" s="2318"/>
      <c r="Z136" s="2318"/>
      <c r="AA136" s="2318"/>
      <c r="AB136" s="2318"/>
      <c r="AC136" s="2318"/>
      <c r="AD136" s="2318"/>
      <c r="AE136" s="2318"/>
      <c r="AF136" s="2318"/>
      <c r="AG136" s="2318"/>
      <c r="AH136" s="2318"/>
      <c r="AI136" s="2318"/>
      <c r="AJ136" s="2318"/>
      <c r="AK136" s="2318"/>
      <c r="AL136" s="2318"/>
      <c r="AM136" s="2318"/>
      <c r="AN136" s="2318"/>
      <c r="AO136" s="2318"/>
      <c r="AP136" s="2318"/>
      <c r="AQ136" s="2318"/>
      <c r="AR136" s="2318"/>
      <c r="AS136" s="2318"/>
      <c r="AT136" s="2318"/>
      <c r="AU136" s="2318"/>
      <c r="AV136" s="2318"/>
      <c r="AW136" s="2318"/>
      <c r="AX136" s="2318"/>
      <c r="AY136" s="2318"/>
      <c r="AZ136" s="2318"/>
      <c r="BA136" s="2318"/>
      <c r="BB136" s="2318"/>
      <c r="BC136" s="2318"/>
      <c r="BD136" s="2319"/>
      <c r="BE136" s="970"/>
    </row>
    <row r="137" spans="1:57" ht="15.75" customHeight="1" thickBot="1">
      <c r="A137" s="974"/>
      <c r="B137" s="2345" t="s">
        <v>2572</v>
      </c>
      <c r="C137" s="2346"/>
      <c r="D137" s="2346"/>
      <c r="E137" s="2346"/>
      <c r="F137" s="2346"/>
      <c r="G137" s="2346"/>
      <c r="H137" s="2346"/>
      <c r="I137" s="2151">
        <v>0</v>
      </c>
      <c r="J137" s="2151"/>
      <c r="K137" s="2151"/>
      <c r="L137" s="2151"/>
      <c r="M137" s="2151"/>
      <c r="N137" s="2151"/>
      <c r="O137" s="2151"/>
      <c r="P137" s="2151">
        <v>0</v>
      </c>
      <c r="Q137" s="2151"/>
      <c r="R137" s="2151"/>
      <c r="S137" s="2151"/>
      <c r="T137" s="2151"/>
      <c r="U137" s="2152"/>
      <c r="V137" s="974"/>
      <c r="W137" s="974"/>
      <c r="X137" s="2320"/>
      <c r="Y137" s="2321"/>
      <c r="Z137" s="2321"/>
      <c r="AA137" s="2321"/>
      <c r="AB137" s="2321"/>
      <c r="AC137" s="2321"/>
      <c r="AD137" s="2321"/>
      <c r="AE137" s="2321"/>
      <c r="AF137" s="2321"/>
      <c r="AG137" s="2321"/>
      <c r="AH137" s="2321"/>
      <c r="AI137" s="2321"/>
      <c r="AJ137" s="2321"/>
      <c r="AK137" s="2321"/>
      <c r="AL137" s="2321"/>
      <c r="AM137" s="2321"/>
      <c r="AN137" s="2321"/>
      <c r="AO137" s="2321"/>
      <c r="AP137" s="2321"/>
      <c r="AQ137" s="2321"/>
      <c r="AR137" s="2321"/>
      <c r="AS137" s="2321"/>
      <c r="AT137" s="2321"/>
      <c r="AU137" s="2321"/>
      <c r="AV137" s="2321"/>
      <c r="AW137" s="2321"/>
      <c r="AX137" s="2321"/>
      <c r="AY137" s="2321"/>
      <c r="AZ137" s="2321"/>
      <c r="BA137" s="2321"/>
      <c r="BB137" s="2321"/>
      <c r="BC137" s="2321"/>
      <c r="BD137" s="2322"/>
      <c r="BE137" s="970"/>
    </row>
    <row r="138" spans="1:57" ht="15.75" customHeight="1" thickBot="1">
      <c r="A138" s="974"/>
      <c r="B138" s="974"/>
      <c r="C138" s="974"/>
      <c r="D138" s="974"/>
      <c r="E138" s="974"/>
      <c r="F138" s="974"/>
      <c r="G138" s="974"/>
      <c r="H138" s="974"/>
      <c r="I138" s="974"/>
      <c r="J138" s="974"/>
      <c r="K138" s="974"/>
      <c r="L138" s="974"/>
      <c r="M138" s="974"/>
      <c r="N138" s="974"/>
      <c r="O138" s="974"/>
      <c r="P138" s="974"/>
      <c r="Q138" s="995"/>
      <c r="R138" s="974"/>
      <c r="S138" s="974"/>
      <c r="T138" s="974"/>
      <c r="U138" s="974"/>
      <c r="V138" s="974"/>
      <c r="W138" s="974"/>
      <c r="X138" s="974"/>
      <c r="Y138" s="974"/>
      <c r="Z138" s="974"/>
      <c r="AA138" s="974"/>
      <c r="AB138" s="974"/>
      <c r="AC138" s="974"/>
      <c r="AD138" s="974"/>
      <c r="AE138" s="974"/>
      <c r="AF138" s="974"/>
      <c r="AG138" s="974"/>
      <c r="AH138" s="974"/>
      <c r="AI138" s="974"/>
      <c r="AJ138" s="974"/>
      <c r="AK138" s="974"/>
      <c r="AL138" s="974"/>
      <c r="AM138" s="974"/>
      <c r="AN138" s="974"/>
      <c r="AO138" s="974"/>
      <c r="AP138" s="974"/>
      <c r="AQ138" s="974"/>
      <c r="AR138" s="974"/>
      <c r="AS138" s="974"/>
      <c r="AT138" s="974"/>
      <c r="AU138" s="974"/>
      <c r="AV138" s="974"/>
      <c r="AW138" s="974"/>
      <c r="AX138" s="974"/>
      <c r="AY138" s="974"/>
      <c r="AZ138" s="974"/>
      <c r="BA138" s="974"/>
      <c r="BB138" s="974"/>
      <c r="BC138" s="974"/>
      <c r="BD138" s="974"/>
      <c r="BE138" s="970"/>
    </row>
    <row r="139" spans="1:57" ht="15.75" customHeight="1">
      <c r="A139" s="974"/>
      <c r="B139" s="2347" t="s">
        <v>2575</v>
      </c>
      <c r="C139" s="2348"/>
      <c r="D139" s="2348"/>
      <c r="E139" s="2348"/>
      <c r="F139" s="2348"/>
      <c r="G139" s="2348"/>
      <c r="H139" s="2348"/>
      <c r="I139" s="2348"/>
      <c r="J139" s="2348"/>
      <c r="K139" s="2348"/>
      <c r="L139" s="2348"/>
      <c r="M139" s="2348"/>
      <c r="N139" s="2348"/>
      <c r="O139" s="2348"/>
      <c r="P139" s="2348"/>
      <c r="Q139" s="2348"/>
      <c r="R139" s="2348"/>
      <c r="S139" s="2348"/>
      <c r="T139" s="2348"/>
      <c r="U139" s="2348"/>
      <c r="V139" s="2348"/>
      <c r="W139" s="2348"/>
      <c r="X139" s="2348"/>
      <c r="Y139" s="2348"/>
      <c r="Z139" s="2348"/>
      <c r="AA139" s="2348"/>
      <c r="AB139" s="2348"/>
      <c r="AC139" s="2348"/>
      <c r="AD139" s="2348"/>
      <c r="AE139" s="2348"/>
      <c r="AF139" s="2348"/>
      <c r="AG139" s="2348"/>
      <c r="AH139" s="2349" t="s">
        <v>837</v>
      </c>
      <c r="AI139" s="2349"/>
      <c r="AJ139" s="2349"/>
      <c r="AK139" s="2349"/>
      <c r="AL139" s="2349"/>
      <c r="AM139" s="2349"/>
      <c r="AN139" s="2349"/>
      <c r="AO139" s="2349"/>
      <c r="AP139" s="2349"/>
      <c r="AQ139" s="2349"/>
      <c r="AR139" s="2349"/>
      <c r="AS139" s="2349"/>
      <c r="AT139" s="2349"/>
      <c r="AU139" s="2349"/>
      <c r="AV139" s="2349"/>
      <c r="AW139" s="2349"/>
      <c r="AX139" s="2350"/>
      <c r="AY139" s="974"/>
      <c r="AZ139" s="974"/>
      <c r="BA139" s="974"/>
      <c r="BB139" s="974"/>
      <c r="BC139" s="974"/>
      <c r="BD139" s="974"/>
      <c r="BE139" s="970"/>
    </row>
    <row r="140" spans="1:57" ht="15.75" customHeight="1">
      <c r="A140" s="974"/>
      <c r="B140" s="2351" t="s">
        <v>2576</v>
      </c>
      <c r="C140" s="2352"/>
      <c r="D140" s="2352"/>
      <c r="E140" s="2352"/>
      <c r="F140" s="2352"/>
      <c r="G140" s="2352"/>
      <c r="H140" s="2352"/>
      <c r="I140" s="2352"/>
      <c r="J140" s="2352"/>
      <c r="K140" s="2352"/>
      <c r="L140" s="2352"/>
      <c r="M140" s="2352"/>
      <c r="N140" s="2352"/>
      <c r="O140" s="2352"/>
      <c r="P140" s="2352"/>
      <c r="Q140" s="2352"/>
      <c r="R140" s="2353" t="s">
        <v>2577</v>
      </c>
      <c r="S140" s="2353"/>
      <c r="T140" s="2353"/>
      <c r="U140" s="2353"/>
      <c r="V140" s="2353"/>
      <c r="W140" s="2353"/>
      <c r="X140" s="2353"/>
      <c r="Y140" s="2353"/>
      <c r="Z140" s="2353"/>
      <c r="AA140" s="2353"/>
      <c r="AB140" s="2353"/>
      <c r="AC140" s="2353"/>
      <c r="AD140" s="2353"/>
      <c r="AE140" s="2353"/>
      <c r="AF140" s="2353"/>
      <c r="AG140" s="2353"/>
      <c r="AH140" s="2353"/>
      <c r="AI140" s="2353"/>
      <c r="AJ140" s="2353"/>
      <c r="AK140" s="2353"/>
      <c r="AL140" s="2353"/>
      <c r="AM140" s="2353"/>
      <c r="AN140" s="2353"/>
      <c r="AO140" s="2353"/>
      <c r="AP140" s="2353"/>
      <c r="AQ140" s="2353"/>
      <c r="AR140" s="2353"/>
      <c r="AS140" s="2353"/>
      <c r="AT140" s="2353"/>
      <c r="AU140" s="2353"/>
      <c r="AV140" s="2353"/>
      <c r="AW140" s="2353"/>
      <c r="AX140" s="2354"/>
      <c r="AY140" s="974"/>
      <c r="AZ140" s="974"/>
      <c r="BA140" s="974"/>
      <c r="BB140" s="974"/>
      <c r="BC140" s="974" t="s">
        <v>253</v>
      </c>
      <c r="BD140" s="974"/>
      <c r="BE140" s="970"/>
    </row>
    <row r="141" spans="1:57" ht="15.75" customHeight="1">
      <c r="A141" s="974"/>
      <c r="B141" s="2355" t="s">
        <v>2578</v>
      </c>
      <c r="C141" s="2356"/>
      <c r="D141" s="2356"/>
      <c r="E141" s="2356"/>
      <c r="F141" s="2356"/>
      <c r="G141" s="2356"/>
      <c r="H141" s="2356"/>
      <c r="I141" s="2356"/>
      <c r="J141" s="2356"/>
      <c r="K141" s="2356"/>
      <c r="L141" s="2356"/>
      <c r="M141" s="2356"/>
      <c r="N141" s="2356"/>
      <c r="O141" s="2356"/>
      <c r="P141" s="2356"/>
      <c r="Q141" s="2356"/>
      <c r="R141" s="2356"/>
      <c r="S141" s="2356"/>
      <c r="T141" s="2356"/>
      <c r="U141" s="2356"/>
      <c r="V141" s="2356"/>
      <c r="W141" s="2356"/>
      <c r="X141" s="2356"/>
      <c r="Y141" s="2356"/>
      <c r="Z141" s="2356"/>
      <c r="AA141" s="2356"/>
      <c r="AB141" s="2356"/>
      <c r="AC141" s="2356"/>
      <c r="AD141" s="2356"/>
      <c r="AE141" s="2356"/>
      <c r="AF141" s="2356"/>
      <c r="AG141" s="2356"/>
      <c r="AH141" s="2356"/>
      <c r="AI141" s="2356"/>
      <c r="AJ141" s="2356"/>
      <c r="AK141" s="2356"/>
      <c r="AL141" s="2356"/>
      <c r="AM141" s="2356"/>
      <c r="AN141" s="2356"/>
      <c r="AO141" s="2356"/>
      <c r="AP141" s="2356"/>
      <c r="AQ141" s="2356"/>
      <c r="AR141" s="2356"/>
      <c r="AS141" s="2356"/>
      <c r="AT141" s="2356"/>
      <c r="AU141" s="2356"/>
      <c r="AV141" s="2356"/>
      <c r="AW141" s="2356"/>
      <c r="AX141" s="2357"/>
      <c r="AY141" s="974"/>
      <c r="AZ141" s="974"/>
      <c r="BA141" s="974"/>
      <c r="BB141" s="974"/>
      <c r="BC141" s="974"/>
      <c r="BD141" s="974"/>
      <c r="BE141" s="970"/>
    </row>
    <row r="142" spans="1:57" ht="15.75" customHeight="1">
      <c r="A142" s="974"/>
      <c r="B142" s="2355"/>
      <c r="C142" s="2356"/>
      <c r="D142" s="2356"/>
      <c r="E142" s="2356"/>
      <c r="F142" s="2356"/>
      <c r="G142" s="2356"/>
      <c r="H142" s="2356"/>
      <c r="I142" s="2356"/>
      <c r="J142" s="2356"/>
      <c r="K142" s="2356"/>
      <c r="L142" s="2356"/>
      <c r="M142" s="2356"/>
      <c r="N142" s="2356"/>
      <c r="O142" s="2356"/>
      <c r="P142" s="2356"/>
      <c r="Q142" s="2356"/>
      <c r="R142" s="2356"/>
      <c r="S142" s="2356"/>
      <c r="T142" s="2356"/>
      <c r="U142" s="2356"/>
      <c r="V142" s="2356"/>
      <c r="W142" s="2356"/>
      <c r="X142" s="2356"/>
      <c r="Y142" s="2356"/>
      <c r="Z142" s="2356"/>
      <c r="AA142" s="2356"/>
      <c r="AB142" s="2356"/>
      <c r="AC142" s="2356"/>
      <c r="AD142" s="2356"/>
      <c r="AE142" s="2356"/>
      <c r="AF142" s="2356"/>
      <c r="AG142" s="2356"/>
      <c r="AH142" s="2356"/>
      <c r="AI142" s="2356"/>
      <c r="AJ142" s="2356"/>
      <c r="AK142" s="2356"/>
      <c r="AL142" s="2356"/>
      <c r="AM142" s="2356"/>
      <c r="AN142" s="2356"/>
      <c r="AO142" s="2356"/>
      <c r="AP142" s="2356"/>
      <c r="AQ142" s="2356"/>
      <c r="AR142" s="2356"/>
      <c r="AS142" s="2356"/>
      <c r="AT142" s="2356"/>
      <c r="AU142" s="2356"/>
      <c r="AV142" s="2356"/>
      <c r="AW142" s="2356"/>
      <c r="AX142" s="2357"/>
      <c r="AY142" s="974"/>
      <c r="AZ142" s="974"/>
      <c r="BA142" s="974"/>
      <c r="BB142" s="974"/>
      <c r="BC142" s="974"/>
      <c r="BD142" s="974"/>
      <c r="BE142" s="970"/>
    </row>
    <row r="143" spans="1:57" ht="15.75" customHeight="1">
      <c r="A143" s="974"/>
      <c r="B143" s="2355"/>
      <c r="C143" s="2356"/>
      <c r="D143" s="2356"/>
      <c r="E143" s="2356"/>
      <c r="F143" s="2356"/>
      <c r="G143" s="2356"/>
      <c r="H143" s="2356"/>
      <c r="I143" s="2356"/>
      <c r="J143" s="2356"/>
      <c r="K143" s="2356"/>
      <c r="L143" s="2356"/>
      <c r="M143" s="2356"/>
      <c r="N143" s="2356"/>
      <c r="O143" s="2356"/>
      <c r="P143" s="2356"/>
      <c r="Q143" s="2356"/>
      <c r="R143" s="2356"/>
      <c r="S143" s="2356"/>
      <c r="T143" s="2356"/>
      <c r="U143" s="2356"/>
      <c r="V143" s="2356"/>
      <c r="W143" s="2356"/>
      <c r="X143" s="2356"/>
      <c r="Y143" s="2356"/>
      <c r="Z143" s="2356"/>
      <c r="AA143" s="2356"/>
      <c r="AB143" s="2356"/>
      <c r="AC143" s="2356"/>
      <c r="AD143" s="2356"/>
      <c r="AE143" s="2356"/>
      <c r="AF143" s="2356"/>
      <c r="AG143" s="2356"/>
      <c r="AH143" s="2356"/>
      <c r="AI143" s="2356"/>
      <c r="AJ143" s="2356"/>
      <c r="AK143" s="2356"/>
      <c r="AL143" s="2356"/>
      <c r="AM143" s="2356"/>
      <c r="AN143" s="2356"/>
      <c r="AO143" s="2356"/>
      <c r="AP143" s="2356"/>
      <c r="AQ143" s="2356"/>
      <c r="AR143" s="2356"/>
      <c r="AS143" s="2356"/>
      <c r="AT143" s="2356"/>
      <c r="AU143" s="2356"/>
      <c r="AV143" s="2356"/>
      <c r="AW143" s="2356"/>
      <c r="AX143" s="2357"/>
      <c r="AY143" s="974"/>
      <c r="AZ143" s="974"/>
      <c r="BA143" s="974"/>
      <c r="BB143" s="974"/>
      <c r="BC143" s="974"/>
      <c r="BD143" s="974"/>
      <c r="BE143" s="970"/>
    </row>
    <row r="144" spans="1:57" ht="15.75" customHeight="1">
      <c r="A144" s="974"/>
      <c r="B144" s="2355"/>
      <c r="C144" s="2356"/>
      <c r="D144" s="2356"/>
      <c r="E144" s="2356"/>
      <c r="F144" s="2356"/>
      <c r="G144" s="2356"/>
      <c r="H144" s="2356"/>
      <c r="I144" s="2356"/>
      <c r="J144" s="2356"/>
      <c r="K144" s="2356"/>
      <c r="L144" s="2356"/>
      <c r="M144" s="2356"/>
      <c r="N144" s="2356"/>
      <c r="O144" s="2356"/>
      <c r="P144" s="2356"/>
      <c r="Q144" s="2356"/>
      <c r="R144" s="2356"/>
      <c r="S144" s="2356"/>
      <c r="T144" s="2356"/>
      <c r="U144" s="2356"/>
      <c r="V144" s="2356"/>
      <c r="W144" s="2356"/>
      <c r="X144" s="2356"/>
      <c r="Y144" s="2356"/>
      <c r="Z144" s="2356"/>
      <c r="AA144" s="2356"/>
      <c r="AB144" s="2356"/>
      <c r="AC144" s="2356"/>
      <c r="AD144" s="2356"/>
      <c r="AE144" s="2356"/>
      <c r="AF144" s="2356"/>
      <c r="AG144" s="2356"/>
      <c r="AH144" s="2356"/>
      <c r="AI144" s="2356"/>
      <c r="AJ144" s="2356"/>
      <c r="AK144" s="2356"/>
      <c r="AL144" s="2356"/>
      <c r="AM144" s="2356"/>
      <c r="AN144" s="2356"/>
      <c r="AO144" s="2356"/>
      <c r="AP144" s="2356"/>
      <c r="AQ144" s="2356"/>
      <c r="AR144" s="2356"/>
      <c r="AS144" s="2356"/>
      <c r="AT144" s="2356"/>
      <c r="AU144" s="2356"/>
      <c r="AV144" s="2356"/>
      <c r="AW144" s="2356"/>
      <c r="AX144" s="2357"/>
      <c r="AY144" s="974"/>
      <c r="AZ144" s="974"/>
      <c r="BA144" s="974"/>
      <c r="BB144" s="974"/>
      <c r="BC144" s="974"/>
      <c r="BD144" s="974"/>
      <c r="BE144" s="970"/>
    </row>
    <row r="145" spans="1:57" ht="15.75" customHeight="1">
      <c r="A145" s="974"/>
      <c r="B145" s="2355"/>
      <c r="C145" s="2356"/>
      <c r="D145" s="2356"/>
      <c r="E145" s="2356"/>
      <c r="F145" s="2356"/>
      <c r="G145" s="2356"/>
      <c r="H145" s="2356"/>
      <c r="I145" s="2356"/>
      <c r="J145" s="2356"/>
      <c r="K145" s="2356"/>
      <c r="L145" s="2356"/>
      <c r="M145" s="2356"/>
      <c r="N145" s="2356"/>
      <c r="O145" s="2356"/>
      <c r="P145" s="2356"/>
      <c r="Q145" s="2356"/>
      <c r="R145" s="2356"/>
      <c r="S145" s="2356"/>
      <c r="T145" s="2356"/>
      <c r="U145" s="2356"/>
      <c r="V145" s="2356"/>
      <c r="W145" s="2356"/>
      <c r="X145" s="2356"/>
      <c r="Y145" s="2356"/>
      <c r="Z145" s="2356"/>
      <c r="AA145" s="2356"/>
      <c r="AB145" s="2356"/>
      <c r="AC145" s="2356"/>
      <c r="AD145" s="2356"/>
      <c r="AE145" s="2356"/>
      <c r="AF145" s="2356"/>
      <c r="AG145" s="2356"/>
      <c r="AH145" s="2356"/>
      <c r="AI145" s="2356"/>
      <c r="AJ145" s="2356"/>
      <c r="AK145" s="2356"/>
      <c r="AL145" s="2356"/>
      <c r="AM145" s="2356"/>
      <c r="AN145" s="2356"/>
      <c r="AO145" s="2356"/>
      <c r="AP145" s="2356"/>
      <c r="AQ145" s="2356"/>
      <c r="AR145" s="2356"/>
      <c r="AS145" s="2356"/>
      <c r="AT145" s="2356"/>
      <c r="AU145" s="2356"/>
      <c r="AV145" s="2356"/>
      <c r="AW145" s="2356"/>
      <c r="AX145" s="2357"/>
      <c r="AY145" s="974"/>
      <c r="AZ145" s="974"/>
      <c r="BA145" s="974"/>
      <c r="BB145" s="974"/>
      <c r="BC145" s="974"/>
      <c r="BD145" s="974"/>
      <c r="BE145" s="970"/>
    </row>
    <row r="146" spans="1:57" ht="15.75" customHeight="1">
      <c r="A146" s="974"/>
      <c r="B146" s="2355"/>
      <c r="C146" s="2356"/>
      <c r="D146" s="2356"/>
      <c r="E146" s="2356"/>
      <c r="F146" s="2356"/>
      <c r="G146" s="2356"/>
      <c r="H146" s="2356"/>
      <c r="I146" s="2356"/>
      <c r="J146" s="2356"/>
      <c r="K146" s="2356"/>
      <c r="L146" s="2356"/>
      <c r="M146" s="2356"/>
      <c r="N146" s="2356"/>
      <c r="O146" s="2356"/>
      <c r="P146" s="2356"/>
      <c r="Q146" s="2356"/>
      <c r="R146" s="2356"/>
      <c r="S146" s="2356"/>
      <c r="T146" s="2356"/>
      <c r="U146" s="2356"/>
      <c r="V146" s="2356"/>
      <c r="W146" s="2356"/>
      <c r="X146" s="2356"/>
      <c r="Y146" s="2356"/>
      <c r="Z146" s="2356"/>
      <c r="AA146" s="2356"/>
      <c r="AB146" s="2356"/>
      <c r="AC146" s="2356"/>
      <c r="AD146" s="2356"/>
      <c r="AE146" s="2356"/>
      <c r="AF146" s="2356"/>
      <c r="AG146" s="2356"/>
      <c r="AH146" s="2356"/>
      <c r="AI146" s="2356"/>
      <c r="AJ146" s="2356"/>
      <c r="AK146" s="2356"/>
      <c r="AL146" s="2356"/>
      <c r="AM146" s="2356"/>
      <c r="AN146" s="2356"/>
      <c r="AO146" s="2356"/>
      <c r="AP146" s="2356"/>
      <c r="AQ146" s="2356"/>
      <c r="AR146" s="2356"/>
      <c r="AS146" s="2356"/>
      <c r="AT146" s="2356"/>
      <c r="AU146" s="2356"/>
      <c r="AV146" s="2356"/>
      <c r="AW146" s="2356"/>
      <c r="AX146" s="2357"/>
      <c r="AY146" s="974"/>
      <c r="AZ146" s="974"/>
      <c r="BA146" s="974"/>
      <c r="BB146" s="974"/>
      <c r="BC146" s="974"/>
      <c r="BD146" s="974"/>
      <c r="BE146" s="970"/>
    </row>
    <row r="147" spans="1:57" ht="15.75" customHeight="1">
      <c r="A147" s="974"/>
      <c r="B147" s="2355"/>
      <c r="C147" s="2356"/>
      <c r="D147" s="2356"/>
      <c r="E147" s="2356"/>
      <c r="F147" s="2356"/>
      <c r="G147" s="2356"/>
      <c r="H147" s="2356"/>
      <c r="I147" s="2356"/>
      <c r="J147" s="2356"/>
      <c r="K147" s="2356"/>
      <c r="L147" s="2356"/>
      <c r="M147" s="2356"/>
      <c r="N147" s="2356"/>
      <c r="O147" s="2356"/>
      <c r="P147" s="2356"/>
      <c r="Q147" s="2356"/>
      <c r="R147" s="2356"/>
      <c r="S147" s="2356"/>
      <c r="T147" s="2356"/>
      <c r="U147" s="2356"/>
      <c r="V147" s="2356"/>
      <c r="W147" s="2356"/>
      <c r="X147" s="2356"/>
      <c r="Y147" s="2356"/>
      <c r="Z147" s="2356"/>
      <c r="AA147" s="2356"/>
      <c r="AB147" s="2356"/>
      <c r="AC147" s="2356"/>
      <c r="AD147" s="2356"/>
      <c r="AE147" s="2356"/>
      <c r="AF147" s="2356"/>
      <c r="AG147" s="2356"/>
      <c r="AH147" s="2356"/>
      <c r="AI147" s="2356"/>
      <c r="AJ147" s="2356"/>
      <c r="AK147" s="2356"/>
      <c r="AL147" s="2356"/>
      <c r="AM147" s="2356"/>
      <c r="AN147" s="2356"/>
      <c r="AO147" s="2356"/>
      <c r="AP147" s="2356"/>
      <c r="AQ147" s="2356"/>
      <c r="AR147" s="2356"/>
      <c r="AS147" s="2356"/>
      <c r="AT147" s="2356"/>
      <c r="AU147" s="2356"/>
      <c r="AV147" s="2356"/>
      <c r="AW147" s="2356"/>
      <c r="AX147" s="2357"/>
      <c r="AY147" s="974"/>
      <c r="AZ147" s="974"/>
      <c r="BA147" s="974"/>
      <c r="BB147" s="974"/>
      <c r="BC147" s="974"/>
      <c r="BD147" s="974"/>
      <c r="BE147" s="970"/>
    </row>
    <row r="148" spans="1:57" ht="15.75" customHeight="1">
      <c r="A148" s="974"/>
      <c r="B148" s="2355"/>
      <c r="C148" s="2356"/>
      <c r="D148" s="2356"/>
      <c r="E148" s="2356"/>
      <c r="F148" s="2356"/>
      <c r="G148" s="2356"/>
      <c r="H148" s="2356"/>
      <c r="I148" s="2356"/>
      <c r="J148" s="2356"/>
      <c r="K148" s="2356"/>
      <c r="L148" s="2356"/>
      <c r="M148" s="2356"/>
      <c r="N148" s="2356"/>
      <c r="O148" s="2356"/>
      <c r="P148" s="2356"/>
      <c r="Q148" s="2356"/>
      <c r="R148" s="2356"/>
      <c r="S148" s="2356"/>
      <c r="T148" s="2356"/>
      <c r="U148" s="2356"/>
      <c r="V148" s="2356"/>
      <c r="W148" s="2356"/>
      <c r="X148" s="2356"/>
      <c r="Y148" s="2356"/>
      <c r="Z148" s="2356"/>
      <c r="AA148" s="2356"/>
      <c r="AB148" s="2356"/>
      <c r="AC148" s="2356"/>
      <c r="AD148" s="2356"/>
      <c r="AE148" s="2356"/>
      <c r="AF148" s="2356"/>
      <c r="AG148" s="2356"/>
      <c r="AH148" s="2356"/>
      <c r="AI148" s="2356"/>
      <c r="AJ148" s="2356"/>
      <c r="AK148" s="2356"/>
      <c r="AL148" s="2356"/>
      <c r="AM148" s="2356"/>
      <c r="AN148" s="2356"/>
      <c r="AO148" s="2356"/>
      <c r="AP148" s="2356"/>
      <c r="AQ148" s="2356"/>
      <c r="AR148" s="2356"/>
      <c r="AS148" s="2356"/>
      <c r="AT148" s="2356"/>
      <c r="AU148" s="2356"/>
      <c r="AV148" s="2356"/>
      <c r="AW148" s="2356"/>
      <c r="AX148" s="2357"/>
      <c r="AY148" s="974"/>
      <c r="AZ148" s="974"/>
      <c r="BA148" s="974"/>
      <c r="BB148" s="974"/>
      <c r="BC148" s="974"/>
      <c r="BD148" s="974"/>
      <c r="BE148" s="970"/>
    </row>
    <row r="149" spans="1:57" ht="15.75" customHeight="1">
      <c r="A149" s="974"/>
      <c r="B149" s="2355"/>
      <c r="C149" s="2356"/>
      <c r="D149" s="2356"/>
      <c r="E149" s="2356"/>
      <c r="F149" s="2356"/>
      <c r="G149" s="2356"/>
      <c r="H149" s="2356"/>
      <c r="I149" s="2356"/>
      <c r="J149" s="2356"/>
      <c r="K149" s="2356"/>
      <c r="L149" s="2356"/>
      <c r="M149" s="2356"/>
      <c r="N149" s="2356"/>
      <c r="O149" s="2356"/>
      <c r="P149" s="2356"/>
      <c r="Q149" s="2356"/>
      <c r="R149" s="2356"/>
      <c r="S149" s="2356"/>
      <c r="T149" s="2356"/>
      <c r="U149" s="2356"/>
      <c r="V149" s="2356"/>
      <c r="W149" s="2356"/>
      <c r="X149" s="2356"/>
      <c r="Y149" s="2356"/>
      <c r="Z149" s="2356"/>
      <c r="AA149" s="2356"/>
      <c r="AB149" s="2356"/>
      <c r="AC149" s="2356"/>
      <c r="AD149" s="2356"/>
      <c r="AE149" s="2356"/>
      <c r="AF149" s="2356"/>
      <c r="AG149" s="2356"/>
      <c r="AH149" s="2356"/>
      <c r="AI149" s="2356"/>
      <c r="AJ149" s="2356"/>
      <c r="AK149" s="2356"/>
      <c r="AL149" s="2356"/>
      <c r="AM149" s="2356"/>
      <c r="AN149" s="2356"/>
      <c r="AO149" s="2356"/>
      <c r="AP149" s="2356"/>
      <c r="AQ149" s="2356"/>
      <c r="AR149" s="2356"/>
      <c r="AS149" s="2356"/>
      <c r="AT149" s="2356"/>
      <c r="AU149" s="2356"/>
      <c r="AV149" s="2356"/>
      <c r="AW149" s="2356"/>
      <c r="AX149" s="2357"/>
      <c r="AY149" s="974"/>
      <c r="AZ149" s="974"/>
      <c r="BA149" s="974"/>
      <c r="BB149" s="974"/>
      <c r="BC149" s="974"/>
      <c r="BD149" s="974"/>
      <c r="BE149" s="970"/>
    </row>
    <row r="150" spans="1:57" ht="15.75" customHeight="1" thickBot="1">
      <c r="A150" s="974"/>
      <c r="B150" s="2358"/>
      <c r="C150" s="2359"/>
      <c r="D150" s="2359"/>
      <c r="E150" s="2359"/>
      <c r="F150" s="2359"/>
      <c r="G150" s="2359"/>
      <c r="H150" s="2359"/>
      <c r="I150" s="2359"/>
      <c r="J150" s="2359"/>
      <c r="K150" s="2359"/>
      <c r="L150" s="2359"/>
      <c r="M150" s="2359"/>
      <c r="N150" s="2359"/>
      <c r="O150" s="2359"/>
      <c r="P150" s="2359"/>
      <c r="Q150" s="2359"/>
      <c r="R150" s="2359"/>
      <c r="S150" s="2359"/>
      <c r="T150" s="2359"/>
      <c r="U150" s="2359"/>
      <c r="V150" s="2359"/>
      <c r="W150" s="2359"/>
      <c r="X150" s="2359"/>
      <c r="Y150" s="2359"/>
      <c r="Z150" s="2359"/>
      <c r="AA150" s="2359"/>
      <c r="AB150" s="2359"/>
      <c r="AC150" s="2359"/>
      <c r="AD150" s="2359"/>
      <c r="AE150" s="2359"/>
      <c r="AF150" s="2359"/>
      <c r="AG150" s="2359"/>
      <c r="AH150" s="2359"/>
      <c r="AI150" s="2359"/>
      <c r="AJ150" s="2359"/>
      <c r="AK150" s="2359"/>
      <c r="AL150" s="2359"/>
      <c r="AM150" s="2359"/>
      <c r="AN150" s="2359"/>
      <c r="AO150" s="2359"/>
      <c r="AP150" s="2359"/>
      <c r="AQ150" s="2359"/>
      <c r="AR150" s="2359"/>
      <c r="AS150" s="2359"/>
      <c r="AT150" s="2359"/>
      <c r="AU150" s="2359"/>
      <c r="AV150" s="2359"/>
      <c r="AW150" s="2359"/>
      <c r="AX150" s="2360"/>
      <c r="AY150" s="974"/>
      <c r="AZ150" s="974"/>
      <c r="BA150" s="974"/>
      <c r="BB150" s="974"/>
      <c r="BC150" s="974"/>
      <c r="BD150" s="974"/>
      <c r="BE150" s="970"/>
    </row>
    <row r="151" spans="1:57" ht="15.75" customHeight="1" thickBot="1">
      <c r="A151" s="974"/>
      <c r="B151" s="974"/>
      <c r="C151" s="974"/>
      <c r="D151" s="974"/>
      <c r="E151" s="974"/>
      <c r="F151" s="974"/>
      <c r="G151" s="974"/>
      <c r="H151" s="974"/>
      <c r="I151" s="974"/>
      <c r="J151" s="974"/>
      <c r="K151" s="974"/>
      <c r="L151" s="974"/>
      <c r="M151" s="974"/>
      <c r="N151" s="974"/>
      <c r="O151" s="974"/>
      <c r="P151" s="974"/>
      <c r="Q151" s="974"/>
      <c r="R151" s="974"/>
      <c r="S151" s="974"/>
      <c r="T151" s="974"/>
      <c r="U151" s="974"/>
      <c r="V151" s="974"/>
      <c r="W151" s="974"/>
      <c r="X151" s="974"/>
      <c r="Y151" s="974"/>
      <c r="Z151" s="974"/>
      <c r="AA151" s="974"/>
      <c r="AB151" s="974"/>
      <c r="AC151" s="974"/>
      <c r="AD151" s="974"/>
      <c r="AE151" s="974"/>
      <c r="AF151" s="974"/>
      <c r="AG151" s="974"/>
      <c r="AH151" s="974"/>
      <c r="AI151" s="974"/>
      <c r="AJ151" s="974"/>
      <c r="AK151" s="974"/>
      <c r="AL151" s="974"/>
      <c r="AM151" s="974"/>
      <c r="AN151" s="974"/>
      <c r="AO151" s="974"/>
      <c r="AP151" s="974"/>
      <c r="AQ151" s="974"/>
      <c r="AR151" s="974"/>
      <c r="AS151" s="974"/>
      <c r="AT151" s="974"/>
      <c r="AU151" s="974"/>
      <c r="AV151" s="974"/>
      <c r="AW151" s="974"/>
      <c r="AX151" s="974"/>
      <c r="AY151" s="974"/>
      <c r="AZ151" s="974"/>
      <c r="BA151" s="974"/>
      <c r="BB151" s="974"/>
      <c r="BC151" s="974"/>
      <c r="BD151" s="974"/>
      <c r="BE151" s="970"/>
    </row>
    <row r="152" spans="1:57" ht="15.75" customHeight="1" thickBot="1">
      <c r="A152" s="974"/>
      <c r="B152" s="993" t="s">
        <v>2579</v>
      </c>
      <c r="C152" s="992"/>
      <c r="D152" s="992"/>
      <c r="E152" s="992"/>
      <c r="F152" s="992"/>
      <c r="G152" s="992"/>
      <c r="H152" s="992"/>
      <c r="I152" s="992"/>
      <c r="J152" s="992"/>
      <c r="K152" s="992"/>
      <c r="L152" s="992"/>
      <c r="M152" s="994"/>
      <c r="N152" s="984"/>
      <c r="O152" s="984"/>
      <c r="P152" s="974"/>
      <c r="Q152" s="974"/>
      <c r="R152" s="974"/>
      <c r="S152" s="974"/>
      <c r="T152" s="974"/>
      <c r="U152" s="974" t="s">
        <v>253</v>
      </c>
      <c r="V152" s="974"/>
      <c r="W152" s="974"/>
      <c r="X152" s="993" t="s">
        <v>2580</v>
      </c>
      <c r="Y152" s="992"/>
      <c r="Z152" s="992"/>
      <c r="AA152" s="992"/>
      <c r="AB152" s="992"/>
      <c r="AC152" s="992"/>
      <c r="AD152" s="992"/>
      <c r="AE152" s="992"/>
      <c r="AF152" s="992"/>
      <c r="AG152" s="992"/>
      <c r="AH152" s="992"/>
      <c r="AI152" s="992"/>
      <c r="AJ152" s="992"/>
      <c r="AK152" s="991"/>
      <c r="AL152" s="991"/>
      <c r="AM152" s="990"/>
      <c r="AN152" s="974"/>
      <c r="AO152" s="974"/>
      <c r="AP152" s="974"/>
      <c r="AQ152" s="974"/>
      <c r="AR152" s="974"/>
      <c r="AS152" s="974"/>
      <c r="AT152" s="974"/>
      <c r="AU152" s="974"/>
      <c r="AV152" s="974"/>
      <c r="AW152" s="974"/>
      <c r="AX152" s="974"/>
      <c r="AY152" s="974"/>
      <c r="AZ152" s="974"/>
      <c r="BA152" s="974"/>
      <c r="BB152" s="974"/>
      <c r="BC152" s="974"/>
      <c r="BD152" s="974"/>
      <c r="BE152" s="970"/>
    </row>
    <row r="153" spans="1:57" ht="15.75" customHeight="1" thickBot="1">
      <c r="A153" s="974"/>
      <c r="B153" s="974"/>
      <c r="C153" s="974"/>
      <c r="D153" s="974"/>
      <c r="E153" s="974"/>
      <c r="F153" s="974"/>
      <c r="G153" s="974"/>
      <c r="H153" s="974"/>
      <c r="I153" s="974"/>
      <c r="J153" s="974"/>
      <c r="K153" s="974"/>
      <c r="L153" s="974"/>
      <c r="M153" s="974"/>
      <c r="N153" s="974"/>
      <c r="O153" s="974"/>
      <c r="P153" s="984"/>
      <c r="Q153" s="974"/>
      <c r="R153" s="974"/>
      <c r="S153" s="974"/>
      <c r="T153" s="974"/>
      <c r="U153" s="974"/>
      <c r="V153" s="974"/>
      <c r="W153" s="974"/>
      <c r="X153" s="974"/>
      <c r="Y153" s="974"/>
      <c r="Z153" s="974"/>
      <c r="AA153" s="974"/>
      <c r="AB153" s="974"/>
      <c r="AC153" s="974"/>
      <c r="AD153" s="974"/>
      <c r="AE153" s="974"/>
      <c r="AF153" s="974"/>
      <c r="AG153" s="974"/>
      <c r="AH153" s="974"/>
      <c r="AI153" s="974"/>
      <c r="AJ153" s="974"/>
      <c r="AK153" s="974"/>
      <c r="AL153" s="974"/>
      <c r="AM153" s="974"/>
      <c r="AN153" s="974"/>
      <c r="AO153" s="974"/>
      <c r="AP153" s="974"/>
      <c r="AQ153" s="974"/>
      <c r="AR153" s="974"/>
      <c r="AS153" s="974"/>
      <c r="AT153" s="974"/>
      <c r="AU153" s="974"/>
      <c r="AV153" s="974"/>
      <c r="AW153" s="974"/>
      <c r="AX153" s="974"/>
      <c r="AY153" s="974"/>
      <c r="AZ153" s="974"/>
      <c r="BA153" s="974"/>
      <c r="BB153" s="974"/>
      <c r="BC153" s="974"/>
      <c r="BD153" s="974"/>
      <c r="BE153" s="970"/>
    </row>
    <row r="154" spans="1:57" ht="15.75" customHeight="1">
      <c r="A154" s="974"/>
      <c r="B154" s="2284" t="s">
        <v>2581</v>
      </c>
      <c r="C154" s="2285"/>
      <c r="D154" s="2285"/>
      <c r="E154" s="2285"/>
      <c r="F154" s="2285"/>
      <c r="G154" s="2285"/>
      <c r="H154" s="2285"/>
      <c r="I154" s="2285"/>
      <c r="J154" s="2285"/>
      <c r="K154" s="2285"/>
      <c r="L154" s="2285"/>
      <c r="M154" s="2285"/>
      <c r="N154" s="2285"/>
      <c r="O154" s="2285"/>
      <c r="P154" s="2285"/>
      <c r="Q154" s="2285"/>
      <c r="R154" s="2285"/>
      <c r="S154" s="2285"/>
      <c r="T154" s="2285"/>
      <c r="U154" s="2286"/>
      <c r="V154" s="974"/>
      <c r="W154" s="982"/>
      <c r="X154" s="2284" t="s">
        <v>2582</v>
      </c>
      <c r="Y154" s="2285"/>
      <c r="Z154" s="2285"/>
      <c r="AA154" s="2285"/>
      <c r="AB154" s="2285"/>
      <c r="AC154" s="2285"/>
      <c r="AD154" s="2285"/>
      <c r="AE154" s="2285"/>
      <c r="AF154" s="2285"/>
      <c r="AG154" s="2285"/>
      <c r="AH154" s="2285"/>
      <c r="AI154" s="2285"/>
      <c r="AJ154" s="2285"/>
      <c r="AK154" s="2285"/>
      <c r="AL154" s="2285"/>
      <c r="AM154" s="2285"/>
      <c r="AN154" s="2285"/>
      <c r="AO154" s="2285"/>
      <c r="AP154" s="2285"/>
      <c r="AQ154" s="2286"/>
      <c r="AR154" s="974"/>
      <c r="AS154" s="974"/>
      <c r="AT154" s="974"/>
      <c r="AU154" s="974"/>
      <c r="AV154" s="974"/>
      <c r="AW154" s="974"/>
      <c r="AX154" s="974"/>
      <c r="AY154" s="974"/>
      <c r="AZ154" s="974"/>
      <c r="BA154" s="974"/>
      <c r="BB154" s="974"/>
      <c r="BC154" s="974"/>
      <c r="BD154" s="974"/>
      <c r="BE154" s="970"/>
    </row>
    <row r="155" spans="1:57" ht="15.75" customHeight="1">
      <c r="A155" s="974"/>
      <c r="B155" s="2337"/>
      <c r="C155" s="2338"/>
      <c r="D155" s="2338"/>
      <c r="E155" s="2338"/>
      <c r="F155" s="2338"/>
      <c r="G155" s="2338"/>
      <c r="H155" s="2338"/>
      <c r="I155" s="2361" t="s">
        <v>2551</v>
      </c>
      <c r="J155" s="2361"/>
      <c r="K155" s="2361"/>
      <c r="L155" s="2361"/>
      <c r="M155" s="2361"/>
      <c r="N155" s="2361"/>
      <c r="O155" s="2361"/>
      <c r="P155" s="2361" t="s">
        <v>2583</v>
      </c>
      <c r="Q155" s="2361"/>
      <c r="R155" s="2361"/>
      <c r="S155" s="2361"/>
      <c r="T155" s="2361"/>
      <c r="U155" s="2362"/>
      <c r="V155" s="974"/>
      <c r="W155" s="974"/>
      <c r="X155" s="2337"/>
      <c r="Y155" s="2338"/>
      <c r="Z155" s="2338"/>
      <c r="AA155" s="2338"/>
      <c r="AB155" s="2338"/>
      <c r="AC155" s="2338"/>
      <c r="AD155" s="2338"/>
      <c r="AE155" s="2361" t="s">
        <v>2551</v>
      </c>
      <c r="AF155" s="2361"/>
      <c r="AG155" s="2361"/>
      <c r="AH155" s="2361"/>
      <c r="AI155" s="2361"/>
      <c r="AJ155" s="2361"/>
      <c r="AK155" s="2361"/>
      <c r="AL155" s="2361" t="s">
        <v>2552</v>
      </c>
      <c r="AM155" s="2361"/>
      <c r="AN155" s="2361"/>
      <c r="AO155" s="2361"/>
      <c r="AP155" s="2361"/>
      <c r="AQ155" s="2362"/>
      <c r="AR155" s="974"/>
      <c r="AS155" s="974"/>
      <c r="AT155" s="974"/>
      <c r="AU155" s="974"/>
      <c r="AV155" s="974"/>
      <c r="AW155" s="974"/>
      <c r="AX155" s="974"/>
      <c r="AY155" s="974"/>
      <c r="AZ155" s="974"/>
      <c r="BA155" s="974"/>
      <c r="BB155" s="974"/>
      <c r="BC155" s="974"/>
      <c r="BD155" s="974"/>
      <c r="BE155" s="970"/>
    </row>
    <row r="156" spans="1:57" ht="15.75" customHeight="1">
      <c r="A156" s="974"/>
      <c r="B156" s="2337"/>
      <c r="C156" s="2338"/>
      <c r="D156" s="2338"/>
      <c r="E156" s="2338"/>
      <c r="F156" s="2338"/>
      <c r="G156" s="2338"/>
      <c r="H156" s="2338"/>
      <c r="I156" s="2361"/>
      <c r="J156" s="2361"/>
      <c r="K156" s="2361"/>
      <c r="L156" s="2361"/>
      <c r="M156" s="2361"/>
      <c r="N156" s="2361"/>
      <c r="O156" s="2361"/>
      <c r="P156" s="2361"/>
      <c r="Q156" s="2361"/>
      <c r="R156" s="2361"/>
      <c r="S156" s="2361"/>
      <c r="T156" s="2361"/>
      <c r="U156" s="2362"/>
      <c r="V156" s="974"/>
      <c r="W156" s="974"/>
      <c r="X156" s="2337"/>
      <c r="Y156" s="2338"/>
      <c r="Z156" s="2338"/>
      <c r="AA156" s="2338"/>
      <c r="AB156" s="2338"/>
      <c r="AC156" s="2338"/>
      <c r="AD156" s="2338"/>
      <c r="AE156" s="2361"/>
      <c r="AF156" s="2361"/>
      <c r="AG156" s="2361"/>
      <c r="AH156" s="2361"/>
      <c r="AI156" s="2361"/>
      <c r="AJ156" s="2361"/>
      <c r="AK156" s="2361"/>
      <c r="AL156" s="2361"/>
      <c r="AM156" s="2361"/>
      <c r="AN156" s="2361"/>
      <c r="AO156" s="2361"/>
      <c r="AP156" s="2361"/>
      <c r="AQ156" s="2362"/>
      <c r="AR156" s="974"/>
      <c r="AS156" s="974"/>
      <c r="AT156" s="974"/>
      <c r="AU156" s="974"/>
      <c r="AV156" s="974"/>
      <c r="AW156" s="974"/>
      <c r="AX156" s="974"/>
      <c r="AY156" s="974"/>
      <c r="AZ156" s="974"/>
      <c r="BA156" s="974"/>
      <c r="BB156" s="974"/>
      <c r="BC156" s="974"/>
      <c r="BD156" s="974"/>
      <c r="BE156" s="970"/>
    </row>
    <row r="157" spans="1:57" ht="15.75" customHeight="1" thickBot="1">
      <c r="A157" s="974"/>
      <c r="B157" s="2343" t="s">
        <v>2571</v>
      </c>
      <c r="C157" s="2344"/>
      <c r="D157" s="2344"/>
      <c r="E157" s="2344"/>
      <c r="F157" s="2344"/>
      <c r="G157" s="2344"/>
      <c r="H157" s="2344"/>
      <c r="I157" s="2131">
        <v>0</v>
      </c>
      <c r="J157" s="2131"/>
      <c r="K157" s="2131"/>
      <c r="L157" s="2131"/>
      <c r="M157" s="2131"/>
      <c r="N157" s="2131"/>
      <c r="O157" s="2131"/>
      <c r="P157" s="2131">
        <v>0</v>
      </c>
      <c r="Q157" s="2131"/>
      <c r="R157" s="2131"/>
      <c r="S157" s="2131"/>
      <c r="T157" s="2131"/>
      <c r="U157" s="2137"/>
      <c r="V157" s="974"/>
      <c r="W157" s="974"/>
      <c r="X157" s="2345" t="s">
        <v>2571</v>
      </c>
      <c r="Y157" s="2346"/>
      <c r="Z157" s="2346"/>
      <c r="AA157" s="2346"/>
      <c r="AB157" s="2346"/>
      <c r="AC157" s="2346"/>
      <c r="AD157" s="2346"/>
      <c r="AE157" s="2151">
        <v>0</v>
      </c>
      <c r="AF157" s="2151"/>
      <c r="AG157" s="2151"/>
      <c r="AH157" s="2151"/>
      <c r="AI157" s="2151"/>
      <c r="AJ157" s="2151"/>
      <c r="AK157" s="2151"/>
      <c r="AL157" s="2151">
        <v>0</v>
      </c>
      <c r="AM157" s="2151"/>
      <c r="AN157" s="2151"/>
      <c r="AO157" s="2151"/>
      <c r="AP157" s="2151"/>
      <c r="AQ157" s="2152"/>
      <c r="AR157" s="974"/>
      <c r="AS157" s="974"/>
      <c r="AT157" s="974"/>
      <c r="AU157" s="974"/>
      <c r="AV157" s="974"/>
      <c r="AW157" s="974"/>
      <c r="AX157" s="974"/>
      <c r="AY157" s="974"/>
      <c r="AZ157" s="974"/>
      <c r="BA157" s="974"/>
      <c r="BB157" s="974"/>
      <c r="BC157" s="974"/>
      <c r="BD157" s="974"/>
      <c r="BE157" s="970"/>
    </row>
    <row r="158" spans="1:57" ht="15.75" customHeight="1" thickBot="1">
      <c r="A158" s="974"/>
      <c r="B158" s="2345" t="s">
        <v>2572</v>
      </c>
      <c r="C158" s="2346"/>
      <c r="D158" s="2346"/>
      <c r="E158" s="2346"/>
      <c r="F158" s="2346"/>
      <c r="G158" s="2346"/>
      <c r="H158" s="2346"/>
      <c r="I158" s="2151">
        <v>0</v>
      </c>
      <c r="J158" s="2151"/>
      <c r="K158" s="2151"/>
      <c r="L158" s="2151"/>
      <c r="M158" s="2151"/>
      <c r="N158" s="2151"/>
      <c r="O158" s="2151"/>
      <c r="P158" s="2151">
        <v>0</v>
      </c>
      <c r="Q158" s="2151"/>
      <c r="R158" s="2151"/>
      <c r="S158" s="2151"/>
      <c r="T158" s="2151"/>
      <c r="U158" s="2152"/>
      <c r="V158" s="974"/>
      <c r="W158" s="974"/>
      <c r="X158" s="974"/>
      <c r="Y158" s="974"/>
      <c r="Z158" s="974"/>
      <c r="AA158" s="974"/>
      <c r="AB158" s="974"/>
      <c r="AC158" s="974"/>
      <c r="AD158" s="974"/>
      <c r="AE158" s="974"/>
      <c r="AF158" s="974"/>
      <c r="AG158" s="974"/>
      <c r="AH158" s="974"/>
      <c r="AI158" s="974"/>
      <c r="AJ158" s="974"/>
      <c r="AK158" s="974"/>
      <c r="AL158" s="974"/>
      <c r="AM158" s="974"/>
      <c r="AN158" s="974"/>
      <c r="AO158" s="974"/>
      <c r="AP158" s="974"/>
      <c r="AQ158" s="974"/>
      <c r="AR158" s="974"/>
      <c r="AS158" s="974"/>
      <c r="AT158" s="974"/>
      <c r="AU158" s="974"/>
      <c r="AV158" s="974"/>
      <c r="AW158" s="974"/>
      <c r="AX158" s="974"/>
      <c r="AY158" s="974"/>
      <c r="AZ158" s="974"/>
      <c r="BA158" s="974"/>
      <c r="BB158" s="974"/>
      <c r="BC158" s="974"/>
      <c r="BD158" s="974"/>
      <c r="BE158" s="970"/>
    </row>
    <row r="159" spans="1:57" ht="15.75" customHeight="1" thickBot="1">
      <c r="A159" s="974"/>
      <c r="B159" s="974"/>
      <c r="C159" s="974"/>
      <c r="D159" s="974"/>
      <c r="E159" s="974"/>
      <c r="F159" s="974"/>
      <c r="G159" s="974"/>
      <c r="H159" s="974"/>
      <c r="I159" s="974"/>
      <c r="J159" s="974"/>
      <c r="K159" s="974"/>
      <c r="L159" s="974"/>
      <c r="M159" s="974"/>
      <c r="N159" s="974"/>
      <c r="O159" s="974"/>
      <c r="P159" s="974"/>
      <c r="Q159" s="974"/>
      <c r="R159" s="974"/>
      <c r="S159" s="974"/>
      <c r="T159" s="974"/>
      <c r="U159" s="974"/>
      <c r="V159" s="974"/>
      <c r="W159" s="974"/>
      <c r="X159" s="974"/>
      <c r="Y159" s="974"/>
      <c r="Z159" s="974"/>
      <c r="AA159" s="974"/>
      <c r="AB159" s="974"/>
      <c r="AC159" s="974"/>
      <c r="AD159" s="974"/>
      <c r="AE159" s="974"/>
      <c r="AF159" s="974"/>
      <c r="AG159" s="974"/>
      <c r="AH159" s="974"/>
      <c r="AI159" s="974"/>
      <c r="AJ159" s="974"/>
      <c r="AK159" s="974"/>
      <c r="AL159" s="974"/>
      <c r="AM159" s="974"/>
      <c r="AN159" s="974"/>
      <c r="AO159" s="974"/>
      <c r="AP159" s="974"/>
      <c r="AQ159" s="974"/>
      <c r="AR159" s="974"/>
      <c r="AS159" s="974"/>
      <c r="AT159" s="974"/>
      <c r="AU159" s="974"/>
      <c r="AV159" s="974"/>
      <c r="AW159" s="974"/>
      <c r="AX159" s="974"/>
      <c r="AY159" s="974"/>
      <c r="AZ159" s="974"/>
      <c r="BA159" s="974"/>
      <c r="BB159" s="974"/>
      <c r="BC159" s="974"/>
      <c r="BD159" s="974"/>
      <c r="BE159" s="970"/>
    </row>
    <row r="160" spans="1:57" ht="15.75" customHeight="1">
      <c r="A160" s="974"/>
      <c r="B160" s="974"/>
      <c r="C160" s="2284" t="s">
        <v>2584</v>
      </c>
      <c r="D160" s="2285"/>
      <c r="E160" s="2285"/>
      <c r="F160" s="2285"/>
      <c r="G160" s="2285"/>
      <c r="H160" s="2285"/>
      <c r="I160" s="2285"/>
      <c r="J160" s="2285"/>
      <c r="K160" s="2285"/>
      <c r="L160" s="2285"/>
      <c r="M160" s="2285"/>
      <c r="N160" s="2285"/>
      <c r="O160" s="2285"/>
      <c r="P160" s="2285"/>
      <c r="Q160" s="2285"/>
      <c r="R160" s="2285"/>
      <c r="S160" s="2285"/>
      <c r="T160" s="2285"/>
      <c r="U160" s="2285"/>
      <c r="V160" s="2285"/>
      <c r="W160" s="2285"/>
      <c r="X160" s="2285"/>
      <c r="Y160" s="2285"/>
      <c r="Z160" s="2285"/>
      <c r="AA160" s="2285"/>
      <c r="AB160" s="2285"/>
      <c r="AC160" s="2285"/>
      <c r="AD160" s="2285"/>
      <c r="AE160" s="2285"/>
      <c r="AF160" s="2285"/>
      <c r="AG160" s="2286"/>
      <c r="AH160" s="974"/>
      <c r="AI160" s="974"/>
      <c r="AJ160" s="974"/>
      <c r="AK160" s="974"/>
      <c r="AL160" s="974"/>
      <c r="AM160" s="974"/>
      <c r="AN160" s="974"/>
      <c r="AO160" s="974"/>
      <c r="AP160" s="974"/>
      <c r="AQ160" s="974"/>
      <c r="AR160" s="974"/>
      <c r="AS160" s="974"/>
      <c r="AT160" s="974"/>
      <c r="AU160" s="974"/>
      <c r="AV160" s="974"/>
      <c r="AW160" s="974"/>
      <c r="AX160" s="974"/>
      <c r="AY160" s="974"/>
      <c r="AZ160" s="974"/>
      <c r="BA160" s="974"/>
      <c r="BB160" s="974"/>
      <c r="BC160" s="974"/>
      <c r="BD160" s="974"/>
      <c r="BE160" s="970"/>
    </row>
    <row r="161" spans="1:57" ht="15.75" customHeight="1">
      <c r="A161" s="974"/>
      <c r="B161" s="974"/>
      <c r="C161" s="2337" t="s">
        <v>2585</v>
      </c>
      <c r="D161" s="2338"/>
      <c r="E161" s="2338"/>
      <c r="F161" s="2338"/>
      <c r="G161" s="2338"/>
      <c r="H161" s="2338"/>
      <c r="I161" s="2338"/>
      <c r="J161" s="2338"/>
      <c r="K161" s="2338"/>
      <c r="L161" s="2338"/>
      <c r="M161" s="2338"/>
      <c r="N161" s="2338"/>
      <c r="O161" s="2338"/>
      <c r="P161" s="2338"/>
      <c r="Q161" s="2338" t="s">
        <v>2586</v>
      </c>
      <c r="R161" s="2338"/>
      <c r="S161" s="2338"/>
      <c r="T161" s="2127" t="s">
        <v>2587</v>
      </c>
      <c r="U161" s="2127"/>
      <c r="V161" s="2127"/>
      <c r="W161" s="2127"/>
      <c r="X161" s="2127"/>
      <c r="Y161" s="2127"/>
      <c r="Z161" s="2127"/>
      <c r="AA161" s="2127"/>
      <c r="AB161" s="2338" t="s">
        <v>2588</v>
      </c>
      <c r="AC161" s="2338"/>
      <c r="AD161" s="2338"/>
      <c r="AE161" s="2338"/>
      <c r="AF161" s="2338"/>
      <c r="AG161" s="2363"/>
      <c r="AH161" s="974"/>
      <c r="AI161" s="974"/>
      <c r="AJ161" s="974"/>
      <c r="AK161" s="974"/>
      <c r="AL161" s="974"/>
      <c r="AM161" s="974"/>
      <c r="AN161" s="974"/>
      <c r="AO161" s="974"/>
      <c r="AP161" s="974"/>
      <c r="AQ161" s="974"/>
      <c r="AR161" s="974"/>
      <c r="AS161" s="974"/>
      <c r="AT161" s="974"/>
      <c r="AU161" s="974"/>
      <c r="AV161" s="974"/>
      <c r="AW161" s="974"/>
      <c r="AX161" s="974"/>
      <c r="AY161" s="974"/>
      <c r="AZ161" s="974"/>
      <c r="BA161" s="974"/>
      <c r="BB161" s="974"/>
      <c r="BC161" s="974"/>
      <c r="BD161" s="974"/>
      <c r="BE161" s="970"/>
    </row>
    <row r="162" spans="1:57" ht="15.75" customHeight="1">
      <c r="A162" s="974"/>
      <c r="B162" s="974"/>
      <c r="C162" s="2364" t="s">
        <v>2589</v>
      </c>
      <c r="D162" s="2365"/>
      <c r="E162" s="2365"/>
      <c r="F162" s="2365"/>
      <c r="G162" s="2365"/>
      <c r="H162" s="2365"/>
      <c r="I162" s="2365"/>
      <c r="J162" s="2365"/>
      <c r="K162" s="2365"/>
      <c r="L162" s="2365"/>
      <c r="M162" s="2365"/>
      <c r="N162" s="2365"/>
      <c r="O162" s="2365"/>
      <c r="P162" s="2365"/>
      <c r="Q162" s="2366">
        <v>55</v>
      </c>
      <c r="R162" s="2366"/>
      <c r="S162" s="2366"/>
      <c r="T162" s="2367"/>
      <c r="U162" s="2367"/>
      <c r="V162" s="2367"/>
      <c r="W162" s="2367"/>
      <c r="X162" s="2367"/>
      <c r="Y162" s="2367"/>
      <c r="Z162" s="2367"/>
      <c r="AA162" s="2367"/>
      <c r="AB162" s="989"/>
      <c r="AC162" s="989"/>
      <c r="AD162" s="989"/>
      <c r="AE162" s="989"/>
      <c r="AF162" s="989"/>
      <c r="AG162" s="988"/>
      <c r="AH162" s="974"/>
      <c r="AI162" s="974"/>
      <c r="AJ162" s="974"/>
      <c r="AK162" s="974"/>
      <c r="AL162" s="974"/>
      <c r="AM162" s="974"/>
      <c r="AN162" s="974"/>
      <c r="AO162" s="974"/>
      <c r="AP162" s="974" t="s">
        <v>253</v>
      </c>
      <c r="AQ162" s="974"/>
      <c r="AR162" s="974"/>
      <c r="AS162" s="974"/>
      <c r="AT162" s="974"/>
      <c r="AU162" s="974"/>
      <c r="AV162" s="974"/>
      <c r="AW162" s="974"/>
      <c r="AX162" s="974"/>
      <c r="AY162" s="974"/>
      <c r="AZ162" s="974"/>
      <c r="BA162" s="974"/>
      <c r="BB162" s="974"/>
      <c r="BC162" s="974"/>
      <c r="BD162" s="974"/>
      <c r="BE162" s="970"/>
    </row>
    <row r="163" spans="1:57" ht="15.75" customHeight="1">
      <c r="A163" s="974"/>
      <c r="B163" s="974"/>
      <c r="C163" s="2364" t="s">
        <v>2590</v>
      </c>
      <c r="D163" s="2365"/>
      <c r="E163" s="2365"/>
      <c r="F163" s="2365"/>
      <c r="G163" s="2365"/>
      <c r="H163" s="2365"/>
      <c r="I163" s="2365"/>
      <c r="J163" s="2365"/>
      <c r="K163" s="2365"/>
      <c r="L163" s="2365"/>
      <c r="M163" s="2365"/>
      <c r="N163" s="2365"/>
      <c r="O163" s="2365"/>
      <c r="P163" s="2365"/>
      <c r="Q163" s="2366">
        <v>55</v>
      </c>
      <c r="R163" s="2366"/>
      <c r="S163" s="2366"/>
      <c r="T163" s="2370"/>
      <c r="U163" s="2370"/>
      <c r="V163" s="2370"/>
      <c r="W163" s="2370"/>
      <c r="X163" s="2370"/>
      <c r="Y163" s="2370"/>
      <c r="Z163" s="2370"/>
      <c r="AA163" s="2370"/>
      <c r="AB163" s="989"/>
      <c r="AC163" s="989"/>
      <c r="AD163" s="989"/>
      <c r="AE163" s="989"/>
      <c r="AF163" s="989"/>
      <c r="AG163" s="988"/>
      <c r="AH163" s="974"/>
      <c r="AI163" s="974"/>
      <c r="AJ163" s="974"/>
      <c r="AK163" s="974"/>
      <c r="AL163" s="974"/>
      <c r="AM163" s="974"/>
      <c r="AN163" s="974"/>
      <c r="AO163" s="974"/>
      <c r="AP163" s="974"/>
      <c r="AQ163" s="974"/>
      <c r="AR163" s="974"/>
      <c r="AS163" s="974"/>
      <c r="AT163" s="974"/>
      <c r="AU163" s="974"/>
      <c r="AV163" s="974"/>
      <c r="AW163" s="974"/>
      <c r="AX163" s="974"/>
      <c r="AY163" s="974"/>
      <c r="AZ163" s="974"/>
      <c r="BA163" s="974"/>
      <c r="BB163" s="974"/>
      <c r="BC163" s="974"/>
      <c r="BD163" s="974"/>
      <c r="BE163" s="970"/>
    </row>
    <row r="164" spans="1:57" ht="15.75" customHeight="1">
      <c r="A164" s="974"/>
      <c r="B164" s="974"/>
      <c r="C164" s="2364" t="s">
        <v>2591</v>
      </c>
      <c r="D164" s="2365"/>
      <c r="E164" s="2365"/>
      <c r="F164" s="2365"/>
      <c r="G164" s="2365"/>
      <c r="H164" s="2365"/>
      <c r="I164" s="2365"/>
      <c r="J164" s="2365"/>
      <c r="K164" s="2365"/>
      <c r="L164" s="2365"/>
      <c r="M164" s="2365"/>
      <c r="N164" s="2365"/>
      <c r="O164" s="2365"/>
      <c r="P164" s="2365"/>
      <c r="Q164" s="2366">
        <v>55</v>
      </c>
      <c r="R164" s="2366"/>
      <c r="S164" s="2366"/>
      <c r="T164" s="2367"/>
      <c r="U164" s="2367"/>
      <c r="V164" s="2367"/>
      <c r="W164" s="2367"/>
      <c r="X164" s="2367"/>
      <c r="Y164" s="2367"/>
      <c r="Z164" s="2367"/>
      <c r="AA164" s="2367"/>
      <c r="AB164" s="989"/>
      <c r="AC164" s="989"/>
      <c r="AD164" s="989"/>
      <c r="AE164" s="989"/>
      <c r="AF164" s="989"/>
      <c r="AG164" s="988"/>
      <c r="AH164" s="974"/>
      <c r="AI164" s="974"/>
      <c r="AJ164" s="974"/>
      <c r="AK164" s="974"/>
      <c r="AL164" s="974"/>
      <c r="AM164" s="974"/>
      <c r="AN164" s="974"/>
      <c r="AO164" s="974"/>
      <c r="AP164" s="974"/>
      <c r="AQ164" s="974"/>
      <c r="AR164" s="974"/>
      <c r="AS164" s="974"/>
      <c r="AT164" s="974"/>
      <c r="AU164" s="974"/>
      <c r="AV164" s="974"/>
      <c r="AW164" s="974"/>
      <c r="AX164" s="974"/>
      <c r="AY164" s="974"/>
      <c r="AZ164" s="974"/>
      <c r="BA164" s="974"/>
      <c r="BB164" s="974"/>
      <c r="BC164" s="974"/>
      <c r="BD164" s="974"/>
      <c r="BE164" s="970"/>
    </row>
    <row r="165" spans="1:57" ht="15.75" customHeight="1">
      <c r="A165" s="974"/>
      <c r="B165" s="974"/>
      <c r="C165" s="2364" t="s">
        <v>2516</v>
      </c>
      <c r="D165" s="2365"/>
      <c r="E165" s="2365"/>
      <c r="F165" s="2365"/>
      <c r="G165" s="2365"/>
      <c r="H165" s="2365"/>
      <c r="I165" s="2365"/>
      <c r="J165" s="2365"/>
      <c r="K165" s="2365"/>
      <c r="L165" s="2365"/>
      <c r="M165" s="2365"/>
      <c r="N165" s="2365"/>
      <c r="O165" s="2365"/>
      <c r="P165" s="2365"/>
      <c r="Q165" s="2366">
        <v>55</v>
      </c>
      <c r="R165" s="2366"/>
      <c r="S165" s="2366"/>
      <c r="T165" s="2367"/>
      <c r="U165" s="2367"/>
      <c r="V165" s="2367"/>
      <c r="W165" s="2367"/>
      <c r="X165" s="2367"/>
      <c r="Y165" s="2367"/>
      <c r="Z165" s="2367"/>
      <c r="AA165" s="2367"/>
      <c r="AB165" s="2368">
        <v>0</v>
      </c>
      <c r="AC165" s="2368"/>
      <c r="AD165" s="2368"/>
      <c r="AE165" s="2368"/>
      <c r="AF165" s="2368"/>
      <c r="AG165" s="2369"/>
      <c r="AH165" s="974"/>
      <c r="AI165" s="974"/>
      <c r="AJ165" s="974"/>
      <c r="AK165" s="974"/>
      <c r="AL165" s="974"/>
      <c r="AM165" s="974"/>
      <c r="AN165" s="974"/>
      <c r="AO165" s="974"/>
      <c r="AP165" s="974"/>
      <c r="AQ165" s="974"/>
      <c r="AR165" s="974"/>
      <c r="AS165" s="974"/>
      <c r="AT165" s="974"/>
      <c r="AU165" s="974"/>
      <c r="AV165" s="974"/>
      <c r="AW165" s="974"/>
      <c r="AX165" s="974"/>
      <c r="AY165" s="974"/>
      <c r="AZ165" s="974"/>
      <c r="BA165" s="974"/>
      <c r="BB165" s="974"/>
      <c r="BC165" s="974"/>
      <c r="BD165" s="974"/>
      <c r="BE165" s="970"/>
    </row>
    <row r="166" spans="1:57" ht="15.75" customHeight="1">
      <c r="A166" s="974"/>
      <c r="B166" s="974"/>
      <c r="C166" s="2364" t="s">
        <v>232</v>
      </c>
      <c r="D166" s="2365"/>
      <c r="E166" s="2365"/>
      <c r="F166" s="2371" t="s">
        <v>2592</v>
      </c>
      <c r="G166" s="2371"/>
      <c r="H166" s="2371"/>
      <c r="I166" s="2371"/>
      <c r="J166" s="2371"/>
      <c r="K166" s="2371"/>
      <c r="L166" s="2371"/>
      <c r="M166" s="2371"/>
      <c r="N166" s="2371"/>
      <c r="O166" s="2371"/>
      <c r="P166" s="2371"/>
      <c r="Q166" s="2366">
        <v>55</v>
      </c>
      <c r="R166" s="2366"/>
      <c r="S166" s="2366"/>
      <c r="T166" s="2370"/>
      <c r="U166" s="2370"/>
      <c r="V166" s="2370"/>
      <c r="W166" s="2370"/>
      <c r="X166" s="2370"/>
      <c r="Y166" s="2370"/>
      <c r="Z166" s="2370"/>
      <c r="AA166" s="2370"/>
      <c r="AB166" s="2368">
        <v>0</v>
      </c>
      <c r="AC166" s="2368"/>
      <c r="AD166" s="2368"/>
      <c r="AE166" s="2368"/>
      <c r="AF166" s="2368"/>
      <c r="AG166" s="2369"/>
      <c r="AH166" s="974"/>
      <c r="AI166" s="974"/>
      <c r="AJ166" s="974"/>
      <c r="AK166" s="974"/>
      <c r="AL166" s="974"/>
      <c r="AM166" s="974"/>
      <c r="AN166" s="974"/>
      <c r="AO166" s="974"/>
      <c r="AP166" s="974"/>
      <c r="AQ166" s="974"/>
      <c r="AR166" s="974"/>
      <c r="AS166" s="974"/>
      <c r="AT166" s="974"/>
      <c r="AU166" s="974"/>
      <c r="AV166" s="974"/>
      <c r="AW166" s="974"/>
      <c r="AX166" s="974"/>
      <c r="AY166" s="974"/>
      <c r="AZ166" s="974"/>
      <c r="BA166" s="974"/>
      <c r="BB166" s="974"/>
      <c r="BC166" s="974"/>
      <c r="BD166" s="974"/>
      <c r="BE166" s="970"/>
    </row>
    <row r="167" spans="1:57" ht="15.75" customHeight="1">
      <c r="A167" s="974"/>
      <c r="B167" s="974"/>
      <c r="C167" s="2364" t="s">
        <v>232</v>
      </c>
      <c r="D167" s="2365"/>
      <c r="E167" s="2365"/>
      <c r="F167" s="2371" t="s">
        <v>2592</v>
      </c>
      <c r="G167" s="2371"/>
      <c r="H167" s="2371"/>
      <c r="I167" s="2371"/>
      <c r="J167" s="2371"/>
      <c r="K167" s="2371"/>
      <c r="L167" s="2371"/>
      <c r="M167" s="2371"/>
      <c r="N167" s="2371"/>
      <c r="O167" s="2371"/>
      <c r="P167" s="2371"/>
      <c r="Q167" s="2366">
        <v>55</v>
      </c>
      <c r="R167" s="2366"/>
      <c r="S167" s="2366"/>
      <c r="T167" s="2370"/>
      <c r="U167" s="2370"/>
      <c r="V167" s="2370"/>
      <c r="W167" s="2370"/>
      <c r="X167" s="2370"/>
      <c r="Y167" s="2370"/>
      <c r="Z167" s="2370"/>
      <c r="AA167" s="2370"/>
      <c r="AB167" s="2368">
        <v>0</v>
      </c>
      <c r="AC167" s="2368"/>
      <c r="AD167" s="2368"/>
      <c r="AE167" s="2368"/>
      <c r="AF167" s="2368"/>
      <c r="AG167" s="2369"/>
      <c r="AH167" s="974"/>
      <c r="AI167" s="974"/>
      <c r="AJ167" s="974"/>
      <c r="AK167" s="974" t="s">
        <v>253</v>
      </c>
      <c r="AL167" s="974"/>
      <c r="AM167" s="974"/>
      <c r="AN167" s="974"/>
      <c r="AO167" s="974"/>
      <c r="AP167" s="974"/>
      <c r="AQ167" s="974"/>
      <c r="AR167" s="974"/>
      <c r="AS167" s="974"/>
      <c r="AT167" s="974"/>
      <c r="AU167" s="974"/>
      <c r="AV167" s="974"/>
      <c r="AW167" s="974"/>
      <c r="AX167" s="974"/>
      <c r="AY167" s="974"/>
      <c r="AZ167" s="974"/>
      <c r="BA167" s="974"/>
      <c r="BB167" s="974"/>
      <c r="BC167" s="974"/>
      <c r="BD167" s="974"/>
      <c r="BE167" s="970"/>
    </row>
    <row r="168" spans="1:57" ht="15.75" customHeight="1" thickBot="1">
      <c r="A168" s="974"/>
      <c r="B168" s="974"/>
      <c r="C168" s="2372" t="s">
        <v>232</v>
      </c>
      <c r="D168" s="2373"/>
      <c r="E168" s="2373"/>
      <c r="F168" s="2374" t="s">
        <v>2592</v>
      </c>
      <c r="G168" s="2374"/>
      <c r="H168" s="2374"/>
      <c r="I168" s="2374"/>
      <c r="J168" s="2374"/>
      <c r="K168" s="2374"/>
      <c r="L168" s="2374"/>
      <c r="M168" s="2374"/>
      <c r="N168" s="2374"/>
      <c r="O168" s="2374"/>
      <c r="P168" s="2374"/>
      <c r="Q168" s="2375">
        <v>55</v>
      </c>
      <c r="R168" s="2375"/>
      <c r="S168" s="2375"/>
      <c r="T168" s="2376"/>
      <c r="U168" s="2376"/>
      <c r="V168" s="2376"/>
      <c r="W168" s="2376"/>
      <c r="X168" s="2376"/>
      <c r="Y168" s="2376"/>
      <c r="Z168" s="2376"/>
      <c r="AA168" s="2376"/>
      <c r="AB168" s="2377">
        <v>0</v>
      </c>
      <c r="AC168" s="2377"/>
      <c r="AD168" s="2377"/>
      <c r="AE168" s="2377"/>
      <c r="AF168" s="2377"/>
      <c r="AG168" s="2378"/>
      <c r="AH168" s="974"/>
      <c r="AI168" s="974"/>
      <c r="AJ168" s="974"/>
      <c r="AK168" s="974"/>
      <c r="AL168" s="974"/>
      <c r="AM168" s="974"/>
      <c r="AN168" s="974"/>
      <c r="AO168" s="974"/>
      <c r="AP168" s="974"/>
      <c r="AQ168" s="974"/>
      <c r="AR168" s="974"/>
      <c r="AS168" s="974"/>
      <c r="AT168" s="974"/>
      <c r="AU168" s="974"/>
      <c r="AV168" s="974"/>
      <c r="AW168" s="974"/>
      <c r="AX168" s="974"/>
      <c r="AY168" s="974"/>
      <c r="AZ168" s="974"/>
      <c r="BA168" s="974"/>
      <c r="BB168" s="974"/>
      <c r="BC168" s="974"/>
      <c r="BD168" s="974"/>
      <c r="BE168" s="970"/>
    </row>
    <row r="169" spans="1:57" ht="15.75" customHeight="1" thickBot="1">
      <c r="A169" s="974"/>
      <c r="B169" s="974"/>
      <c r="C169" s="974"/>
      <c r="D169" s="974"/>
      <c r="E169" s="974"/>
      <c r="F169" s="974"/>
      <c r="G169" s="974"/>
      <c r="H169" s="974"/>
      <c r="I169" s="974"/>
      <c r="J169" s="974"/>
      <c r="K169" s="974"/>
      <c r="L169" s="974"/>
      <c r="M169" s="974"/>
      <c r="N169" s="974"/>
      <c r="O169" s="974"/>
      <c r="P169" s="974"/>
      <c r="Q169" s="974"/>
      <c r="R169" s="974"/>
      <c r="S169" s="974"/>
      <c r="T169" s="974"/>
      <c r="U169" s="974"/>
      <c r="V169" s="974"/>
      <c r="W169" s="974"/>
      <c r="X169" s="974"/>
      <c r="Y169" s="974"/>
      <c r="Z169" s="974"/>
      <c r="AA169" s="974"/>
      <c r="AB169" s="974"/>
      <c r="AC169" s="974"/>
      <c r="AD169" s="974"/>
      <c r="AE169" s="974"/>
      <c r="AF169" s="974"/>
      <c r="AG169" s="974"/>
      <c r="AH169" s="974"/>
      <c r="AI169" s="974"/>
      <c r="AJ169" s="974"/>
      <c r="AK169" s="974"/>
      <c r="AL169" s="974"/>
      <c r="AM169" s="974"/>
      <c r="AN169" s="974"/>
      <c r="AO169" s="974"/>
      <c r="AP169" s="974"/>
      <c r="AQ169" s="974"/>
      <c r="AR169" s="974"/>
      <c r="AS169" s="974"/>
      <c r="AT169" s="974"/>
      <c r="AU169" s="974"/>
      <c r="AV169" s="974"/>
      <c r="AW169" s="974"/>
      <c r="AX169" s="974"/>
      <c r="AY169" s="974"/>
      <c r="AZ169" s="974"/>
      <c r="BA169" s="974"/>
      <c r="BB169" s="974"/>
      <c r="BC169" s="974"/>
      <c r="BD169" s="974"/>
      <c r="BE169" s="970"/>
    </row>
    <row r="170" spans="1:57" ht="15.75" customHeight="1">
      <c r="A170" s="974"/>
      <c r="B170" s="974"/>
      <c r="C170" s="2389" t="s">
        <v>2593</v>
      </c>
      <c r="D170" s="2390"/>
      <c r="E170" s="2390"/>
      <c r="F170" s="2390"/>
      <c r="G170" s="2390"/>
      <c r="H170" s="2390"/>
      <c r="I170" s="2390"/>
      <c r="J170" s="2390"/>
      <c r="K170" s="2390"/>
      <c r="L170" s="2390"/>
      <c r="M170" s="2390"/>
      <c r="N170" s="2391"/>
      <c r="O170" s="974"/>
      <c r="P170" s="2347" t="s">
        <v>2594</v>
      </c>
      <c r="Q170" s="2348"/>
      <c r="R170" s="2348"/>
      <c r="S170" s="2348"/>
      <c r="T170" s="2348"/>
      <c r="U170" s="2348"/>
      <c r="V170" s="2348"/>
      <c r="W170" s="2348"/>
      <c r="X170" s="2348"/>
      <c r="Y170" s="2348"/>
      <c r="Z170" s="2348"/>
      <c r="AA170" s="2348"/>
      <c r="AB170" s="2348"/>
      <c r="AC170" s="2348"/>
      <c r="AD170" s="2348"/>
      <c r="AE170" s="2348"/>
      <c r="AF170" s="2348"/>
      <c r="AG170" s="2348"/>
      <c r="AH170" s="2348"/>
      <c r="AI170" s="2348"/>
      <c r="AJ170" s="2348"/>
      <c r="AK170" s="2348"/>
      <c r="AL170" s="2348"/>
      <c r="AM170" s="2348"/>
      <c r="AN170" s="2348"/>
      <c r="AO170" s="2392"/>
      <c r="AP170" s="974"/>
      <c r="AQ170" s="974"/>
      <c r="AR170" s="974"/>
      <c r="AS170" s="974"/>
      <c r="AT170" s="974"/>
      <c r="AU170" s="974"/>
      <c r="AV170" s="974"/>
      <c r="AW170" s="974"/>
      <c r="AX170" s="974"/>
      <c r="AY170" s="974"/>
      <c r="AZ170" s="974"/>
      <c r="BA170" s="974"/>
      <c r="BB170" s="974"/>
      <c r="BC170" s="974"/>
      <c r="BD170" s="974"/>
      <c r="BE170" s="970"/>
    </row>
    <row r="171" spans="1:57" ht="15.75" customHeight="1">
      <c r="A171" s="974"/>
      <c r="B171" s="974"/>
      <c r="C171" s="2337" t="s">
        <v>2595</v>
      </c>
      <c r="D171" s="2338"/>
      <c r="E171" s="2338"/>
      <c r="F171" s="2338"/>
      <c r="G171" s="2338"/>
      <c r="H171" s="2338"/>
      <c r="I171" s="2338" t="s">
        <v>2596</v>
      </c>
      <c r="J171" s="2338"/>
      <c r="K171" s="2338"/>
      <c r="L171" s="2338"/>
      <c r="M171" s="2338"/>
      <c r="N171" s="2363"/>
      <c r="O171" s="974"/>
      <c r="P171" s="2317" t="s">
        <v>2543</v>
      </c>
      <c r="Q171" s="2318"/>
      <c r="R171" s="2318"/>
      <c r="S171" s="2318"/>
      <c r="T171" s="2318"/>
      <c r="U171" s="2318"/>
      <c r="V171" s="2318"/>
      <c r="W171" s="2318"/>
      <c r="X171" s="2318"/>
      <c r="Y171" s="2318"/>
      <c r="Z171" s="2318"/>
      <c r="AA171" s="2318"/>
      <c r="AB171" s="2318"/>
      <c r="AC171" s="2318"/>
      <c r="AD171" s="2318"/>
      <c r="AE171" s="2318"/>
      <c r="AF171" s="2318"/>
      <c r="AG171" s="2318"/>
      <c r="AH171" s="2318"/>
      <c r="AI171" s="2318"/>
      <c r="AJ171" s="2318"/>
      <c r="AK171" s="2318"/>
      <c r="AL171" s="2318"/>
      <c r="AM171" s="2318"/>
      <c r="AN171" s="2318"/>
      <c r="AO171" s="2319"/>
      <c r="AP171" s="974"/>
      <c r="AQ171" s="974"/>
      <c r="AR171" s="974"/>
      <c r="AS171" s="974"/>
      <c r="AT171" s="974"/>
      <c r="AU171" s="974"/>
      <c r="AV171" s="974"/>
      <c r="AW171" s="974"/>
      <c r="AX171" s="974"/>
      <c r="AY171" s="974"/>
      <c r="AZ171" s="974"/>
      <c r="BA171" s="974"/>
      <c r="BB171" s="974"/>
      <c r="BC171" s="974"/>
      <c r="BD171" s="974"/>
      <c r="BE171" s="970"/>
    </row>
    <row r="172" spans="1:57" ht="15.75" customHeight="1">
      <c r="A172" s="974"/>
      <c r="B172" s="974"/>
      <c r="C172" s="2323"/>
      <c r="D172" s="2293"/>
      <c r="E172" s="2293"/>
      <c r="F172" s="2293"/>
      <c r="G172" s="2293"/>
      <c r="H172" s="2293"/>
      <c r="I172" s="2367"/>
      <c r="J172" s="2367"/>
      <c r="K172" s="2367"/>
      <c r="L172" s="2367"/>
      <c r="M172" s="2367"/>
      <c r="N172" s="2393"/>
      <c r="O172" s="974"/>
      <c r="P172" s="2317"/>
      <c r="Q172" s="2318"/>
      <c r="R172" s="2318"/>
      <c r="S172" s="2318"/>
      <c r="T172" s="2318"/>
      <c r="U172" s="2318"/>
      <c r="V172" s="2318"/>
      <c r="W172" s="2318"/>
      <c r="X172" s="2318"/>
      <c r="Y172" s="2318"/>
      <c r="Z172" s="2318"/>
      <c r="AA172" s="2318"/>
      <c r="AB172" s="2318"/>
      <c r="AC172" s="2318"/>
      <c r="AD172" s="2318"/>
      <c r="AE172" s="2318"/>
      <c r="AF172" s="2318"/>
      <c r="AG172" s="2318"/>
      <c r="AH172" s="2318"/>
      <c r="AI172" s="2318"/>
      <c r="AJ172" s="2318"/>
      <c r="AK172" s="2318"/>
      <c r="AL172" s="2318"/>
      <c r="AM172" s="2318"/>
      <c r="AN172" s="2318"/>
      <c r="AO172" s="2319"/>
      <c r="AP172" s="974"/>
      <c r="AQ172" s="974"/>
      <c r="AR172" s="974"/>
      <c r="AS172" s="974"/>
      <c r="AT172" s="974"/>
      <c r="AU172" s="974"/>
      <c r="AV172" s="974"/>
      <c r="AW172" s="974"/>
      <c r="AX172" s="974"/>
      <c r="AY172" s="974"/>
      <c r="AZ172" s="974"/>
      <c r="BA172" s="974"/>
      <c r="BB172" s="974"/>
      <c r="BC172" s="974"/>
      <c r="BD172" s="974"/>
      <c r="BE172" s="970"/>
    </row>
    <row r="173" spans="1:57" ht="15.75" customHeight="1">
      <c r="A173" s="974"/>
      <c r="B173" s="974"/>
      <c r="C173" s="2323"/>
      <c r="D173" s="2293"/>
      <c r="E173" s="2293"/>
      <c r="F173" s="2293"/>
      <c r="G173" s="2293"/>
      <c r="H173" s="2293"/>
      <c r="I173" s="2367"/>
      <c r="J173" s="2367"/>
      <c r="K173" s="2367"/>
      <c r="L173" s="2367"/>
      <c r="M173" s="2367"/>
      <c r="N173" s="2393"/>
      <c r="O173" s="974"/>
      <c r="P173" s="2317"/>
      <c r="Q173" s="2318"/>
      <c r="R173" s="2318"/>
      <c r="S173" s="2318"/>
      <c r="T173" s="2318"/>
      <c r="U173" s="2318"/>
      <c r="V173" s="2318"/>
      <c r="W173" s="2318"/>
      <c r="X173" s="2318"/>
      <c r="Y173" s="2318"/>
      <c r="Z173" s="2318"/>
      <c r="AA173" s="2318"/>
      <c r="AB173" s="2318"/>
      <c r="AC173" s="2318"/>
      <c r="AD173" s="2318"/>
      <c r="AE173" s="2318"/>
      <c r="AF173" s="2318"/>
      <c r="AG173" s="2318"/>
      <c r="AH173" s="2318"/>
      <c r="AI173" s="2318"/>
      <c r="AJ173" s="2318"/>
      <c r="AK173" s="2318"/>
      <c r="AL173" s="2318"/>
      <c r="AM173" s="2318"/>
      <c r="AN173" s="2318"/>
      <c r="AO173" s="2319"/>
      <c r="AP173" s="974"/>
      <c r="AQ173" s="974"/>
      <c r="AR173" s="974"/>
      <c r="AS173" s="974"/>
      <c r="AT173" s="974"/>
      <c r="AU173" s="974"/>
      <c r="AV173" s="974"/>
      <c r="AW173" s="974"/>
      <c r="AX173" s="974"/>
      <c r="AY173" s="974"/>
      <c r="AZ173" s="974"/>
      <c r="BA173" s="974"/>
      <c r="BB173" s="974"/>
      <c r="BC173" s="974"/>
      <c r="BD173" s="974"/>
      <c r="BE173" s="970"/>
    </row>
    <row r="174" spans="1:57" ht="15.75" customHeight="1">
      <c r="A174" s="974"/>
      <c r="B174" s="974"/>
      <c r="C174" s="2323"/>
      <c r="D174" s="2293"/>
      <c r="E174" s="2293"/>
      <c r="F174" s="2293"/>
      <c r="G174" s="2293"/>
      <c r="H174" s="2293"/>
      <c r="I174" s="2367"/>
      <c r="J174" s="2367"/>
      <c r="K174" s="2367"/>
      <c r="L174" s="2367"/>
      <c r="M174" s="2367"/>
      <c r="N174" s="2393"/>
      <c r="O174" s="974"/>
      <c r="P174" s="2317"/>
      <c r="Q174" s="2318"/>
      <c r="R174" s="2318"/>
      <c r="S174" s="2318"/>
      <c r="T174" s="2318"/>
      <c r="U174" s="2318"/>
      <c r="V174" s="2318"/>
      <c r="W174" s="2318"/>
      <c r="X174" s="2318"/>
      <c r="Y174" s="2318"/>
      <c r="Z174" s="2318"/>
      <c r="AA174" s="2318"/>
      <c r="AB174" s="2318"/>
      <c r="AC174" s="2318"/>
      <c r="AD174" s="2318"/>
      <c r="AE174" s="2318"/>
      <c r="AF174" s="2318"/>
      <c r="AG174" s="2318"/>
      <c r="AH174" s="2318"/>
      <c r="AI174" s="2318"/>
      <c r="AJ174" s="2318"/>
      <c r="AK174" s="2318"/>
      <c r="AL174" s="2318"/>
      <c r="AM174" s="2318"/>
      <c r="AN174" s="2318"/>
      <c r="AO174" s="2319"/>
      <c r="AP174" s="974"/>
      <c r="AQ174" s="974"/>
      <c r="AR174" s="974"/>
      <c r="AS174" s="974"/>
      <c r="AT174" s="974"/>
      <c r="AU174" s="974"/>
      <c r="AV174" s="974"/>
      <c r="AW174" s="974"/>
      <c r="AX174" s="974"/>
      <c r="AY174" s="974"/>
      <c r="AZ174" s="974"/>
      <c r="BA174" s="974"/>
      <c r="BB174" s="974"/>
      <c r="BC174" s="974"/>
      <c r="BD174" s="974"/>
      <c r="BE174" s="970"/>
    </row>
    <row r="175" spans="1:57" ht="15.75" customHeight="1">
      <c r="A175" s="974"/>
      <c r="B175" s="974"/>
      <c r="C175" s="2323"/>
      <c r="D175" s="2293"/>
      <c r="E175" s="2293"/>
      <c r="F175" s="2293"/>
      <c r="G175" s="2293"/>
      <c r="H175" s="2293"/>
      <c r="I175" s="2367"/>
      <c r="J175" s="2367"/>
      <c r="K175" s="2367"/>
      <c r="L175" s="2367"/>
      <c r="M175" s="2367"/>
      <c r="N175" s="2393"/>
      <c r="O175" s="974"/>
      <c r="P175" s="2317"/>
      <c r="Q175" s="2318"/>
      <c r="R175" s="2318"/>
      <c r="S175" s="2318"/>
      <c r="T175" s="2318"/>
      <c r="U175" s="2318"/>
      <c r="V175" s="2318"/>
      <c r="W175" s="2318"/>
      <c r="X175" s="2318"/>
      <c r="Y175" s="2318"/>
      <c r="Z175" s="2318"/>
      <c r="AA175" s="2318"/>
      <c r="AB175" s="2318"/>
      <c r="AC175" s="2318"/>
      <c r="AD175" s="2318"/>
      <c r="AE175" s="2318"/>
      <c r="AF175" s="2318"/>
      <c r="AG175" s="2318"/>
      <c r="AH175" s="2318"/>
      <c r="AI175" s="2318"/>
      <c r="AJ175" s="2318"/>
      <c r="AK175" s="2318"/>
      <c r="AL175" s="2318"/>
      <c r="AM175" s="2318"/>
      <c r="AN175" s="2318"/>
      <c r="AO175" s="2319"/>
      <c r="AP175" s="974"/>
      <c r="AQ175" s="974"/>
      <c r="AR175" s="974"/>
      <c r="AS175" s="974"/>
      <c r="AT175" s="974"/>
      <c r="AU175" s="974"/>
      <c r="AV175" s="974"/>
      <c r="AW175" s="974"/>
      <c r="AX175" s="974"/>
      <c r="AY175" s="974"/>
      <c r="AZ175" s="974"/>
      <c r="BA175" s="974"/>
      <c r="BB175" s="974"/>
      <c r="BC175" s="974"/>
      <c r="BD175" s="974"/>
      <c r="BE175" s="970"/>
    </row>
    <row r="176" spans="1:57" ht="15.75" customHeight="1">
      <c r="A176" s="974"/>
      <c r="B176" s="974"/>
      <c r="C176" s="2323"/>
      <c r="D176" s="2293"/>
      <c r="E176" s="2293"/>
      <c r="F176" s="2293"/>
      <c r="G176" s="2293"/>
      <c r="H176" s="2293"/>
      <c r="I176" s="2367"/>
      <c r="J176" s="2367"/>
      <c r="K176" s="2367"/>
      <c r="L176" s="2367"/>
      <c r="M176" s="2367"/>
      <c r="N176" s="2393"/>
      <c r="O176" s="974"/>
      <c r="P176" s="2317"/>
      <c r="Q176" s="2318"/>
      <c r="R176" s="2318"/>
      <c r="S176" s="2318"/>
      <c r="T176" s="2318"/>
      <c r="U176" s="2318"/>
      <c r="V176" s="2318"/>
      <c r="W176" s="2318"/>
      <c r="X176" s="2318"/>
      <c r="Y176" s="2318"/>
      <c r="Z176" s="2318"/>
      <c r="AA176" s="2318"/>
      <c r="AB176" s="2318"/>
      <c r="AC176" s="2318"/>
      <c r="AD176" s="2318"/>
      <c r="AE176" s="2318"/>
      <c r="AF176" s="2318"/>
      <c r="AG176" s="2318"/>
      <c r="AH176" s="2318"/>
      <c r="AI176" s="2318"/>
      <c r="AJ176" s="2318"/>
      <c r="AK176" s="2318"/>
      <c r="AL176" s="2318"/>
      <c r="AM176" s="2318"/>
      <c r="AN176" s="2318"/>
      <c r="AO176" s="2319"/>
      <c r="AP176" s="974"/>
      <c r="AQ176" s="974"/>
      <c r="AR176" s="974"/>
      <c r="AS176" s="974"/>
      <c r="AT176" s="974"/>
      <c r="AU176" s="974"/>
      <c r="AV176" s="974"/>
      <c r="AW176" s="974"/>
      <c r="AX176" s="974"/>
      <c r="AY176" s="974"/>
      <c r="AZ176" s="974"/>
      <c r="BA176" s="974"/>
      <c r="BB176" s="974"/>
      <c r="BC176" s="974"/>
      <c r="BD176" s="974"/>
      <c r="BE176" s="970"/>
    </row>
    <row r="177" spans="1:57" ht="15.75" customHeight="1">
      <c r="A177" s="974"/>
      <c r="B177" s="974"/>
      <c r="C177" s="2323"/>
      <c r="D177" s="2293"/>
      <c r="E177" s="2293"/>
      <c r="F177" s="2293"/>
      <c r="G177" s="2293"/>
      <c r="H177" s="2293"/>
      <c r="I177" s="2367"/>
      <c r="J177" s="2367"/>
      <c r="K177" s="2367"/>
      <c r="L177" s="2367"/>
      <c r="M177" s="2367"/>
      <c r="N177" s="2393"/>
      <c r="O177" s="974"/>
      <c r="P177" s="2317"/>
      <c r="Q177" s="2318"/>
      <c r="R177" s="2318"/>
      <c r="S177" s="2318"/>
      <c r="T177" s="2318"/>
      <c r="U177" s="2318"/>
      <c r="V177" s="2318"/>
      <c r="W177" s="2318"/>
      <c r="X177" s="2318"/>
      <c r="Y177" s="2318"/>
      <c r="Z177" s="2318"/>
      <c r="AA177" s="2318"/>
      <c r="AB177" s="2318"/>
      <c r="AC177" s="2318"/>
      <c r="AD177" s="2318"/>
      <c r="AE177" s="2318"/>
      <c r="AF177" s="2318"/>
      <c r="AG177" s="2318"/>
      <c r="AH177" s="2318"/>
      <c r="AI177" s="2318"/>
      <c r="AJ177" s="2318"/>
      <c r="AK177" s="2318"/>
      <c r="AL177" s="2318"/>
      <c r="AM177" s="2318"/>
      <c r="AN177" s="2318"/>
      <c r="AO177" s="2319"/>
      <c r="AP177" s="974"/>
      <c r="AQ177" s="974"/>
      <c r="AR177" s="974"/>
      <c r="AS177" s="974"/>
      <c r="AT177" s="974"/>
      <c r="AU177" s="974"/>
      <c r="AV177" s="974"/>
      <c r="AW177" s="974"/>
      <c r="AX177" s="974"/>
      <c r="AY177" s="974"/>
      <c r="AZ177" s="974"/>
      <c r="BA177" s="974"/>
      <c r="BB177" s="974"/>
      <c r="BC177" s="974"/>
      <c r="BD177" s="974"/>
      <c r="BE177" s="970"/>
    </row>
    <row r="178" spans="1:57" ht="15.75" customHeight="1" thickBot="1">
      <c r="A178" s="974"/>
      <c r="B178" s="974"/>
      <c r="C178" s="2379"/>
      <c r="D178" s="2380"/>
      <c r="E178" s="2380"/>
      <c r="F178" s="2380"/>
      <c r="G178" s="2380"/>
      <c r="H178" s="2380"/>
      <c r="I178" s="2381"/>
      <c r="J178" s="2381"/>
      <c r="K178" s="2381"/>
      <c r="L178" s="2381"/>
      <c r="M178" s="2381"/>
      <c r="N178" s="2382"/>
      <c r="O178" s="974"/>
      <c r="P178" s="2320"/>
      <c r="Q178" s="2321"/>
      <c r="R178" s="2321"/>
      <c r="S178" s="2321"/>
      <c r="T178" s="2321"/>
      <c r="U178" s="2321"/>
      <c r="V178" s="2321"/>
      <c r="W178" s="2321"/>
      <c r="X178" s="2321"/>
      <c r="Y178" s="2321"/>
      <c r="Z178" s="2321"/>
      <c r="AA178" s="2321"/>
      <c r="AB178" s="2321"/>
      <c r="AC178" s="2321"/>
      <c r="AD178" s="2321"/>
      <c r="AE178" s="2321"/>
      <c r="AF178" s="2321"/>
      <c r="AG178" s="2321"/>
      <c r="AH178" s="2321"/>
      <c r="AI178" s="2321"/>
      <c r="AJ178" s="2321"/>
      <c r="AK178" s="2321"/>
      <c r="AL178" s="2321"/>
      <c r="AM178" s="2321"/>
      <c r="AN178" s="2321"/>
      <c r="AO178" s="2322"/>
      <c r="AP178" s="974"/>
      <c r="AQ178" s="974"/>
      <c r="AR178" s="974"/>
      <c r="AS178" s="974"/>
      <c r="AT178" s="974"/>
      <c r="AU178" s="974"/>
      <c r="AV178" s="974"/>
      <c r="AW178" s="974"/>
      <c r="AX178" s="974"/>
      <c r="AY178" s="974"/>
      <c r="AZ178" s="974"/>
      <c r="BA178" s="974"/>
      <c r="BB178" s="974"/>
      <c r="BC178" s="974"/>
      <c r="BD178" s="974"/>
      <c r="BE178" s="970"/>
    </row>
    <row r="179" spans="1:57" ht="15.75" customHeight="1" thickBot="1">
      <c r="A179" s="974"/>
      <c r="B179" s="974"/>
      <c r="C179" s="974"/>
      <c r="D179" s="974"/>
      <c r="E179" s="974"/>
      <c r="F179" s="974"/>
      <c r="G179" s="974"/>
      <c r="H179" s="974"/>
      <c r="I179" s="974"/>
      <c r="J179" s="974"/>
      <c r="K179" s="974"/>
      <c r="L179" s="974"/>
      <c r="M179" s="974"/>
      <c r="N179" s="974"/>
      <c r="O179" s="974"/>
      <c r="P179" s="974"/>
      <c r="Q179" s="974"/>
      <c r="R179" s="974"/>
      <c r="S179" s="974"/>
      <c r="T179" s="974"/>
      <c r="U179" s="974"/>
      <c r="V179" s="974"/>
      <c r="W179" s="974"/>
      <c r="X179" s="974"/>
      <c r="Y179" s="974"/>
      <c r="Z179" s="974"/>
      <c r="AA179" s="974"/>
      <c r="AB179" s="974"/>
      <c r="AC179" s="974"/>
      <c r="AD179" s="974"/>
      <c r="AE179" s="974"/>
      <c r="AF179" s="974"/>
      <c r="AG179" s="974"/>
      <c r="AH179" s="974"/>
      <c r="AI179" s="974"/>
      <c r="AJ179" s="974"/>
      <c r="AK179" s="974"/>
      <c r="AL179" s="974"/>
      <c r="AM179" s="974"/>
      <c r="AN179" s="974"/>
      <c r="AO179" s="974"/>
      <c r="AP179" s="974"/>
      <c r="AQ179" s="974"/>
      <c r="AR179" s="974"/>
      <c r="AS179" s="974"/>
      <c r="AT179" s="974"/>
      <c r="AU179" s="974"/>
      <c r="AV179" s="974"/>
      <c r="AW179" s="974"/>
      <c r="AX179" s="974"/>
      <c r="AY179" s="974"/>
      <c r="AZ179" s="974"/>
      <c r="BA179" s="974"/>
      <c r="BB179" s="974"/>
      <c r="BC179" s="974"/>
      <c r="BD179" s="974"/>
      <c r="BE179" s="970"/>
    </row>
    <row r="180" spans="1:57" ht="15.75" customHeight="1" thickBot="1">
      <c r="A180" s="974"/>
      <c r="B180" s="974"/>
      <c r="C180" s="2383" t="s">
        <v>2597</v>
      </c>
      <c r="D180" s="2384"/>
      <c r="E180" s="2384"/>
      <c r="F180" s="2384"/>
      <c r="G180" s="2384"/>
      <c r="H180" s="2384"/>
      <c r="I180" s="2384"/>
      <c r="J180" s="2384"/>
      <c r="K180" s="2384"/>
      <c r="L180" s="2384"/>
      <c r="M180" s="2384"/>
      <c r="N180" s="2384"/>
      <c r="O180" s="2384"/>
      <c r="P180" s="2384"/>
      <c r="Q180" s="2384"/>
      <c r="R180" s="2384"/>
      <c r="S180" s="2384"/>
      <c r="T180" s="2384"/>
      <c r="U180" s="2384"/>
      <c r="V180" s="2384"/>
      <c r="W180" s="2384"/>
      <c r="X180" s="2384"/>
      <c r="Y180" s="2384"/>
      <c r="Z180" s="2384"/>
      <c r="AA180" s="2384"/>
      <c r="AB180" s="2384"/>
      <c r="AC180" s="2384"/>
      <c r="AD180" s="2384"/>
      <c r="AE180" s="2385"/>
      <c r="AF180" s="974"/>
      <c r="AG180" s="974"/>
      <c r="AH180" s="2138" t="s">
        <v>2598</v>
      </c>
      <c r="AI180" s="2139"/>
      <c r="AJ180" s="2139"/>
      <c r="AK180" s="2139"/>
      <c r="AL180" s="2139"/>
      <c r="AM180" s="2139"/>
      <c r="AN180" s="2139"/>
      <c r="AO180" s="2139"/>
      <c r="AP180" s="2139"/>
      <c r="AQ180" s="2139"/>
      <c r="AR180" s="2139"/>
      <c r="AS180" s="2139"/>
      <c r="AT180" s="2139"/>
      <c r="AU180" s="2139"/>
      <c r="AV180" s="2139"/>
      <c r="AW180" s="2139"/>
      <c r="AX180" s="2139"/>
      <c r="AY180" s="2139"/>
      <c r="AZ180" s="2139"/>
      <c r="BA180" s="2139"/>
      <c r="BB180" s="2139"/>
      <c r="BC180" s="2139"/>
      <c r="BD180" s="2139"/>
      <c r="BE180" s="2140"/>
    </row>
    <row r="181" spans="1:57" ht="15.75" customHeight="1" thickBot="1">
      <c r="A181" s="974"/>
      <c r="B181" s="974"/>
      <c r="C181" s="2386"/>
      <c r="D181" s="2387"/>
      <c r="E181" s="2387"/>
      <c r="F181" s="2387"/>
      <c r="G181" s="2387"/>
      <c r="H181" s="2387"/>
      <c r="I181" s="2387"/>
      <c r="J181" s="2387"/>
      <c r="K181" s="2387"/>
      <c r="L181" s="2387"/>
      <c r="M181" s="2387"/>
      <c r="N181" s="2387"/>
      <c r="O181" s="2387"/>
      <c r="P181" s="2387"/>
      <c r="Q181" s="2387"/>
      <c r="R181" s="2387"/>
      <c r="S181" s="2387"/>
      <c r="T181" s="2387"/>
      <c r="U181" s="2387"/>
      <c r="V181" s="2387"/>
      <c r="W181" s="2387"/>
      <c r="X181" s="2387"/>
      <c r="Y181" s="2387"/>
      <c r="Z181" s="2387"/>
      <c r="AA181" s="2387"/>
      <c r="AB181" s="2387"/>
      <c r="AC181" s="2387"/>
      <c r="AD181" s="2387"/>
      <c r="AE181" s="2388"/>
      <c r="AF181" s="974"/>
      <c r="AG181" s="974"/>
      <c r="AH181" s="2141" t="s">
        <v>2599</v>
      </c>
      <c r="AI181" s="2141"/>
      <c r="AJ181" s="2141"/>
      <c r="AK181" s="2141"/>
      <c r="AL181" s="2141"/>
      <c r="AM181" s="2141"/>
      <c r="AN181" s="2141"/>
      <c r="AO181" s="2141"/>
      <c r="AP181" s="2141"/>
      <c r="AQ181" s="2141"/>
      <c r="AR181" s="2141"/>
      <c r="AS181" s="2141"/>
      <c r="AT181" s="2141"/>
      <c r="AU181" s="2141"/>
      <c r="AV181" s="2141"/>
      <c r="AW181" s="2141"/>
      <c r="AX181" s="2141"/>
      <c r="AY181" s="2141"/>
      <c r="AZ181" s="2141"/>
      <c r="BA181" s="2141"/>
      <c r="BB181" s="2141"/>
      <c r="BC181" s="2141"/>
      <c r="BD181" s="2141"/>
      <c r="BE181" s="2141"/>
    </row>
    <row r="182" spans="1:57" ht="15.75" customHeight="1">
      <c r="A182" s="974"/>
      <c r="B182" s="974"/>
      <c r="C182" s="2389" t="s">
        <v>2585</v>
      </c>
      <c r="D182" s="2390"/>
      <c r="E182" s="2390"/>
      <c r="F182" s="2390"/>
      <c r="G182" s="2390"/>
      <c r="H182" s="2390"/>
      <c r="I182" s="2390"/>
      <c r="J182" s="2390"/>
      <c r="K182" s="2390"/>
      <c r="L182" s="2390"/>
      <c r="M182" s="2390"/>
      <c r="N182" s="2390" t="s">
        <v>2600</v>
      </c>
      <c r="O182" s="2390"/>
      <c r="P182" s="2390"/>
      <c r="Q182" s="2390"/>
      <c r="R182" s="2390"/>
      <c r="S182" s="2390"/>
      <c r="T182" s="2390"/>
      <c r="U182" s="2285" t="s">
        <v>2585</v>
      </c>
      <c r="V182" s="2285"/>
      <c r="W182" s="2285"/>
      <c r="X182" s="2285"/>
      <c r="Y182" s="2285"/>
      <c r="Z182" s="2285"/>
      <c r="AA182" s="2285"/>
      <c r="AB182" s="2285"/>
      <c r="AC182" s="2285"/>
      <c r="AD182" s="2285"/>
      <c r="AE182" s="2286"/>
      <c r="AF182" s="974"/>
      <c r="AG182" s="974"/>
      <c r="AH182" s="2142" t="s">
        <v>2601</v>
      </c>
      <c r="AI182" s="2142"/>
      <c r="AJ182" s="2142"/>
      <c r="AK182" s="2142"/>
      <c r="AL182" s="2142"/>
      <c r="AM182" s="2142"/>
      <c r="AN182" s="2142"/>
      <c r="AO182" s="2142"/>
      <c r="AP182" s="2142"/>
      <c r="AQ182" s="2142"/>
      <c r="AR182" s="2142"/>
      <c r="AS182" s="2142"/>
      <c r="AT182" s="2142"/>
      <c r="AU182" s="2108">
        <v>2500000</v>
      </c>
      <c r="AV182" s="2108"/>
      <c r="AW182" s="2108"/>
      <c r="AX182" s="2108"/>
      <c r="AY182" s="2108"/>
      <c r="AZ182" s="2108"/>
      <c r="BA182" s="2108"/>
      <c r="BB182" s="2108"/>
      <c r="BC182" s="2116"/>
      <c r="BD182" s="2117"/>
      <c r="BE182" s="2118"/>
    </row>
    <row r="183" spans="1:57" ht="15.75" customHeight="1">
      <c r="A183" s="974"/>
      <c r="B183" s="974"/>
      <c r="C183" s="2132" t="s">
        <v>2602</v>
      </c>
      <c r="D183" s="2133"/>
      <c r="E183" s="2133"/>
      <c r="F183" s="2133"/>
      <c r="G183" s="2133"/>
      <c r="H183" s="2133"/>
      <c r="I183" s="2133"/>
      <c r="J183" s="2133"/>
      <c r="K183" s="2133"/>
      <c r="L183" s="2133"/>
      <c r="M183" s="2133"/>
      <c r="N183" s="2395">
        <f>'Sources and Uses Budget'!B105</f>
        <v>46443670</v>
      </c>
      <c r="O183" s="2395"/>
      <c r="P183" s="2395"/>
      <c r="Q183" s="2395"/>
      <c r="R183" s="2395"/>
      <c r="S183" s="2395"/>
      <c r="T183" s="2395"/>
      <c r="U183" s="2396"/>
      <c r="V183" s="2396"/>
      <c r="W183" s="2396"/>
      <c r="X183" s="2396"/>
      <c r="Y183" s="2396"/>
      <c r="Z183" s="2396"/>
      <c r="AA183" s="2396"/>
      <c r="AB183" s="2396"/>
      <c r="AC183" s="2396"/>
      <c r="AD183" s="2396"/>
      <c r="AE183" s="2397"/>
      <c r="AF183" s="974"/>
      <c r="AG183" s="974"/>
      <c r="AH183" s="2142" t="s">
        <v>2603</v>
      </c>
      <c r="AI183" s="2142"/>
      <c r="AJ183" s="2142"/>
      <c r="AK183" s="2142"/>
      <c r="AL183" s="2142"/>
      <c r="AM183" s="2142"/>
      <c r="AN183" s="2142"/>
      <c r="AO183" s="2142"/>
      <c r="AP183" s="2142"/>
      <c r="AQ183" s="2142"/>
      <c r="AR183" s="2142"/>
      <c r="AS183" s="2142"/>
      <c r="AT183" s="2142"/>
      <c r="AU183" s="2109">
        <f>MAX(0,Application!AG439-100)*20000</f>
        <v>0</v>
      </c>
      <c r="AV183" s="2109"/>
      <c r="AW183" s="2109"/>
      <c r="AX183" s="2109"/>
      <c r="AY183" s="2109"/>
      <c r="AZ183" s="2109"/>
      <c r="BA183" s="2109"/>
      <c r="BB183" s="2109"/>
      <c r="BC183" s="2113"/>
      <c r="BD183" s="2114"/>
      <c r="BE183" s="2115"/>
    </row>
    <row r="184" spans="1:57" ht="15.75" customHeight="1">
      <c r="A184" s="974"/>
      <c r="B184" s="974"/>
      <c r="C184" s="2132" t="s">
        <v>2604</v>
      </c>
      <c r="D184" s="2133"/>
      <c r="E184" s="2133"/>
      <c r="F184" s="2133"/>
      <c r="G184" s="2133"/>
      <c r="H184" s="2133"/>
      <c r="I184" s="2133"/>
      <c r="J184" s="2133"/>
      <c r="K184" s="2133"/>
      <c r="L184" s="2133"/>
      <c r="M184" s="2133"/>
      <c r="N184" s="2395">
        <f>N183/J29</f>
        <v>893147.5</v>
      </c>
      <c r="O184" s="2395"/>
      <c r="P184" s="2395"/>
      <c r="Q184" s="2395"/>
      <c r="R184" s="2395"/>
      <c r="S184" s="2395"/>
      <c r="T184" s="2395"/>
      <c r="U184" s="1216"/>
      <c r="V184" s="1216"/>
      <c r="W184" s="1216"/>
      <c r="X184" s="1216"/>
      <c r="Y184" s="1216"/>
      <c r="Z184" s="1216"/>
      <c r="AA184" s="1216"/>
      <c r="AB184" s="1216"/>
      <c r="AC184" s="1216"/>
      <c r="AD184" s="1216"/>
      <c r="AE184" s="1217"/>
      <c r="AF184" s="974"/>
      <c r="AG184" s="974"/>
      <c r="AH184" s="2119" t="s">
        <v>2605</v>
      </c>
      <c r="AI184" s="2119"/>
      <c r="AJ184" s="2119"/>
      <c r="AK184" s="2119"/>
      <c r="AL184" s="2119"/>
      <c r="AM184" s="2119"/>
      <c r="AN184" s="2119"/>
      <c r="AO184" s="2119"/>
      <c r="AP184" s="2119"/>
      <c r="AQ184" s="2119"/>
      <c r="AR184" s="2119"/>
      <c r="AS184" s="2119"/>
      <c r="AT184" s="2119"/>
      <c r="AU184" s="2110">
        <f>AU182+AU183</f>
        <v>2500000</v>
      </c>
      <c r="AV184" s="2110"/>
      <c r="AW184" s="2110"/>
      <c r="AX184" s="2110"/>
      <c r="AY184" s="2110"/>
      <c r="AZ184" s="2110"/>
      <c r="BA184" s="2110"/>
      <c r="BB184" s="2110"/>
      <c r="BC184" s="2113"/>
      <c r="BD184" s="2114"/>
      <c r="BE184" s="2115"/>
    </row>
    <row r="185" spans="1:57" ht="15.75" customHeight="1">
      <c r="A185" s="974"/>
      <c r="B185" s="974"/>
      <c r="C185" s="2398" t="s">
        <v>2606</v>
      </c>
      <c r="D185" s="2399"/>
      <c r="E185" s="2399"/>
      <c r="F185" s="2399"/>
      <c r="G185" s="2399"/>
      <c r="H185" s="2399"/>
      <c r="I185" s="2399"/>
      <c r="J185" s="2399"/>
      <c r="K185" s="2399"/>
      <c r="L185" s="2399"/>
      <c r="M185" s="2399"/>
      <c r="N185" s="2324">
        <v>0</v>
      </c>
      <c r="O185" s="2324"/>
      <c r="P185" s="2324"/>
      <c r="Q185" s="2324"/>
      <c r="R185" s="2324"/>
      <c r="S185" s="2324"/>
      <c r="T185" s="2324"/>
      <c r="U185" s="2302"/>
      <c r="V185" s="2302"/>
      <c r="W185" s="2302"/>
      <c r="X185" s="2302"/>
      <c r="Y185" s="2302"/>
      <c r="Z185" s="2302"/>
      <c r="AA185" s="2302"/>
      <c r="AB185" s="2302"/>
      <c r="AC185" s="2302"/>
      <c r="AD185" s="2302"/>
      <c r="AE185" s="2303"/>
      <c r="AF185" s="974"/>
      <c r="AG185" s="974"/>
      <c r="AH185" s="2112" t="s">
        <v>2607</v>
      </c>
      <c r="AI185" s="2112"/>
      <c r="AJ185" s="2112"/>
      <c r="AK185" s="2112"/>
      <c r="AL185" s="2112"/>
      <c r="AM185" s="2112"/>
      <c r="AN185" s="2112"/>
      <c r="AO185" s="2112"/>
      <c r="AP185" s="2112"/>
      <c r="AQ185" s="2112"/>
      <c r="AR185" s="2112"/>
      <c r="AS185" s="2112"/>
      <c r="AT185" s="2112"/>
      <c r="AU185" s="2111" t="str">
        <f>IF(AU189-AU192&lt;=AU184,"Y","N")</f>
        <v>Y</v>
      </c>
      <c r="AV185" s="2111"/>
      <c r="AW185" s="2111"/>
      <c r="AX185" s="2111"/>
      <c r="AY185" s="2111"/>
      <c r="AZ185" s="2111"/>
      <c r="BA185" s="2111"/>
      <c r="BB185" s="2111"/>
      <c r="BC185" s="2113"/>
      <c r="BD185" s="2114"/>
      <c r="BE185" s="2115"/>
    </row>
    <row r="186" spans="1:57" ht="15.75" customHeight="1" thickBot="1">
      <c r="A186" s="974"/>
      <c r="B186" s="974"/>
      <c r="C186" s="2132" t="s">
        <v>2608</v>
      </c>
      <c r="D186" s="2133"/>
      <c r="E186" s="2133"/>
      <c r="F186" s="2133"/>
      <c r="G186" s="2133"/>
      <c r="H186" s="2133"/>
      <c r="I186" s="2133"/>
      <c r="J186" s="2133"/>
      <c r="K186" s="2133"/>
      <c r="L186" s="2133"/>
      <c r="M186" s="2133"/>
      <c r="N186" s="2394">
        <f>SUM('Sources and Uses Budget'!B85:B86)</f>
        <v>2915000</v>
      </c>
      <c r="O186" s="2394"/>
      <c r="P186" s="2394"/>
      <c r="Q186" s="2394"/>
      <c r="R186" s="2394"/>
      <c r="S186" s="2394"/>
      <c r="T186" s="2394"/>
      <c r="U186" s="2302"/>
      <c r="V186" s="2302"/>
      <c r="W186" s="2302"/>
      <c r="X186" s="2302"/>
      <c r="Y186" s="2302"/>
      <c r="Z186" s="2302"/>
      <c r="AA186" s="2302"/>
      <c r="AB186" s="2302"/>
      <c r="AC186" s="2302"/>
      <c r="AD186" s="2302"/>
      <c r="AE186" s="2303"/>
      <c r="AF186" s="974"/>
      <c r="AG186" s="974"/>
      <c r="AH186" s="987"/>
      <c r="AI186" s="974"/>
      <c r="AJ186" s="974"/>
      <c r="AK186" s="974"/>
      <c r="AL186" s="974"/>
      <c r="AM186" s="974"/>
      <c r="AN186" s="974"/>
      <c r="AO186" s="974"/>
      <c r="AP186" s="974"/>
      <c r="AQ186" s="974"/>
      <c r="AR186" s="974"/>
      <c r="AS186" s="974"/>
      <c r="AT186" s="974"/>
      <c r="AU186" s="974"/>
      <c r="AV186" s="974"/>
      <c r="AW186" s="974"/>
      <c r="AX186" s="974"/>
      <c r="AY186" s="974"/>
      <c r="AZ186" s="974"/>
      <c r="BA186" s="974"/>
      <c r="BB186" s="974"/>
      <c r="BC186" s="974"/>
      <c r="BD186" s="974"/>
      <c r="BE186" s="970"/>
    </row>
    <row r="187" spans="1:57" ht="15.75" customHeight="1" thickBot="1">
      <c r="A187" s="974"/>
      <c r="B187" s="974"/>
      <c r="C187" s="2132" t="s">
        <v>2609</v>
      </c>
      <c r="D187" s="2133"/>
      <c r="E187" s="2133"/>
      <c r="F187" s="2133"/>
      <c r="G187" s="2133"/>
      <c r="H187" s="2133"/>
      <c r="I187" s="2133"/>
      <c r="J187" s="2133"/>
      <c r="K187" s="2133"/>
      <c r="L187" s="2133"/>
      <c r="M187" s="2133"/>
      <c r="N187" s="2394">
        <f>'Sources and Uses Budget'!B8</f>
        <v>1440000</v>
      </c>
      <c r="O187" s="2394"/>
      <c r="P187" s="2394"/>
      <c r="Q187" s="2394"/>
      <c r="R187" s="2394"/>
      <c r="S187" s="2394"/>
      <c r="T187" s="2394"/>
      <c r="U187" s="2302"/>
      <c r="V187" s="2302"/>
      <c r="W187" s="2302"/>
      <c r="X187" s="2302"/>
      <c r="Y187" s="2302"/>
      <c r="Z187" s="2302"/>
      <c r="AA187" s="2302"/>
      <c r="AB187" s="2302"/>
      <c r="AC187" s="2302"/>
      <c r="AD187" s="2302"/>
      <c r="AE187" s="2303"/>
      <c r="AF187" s="974"/>
      <c r="AG187" s="974"/>
      <c r="AH187" s="2401" t="s">
        <v>1500</v>
      </c>
      <c r="AI187" s="2402"/>
      <c r="AJ187" s="2402"/>
      <c r="AK187" s="2402"/>
      <c r="AL187" s="2402"/>
      <c r="AM187" s="2402"/>
      <c r="AN187" s="2402"/>
      <c r="AO187" s="2402"/>
      <c r="AP187" s="2402"/>
      <c r="AQ187" s="2402"/>
      <c r="AR187" s="2402"/>
      <c r="AS187" s="2402"/>
      <c r="AT187" s="2402"/>
      <c r="AU187" s="2402"/>
      <c r="AV187" s="2402"/>
      <c r="AW187" s="2402"/>
      <c r="AX187" s="2402"/>
      <c r="AY187" s="2402"/>
      <c r="AZ187" s="2402"/>
      <c r="BA187" s="2402"/>
      <c r="BB187" s="2402"/>
      <c r="BC187" s="2402"/>
      <c r="BD187" s="2402"/>
      <c r="BE187" s="2403"/>
    </row>
    <row r="188" spans="1:57" ht="15.75" customHeight="1">
      <c r="A188" s="974"/>
      <c r="B188" s="974"/>
      <c r="C188" s="2132" t="s">
        <v>2610</v>
      </c>
      <c r="D188" s="2133"/>
      <c r="E188" s="2133"/>
      <c r="F188" s="2133"/>
      <c r="G188" s="2133"/>
      <c r="H188" s="2133"/>
      <c r="I188" s="2133"/>
      <c r="J188" s="2133"/>
      <c r="K188" s="2133"/>
      <c r="L188" s="2133"/>
      <c r="M188" s="2133"/>
      <c r="N188" s="2409">
        <v>0</v>
      </c>
      <c r="O188" s="2409"/>
      <c r="P188" s="2409"/>
      <c r="Q188" s="2409"/>
      <c r="R188" s="2409"/>
      <c r="S188" s="2409"/>
      <c r="T188" s="2409"/>
      <c r="U188" s="2302"/>
      <c r="V188" s="2302"/>
      <c r="W188" s="2302"/>
      <c r="X188" s="2302"/>
      <c r="Y188" s="2302"/>
      <c r="Z188" s="2302"/>
      <c r="AA188" s="2302"/>
      <c r="AB188" s="2302"/>
      <c r="AC188" s="2302"/>
      <c r="AD188" s="2302"/>
      <c r="AE188" s="2303"/>
      <c r="AF188" s="974"/>
      <c r="AG188" s="974"/>
      <c r="AH188" s="2404" t="s">
        <v>1500</v>
      </c>
      <c r="AI188" s="2404"/>
      <c r="AJ188" s="2404"/>
      <c r="AK188" s="2404"/>
      <c r="AL188" s="2404"/>
      <c r="AM188" s="2404"/>
      <c r="AN188" s="2404"/>
      <c r="AO188" s="2404"/>
      <c r="AP188" s="2404"/>
      <c r="AQ188" s="2404"/>
      <c r="AR188" s="2404"/>
      <c r="AS188" s="2404"/>
      <c r="AT188" s="2404"/>
      <c r="AU188" s="2405">
        <v>0</v>
      </c>
      <c r="AV188" s="2405"/>
      <c r="AW188" s="2405"/>
      <c r="AX188" s="2405"/>
      <c r="AY188" s="2405"/>
      <c r="AZ188" s="2405"/>
      <c r="BA188" s="2405"/>
      <c r="BB188" s="2405"/>
      <c r="BC188" s="2406"/>
      <c r="BD188" s="2407"/>
      <c r="BE188" s="2408"/>
    </row>
    <row r="189" spans="1:57" ht="15.75" customHeight="1">
      <c r="A189" s="974"/>
      <c r="B189" s="974"/>
      <c r="C189" s="2132" t="s">
        <v>2611</v>
      </c>
      <c r="D189" s="2133"/>
      <c r="E189" s="2133"/>
      <c r="F189" s="2133"/>
      <c r="G189" s="2133"/>
      <c r="H189" s="2133"/>
      <c r="I189" s="2133"/>
      <c r="J189" s="2133"/>
      <c r="K189" s="2133"/>
      <c r="L189" s="2133"/>
      <c r="M189" s="2133"/>
      <c r="N189" s="2409">
        <v>0</v>
      </c>
      <c r="O189" s="2409"/>
      <c r="P189" s="2409"/>
      <c r="Q189" s="2409"/>
      <c r="R189" s="2409"/>
      <c r="S189" s="2409"/>
      <c r="T189" s="2409"/>
      <c r="U189" s="2302"/>
      <c r="V189" s="2302"/>
      <c r="W189" s="2302"/>
      <c r="X189" s="2302"/>
      <c r="Y189" s="2302"/>
      <c r="Z189" s="2302"/>
      <c r="AA189" s="2302"/>
      <c r="AB189" s="2302"/>
      <c r="AC189" s="2302"/>
      <c r="AD189" s="2302"/>
      <c r="AE189" s="2303"/>
      <c r="AF189" s="974"/>
      <c r="AG189" s="974"/>
      <c r="AH189" s="2142" t="s">
        <v>2612</v>
      </c>
      <c r="AI189" s="2142"/>
      <c r="AJ189" s="2142"/>
      <c r="AK189" s="2142"/>
      <c r="AL189" s="2142"/>
      <c r="AM189" s="2142"/>
      <c r="AN189" s="2142"/>
      <c r="AO189" s="2142"/>
      <c r="AP189" s="2142"/>
      <c r="AQ189" s="2142"/>
      <c r="AR189" s="2142"/>
      <c r="AS189" s="2142"/>
      <c r="AT189" s="2142"/>
      <c r="AU189" s="2400"/>
      <c r="AV189" s="2400"/>
      <c r="AW189" s="2400"/>
      <c r="AX189" s="2400"/>
      <c r="AY189" s="2400"/>
      <c r="AZ189" s="2400"/>
      <c r="BA189" s="2400"/>
      <c r="BB189" s="2400"/>
      <c r="BC189" s="2113"/>
      <c r="BD189" s="2114"/>
      <c r="BE189" s="2115"/>
    </row>
    <row r="190" spans="1:57" ht="15.75" customHeight="1">
      <c r="A190" s="974"/>
      <c r="B190" s="974"/>
      <c r="C190" s="2435" t="s">
        <v>1103</v>
      </c>
      <c r="D190" s="2366"/>
      <c r="E190" s="2434" t="s">
        <v>2592</v>
      </c>
      <c r="F190" s="2434"/>
      <c r="G190" s="2434"/>
      <c r="H190" s="2434"/>
      <c r="I190" s="2434"/>
      <c r="J190" s="2434"/>
      <c r="K190" s="2434"/>
      <c r="L190" s="2434"/>
      <c r="M190" s="2434"/>
      <c r="N190" s="2409">
        <v>0</v>
      </c>
      <c r="O190" s="2409"/>
      <c r="P190" s="2409"/>
      <c r="Q190" s="2409"/>
      <c r="R190" s="2409"/>
      <c r="S190" s="2409"/>
      <c r="T190" s="2409"/>
      <c r="U190" s="2302"/>
      <c r="V190" s="2302"/>
      <c r="W190" s="2302"/>
      <c r="X190" s="2302"/>
      <c r="Y190" s="2302"/>
      <c r="Z190" s="2302"/>
      <c r="AA190" s="2302"/>
      <c r="AB190" s="2302"/>
      <c r="AC190" s="2302"/>
      <c r="AD190" s="2302"/>
      <c r="AE190" s="2303"/>
      <c r="AF190" s="974"/>
      <c r="AG190" s="974"/>
      <c r="AH190" s="2119" t="s">
        <v>2598</v>
      </c>
      <c r="AI190" s="2119"/>
      <c r="AJ190" s="2119"/>
      <c r="AK190" s="2119"/>
      <c r="AL190" s="2119"/>
      <c r="AM190" s="2119"/>
      <c r="AN190" s="2119"/>
      <c r="AO190" s="2119"/>
      <c r="AP190" s="2119"/>
      <c r="AQ190" s="2119"/>
      <c r="AR190" s="2119"/>
      <c r="AS190" s="2119"/>
      <c r="AT190" s="2119"/>
      <c r="AU190" s="2110">
        <f>SUM(AU188:BB189)</f>
        <v>0</v>
      </c>
      <c r="AV190" s="2110"/>
      <c r="AW190" s="2110"/>
      <c r="AX190" s="2110"/>
      <c r="AY190" s="2110"/>
      <c r="AZ190" s="2110"/>
      <c r="BA190" s="2110"/>
      <c r="BB190" s="2110"/>
      <c r="BC190" s="2113"/>
      <c r="BD190" s="2114"/>
      <c r="BE190" s="2115"/>
    </row>
    <row r="191" spans="1:57" ht="15.75" customHeight="1" thickBot="1">
      <c r="A191" s="974"/>
      <c r="B191" s="974"/>
      <c r="C191" s="2323" t="s">
        <v>1103</v>
      </c>
      <c r="D191" s="2293"/>
      <c r="E191" s="2434" t="s">
        <v>2592</v>
      </c>
      <c r="F191" s="2434"/>
      <c r="G191" s="2434"/>
      <c r="H191" s="2434"/>
      <c r="I191" s="2434"/>
      <c r="J191" s="2434"/>
      <c r="K191" s="2434"/>
      <c r="L191" s="2434"/>
      <c r="M191" s="2434"/>
      <c r="N191" s="2409">
        <v>0</v>
      </c>
      <c r="O191" s="2409"/>
      <c r="P191" s="2409"/>
      <c r="Q191" s="2409"/>
      <c r="R191" s="2409"/>
      <c r="S191" s="2409"/>
      <c r="T191" s="2409"/>
      <c r="U191" s="2302"/>
      <c r="V191" s="2302"/>
      <c r="W191" s="2302"/>
      <c r="X191" s="2302"/>
      <c r="Y191" s="2302"/>
      <c r="Z191" s="2302"/>
      <c r="AA191" s="2302"/>
      <c r="AB191" s="2302"/>
      <c r="AC191" s="2302"/>
      <c r="AD191" s="2302"/>
      <c r="AE191" s="2303"/>
      <c r="AF191" s="974"/>
      <c r="AG191" s="974"/>
      <c r="AH191" s="974"/>
      <c r="AI191" s="974"/>
      <c r="AJ191" s="974"/>
      <c r="AK191" s="974"/>
      <c r="AL191" s="974"/>
      <c r="AM191" s="974"/>
      <c r="AN191" s="974"/>
      <c r="AO191" s="974"/>
      <c r="AP191" s="974"/>
      <c r="AQ191" s="974"/>
      <c r="AR191" s="974"/>
      <c r="AS191" s="974"/>
      <c r="AT191" s="974"/>
      <c r="AU191" s="974"/>
      <c r="AV191" s="974"/>
      <c r="AW191" s="974"/>
      <c r="AX191" s="974"/>
      <c r="AY191" s="974"/>
      <c r="AZ191" s="974"/>
      <c r="BA191" s="974"/>
      <c r="BB191" s="974"/>
      <c r="BC191" s="2416"/>
      <c r="BD191" s="2417"/>
      <c r="BE191" s="2418"/>
    </row>
    <row r="192" spans="1:57" ht="15.75" customHeight="1" thickBot="1">
      <c r="A192" s="974"/>
      <c r="B192" s="974"/>
      <c r="C192" s="2423" t="s">
        <v>1103</v>
      </c>
      <c r="D192" s="2424"/>
      <c r="E192" s="2425" t="s">
        <v>2592</v>
      </c>
      <c r="F192" s="2425"/>
      <c r="G192" s="2425"/>
      <c r="H192" s="2425"/>
      <c r="I192" s="2425"/>
      <c r="J192" s="2425"/>
      <c r="K192" s="2425"/>
      <c r="L192" s="2425"/>
      <c r="M192" s="2426"/>
      <c r="N192" s="2427">
        <v>0</v>
      </c>
      <c r="O192" s="2427"/>
      <c r="P192" s="2427"/>
      <c r="Q192" s="2427"/>
      <c r="R192" s="2427"/>
      <c r="S192" s="2427"/>
      <c r="T192" s="2428"/>
      <c r="U192" s="2429"/>
      <c r="V192" s="2430"/>
      <c r="W192" s="2430"/>
      <c r="X192" s="2430"/>
      <c r="Y192" s="2430"/>
      <c r="Z192" s="2430"/>
      <c r="AA192" s="2430"/>
      <c r="AB192" s="2430"/>
      <c r="AC192" s="2430"/>
      <c r="AD192" s="2430"/>
      <c r="AE192" s="2431"/>
      <c r="AF192" s="974"/>
      <c r="AG192" s="974"/>
      <c r="AH192" s="2460" t="s">
        <v>2613</v>
      </c>
      <c r="AI192" s="2461"/>
      <c r="AJ192" s="2461"/>
      <c r="AK192" s="2461"/>
      <c r="AL192" s="2461"/>
      <c r="AM192" s="2461"/>
      <c r="AN192" s="2461"/>
      <c r="AO192" s="2461"/>
      <c r="AP192" s="2461"/>
      <c r="AQ192" s="2461"/>
      <c r="AR192" s="2461"/>
      <c r="AS192" s="2461"/>
      <c r="AT192" s="2461"/>
      <c r="AU192" s="2410"/>
      <c r="AV192" s="2410"/>
      <c r="AW192" s="2410"/>
      <c r="AX192" s="2410"/>
      <c r="AY192" s="2410"/>
      <c r="AZ192" s="2410"/>
      <c r="BA192" s="2410"/>
      <c r="BB192" s="2410"/>
      <c r="BC192" s="986"/>
      <c r="BD192" s="986"/>
      <c r="BE192" s="985"/>
    </row>
    <row r="193" spans="1:57" ht="15.75" customHeight="1">
      <c r="A193" s="974"/>
      <c r="B193" s="974"/>
      <c r="C193" s="2419" t="s">
        <v>2614</v>
      </c>
      <c r="D193" s="2420"/>
      <c r="E193" s="2420"/>
      <c r="F193" s="2420"/>
      <c r="G193" s="2420"/>
      <c r="H193" s="2420"/>
      <c r="I193" s="2420"/>
      <c r="J193" s="2420"/>
      <c r="K193" s="2420"/>
      <c r="L193" s="2420"/>
      <c r="M193" s="2420"/>
      <c r="N193" s="2421">
        <f>SUM(N185:T192)</f>
        <v>4355000</v>
      </c>
      <c r="O193" s="2421"/>
      <c r="P193" s="2421"/>
      <c r="Q193" s="2421"/>
      <c r="R193" s="2421"/>
      <c r="S193" s="2421"/>
      <c r="T193" s="2422"/>
      <c r="U193" s="974"/>
      <c r="V193" s="974"/>
      <c r="W193" s="974"/>
      <c r="X193" s="974"/>
      <c r="Y193" s="974"/>
      <c r="Z193" s="974"/>
      <c r="AA193" s="974"/>
      <c r="AB193" s="974"/>
      <c r="AC193" s="974"/>
      <c r="AD193" s="974"/>
      <c r="AE193" s="974"/>
      <c r="AF193" s="974"/>
      <c r="AG193" s="974"/>
      <c r="AH193" s="2432" t="s">
        <v>2615</v>
      </c>
      <c r="AI193" s="2432"/>
      <c r="AJ193" s="2432"/>
      <c r="AK193" s="2432"/>
      <c r="AL193" s="2432"/>
      <c r="AM193" s="2432"/>
      <c r="AN193" s="2432"/>
      <c r="AO193" s="2432"/>
      <c r="AP193" s="2432"/>
      <c r="AQ193" s="2432"/>
      <c r="AR193" s="2432"/>
      <c r="AS193" s="2432"/>
      <c r="AT193" s="2432"/>
      <c r="AU193" s="2432"/>
      <c r="AV193" s="2432"/>
      <c r="AW193" s="2432"/>
      <c r="AX193" s="2432"/>
      <c r="AY193" s="2432"/>
      <c r="AZ193" s="2432"/>
      <c r="BA193" s="2432"/>
      <c r="BB193" s="2432"/>
      <c r="BC193" s="2432"/>
      <c r="BD193" s="2432"/>
      <c r="BE193" s="2433"/>
    </row>
    <row r="194" spans="1:57" ht="15.75" customHeight="1" thickBot="1">
      <c r="A194" s="974"/>
      <c r="B194" s="974"/>
      <c r="C194" s="2462" t="s">
        <v>2616</v>
      </c>
      <c r="D194" s="2463"/>
      <c r="E194" s="2463"/>
      <c r="F194" s="2463"/>
      <c r="G194" s="2463"/>
      <c r="H194" s="2463"/>
      <c r="I194" s="2463"/>
      <c r="J194" s="2463"/>
      <c r="K194" s="2463"/>
      <c r="L194" s="2463"/>
      <c r="M194" s="2463"/>
      <c r="N194" s="2464">
        <f>(N183-N193)/J29</f>
        <v>809397.5</v>
      </c>
      <c r="O194" s="2465"/>
      <c r="P194" s="2465"/>
      <c r="Q194" s="2465"/>
      <c r="R194" s="2465"/>
      <c r="S194" s="2465"/>
      <c r="T194" s="2466"/>
      <c r="U194" s="984"/>
      <c r="V194" s="974"/>
      <c r="W194" s="974"/>
      <c r="X194" s="974"/>
      <c r="Y194" s="974"/>
      <c r="Z194" s="974"/>
      <c r="AA194" s="974"/>
      <c r="AB194" s="974"/>
      <c r="AC194" s="974"/>
      <c r="AD194" s="974"/>
      <c r="AE194" s="974"/>
      <c r="AF194" s="974"/>
      <c r="AG194" s="974"/>
      <c r="AH194" s="2432"/>
      <c r="AI194" s="2432"/>
      <c r="AJ194" s="2432"/>
      <c r="AK194" s="2432"/>
      <c r="AL194" s="2432"/>
      <c r="AM194" s="2432"/>
      <c r="AN194" s="2432"/>
      <c r="AO194" s="2432"/>
      <c r="AP194" s="2432"/>
      <c r="AQ194" s="2432"/>
      <c r="AR194" s="2432"/>
      <c r="AS194" s="2432"/>
      <c r="AT194" s="2432"/>
      <c r="AU194" s="2432"/>
      <c r="AV194" s="2432"/>
      <c r="AW194" s="2432"/>
      <c r="AX194" s="2432"/>
      <c r="AY194" s="2432"/>
      <c r="AZ194" s="2432"/>
      <c r="BA194" s="2432"/>
      <c r="BB194" s="2432"/>
      <c r="BC194" s="2432"/>
      <c r="BD194" s="2432"/>
      <c r="BE194" s="2433"/>
    </row>
    <row r="195" spans="1:57" ht="15.75" customHeight="1">
      <c r="A195" s="974"/>
      <c r="B195" s="974"/>
      <c r="C195" s="974"/>
      <c r="D195" s="974"/>
      <c r="E195" s="974"/>
      <c r="F195" s="974"/>
      <c r="G195" s="974"/>
      <c r="H195" s="974"/>
      <c r="I195" s="974"/>
      <c r="J195" s="974"/>
      <c r="K195" s="974"/>
      <c r="L195" s="974"/>
      <c r="M195" s="974"/>
      <c r="N195" s="974"/>
      <c r="O195" s="974"/>
      <c r="P195" s="974"/>
      <c r="Q195" s="974"/>
      <c r="R195" s="974"/>
      <c r="S195" s="974"/>
      <c r="T195" s="974"/>
      <c r="U195" s="974"/>
      <c r="V195" s="974"/>
      <c r="W195" s="974"/>
      <c r="X195" s="974"/>
      <c r="Y195" s="974"/>
      <c r="Z195" s="974"/>
      <c r="AA195" s="974"/>
      <c r="AB195" s="974"/>
      <c r="AC195" s="974"/>
      <c r="AD195" s="974"/>
      <c r="AE195" s="974"/>
      <c r="AF195" s="974"/>
      <c r="AG195" s="974"/>
      <c r="AH195" s="2467"/>
      <c r="AI195" s="2467"/>
      <c r="AJ195" s="2467"/>
      <c r="AK195" s="2467"/>
      <c r="AL195" s="2467"/>
      <c r="AM195" s="2467"/>
      <c r="AN195" s="2467"/>
      <c r="AO195" s="2467"/>
      <c r="AP195" s="2467"/>
      <c r="AQ195" s="2467"/>
      <c r="AR195" s="2467"/>
      <c r="AS195" s="2411"/>
      <c r="AT195" s="2411"/>
      <c r="AU195" s="2411"/>
      <c r="AV195" s="2411"/>
      <c r="AW195" s="2411"/>
      <c r="AX195" s="2411"/>
      <c r="AY195" s="2411"/>
      <c r="AZ195" s="2411"/>
      <c r="BA195" s="2411"/>
      <c r="BB195" s="2411"/>
      <c r="BC195" s="2411"/>
      <c r="BD195" s="2411"/>
      <c r="BE195" s="970"/>
    </row>
    <row r="196" spans="1:57" ht="15.75" customHeight="1" thickBot="1">
      <c r="A196" s="974"/>
      <c r="B196" s="974"/>
      <c r="C196" s="974"/>
      <c r="D196" s="974"/>
      <c r="E196" s="974"/>
      <c r="F196" s="974"/>
      <c r="G196" s="974"/>
      <c r="H196" s="974"/>
      <c r="I196" s="974"/>
      <c r="J196" s="974"/>
      <c r="K196" s="974"/>
      <c r="L196" s="974"/>
      <c r="M196" s="974"/>
      <c r="N196" s="974"/>
      <c r="O196" s="974"/>
      <c r="P196" s="974"/>
      <c r="Q196" s="974"/>
      <c r="R196" s="974"/>
      <c r="S196" s="974"/>
      <c r="T196" s="974"/>
      <c r="U196" s="974"/>
      <c r="V196" s="974"/>
      <c r="W196" s="974"/>
      <c r="X196" s="974"/>
      <c r="Y196" s="974"/>
      <c r="Z196" s="974"/>
      <c r="AA196" s="974"/>
      <c r="AB196" s="974"/>
      <c r="AC196" s="974"/>
      <c r="AD196" s="974"/>
      <c r="AE196" s="974"/>
      <c r="AF196" s="974"/>
      <c r="AG196" s="974"/>
      <c r="AH196" s="974"/>
      <c r="AI196" s="974"/>
      <c r="AJ196" s="974"/>
      <c r="AK196" s="974"/>
      <c r="AL196" s="974"/>
      <c r="AM196" s="974"/>
      <c r="AN196" s="974"/>
      <c r="AO196" s="974"/>
      <c r="AP196" s="974"/>
      <c r="AQ196" s="974"/>
      <c r="AR196" s="974"/>
      <c r="AS196" s="974"/>
      <c r="AT196" s="974"/>
      <c r="AU196" s="974"/>
      <c r="AV196" s="974"/>
      <c r="AW196" s="974"/>
      <c r="AX196" s="974"/>
      <c r="AY196" s="974"/>
      <c r="AZ196" s="974"/>
      <c r="BA196" s="974"/>
      <c r="BB196" s="974"/>
      <c r="BC196" s="974"/>
      <c r="BD196" s="974"/>
      <c r="BE196" s="970"/>
    </row>
    <row r="197" spans="1:57" ht="15.75" customHeight="1" thickBot="1">
      <c r="A197" s="974"/>
      <c r="B197" s="974"/>
      <c r="C197" s="2412" t="s">
        <v>2617</v>
      </c>
      <c r="D197" s="2413"/>
      <c r="E197" s="2413"/>
      <c r="F197" s="2413"/>
      <c r="G197" s="2413"/>
      <c r="H197" s="2413"/>
      <c r="I197" s="2413"/>
      <c r="J197" s="2413"/>
      <c r="K197" s="2413"/>
      <c r="L197" s="2413"/>
      <c r="M197" s="2413"/>
      <c r="N197" s="2413"/>
      <c r="O197" s="2413"/>
      <c r="P197" s="2413"/>
      <c r="Q197" s="2413"/>
      <c r="R197" s="2413"/>
      <c r="S197" s="2413"/>
      <c r="T197" s="2413"/>
      <c r="U197" s="2413"/>
      <c r="V197" s="2413"/>
      <c r="W197" s="2413"/>
      <c r="X197" s="2413"/>
      <c r="Y197" s="2413"/>
      <c r="Z197" s="2413"/>
      <c r="AA197" s="2413"/>
      <c r="AB197" s="2413"/>
      <c r="AC197" s="2413"/>
      <c r="AD197" s="2413"/>
      <c r="AE197" s="2414"/>
      <c r="AF197" s="974"/>
      <c r="AG197" s="974"/>
      <c r="AH197" s="974"/>
      <c r="AI197" s="974"/>
      <c r="AJ197" s="974"/>
      <c r="AK197" s="974"/>
      <c r="AL197" s="974"/>
      <c r="AM197" s="974"/>
      <c r="AN197" s="974"/>
      <c r="AO197" s="974"/>
      <c r="AP197" s="974"/>
      <c r="AQ197" s="974"/>
      <c r="AR197" s="974"/>
      <c r="AS197" s="974"/>
      <c r="AT197" s="974"/>
      <c r="AU197" s="974"/>
      <c r="AV197" s="974"/>
      <c r="AW197" s="974"/>
      <c r="AX197" s="974"/>
      <c r="AY197" s="974"/>
      <c r="AZ197" s="974"/>
      <c r="BA197" s="974"/>
      <c r="BB197" s="974"/>
      <c r="BC197" s="974"/>
      <c r="BD197" s="974"/>
      <c r="BE197" s="970"/>
    </row>
    <row r="198" spans="1:57" ht="15.75" customHeight="1">
      <c r="A198" s="974"/>
      <c r="B198" s="974"/>
      <c r="C198" s="2122" t="s">
        <v>2618</v>
      </c>
      <c r="D198" s="2122"/>
      <c r="E198" s="2122"/>
      <c r="F198" s="2122"/>
      <c r="G198" s="2122"/>
      <c r="H198" s="2122"/>
      <c r="I198" s="2122"/>
      <c r="J198" s="2122"/>
      <c r="K198" s="2122"/>
      <c r="L198" s="2122"/>
      <c r="M198" s="2122"/>
      <c r="N198" s="2122"/>
      <c r="O198" s="2123" t="s">
        <v>2619</v>
      </c>
      <c r="P198" s="2123"/>
      <c r="Q198" s="2123"/>
      <c r="R198" s="2123"/>
      <c r="S198" s="2123"/>
      <c r="T198" s="2123"/>
      <c r="U198" s="2123"/>
      <c r="V198" s="2123"/>
      <c r="W198" s="2123"/>
      <c r="X198" s="2123" t="s">
        <v>2620</v>
      </c>
      <c r="Y198" s="2123"/>
      <c r="Z198" s="2123"/>
      <c r="AA198" s="2123"/>
      <c r="AB198" s="2123"/>
      <c r="AC198" s="2123"/>
      <c r="AD198" s="2123"/>
      <c r="AE198" s="2123"/>
      <c r="AF198" s="974"/>
      <c r="AG198" s="974"/>
      <c r="AH198" s="974"/>
      <c r="AI198" s="974"/>
      <c r="AJ198" s="974"/>
      <c r="AK198" s="974"/>
      <c r="AL198" s="974"/>
      <c r="AM198" s="974"/>
      <c r="AN198" s="974"/>
      <c r="AO198" s="974"/>
      <c r="AP198" s="974"/>
      <c r="AQ198" s="974"/>
      <c r="AR198" s="974"/>
      <c r="AS198" s="974"/>
      <c r="AT198" s="974"/>
      <c r="AU198" s="974"/>
      <c r="AV198" s="974"/>
      <c r="AW198" s="974"/>
      <c r="AX198" s="974"/>
      <c r="AY198" s="974"/>
      <c r="AZ198" s="974"/>
      <c r="BA198" s="974"/>
      <c r="BB198" s="974"/>
      <c r="BC198" s="974"/>
      <c r="BD198" s="974"/>
      <c r="BE198" s="970"/>
    </row>
    <row r="199" spans="1:57" ht="15.75" customHeight="1">
      <c r="A199" s="974"/>
      <c r="B199" s="974"/>
      <c r="C199" s="2120" t="s">
        <v>2621</v>
      </c>
      <c r="D199" s="2120"/>
      <c r="E199" s="2120"/>
      <c r="F199" s="2120"/>
      <c r="G199" s="2120"/>
      <c r="H199" s="2120"/>
      <c r="I199" s="2120"/>
      <c r="J199" s="2120"/>
      <c r="K199" s="2120"/>
      <c r="L199" s="2120"/>
      <c r="M199" s="2120"/>
      <c r="N199" s="2120"/>
      <c r="O199" s="2415" t="s">
        <v>2622</v>
      </c>
      <c r="P199" s="2415"/>
      <c r="Q199" s="2415"/>
      <c r="R199" s="2415"/>
      <c r="S199" s="2415"/>
      <c r="T199" s="2415"/>
      <c r="U199" s="2415"/>
      <c r="V199" s="2415"/>
      <c r="W199" s="2415"/>
      <c r="X199" s="2436">
        <v>0.03</v>
      </c>
      <c r="Y199" s="2436"/>
      <c r="Z199" s="2436"/>
      <c r="AA199" s="2436"/>
      <c r="AB199" s="2436"/>
      <c r="AC199" s="2436"/>
      <c r="AD199" s="2436"/>
      <c r="AE199" s="2436"/>
      <c r="AF199" s="974"/>
      <c r="AG199" s="974"/>
      <c r="AH199" s="974"/>
      <c r="AI199" s="974"/>
      <c r="AJ199" s="974"/>
      <c r="AK199" s="974"/>
      <c r="AL199" s="974"/>
      <c r="AM199" s="974"/>
      <c r="AN199" s="974"/>
      <c r="AO199" s="974"/>
      <c r="AP199" s="974"/>
      <c r="AQ199" s="974"/>
      <c r="AR199" s="974"/>
      <c r="AS199" s="974"/>
      <c r="AT199" s="974"/>
      <c r="AU199" s="974"/>
      <c r="AV199" s="974"/>
      <c r="AW199" s="974"/>
      <c r="AX199" s="974"/>
      <c r="AY199" s="974"/>
      <c r="AZ199" s="974"/>
      <c r="BA199" s="974"/>
      <c r="BB199" s="974"/>
      <c r="BC199" s="974"/>
      <c r="BD199" s="974"/>
      <c r="BE199" s="970"/>
    </row>
    <row r="200" spans="1:57" ht="15.75" customHeight="1">
      <c r="A200" s="974"/>
      <c r="B200" s="974"/>
      <c r="C200" s="2120" t="s">
        <v>2623</v>
      </c>
      <c r="D200" s="2120"/>
      <c r="E200" s="2120"/>
      <c r="F200" s="2120"/>
      <c r="G200" s="2120"/>
      <c r="H200" s="2120"/>
      <c r="I200" s="2120"/>
      <c r="J200" s="2120"/>
      <c r="K200" s="2120"/>
      <c r="L200" s="2120"/>
      <c r="M200" s="2120"/>
      <c r="N200" s="2120"/>
      <c r="O200" s="2415" t="s">
        <v>2622</v>
      </c>
      <c r="P200" s="2415"/>
      <c r="Q200" s="2415"/>
      <c r="R200" s="2415"/>
      <c r="S200" s="2415"/>
      <c r="T200" s="2415"/>
      <c r="U200" s="2415"/>
      <c r="V200" s="2415"/>
      <c r="W200" s="2415"/>
      <c r="X200" s="2436">
        <v>0.03</v>
      </c>
      <c r="Y200" s="2436"/>
      <c r="Z200" s="2436"/>
      <c r="AA200" s="2436"/>
      <c r="AB200" s="2436"/>
      <c r="AC200" s="2436"/>
      <c r="AD200" s="2436"/>
      <c r="AE200" s="2436"/>
      <c r="AF200" s="974"/>
      <c r="AG200" s="974"/>
      <c r="AH200" s="974"/>
      <c r="AI200" s="974"/>
      <c r="AJ200" s="974"/>
      <c r="AK200" s="974"/>
      <c r="AL200" s="974"/>
      <c r="AM200" s="974"/>
      <c r="AN200" s="974"/>
      <c r="AO200" s="974"/>
      <c r="AP200" s="974"/>
      <c r="AQ200" s="974"/>
      <c r="AR200" s="974"/>
      <c r="AS200" s="974"/>
      <c r="AT200" s="974"/>
      <c r="AU200" s="974"/>
      <c r="AV200" s="974"/>
      <c r="AW200" s="974"/>
      <c r="AX200" s="974"/>
      <c r="AY200" s="974"/>
      <c r="AZ200" s="974"/>
      <c r="BA200" s="974"/>
      <c r="BB200" s="974"/>
      <c r="BC200" s="974"/>
      <c r="BD200" s="974"/>
      <c r="BE200" s="970"/>
    </row>
    <row r="201" spans="1:57" ht="15.75" customHeight="1">
      <c r="A201" s="974"/>
      <c r="B201" s="974"/>
      <c r="C201" s="2120" t="s">
        <v>2624</v>
      </c>
      <c r="D201" s="2120"/>
      <c r="E201" s="2120"/>
      <c r="F201" s="2120"/>
      <c r="G201" s="2120"/>
      <c r="H201" s="2120"/>
      <c r="I201" s="2120"/>
      <c r="J201" s="2120"/>
      <c r="K201" s="2120"/>
      <c r="L201" s="2120"/>
      <c r="M201" s="2120"/>
      <c r="N201" s="2120"/>
      <c r="O201" s="2124">
        <f>SUM(O199:W200)</f>
        <v>0</v>
      </c>
      <c r="P201" s="2125"/>
      <c r="Q201" s="2125"/>
      <c r="R201" s="2125"/>
      <c r="S201" s="2125"/>
      <c r="T201" s="2125"/>
      <c r="U201" s="2125"/>
      <c r="V201" s="2125"/>
      <c r="W201" s="2125"/>
      <c r="X201" s="2125" t="s">
        <v>2625</v>
      </c>
      <c r="Y201" s="2125"/>
      <c r="Z201" s="2125"/>
      <c r="AA201" s="2125"/>
      <c r="AB201" s="2125"/>
      <c r="AC201" s="2125"/>
      <c r="AD201" s="2125"/>
      <c r="AE201" s="2125"/>
      <c r="AF201" s="974"/>
      <c r="AG201" s="974"/>
      <c r="AH201" s="974"/>
      <c r="AI201" s="974"/>
      <c r="AJ201" s="974"/>
      <c r="AK201" s="974"/>
      <c r="AL201" s="974"/>
      <c r="AM201" s="974"/>
      <c r="AN201" s="974"/>
      <c r="AO201" s="974"/>
      <c r="AP201" s="974"/>
      <c r="AQ201" s="974"/>
      <c r="AR201" s="974"/>
      <c r="AS201" s="974"/>
      <c r="AT201" s="974"/>
      <c r="AU201" s="974"/>
      <c r="AV201" s="974"/>
      <c r="AW201" s="974"/>
      <c r="AX201" s="974"/>
      <c r="AY201" s="974"/>
      <c r="AZ201" s="974"/>
      <c r="BA201" s="974"/>
      <c r="BB201" s="974"/>
      <c r="BC201" s="974"/>
      <c r="BD201" s="974"/>
      <c r="BE201" s="970"/>
    </row>
    <row r="202" spans="1:57" ht="15.75" customHeight="1">
      <c r="A202" s="974"/>
      <c r="B202" s="974"/>
      <c r="C202" s="2121" t="s">
        <v>2626</v>
      </c>
      <c r="D202" s="2121"/>
      <c r="E202" s="2121"/>
      <c r="F202" s="2121"/>
      <c r="G202" s="2121"/>
      <c r="H202" s="2121"/>
      <c r="I202" s="2121"/>
      <c r="J202" s="2121"/>
      <c r="K202" s="2121"/>
      <c r="L202" s="2121"/>
      <c r="M202" s="2121"/>
      <c r="N202" s="2121"/>
      <c r="O202" s="2121"/>
      <c r="P202" s="2121"/>
      <c r="Q202" s="2121"/>
      <c r="R202" s="2121"/>
      <c r="S202" s="2121"/>
      <c r="T202" s="2121"/>
      <c r="U202" s="2121"/>
      <c r="V202" s="2121"/>
      <c r="W202" s="2121"/>
      <c r="X202" s="2121"/>
      <c r="Y202" s="2121"/>
      <c r="Z202" s="2121"/>
      <c r="AA202" s="2121"/>
      <c r="AB202" s="2121"/>
      <c r="AC202" s="2121"/>
      <c r="AD202" s="2121"/>
      <c r="AE202" s="2121"/>
      <c r="AF202" s="974"/>
      <c r="AG202" s="974"/>
      <c r="AH202" s="974"/>
      <c r="AI202" s="974"/>
      <c r="AJ202" s="974"/>
      <c r="AK202" s="974"/>
      <c r="AL202" s="974"/>
      <c r="AM202" s="974"/>
      <c r="AN202" s="974"/>
      <c r="AO202" s="974"/>
      <c r="AP202" s="974"/>
      <c r="AQ202" s="974"/>
      <c r="AR202" s="974"/>
      <c r="AS202" s="974"/>
      <c r="AT202" s="974"/>
      <c r="AU202" s="974"/>
      <c r="AV202" s="974"/>
      <c r="AW202" s="974"/>
      <c r="AX202" s="974"/>
      <c r="AY202" s="974"/>
      <c r="AZ202" s="974"/>
      <c r="BA202" s="974"/>
      <c r="BB202" s="974"/>
      <c r="BC202" s="974"/>
      <c r="BD202" s="974"/>
      <c r="BE202" s="970"/>
    </row>
    <row r="203" spans="1:57" ht="15.75" customHeight="1" thickBot="1">
      <c r="A203" s="974"/>
      <c r="B203" s="974"/>
      <c r="C203" s="974"/>
      <c r="D203" s="974"/>
      <c r="E203" s="974"/>
      <c r="F203" s="974"/>
      <c r="G203" s="974"/>
      <c r="H203" s="974"/>
      <c r="I203" s="974"/>
      <c r="J203" s="974"/>
      <c r="K203" s="974"/>
      <c r="L203" s="974"/>
      <c r="M203" s="974"/>
      <c r="N203" s="974"/>
      <c r="O203" s="974"/>
      <c r="P203" s="974"/>
      <c r="Q203" s="974"/>
      <c r="R203" s="974"/>
      <c r="S203" s="974"/>
      <c r="T203" s="974"/>
      <c r="U203" s="974"/>
      <c r="V203" s="974"/>
      <c r="W203" s="974"/>
      <c r="X203" s="974"/>
      <c r="Y203" s="974"/>
      <c r="Z203" s="974"/>
      <c r="AA203" s="974"/>
      <c r="AB203" s="974"/>
      <c r="AC203" s="974"/>
      <c r="AD203" s="974"/>
      <c r="AE203" s="974"/>
      <c r="AF203" s="974"/>
      <c r="AG203" s="974"/>
      <c r="AH203" s="974"/>
      <c r="AI203" s="974"/>
      <c r="AJ203" s="974"/>
      <c r="AK203" s="974"/>
      <c r="AL203" s="974"/>
      <c r="AM203" s="974"/>
      <c r="AN203" s="974"/>
      <c r="AO203" s="974"/>
      <c r="AP203" s="974"/>
      <c r="AQ203" s="974"/>
      <c r="AR203" s="974"/>
      <c r="AS203" s="974"/>
      <c r="AT203" s="974"/>
      <c r="AU203" s="974"/>
      <c r="AV203" s="974"/>
      <c r="AW203" s="974"/>
      <c r="AX203" s="974"/>
      <c r="AY203" s="974"/>
      <c r="AZ203" s="974"/>
      <c r="BA203" s="974"/>
      <c r="BB203" s="974"/>
      <c r="BC203" s="974"/>
      <c r="BD203" s="974"/>
      <c r="BE203" s="970"/>
    </row>
    <row r="204" spans="1:57" ht="15.75" customHeight="1" thickBot="1">
      <c r="A204" s="974"/>
      <c r="B204" s="974"/>
      <c r="C204" s="2437" t="s">
        <v>2627</v>
      </c>
      <c r="D204" s="2438"/>
      <c r="E204" s="2438"/>
      <c r="F204" s="2438"/>
      <c r="G204" s="2438"/>
      <c r="H204" s="2438"/>
      <c r="I204" s="2438"/>
      <c r="J204" s="2438"/>
      <c r="K204" s="2438"/>
      <c r="L204" s="2438"/>
      <c r="M204" s="2438"/>
      <c r="N204" s="2438"/>
      <c r="O204" s="2438"/>
      <c r="P204" s="2438"/>
      <c r="Q204" s="2438"/>
      <c r="R204" s="2438"/>
      <c r="S204" s="2438"/>
      <c r="T204" s="2438"/>
      <c r="U204" s="2438"/>
      <c r="V204" s="2438"/>
      <c r="W204" s="2438"/>
      <c r="X204" s="2438"/>
      <c r="Y204" s="2438"/>
      <c r="Z204" s="2438"/>
      <c r="AA204" s="2438"/>
      <c r="AB204" s="2438"/>
      <c r="AC204" s="2438"/>
      <c r="AD204" s="2438"/>
      <c r="AE204" s="2438"/>
      <c r="AF204" s="2438"/>
      <c r="AG204" s="2438"/>
      <c r="AH204" s="2438"/>
      <c r="AI204" s="2438"/>
      <c r="AJ204" s="2438"/>
      <c r="AK204" s="2439"/>
      <c r="AL204" s="974"/>
      <c r="AM204" s="974"/>
      <c r="AN204" s="974"/>
      <c r="AO204" s="974"/>
      <c r="AP204" s="974"/>
      <c r="AQ204" s="974"/>
      <c r="AR204" s="974"/>
      <c r="AS204" s="974"/>
      <c r="AT204" s="974"/>
      <c r="AU204" s="974"/>
      <c r="AV204" s="974"/>
      <c r="AW204" s="974"/>
      <c r="AX204" s="974"/>
      <c r="AY204" s="974"/>
      <c r="AZ204" s="974"/>
      <c r="BA204" s="974"/>
      <c r="BB204" s="974"/>
      <c r="BC204" s="974"/>
      <c r="BD204" s="974"/>
      <c r="BE204" s="970"/>
    </row>
    <row r="205" spans="1:57" ht="15.75" customHeight="1">
      <c r="A205" s="974"/>
      <c r="B205" s="974"/>
      <c r="C205" s="2440" t="s">
        <v>2628</v>
      </c>
      <c r="D205" s="2441"/>
      <c r="E205" s="2441"/>
      <c r="F205" s="2442"/>
      <c r="G205" s="2446" t="s">
        <v>2629</v>
      </c>
      <c r="H205" s="2441"/>
      <c r="I205" s="2441"/>
      <c r="J205" s="2441"/>
      <c r="K205" s="2441"/>
      <c r="L205" s="2441"/>
      <c r="M205" s="2441"/>
      <c r="N205" s="2441"/>
      <c r="O205" s="2442"/>
      <c r="P205" s="2448" t="s">
        <v>2630</v>
      </c>
      <c r="Q205" s="2449"/>
      <c r="R205" s="2449"/>
      <c r="S205" s="2449"/>
      <c r="T205" s="2450"/>
      <c r="U205" s="2454" t="s">
        <v>2631</v>
      </c>
      <c r="V205" s="2455"/>
      <c r="W205" s="2455"/>
      <c r="X205" s="2456"/>
      <c r="Y205" s="2454" t="s">
        <v>2632</v>
      </c>
      <c r="Z205" s="2455"/>
      <c r="AA205" s="2455"/>
      <c r="AB205" s="2456"/>
      <c r="AC205" s="2454" t="s">
        <v>2633</v>
      </c>
      <c r="AD205" s="2455"/>
      <c r="AE205" s="2455"/>
      <c r="AF205" s="2456"/>
      <c r="AG205" s="2446" t="s">
        <v>2634</v>
      </c>
      <c r="AH205" s="2441"/>
      <c r="AI205" s="2441"/>
      <c r="AJ205" s="2441"/>
      <c r="AK205" s="2504"/>
      <c r="AL205" s="974"/>
      <c r="AM205" s="974"/>
      <c r="AN205" s="974"/>
      <c r="AO205" s="974"/>
      <c r="AP205" s="974"/>
      <c r="AQ205" s="974"/>
      <c r="AR205" s="974"/>
      <c r="AS205" s="974"/>
      <c r="AT205" s="974"/>
      <c r="AU205" s="974"/>
      <c r="AV205" s="974"/>
      <c r="AW205" s="974"/>
      <c r="AX205" s="974"/>
      <c r="AY205" s="974"/>
      <c r="AZ205" s="974"/>
      <c r="BA205" s="974"/>
      <c r="BB205" s="974"/>
      <c r="BC205" s="974"/>
      <c r="BD205" s="974"/>
      <c r="BE205" s="970"/>
    </row>
    <row r="206" spans="1:57" ht="15.75" customHeight="1">
      <c r="A206" s="974"/>
      <c r="B206" s="974"/>
      <c r="C206" s="2443"/>
      <c r="D206" s="2444"/>
      <c r="E206" s="2444"/>
      <c r="F206" s="2445"/>
      <c r="G206" s="2447"/>
      <c r="H206" s="2444"/>
      <c r="I206" s="2444"/>
      <c r="J206" s="2444"/>
      <c r="K206" s="2444"/>
      <c r="L206" s="2444"/>
      <c r="M206" s="2444"/>
      <c r="N206" s="2444"/>
      <c r="O206" s="2445"/>
      <c r="P206" s="2451"/>
      <c r="Q206" s="2452"/>
      <c r="R206" s="2452"/>
      <c r="S206" s="2452"/>
      <c r="T206" s="2453"/>
      <c r="U206" s="2457"/>
      <c r="V206" s="2458"/>
      <c r="W206" s="2458"/>
      <c r="X206" s="2459"/>
      <c r="Y206" s="2457"/>
      <c r="Z206" s="2458"/>
      <c r="AA206" s="2458"/>
      <c r="AB206" s="2459"/>
      <c r="AC206" s="2457"/>
      <c r="AD206" s="2458"/>
      <c r="AE206" s="2458"/>
      <c r="AF206" s="2459"/>
      <c r="AG206" s="2447"/>
      <c r="AH206" s="2444"/>
      <c r="AI206" s="2444"/>
      <c r="AJ206" s="2444"/>
      <c r="AK206" s="2505"/>
      <c r="AL206" s="974"/>
      <c r="AM206" s="974"/>
      <c r="AN206" s="974"/>
      <c r="AO206" s="974"/>
      <c r="AP206" s="974"/>
      <c r="AQ206" s="974"/>
      <c r="AR206" s="974"/>
      <c r="AS206" s="974"/>
      <c r="AT206" s="974"/>
      <c r="AU206" s="974"/>
      <c r="AV206" s="974"/>
      <c r="AW206" s="974"/>
      <c r="AX206" s="974"/>
      <c r="AY206" s="974"/>
      <c r="AZ206" s="974"/>
      <c r="BA206" s="974"/>
      <c r="BB206" s="974"/>
      <c r="BC206" s="974"/>
      <c r="BD206" s="974"/>
      <c r="BE206" s="970"/>
    </row>
    <row r="207" spans="1:57" ht="15.75" customHeight="1">
      <c r="A207" s="974"/>
      <c r="B207" s="974"/>
      <c r="C207" s="2099">
        <v>1</v>
      </c>
      <c r="D207" s="2100"/>
      <c r="E207" s="2100"/>
      <c r="F207" s="2100"/>
      <c r="G207" s="2101" t="s">
        <v>663</v>
      </c>
      <c r="H207" s="2101"/>
      <c r="I207" s="2101"/>
      <c r="J207" s="2101"/>
      <c r="K207" s="2101"/>
      <c r="L207" s="2101"/>
      <c r="M207" s="2101"/>
      <c r="N207" s="2101"/>
      <c r="O207" s="2101"/>
      <c r="P207" s="2102"/>
      <c r="Q207" s="2506"/>
      <c r="R207" s="2506"/>
      <c r="S207" s="2506"/>
      <c r="T207" s="2506"/>
      <c r="U207" s="2103" t="s">
        <v>663</v>
      </c>
      <c r="V207" s="2103"/>
      <c r="W207" s="2103"/>
      <c r="X207" s="2103"/>
      <c r="Y207" s="2103" t="s">
        <v>663</v>
      </c>
      <c r="Z207" s="2103"/>
      <c r="AA207" s="2103"/>
      <c r="AB207" s="2103"/>
      <c r="AC207" s="2104" t="s">
        <v>663</v>
      </c>
      <c r="AD207" s="2104"/>
      <c r="AE207" s="2104"/>
      <c r="AF207" s="2104"/>
      <c r="AG207" s="2498"/>
      <c r="AH207" s="2499"/>
      <c r="AI207" s="2499"/>
      <c r="AJ207" s="2499"/>
      <c r="AK207" s="2500"/>
      <c r="AL207" s="974"/>
      <c r="AM207" s="974"/>
      <c r="AN207" s="974"/>
      <c r="AO207" s="974"/>
      <c r="AP207" s="974"/>
      <c r="AQ207" s="974"/>
      <c r="AR207" s="974"/>
      <c r="AS207" s="974"/>
      <c r="AT207" s="974"/>
      <c r="AU207" s="974"/>
      <c r="AV207" s="974"/>
      <c r="AW207" s="974"/>
      <c r="AX207" s="974"/>
      <c r="AY207" s="974"/>
      <c r="AZ207" s="974"/>
      <c r="BA207" s="974"/>
      <c r="BB207" s="974"/>
      <c r="BC207" s="974"/>
      <c r="BD207" s="974"/>
      <c r="BE207" s="970"/>
    </row>
    <row r="208" spans="1:57" ht="15.75" customHeight="1">
      <c r="A208" s="974"/>
      <c r="B208" s="974"/>
      <c r="C208" s="2099">
        <v>2</v>
      </c>
      <c r="D208" s="2100"/>
      <c r="E208" s="2100"/>
      <c r="F208" s="2100"/>
      <c r="G208" s="2101" t="s">
        <v>663</v>
      </c>
      <c r="H208" s="2101"/>
      <c r="I208" s="2101"/>
      <c r="J208" s="2101"/>
      <c r="K208" s="2101"/>
      <c r="L208" s="2101"/>
      <c r="M208" s="2101"/>
      <c r="N208" s="2101"/>
      <c r="O208" s="2101"/>
      <c r="P208" s="2102"/>
      <c r="Q208" s="2102"/>
      <c r="R208" s="2102"/>
      <c r="S208" s="2102"/>
      <c r="T208" s="2102"/>
      <c r="U208" s="2103" t="s">
        <v>663</v>
      </c>
      <c r="V208" s="2103"/>
      <c r="W208" s="2103"/>
      <c r="X208" s="2103"/>
      <c r="Y208" s="2103" t="s">
        <v>663</v>
      </c>
      <c r="Z208" s="2103"/>
      <c r="AA208" s="2103"/>
      <c r="AB208" s="2103"/>
      <c r="AC208" s="2104" t="s">
        <v>663</v>
      </c>
      <c r="AD208" s="2104"/>
      <c r="AE208" s="2104"/>
      <c r="AF208" s="2104"/>
      <c r="AG208" s="2498"/>
      <c r="AH208" s="2499"/>
      <c r="AI208" s="2499"/>
      <c r="AJ208" s="2499"/>
      <c r="AK208" s="2500"/>
      <c r="AL208" s="974"/>
      <c r="AM208" s="974"/>
      <c r="AN208" s="974"/>
      <c r="AO208" s="974"/>
      <c r="AP208" s="974"/>
      <c r="AQ208" s="974"/>
      <c r="AR208" s="974"/>
      <c r="AS208" s="974"/>
      <c r="AT208" s="974"/>
      <c r="AU208" s="974"/>
      <c r="AV208" s="974"/>
      <c r="AW208" s="974"/>
      <c r="AX208" s="974"/>
      <c r="AY208" s="974"/>
      <c r="AZ208" s="974"/>
      <c r="BA208" s="974"/>
      <c r="BB208" s="974"/>
      <c r="BC208" s="974"/>
      <c r="BD208" s="974"/>
      <c r="BE208" s="970"/>
    </row>
    <row r="209" spans="1:57" ht="15.75" customHeight="1">
      <c r="A209" s="974"/>
      <c r="B209" s="974"/>
      <c r="C209" s="2099">
        <v>3</v>
      </c>
      <c r="D209" s="2100"/>
      <c r="E209" s="2100"/>
      <c r="F209" s="2100"/>
      <c r="G209" s="2101" t="s">
        <v>663</v>
      </c>
      <c r="H209" s="2101"/>
      <c r="I209" s="2101"/>
      <c r="J209" s="2101"/>
      <c r="K209" s="2101"/>
      <c r="L209" s="2101"/>
      <c r="M209" s="2101"/>
      <c r="N209" s="2101"/>
      <c r="O209" s="2101"/>
      <c r="P209" s="2102"/>
      <c r="Q209" s="2102"/>
      <c r="R209" s="2102"/>
      <c r="S209" s="2102"/>
      <c r="T209" s="2102"/>
      <c r="U209" s="2103" t="s">
        <v>663</v>
      </c>
      <c r="V209" s="2103"/>
      <c r="W209" s="2103"/>
      <c r="X209" s="2103"/>
      <c r="Y209" s="2103" t="s">
        <v>663</v>
      </c>
      <c r="Z209" s="2103"/>
      <c r="AA209" s="2103"/>
      <c r="AB209" s="2103"/>
      <c r="AC209" s="2104" t="s">
        <v>663</v>
      </c>
      <c r="AD209" s="2104"/>
      <c r="AE209" s="2104"/>
      <c r="AF209" s="2104"/>
      <c r="AG209" s="2498"/>
      <c r="AH209" s="2499"/>
      <c r="AI209" s="2499"/>
      <c r="AJ209" s="2499"/>
      <c r="AK209" s="2500"/>
      <c r="AL209" s="974"/>
      <c r="AM209" s="974"/>
      <c r="AN209" s="974"/>
      <c r="AO209" s="974"/>
      <c r="AP209" s="974"/>
      <c r="AQ209" s="974"/>
      <c r="AR209" s="974"/>
      <c r="AS209" s="974"/>
      <c r="AT209" s="974"/>
      <c r="AU209" s="974"/>
      <c r="AV209" s="974"/>
      <c r="AW209" s="974"/>
      <c r="AX209" s="974"/>
      <c r="AY209" s="974"/>
      <c r="AZ209" s="974"/>
      <c r="BA209" s="974"/>
      <c r="BB209" s="974"/>
      <c r="BC209" s="974"/>
      <c r="BD209" s="974"/>
      <c r="BE209" s="970"/>
    </row>
    <row r="210" spans="1:57" ht="15.75" customHeight="1">
      <c r="A210" s="974"/>
      <c r="B210" s="974"/>
      <c r="C210" s="2099">
        <v>4</v>
      </c>
      <c r="D210" s="2100"/>
      <c r="E210" s="2100"/>
      <c r="F210" s="2100"/>
      <c r="G210" s="2101" t="s">
        <v>663</v>
      </c>
      <c r="H210" s="2101"/>
      <c r="I210" s="2101"/>
      <c r="J210" s="2101"/>
      <c r="K210" s="2101"/>
      <c r="L210" s="2101"/>
      <c r="M210" s="2101"/>
      <c r="N210" s="2101"/>
      <c r="O210" s="2101"/>
      <c r="P210" s="2102"/>
      <c r="Q210" s="2102"/>
      <c r="R210" s="2102"/>
      <c r="S210" s="2102"/>
      <c r="T210" s="2102"/>
      <c r="U210" s="2103" t="s">
        <v>663</v>
      </c>
      <c r="V210" s="2103"/>
      <c r="W210" s="2103"/>
      <c r="X210" s="2103"/>
      <c r="Y210" s="2103" t="s">
        <v>663</v>
      </c>
      <c r="Z210" s="2103"/>
      <c r="AA210" s="2103"/>
      <c r="AB210" s="2103"/>
      <c r="AC210" s="2104" t="s">
        <v>663</v>
      </c>
      <c r="AD210" s="2104"/>
      <c r="AE210" s="2104"/>
      <c r="AF210" s="2104"/>
      <c r="AG210" s="2498"/>
      <c r="AH210" s="2499"/>
      <c r="AI210" s="2499"/>
      <c r="AJ210" s="2499"/>
      <c r="AK210" s="2500"/>
      <c r="AL210" s="974"/>
      <c r="AM210" s="974"/>
      <c r="AN210" s="974"/>
      <c r="AO210" s="974"/>
      <c r="AP210" s="974"/>
      <c r="AQ210" s="974"/>
      <c r="AR210" s="974"/>
      <c r="AS210" s="974"/>
      <c r="AT210" s="974"/>
      <c r="AU210" s="974"/>
      <c r="AV210" s="974"/>
      <c r="AW210" s="974"/>
      <c r="AX210" s="974"/>
      <c r="AY210" s="974"/>
      <c r="AZ210" s="974"/>
      <c r="BA210" s="974"/>
      <c r="BB210" s="974"/>
      <c r="BC210" s="974"/>
      <c r="BD210" s="974"/>
      <c r="BE210" s="970"/>
    </row>
    <row r="211" spans="1:57" ht="15.75" customHeight="1">
      <c r="A211" s="974"/>
      <c r="B211" s="974"/>
      <c r="C211" s="2099">
        <v>5</v>
      </c>
      <c r="D211" s="2100"/>
      <c r="E211" s="2100"/>
      <c r="F211" s="2100"/>
      <c r="G211" s="2101"/>
      <c r="H211" s="2101"/>
      <c r="I211" s="2101"/>
      <c r="J211" s="2101"/>
      <c r="K211" s="2101"/>
      <c r="L211" s="2101"/>
      <c r="M211" s="2101"/>
      <c r="N211" s="2101"/>
      <c r="O211" s="2101"/>
      <c r="P211" s="2102"/>
      <c r="Q211" s="2102"/>
      <c r="R211" s="2102"/>
      <c r="S211" s="2102"/>
      <c r="T211" s="2102"/>
      <c r="U211" s="2103" t="s">
        <v>663</v>
      </c>
      <c r="V211" s="2103"/>
      <c r="W211" s="2103"/>
      <c r="X211" s="2103"/>
      <c r="Y211" s="2103" t="s">
        <v>663</v>
      </c>
      <c r="Z211" s="2103"/>
      <c r="AA211" s="2103"/>
      <c r="AB211" s="2103"/>
      <c r="AC211" s="2104" t="s">
        <v>663</v>
      </c>
      <c r="AD211" s="2104"/>
      <c r="AE211" s="2104"/>
      <c r="AF211" s="2104"/>
      <c r="AG211" s="2498"/>
      <c r="AH211" s="2499"/>
      <c r="AI211" s="2499"/>
      <c r="AJ211" s="2499"/>
      <c r="AK211" s="2500"/>
      <c r="AL211" s="974"/>
      <c r="AM211" s="974"/>
      <c r="AN211" s="974"/>
      <c r="AO211" s="974"/>
      <c r="AP211" s="974"/>
      <c r="AQ211" s="974"/>
      <c r="AR211" s="974"/>
      <c r="AS211" s="974"/>
      <c r="AT211" s="974"/>
      <c r="AU211" s="974"/>
      <c r="AV211" s="974"/>
      <c r="AW211" s="974"/>
      <c r="AX211" s="974"/>
      <c r="AY211" s="974"/>
      <c r="AZ211" s="974"/>
      <c r="BA211" s="974"/>
      <c r="BB211" s="974"/>
      <c r="BC211" s="974"/>
      <c r="BD211" s="974"/>
      <c r="BE211" s="970"/>
    </row>
    <row r="212" spans="1:57" ht="15.75" customHeight="1">
      <c r="A212" s="974"/>
      <c r="B212" s="974"/>
      <c r="C212" s="2099">
        <v>6</v>
      </c>
      <c r="D212" s="2100"/>
      <c r="E212" s="2100"/>
      <c r="F212" s="2100"/>
      <c r="G212" s="2101" t="s">
        <v>663</v>
      </c>
      <c r="H212" s="2101"/>
      <c r="I212" s="2101"/>
      <c r="J212" s="2101"/>
      <c r="K212" s="2101"/>
      <c r="L212" s="2101"/>
      <c r="M212" s="2101"/>
      <c r="N212" s="2101"/>
      <c r="O212" s="2101"/>
      <c r="P212" s="2102"/>
      <c r="Q212" s="2102"/>
      <c r="R212" s="2102"/>
      <c r="S212" s="2102"/>
      <c r="T212" s="2102"/>
      <c r="U212" s="2103"/>
      <c r="V212" s="2103"/>
      <c r="W212" s="2103"/>
      <c r="X212" s="2103"/>
      <c r="Y212" s="2103"/>
      <c r="Z212" s="2103"/>
      <c r="AA212" s="2103"/>
      <c r="AB212" s="2103"/>
      <c r="AC212" s="2104" t="s">
        <v>663</v>
      </c>
      <c r="AD212" s="2104"/>
      <c r="AE212" s="2104"/>
      <c r="AF212" s="2104"/>
      <c r="AG212" s="2498"/>
      <c r="AH212" s="2499"/>
      <c r="AI212" s="2499"/>
      <c r="AJ212" s="2499"/>
      <c r="AK212" s="2500"/>
      <c r="AL212" s="974"/>
      <c r="AM212" s="974"/>
      <c r="AN212" s="974"/>
      <c r="AO212" s="974"/>
      <c r="AP212" s="974"/>
      <c r="AQ212" s="974"/>
      <c r="AR212" s="974"/>
      <c r="AS212" s="974"/>
      <c r="AT212" s="974"/>
      <c r="AU212" s="974"/>
      <c r="AV212" s="974"/>
      <c r="AW212" s="974"/>
      <c r="AX212" s="974"/>
      <c r="AY212" s="974"/>
      <c r="AZ212" s="974"/>
      <c r="BA212" s="974"/>
      <c r="BB212" s="974"/>
      <c r="BC212" s="974"/>
      <c r="BD212" s="974"/>
      <c r="BE212" s="970"/>
    </row>
    <row r="213" spans="1:57" ht="15.75" customHeight="1">
      <c r="A213" s="974"/>
      <c r="B213" s="974"/>
      <c r="C213" s="2099">
        <v>7</v>
      </c>
      <c r="D213" s="2100"/>
      <c r="E213" s="2100"/>
      <c r="F213" s="2100"/>
      <c r="G213" s="2105"/>
      <c r="H213" s="2106"/>
      <c r="I213" s="2106"/>
      <c r="J213" s="2106"/>
      <c r="K213" s="2106"/>
      <c r="L213" s="2106"/>
      <c r="M213" s="2106"/>
      <c r="N213" s="2106"/>
      <c r="O213" s="2107"/>
      <c r="P213" s="2102"/>
      <c r="Q213" s="2102"/>
      <c r="R213" s="2102"/>
      <c r="S213" s="2102"/>
      <c r="T213" s="2102"/>
      <c r="U213" s="2103"/>
      <c r="V213" s="2103"/>
      <c r="W213" s="2103"/>
      <c r="X213" s="2103"/>
      <c r="Y213" s="2103"/>
      <c r="Z213" s="2103"/>
      <c r="AA213" s="2103"/>
      <c r="AB213" s="2103"/>
      <c r="AC213" s="2104" t="s">
        <v>663</v>
      </c>
      <c r="AD213" s="2104"/>
      <c r="AE213" s="2104"/>
      <c r="AF213" s="2104"/>
      <c r="AG213" s="2498"/>
      <c r="AH213" s="2499"/>
      <c r="AI213" s="2499"/>
      <c r="AJ213" s="2499"/>
      <c r="AK213" s="2500"/>
      <c r="AL213" s="974"/>
      <c r="AM213" s="974"/>
      <c r="AN213" s="974"/>
      <c r="AO213" s="974"/>
      <c r="AP213" s="974"/>
      <c r="AQ213" s="974"/>
      <c r="AR213" s="974"/>
      <c r="AS213" s="974"/>
      <c r="AT213" s="974"/>
      <c r="AU213" s="974"/>
      <c r="AV213" s="974"/>
      <c r="AW213" s="974"/>
      <c r="AX213" s="974"/>
      <c r="AY213" s="974"/>
      <c r="AZ213" s="974"/>
      <c r="BA213" s="974"/>
      <c r="BB213" s="974"/>
      <c r="BC213" s="974"/>
      <c r="BD213" s="974"/>
      <c r="BE213" s="970"/>
    </row>
    <row r="214" spans="1:57" ht="15.75" customHeight="1">
      <c r="A214" s="974"/>
      <c r="B214" s="974"/>
      <c r="C214" s="2094" t="s">
        <v>2635</v>
      </c>
      <c r="D214" s="2095"/>
      <c r="E214" s="2095"/>
      <c r="F214" s="2095"/>
      <c r="G214" s="2095"/>
      <c r="H214" s="2095"/>
      <c r="I214" s="2095"/>
      <c r="J214" s="2095"/>
      <c r="K214" s="2095"/>
      <c r="L214" s="2095"/>
      <c r="M214" s="2095"/>
      <c r="N214" s="2095"/>
      <c r="O214" s="2095"/>
      <c r="P214" s="2096"/>
      <c r="Q214" s="2096"/>
      <c r="R214" s="2096"/>
      <c r="S214" s="2096"/>
      <c r="T214" s="2096"/>
      <c r="U214" s="2097">
        <v>0</v>
      </c>
      <c r="V214" s="2097"/>
      <c r="W214" s="2097"/>
      <c r="X214" s="2097"/>
      <c r="Y214" s="2097">
        <v>0</v>
      </c>
      <c r="Z214" s="2097"/>
      <c r="AA214" s="2097"/>
      <c r="AB214" s="2097"/>
      <c r="AC214" s="2098">
        <v>0</v>
      </c>
      <c r="AD214" s="2098"/>
      <c r="AE214" s="2098"/>
      <c r="AF214" s="2098"/>
      <c r="AG214" s="2501"/>
      <c r="AH214" s="2502"/>
      <c r="AI214" s="2502"/>
      <c r="AJ214" s="2502"/>
      <c r="AK214" s="2503"/>
      <c r="AL214" s="974"/>
      <c r="AM214" s="974"/>
      <c r="AN214" s="974"/>
      <c r="AO214" s="974"/>
      <c r="AP214" s="974"/>
      <c r="AQ214" s="974"/>
      <c r="AR214" s="974"/>
      <c r="AS214" s="974"/>
      <c r="AT214" s="974"/>
      <c r="AU214" s="974"/>
      <c r="AV214" s="974"/>
      <c r="AW214" s="974"/>
      <c r="AX214" s="974"/>
      <c r="AY214" s="974"/>
      <c r="AZ214" s="974"/>
      <c r="BA214" s="974"/>
      <c r="BB214" s="974"/>
      <c r="BC214" s="974"/>
      <c r="BD214" s="974"/>
      <c r="BE214" s="970"/>
    </row>
    <row r="215" spans="1:57" ht="15.75" customHeight="1">
      <c r="A215" s="974"/>
      <c r="B215" s="974"/>
      <c r="C215" s="974" t="s">
        <v>2636</v>
      </c>
      <c r="D215" s="974"/>
      <c r="E215" s="974"/>
      <c r="F215" s="974"/>
      <c r="G215" s="974"/>
      <c r="H215" s="974"/>
      <c r="I215" s="974"/>
      <c r="J215" s="974"/>
      <c r="K215" s="974"/>
      <c r="L215" s="974"/>
      <c r="M215" s="974"/>
      <c r="N215" s="974"/>
      <c r="O215" s="974"/>
      <c r="P215" s="974"/>
      <c r="Q215" s="974"/>
      <c r="R215" s="974"/>
      <c r="S215" s="974"/>
      <c r="T215" s="974"/>
      <c r="U215" s="974"/>
      <c r="V215" s="974"/>
      <c r="W215" s="974"/>
      <c r="X215" s="974"/>
      <c r="Y215" s="974"/>
      <c r="Z215" s="974"/>
      <c r="AA215" s="974"/>
      <c r="AB215" s="974"/>
      <c r="AC215" s="974"/>
      <c r="AD215" s="974"/>
      <c r="AE215" s="974"/>
      <c r="AF215" s="974"/>
      <c r="AG215" s="974"/>
      <c r="AH215" s="974"/>
      <c r="AI215" s="974"/>
      <c r="AJ215" s="974"/>
      <c r="AK215" s="974"/>
      <c r="AL215" s="974"/>
      <c r="AM215" s="974"/>
      <c r="AN215" s="974"/>
      <c r="AO215" s="974"/>
      <c r="AP215" s="974"/>
      <c r="AQ215" s="974"/>
      <c r="AR215" s="974"/>
      <c r="AS215" s="974"/>
      <c r="AT215" s="974"/>
      <c r="AU215" s="974"/>
      <c r="AV215" s="974"/>
      <c r="AW215" s="974"/>
      <c r="AX215" s="974"/>
      <c r="AY215" s="974"/>
      <c r="AZ215" s="974"/>
      <c r="BA215" s="974"/>
      <c r="BB215" s="974"/>
      <c r="BC215" s="974"/>
      <c r="BD215" s="974"/>
      <c r="BE215" s="970"/>
    </row>
    <row r="216" spans="1:57" ht="15.75" customHeight="1">
      <c r="A216" s="974"/>
      <c r="B216" s="974"/>
      <c r="C216" s="974"/>
      <c r="D216" s="974"/>
      <c r="E216" s="974"/>
      <c r="F216" s="974"/>
      <c r="G216" s="974"/>
      <c r="H216" s="974"/>
      <c r="I216" s="974"/>
      <c r="J216" s="974"/>
      <c r="K216" s="974"/>
      <c r="L216" s="974"/>
      <c r="M216" s="974"/>
      <c r="N216" s="974"/>
      <c r="O216" s="974"/>
      <c r="P216" s="974"/>
      <c r="Q216" s="974"/>
      <c r="R216" s="974"/>
      <c r="S216" s="974"/>
      <c r="T216" s="974"/>
      <c r="U216" s="974"/>
      <c r="V216" s="974"/>
      <c r="W216" s="974"/>
      <c r="X216" s="974"/>
      <c r="Y216" s="974"/>
      <c r="Z216" s="974"/>
      <c r="AA216" s="974"/>
      <c r="AB216" s="974"/>
      <c r="AC216" s="974"/>
      <c r="AD216" s="974"/>
      <c r="AE216" s="974"/>
      <c r="AF216" s="974"/>
      <c r="AG216" s="974"/>
      <c r="AH216" s="974"/>
      <c r="AI216" s="974"/>
      <c r="AJ216" s="974"/>
      <c r="AK216" s="974"/>
      <c r="AL216" s="974"/>
      <c r="AM216" s="974"/>
      <c r="AN216" s="974"/>
      <c r="AO216" s="974"/>
      <c r="AP216" s="974"/>
      <c r="AQ216" s="974"/>
      <c r="AR216" s="974"/>
      <c r="AS216" s="974"/>
      <c r="AT216" s="974"/>
      <c r="AU216" s="974"/>
      <c r="AV216" s="974"/>
      <c r="AW216" s="974"/>
      <c r="AX216" s="974"/>
      <c r="AY216" s="974"/>
      <c r="AZ216" s="974"/>
      <c r="BA216" s="974"/>
      <c r="BB216" s="974"/>
      <c r="BC216" s="974"/>
      <c r="BD216" s="974"/>
      <c r="BE216" s="970"/>
    </row>
    <row r="217" spans="1:57" ht="15.75" customHeight="1">
      <c r="A217" s="974"/>
      <c r="B217" s="974"/>
      <c r="C217" s="974"/>
      <c r="D217" s="974"/>
      <c r="E217" s="974"/>
      <c r="F217" s="974"/>
      <c r="G217" s="974"/>
      <c r="H217" s="974"/>
      <c r="I217" s="974"/>
      <c r="J217" s="974"/>
      <c r="K217" s="974"/>
      <c r="L217" s="974"/>
      <c r="M217" s="974"/>
      <c r="N217" s="974"/>
      <c r="O217" s="974"/>
      <c r="P217" s="974"/>
      <c r="Q217" s="974"/>
      <c r="R217" s="974"/>
      <c r="S217" s="974"/>
      <c r="T217" s="974"/>
      <c r="U217" s="974"/>
      <c r="V217" s="974"/>
      <c r="W217" s="974"/>
      <c r="X217" s="974"/>
      <c r="Y217" s="974"/>
      <c r="Z217" s="974"/>
      <c r="AA217" s="974"/>
      <c r="AB217" s="974"/>
      <c r="AC217" s="974"/>
      <c r="AD217" s="974"/>
      <c r="AE217" s="974"/>
      <c r="AF217" s="974"/>
      <c r="AG217" s="974"/>
      <c r="AH217" s="974"/>
      <c r="AI217" s="974"/>
      <c r="AJ217" s="974"/>
      <c r="AK217" s="974"/>
      <c r="AL217" s="974"/>
      <c r="AM217" s="974"/>
      <c r="AN217" s="974"/>
      <c r="AO217" s="974"/>
      <c r="AP217" s="974"/>
      <c r="AQ217" s="974"/>
      <c r="AR217" s="974"/>
      <c r="AS217" s="974"/>
      <c r="AT217" s="974"/>
      <c r="AU217" s="974"/>
      <c r="AV217" s="974"/>
      <c r="AW217" s="974"/>
      <c r="AX217" s="974"/>
      <c r="AY217" s="974"/>
      <c r="AZ217" s="974"/>
      <c r="BA217" s="974"/>
      <c r="BB217" s="974"/>
      <c r="BC217" s="974"/>
      <c r="BD217" s="974"/>
      <c r="BE217" s="970"/>
    </row>
    <row r="218" spans="1:57" ht="15.75" customHeight="1" thickBot="1">
      <c r="A218" s="974"/>
      <c r="B218" s="974"/>
      <c r="C218" s="974"/>
      <c r="D218" s="974"/>
      <c r="E218" s="974"/>
      <c r="F218" s="974"/>
      <c r="G218" s="974"/>
      <c r="H218" s="974"/>
      <c r="I218" s="974"/>
      <c r="J218" s="974"/>
      <c r="K218" s="974"/>
      <c r="L218" s="974"/>
      <c r="M218" s="974"/>
      <c r="N218" s="974"/>
      <c r="O218" s="974"/>
      <c r="P218" s="974"/>
      <c r="Q218" s="974"/>
      <c r="R218" s="974"/>
      <c r="S218" s="974"/>
      <c r="T218" s="974"/>
      <c r="U218" s="974"/>
      <c r="V218" s="974"/>
      <c r="W218" s="974"/>
      <c r="X218" s="974"/>
      <c r="Y218" s="974"/>
      <c r="Z218" s="974"/>
      <c r="AA218" s="974"/>
      <c r="AB218" s="974"/>
      <c r="AC218" s="974"/>
      <c r="AD218" s="974"/>
      <c r="AE218" s="974"/>
      <c r="AF218" s="974"/>
      <c r="AG218" s="974"/>
      <c r="AH218" s="974"/>
      <c r="AI218" s="974"/>
      <c r="AJ218" s="974"/>
      <c r="AK218" s="974"/>
      <c r="AL218" s="974"/>
      <c r="AM218" s="974"/>
      <c r="AN218" s="974"/>
      <c r="AO218" s="974"/>
      <c r="AP218" s="974"/>
      <c r="AQ218" s="974"/>
      <c r="AR218" s="974"/>
      <c r="AS218" s="974"/>
      <c r="AT218" s="974"/>
      <c r="AU218" s="974"/>
      <c r="AV218" s="974"/>
      <c r="AW218" s="974"/>
      <c r="AX218" s="974"/>
      <c r="AY218" s="974"/>
      <c r="AZ218" s="974"/>
      <c r="BA218" s="974"/>
      <c r="BB218" s="974"/>
      <c r="BC218" s="974"/>
      <c r="BD218" s="974"/>
      <c r="BE218" s="970"/>
    </row>
    <row r="219" spans="1:57" ht="15.75" customHeight="1">
      <c r="A219" s="974"/>
      <c r="B219" s="2474" t="s">
        <v>2637</v>
      </c>
      <c r="C219" s="2475"/>
      <c r="D219" s="2475"/>
      <c r="E219" s="2475"/>
      <c r="F219" s="2475"/>
      <c r="G219" s="2475"/>
      <c r="H219" s="2475"/>
      <c r="I219" s="2475"/>
      <c r="J219" s="2475"/>
      <c r="K219" s="2475"/>
      <c r="L219" s="2475"/>
      <c r="M219" s="2475"/>
      <c r="N219" s="2475"/>
      <c r="O219" s="2475"/>
      <c r="P219" s="2475"/>
      <c r="Q219" s="2475"/>
      <c r="R219" s="2475"/>
      <c r="S219" s="2475"/>
      <c r="T219" s="2475"/>
      <c r="U219" s="2475"/>
      <c r="V219" s="2475"/>
      <c r="W219" s="2475"/>
      <c r="X219" s="2475"/>
      <c r="Y219" s="2475"/>
      <c r="Z219" s="2475"/>
      <c r="AA219" s="2475"/>
      <c r="AB219" s="2475"/>
      <c r="AC219" s="2475"/>
      <c r="AD219" s="2475"/>
      <c r="AE219" s="2475"/>
      <c r="AF219" s="2475"/>
      <c r="AG219" s="2475"/>
      <c r="AH219" s="2475"/>
      <c r="AI219" s="2475"/>
      <c r="AJ219" s="2475"/>
      <c r="AK219" s="2475"/>
      <c r="AL219" s="2475"/>
      <c r="AM219" s="2475"/>
      <c r="AN219" s="2475"/>
      <c r="AO219" s="2475"/>
      <c r="AP219" s="2475"/>
      <c r="AQ219" s="2475"/>
      <c r="AR219" s="2475"/>
      <c r="AS219" s="2475"/>
      <c r="AT219" s="2475"/>
      <c r="AU219" s="2475"/>
      <c r="AV219" s="2475"/>
      <c r="AW219" s="2475"/>
      <c r="AX219" s="2475"/>
      <c r="AY219" s="2475"/>
      <c r="AZ219" s="2475"/>
      <c r="BA219" s="2475"/>
      <c r="BB219" s="2475"/>
      <c r="BC219" s="2475"/>
      <c r="BD219" s="2476"/>
      <c r="BE219" s="970"/>
    </row>
    <row r="220" spans="1:57" ht="15.75" customHeight="1">
      <c r="A220" s="974"/>
      <c r="B220" s="2477"/>
      <c r="C220" s="2478"/>
      <c r="D220" s="2478"/>
      <c r="E220" s="2478"/>
      <c r="F220" s="2478"/>
      <c r="G220" s="2478"/>
      <c r="H220" s="2478"/>
      <c r="I220" s="2478"/>
      <c r="J220" s="2478"/>
      <c r="K220" s="2478"/>
      <c r="L220" s="2478"/>
      <c r="M220" s="2478"/>
      <c r="N220" s="2478"/>
      <c r="O220" s="2478"/>
      <c r="P220" s="2478"/>
      <c r="Q220" s="2478"/>
      <c r="R220" s="2478"/>
      <c r="S220" s="2478"/>
      <c r="T220" s="2478"/>
      <c r="U220" s="2478"/>
      <c r="V220" s="2478"/>
      <c r="W220" s="2478"/>
      <c r="X220" s="2478"/>
      <c r="Y220" s="2478"/>
      <c r="Z220" s="2478"/>
      <c r="AA220" s="2478"/>
      <c r="AB220" s="2478"/>
      <c r="AC220" s="2478"/>
      <c r="AD220" s="2478"/>
      <c r="AE220" s="2478"/>
      <c r="AF220" s="2478"/>
      <c r="AG220" s="2478"/>
      <c r="AH220" s="2478"/>
      <c r="AI220" s="2478"/>
      <c r="AJ220" s="2478"/>
      <c r="AK220" s="2478"/>
      <c r="AL220" s="2478"/>
      <c r="AM220" s="2478"/>
      <c r="AN220" s="2478"/>
      <c r="AO220" s="2478"/>
      <c r="AP220" s="2478"/>
      <c r="AQ220" s="2478"/>
      <c r="AR220" s="2478"/>
      <c r="AS220" s="2478"/>
      <c r="AT220" s="2478"/>
      <c r="AU220" s="2478"/>
      <c r="AV220" s="2478"/>
      <c r="AW220" s="2478"/>
      <c r="AX220" s="2478"/>
      <c r="AY220" s="2478"/>
      <c r="AZ220" s="2478"/>
      <c r="BA220" s="2478"/>
      <c r="BB220" s="2478"/>
      <c r="BC220" s="2478"/>
      <c r="BD220" s="2479"/>
      <c r="BE220" s="970"/>
    </row>
    <row r="221" spans="1:57" ht="15.75" customHeight="1">
      <c r="A221" s="974"/>
      <c r="B221" s="2480" t="s">
        <v>2638</v>
      </c>
      <c r="C221" s="2481"/>
      <c r="D221" s="2481"/>
      <c r="E221" s="2481"/>
      <c r="F221" s="2481"/>
      <c r="G221" s="2481"/>
      <c r="H221" s="2481"/>
      <c r="I221" s="2481"/>
      <c r="J221" s="2481"/>
      <c r="K221" s="2481"/>
      <c r="L221" s="2481"/>
      <c r="M221" s="2481"/>
      <c r="N221" s="2481"/>
      <c r="O221" s="2481"/>
      <c r="P221" s="2481"/>
      <c r="Q221" s="2481"/>
      <c r="R221" s="2481"/>
      <c r="S221" s="2481"/>
      <c r="T221" s="2481"/>
      <c r="U221" s="2481"/>
      <c r="V221" s="2481"/>
      <c r="W221" s="2481"/>
      <c r="X221" s="2481"/>
      <c r="Y221" s="2481"/>
      <c r="Z221" s="2481"/>
      <c r="AA221" s="2481"/>
      <c r="AB221" s="2481"/>
      <c r="AC221" s="2481"/>
      <c r="AD221" s="2481"/>
      <c r="AE221" s="2481"/>
      <c r="AF221" s="2481"/>
      <c r="AG221" s="2481"/>
      <c r="AH221" s="2481"/>
      <c r="AI221" s="2481"/>
      <c r="AJ221" s="2481"/>
      <c r="AK221" s="2481"/>
      <c r="AL221" s="2481"/>
      <c r="AM221" s="2481"/>
      <c r="AN221" s="2481"/>
      <c r="AO221" s="2481"/>
      <c r="AP221" s="2481"/>
      <c r="AQ221" s="2481"/>
      <c r="AR221" s="2481"/>
      <c r="AS221" s="2481"/>
      <c r="AT221" s="2481"/>
      <c r="AU221" s="2481"/>
      <c r="AV221" s="2481"/>
      <c r="AW221" s="2481"/>
      <c r="AX221" s="2481"/>
      <c r="AY221" s="2481"/>
      <c r="AZ221" s="2481"/>
      <c r="BA221" s="2481"/>
      <c r="BB221" s="2481"/>
      <c r="BC221" s="2481"/>
      <c r="BD221" s="2482"/>
      <c r="BE221" s="970"/>
    </row>
    <row r="222" spans="1:57" ht="15.75" customHeight="1">
      <c r="A222" s="974"/>
      <c r="B222" s="2480" t="s">
        <v>2639</v>
      </c>
      <c r="C222" s="2481"/>
      <c r="D222" s="2481"/>
      <c r="E222" s="2481"/>
      <c r="F222" s="2481"/>
      <c r="G222" s="2481"/>
      <c r="H222" s="2481"/>
      <c r="I222" s="2481"/>
      <c r="J222" s="2481"/>
      <c r="K222" s="2481"/>
      <c r="L222" s="2481"/>
      <c r="M222" s="2481"/>
      <c r="N222" s="2481"/>
      <c r="O222" s="2481"/>
      <c r="P222" s="2481"/>
      <c r="Q222" s="2481"/>
      <c r="R222" s="2481"/>
      <c r="S222" s="2481"/>
      <c r="T222" s="2481"/>
      <c r="U222" s="2481"/>
      <c r="V222" s="2481"/>
      <c r="W222" s="2481"/>
      <c r="X222" s="2481"/>
      <c r="Y222" s="2481"/>
      <c r="Z222" s="2481"/>
      <c r="AA222" s="2481"/>
      <c r="AB222" s="2481"/>
      <c r="AC222" s="2481"/>
      <c r="AD222" s="2481"/>
      <c r="AE222" s="2481"/>
      <c r="AF222" s="2481"/>
      <c r="AG222" s="2481"/>
      <c r="AH222" s="2481"/>
      <c r="AI222" s="2481"/>
      <c r="AJ222" s="2481"/>
      <c r="AK222" s="2481"/>
      <c r="AL222" s="2481"/>
      <c r="AM222" s="2481"/>
      <c r="AN222" s="2481"/>
      <c r="AO222" s="2481"/>
      <c r="AP222" s="2481"/>
      <c r="AQ222" s="2481"/>
      <c r="AR222" s="2481"/>
      <c r="AS222" s="2481"/>
      <c r="AT222" s="2481"/>
      <c r="AU222" s="2481"/>
      <c r="AV222" s="2481"/>
      <c r="AW222" s="2481"/>
      <c r="AX222" s="2481"/>
      <c r="AY222" s="2481"/>
      <c r="AZ222" s="2481"/>
      <c r="BA222" s="2481"/>
      <c r="BB222" s="2481"/>
      <c r="BC222" s="2481"/>
      <c r="BD222" s="2482"/>
      <c r="BE222" s="970"/>
    </row>
    <row r="223" spans="1:57" ht="15.75" customHeight="1">
      <c r="A223" s="974"/>
      <c r="B223" s="980"/>
      <c r="C223" s="974"/>
      <c r="D223" s="974"/>
      <c r="E223" s="974"/>
      <c r="F223" s="974"/>
      <c r="G223" s="974"/>
      <c r="H223" s="974"/>
      <c r="I223" s="974"/>
      <c r="J223" s="974"/>
      <c r="K223" s="974"/>
      <c r="L223" s="974"/>
      <c r="M223" s="974"/>
      <c r="N223" s="974"/>
      <c r="O223" s="974"/>
      <c r="P223" s="974"/>
      <c r="Q223" s="974"/>
      <c r="R223" s="974"/>
      <c r="S223" s="974"/>
      <c r="T223" s="974"/>
      <c r="U223" s="974"/>
      <c r="V223" s="974"/>
      <c r="W223" s="974"/>
      <c r="X223" s="974"/>
      <c r="Y223" s="974"/>
      <c r="Z223" s="974"/>
      <c r="AA223" s="974"/>
      <c r="AB223" s="974"/>
      <c r="AC223" s="974"/>
      <c r="AD223" s="974"/>
      <c r="AE223" s="974"/>
      <c r="AF223" s="974"/>
      <c r="AG223" s="974"/>
      <c r="AH223" s="974"/>
      <c r="AI223" s="974"/>
      <c r="AJ223" s="974"/>
      <c r="AK223" s="974"/>
      <c r="AL223" s="974"/>
      <c r="AM223" s="974"/>
      <c r="AN223" s="974"/>
      <c r="AO223" s="974"/>
      <c r="AP223" s="974"/>
      <c r="AQ223" s="974"/>
      <c r="AR223" s="974"/>
      <c r="AS223" s="974"/>
      <c r="AT223" s="974"/>
      <c r="AU223" s="974"/>
      <c r="AV223" s="974"/>
      <c r="AW223" s="974"/>
      <c r="AX223" s="974"/>
      <c r="AY223" s="974"/>
      <c r="AZ223" s="974"/>
      <c r="BA223" s="974"/>
      <c r="BB223" s="974"/>
      <c r="BC223" s="974"/>
      <c r="BD223" s="970"/>
      <c r="BE223" s="970"/>
    </row>
    <row r="224" spans="1:57" ht="15.75" customHeight="1">
      <c r="A224" s="974"/>
      <c r="B224" s="2483" t="s">
        <v>2640</v>
      </c>
      <c r="C224" s="2484"/>
      <c r="D224" s="2484"/>
      <c r="E224" s="2484"/>
      <c r="F224" s="2484"/>
      <c r="G224" s="2484"/>
      <c r="H224" s="2484"/>
      <c r="I224" s="2484"/>
      <c r="J224" s="2484"/>
      <c r="K224" s="2484"/>
      <c r="L224" s="2484"/>
      <c r="M224" s="2484"/>
      <c r="N224" s="2484"/>
      <c r="O224" s="2484"/>
      <c r="P224" s="2484"/>
      <c r="Q224" s="2484"/>
      <c r="R224" s="2484"/>
      <c r="S224" s="2484"/>
      <c r="T224" s="2484"/>
      <c r="U224" s="2484"/>
      <c r="V224" s="2484"/>
      <c r="W224" s="2484"/>
      <c r="X224" s="2484"/>
      <c r="Y224" s="2484"/>
      <c r="Z224" s="2484"/>
      <c r="AA224" s="2484"/>
      <c r="AB224" s="2484"/>
      <c r="AC224" s="2484"/>
      <c r="AD224" s="2484"/>
      <c r="AE224" s="2484"/>
      <c r="AF224" s="2484"/>
      <c r="AG224" s="2484"/>
      <c r="AH224" s="2484"/>
      <c r="AI224" s="2484"/>
      <c r="AJ224" s="2484"/>
      <c r="AK224" s="2484"/>
      <c r="AL224" s="2484"/>
      <c r="AM224" s="2484"/>
      <c r="AN224" s="2484"/>
      <c r="AO224" s="2484"/>
      <c r="AP224" s="2484"/>
      <c r="AQ224" s="2484"/>
      <c r="AR224" s="2484"/>
      <c r="AS224" s="2484"/>
      <c r="AT224" s="2484"/>
      <c r="AU224" s="2484"/>
      <c r="AV224" s="2484"/>
      <c r="AW224" s="2484"/>
      <c r="AX224" s="2484"/>
      <c r="AY224" s="2484"/>
      <c r="AZ224" s="2484"/>
      <c r="BA224" s="2484"/>
      <c r="BB224" s="2484"/>
      <c r="BC224" s="2484"/>
      <c r="BD224" s="2485"/>
      <c r="BE224" s="970"/>
    </row>
    <row r="225" spans="1:57" ht="15.75" customHeight="1">
      <c r="A225" s="974"/>
      <c r="B225" s="983"/>
      <c r="C225" s="974"/>
      <c r="D225" s="974"/>
      <c r="E225" s="974"/>
      <c r="F225" s="974"/>
      <c r="G225" s="974"/>
      <c r="H225" s="974"/>
      <c r="I225" s="974"/>
      <c r="J225" s="974"/>
      <c r="K225" s="974"/>
      <c r="L225" s="974"/>
      <c r="M225" s="974"/>
      <c r="N225" s="974"/>
      <c r="O225" s="974"/>
      <c r="P225" s="974"/>
      <c r="Q225" s="974"/>
      <c r="R225" s="974"/>
      <c r="S225" s="974"/>
      <c r="T225" s="974"/>
      <c r="U225" s="974"/>
      <c r="V225" s="974"/>
      <c r="W225" s="974"/>
      <c r="X225" s="974"/>
      <c r="Y225" s="974"/>
      <c r="Z225" s="974"/>
      <c r="AA225" s="974"/>
      <c r="AB225" s="974"/>
      <c r="AC225" s="974"/>
      <c r="AD225" s="974"/>
      <c r="AE225" s="974"/>
      <c r="AF225" s="974"/>
      <c r="AG225" s="974"/>
      <c r="AH225" s="974"/>
      <c r="AI225" s="974"/>
      <c r="AJ225" s="974"/>
      <c r="AK225" s="974"/>
      <c r="AL225" s="974"/>
      <c r="AM225" s="974"/>
      <c r="AN225" s="974"/>
      <c r="AO225" s="974"/>
      <c r="AP225" s="974"/>
      <c r="AQ225" s="974"/>
      <c r="AR225" s="974"/>
      <c r="AS225" s="974"/>
      <c r="AT225" s="974"/>
      <c r="AU225" s="974"/>
      <c r="AV225" s="974"/>
      <c r="AW225" s="974"/>
      <c r="AX225" s="974"/>
      <c r="AY225" s="974"/>
      <c r="AZ225" s="974"/>
      <c r="BA225" s="974"/>
      <c r="BB225" s="974"/>
      <c r="BC225" s="974"/>
      <c r="BD225" s="970"/>
      <c r="BE225" s="970"/>
    </row>
    <row r="226" spans="1:57" ht="15.75" customHeight="1">
      <c r="A226" s="974"/>
      <c r="B226" s="981"/>
      <c r="C226" s="974"/>
      <c r="D226" s="974"/>
      <c r="E226" s="974"/>
      <c r="F226" s="974"/>
      <c r="G226" s="974"/>
      <c r="H226" s="982" t="s">
        <v>2641</v>
      </c>
      <c r="I226" s="974"/>
      <c r="J226" s="974"/>
      <c r="K226" s="974"/>
      <c r="L226" s="974"/>
      <c r="M226" s="974"/>
      <c r="N226" s="974"/>
      <c r="O226" s="974"/>
      <c r="P226" s="974"/>
      <c r="Q226" s="974"/>
      <c r="R226" s="974"/>
      <c r="S226" s="974"/>
      <c r="T226" s="974"/>
      <c r="U226" s="974"/>
      <c r="V226" s="974"/>
      <c r="W226" s="974"/>
      <c r="X226" s="974"/>
      <c r="Y226" s="974"/>
      <c r="Z226" s="974"/>
      <c r="AA226" s="974"/>
      <c r="AB226" s="974"/>
      <c r="AC226" s="974"/>
      <c r="AD226" s="974"/>
      <c r="AE226" s="974"/>
      <c r="AF226" s="974"/>
      <c r="AG226" s="974"/>
      <c r="AH226" s="974"/>
      <c r="AI226" s="974"/>
      <c r="AJ226" s="974"/>
      <c r="AK226" s="974"/>
      <c r="AL226" s="974"/>
      <c r="AM226" s="974"/>
      <c r="AN226" s="974"/>
      <c r="AO226" s="974"/>
      <c r="AP226" s="974"/>
      <c r="AQ226" s="974"/>
      <c r="AR226" s="974"/>
      <c r="AS226" s="974"/>
      <c r="AT226" s="974"/>
      <c r="AU226" s="974"/>
      <c r="AV226" s="974"/>
      <c r="AW226" s="974"/>
      <c r="AX226" s="974"/>
      <c r="AY226" s="974"/>
      <c r="AZ226" s="974"/>
      <c r="BA226" s="974"/>
      <c r="BB226" s="974"/>
      <c r="BC226" s="974"/>
      <c r="BD226" s="970"/>
      <c r="BE226" s="970"/>
    </row>
    <row r="227" spans="1:57" ht="15.75" customHeight="1">
      <c r="A227" s="974"/>
      <c r="B227" s="981"/>
      <c r="C227" s="974"/>
      <c r="D227" s="974"/>
      <c r="E227" s="974"/>
      <c r="F227" s="974"/>
      <c r="G227" s="974"/>
      <c r="H227" s="974"/>
      <c r="I227" s="974"/>
      <c r="J227" s="974"/>
      <c r="K227" s="974"/>
      <c r="L227" s="974"/>
      <c r="M227" s="974"/>
      <c r="N227" s="974"/>
      <c r="O227" s="974"/>
      <c r="P227" s="974"/>
      <c r="Q227" s="974"/>
      <c r="R227" s="974"/>
      <c r="S227" s="974"/>
      <c r="T227" s="974"/>
      <c r="U227" s="974"/>
      <c r="V227" s="974"/>
      <c r="W227" s="974"/>
      <c r="X227" s="974"/>
      <c r="Y227" s="974"/>
      <c r="Z227" s="974"/>
      <c r="AA227" s="974"/>
      <c r="AB227" s="974"/>
      <c r="AC227" s="974"/>
      <c r="AD227" s="974"/>
      <c r="AE227" s="974"/>
      <c r="AF227" s="974"/>
      <c r="AG227" s="974"/>
      <c r="AH227" s="974"/>
      <c r="AI227" s="974"/>
      <c r="AJ227" s="974"/>
      <c r="AK227" s="974"/>
      <c r="AL227" s="974"/>
      <c r="AM227" s="974"/>
      <c r="AN227" s="974"/>
      <c r="AO227" s="974"/>
      <c r="AP227" s="974"/>
      <c r="AQ227" s="974"/>
      <c r="AR227" s="974"/>
      <c r="AS227" s="974"/>
      <c r="AT227" s="974"/>
      <c r="AU227" s="974"/>
      <c r="AV227" s="974"/>
      <c r="AW227" s="974"/>
      <c r="AX227" s="974"/>
      <c r="AY227" s="974"/>
      <c r="AZ227" s="974"/>
      <c r="BA227" s="974"/>
      <c r="BB227" s="974"/>
      <c r="BC227" s="974"/>
      <c r="BD227" s="970"/>
      <c r="BE227" s="970"/>
    </row>
    <row r="228" spans="1:57" ht="15.75" customHeight="1">
      <c r="A228" s="974"/>
      <c r="B228" s="981"/>
      <c r="C228" s="974"/>
      <c r="D228" s="974"/>
      <c r="E228" s="974"/>
      <c r="F228" s="974"/>
      <c r="G228" s="974"/>
      <c r="H228" s="2497" t="s">
        <v>2642</v>
      </c>
      <c r="I228" s="2497"/>
      <c r="J228" s="2497"/>
      <c r="K228" s="2497"/>
      <c r="L228" s="2497"/>
      <c r="M228" s="2497"/>
      <c r="N228" s="2497"/>
      <c r="O228" s="2497"/>
      <c r="P228" s="2497"/>
      <c r="Q228" s="2497"/>
      <c r="R228" s="2497"/>
      <c r="S228" s="2497"/>
      <c r="T228" s="2497"/>
      <c r="U228" s="2497"/>
      <c r="V228" s="2497"/>
      <c r="W228" s="2497"/>
      <c r="X228" s="2497"/>
      <c r="Y228" s="2497"/>
      <c r="Z228" s="2497"/>
      <c r="AA228" s="2497"/>
      <c r="AB228" s="2497"/>
      <c r="AC228" s="2497"/>
      <c r="AD228" s="2497"/>
      <c r="AE228" s="2497"/>
      <c r="AF228" s="2497"/>
      <c r="AG228" s="2497"/>
      <c r="AH228" s="2497"/>
      <c r="AI228" s="2497"/>
      <c r="AJ228" s="2497"/>
      <c r="AK228" s="2497"/>
      <c r="AL228" s="2497"/>
      <c r="AM228" s="2497"/>
      <c r="AN228" s="2497"/>
      <c r="AO228" s="2497"/>
      <c r="AP228" s="2497"/>
      <c r="AQ228" s="2497"/>
      <c r="AR228" s="2497"/>
      <c r="AS228" s="2497"/>
      <c r="AT228" s="2497"/>
      <c r="AU228" s="2497"/>
      <c r="AV228" s="2497"/>
      <c r="AW228" s="2497"/>
      <c r="AX228" s="2497"/>
      <c r="AY228" s="2497"/>
      <c r="AZ228" s="974"/>
      <c r="BA228" s="974"/>
      <c r="BB228" s="974"/>
      <c r="BC228" s="974"/>
      <c r="BD228" s="970"/>
      <c r="BE228" s="970"/>
    </row>
    <row r="229" spans="1:57" ht="15.75" customHeight="1">
      <c r="A229" s="974"/>
      <c r="B229" s="981"/>
      <c r="C229" s="974"/>
      <c r="D229" s="974"/>
      <c r="E229" s="974"/>
      <c r="F229" s="974"/>
      <c r="G229" s="974"/>
      <c r="H229" s="974"/>
      <c r="I229" s="974"/>
      <c r="J229" s="974"/>
      <c r="K229" s="974"/>
      <c r="L229" s="974"/>
      <c r="M229" s="974"/>
      <c r="N229" s="974"/>
      <c r="O229" s="974"/>
      <c r="P229" s="974"/>
      <c r="Q229" s="974"/>
      <c r="R229" s="974"/>
      <c r="S229" s="974"/>
      <c r="T229" s="974"/>
      <c r="U229" s="974"/>
      <c r="V229" s="974"/>
      <c r="W229" s="974"/>
      <c r="X229" s="974"/>
      <c r="Y229" s="974"/>
      <c r="Z229" s="974"/>
      <c r="AA229" s="974"/>
      <c r="AB229" s="974"/>
      <c r="AC229" s="974"/>
      <c r="AD229" s="974"/>
      <c r="AE229" s="974"/>
      <c r="AF229" s="974"/>
      <c r="AG229" s="974"/>
      <c r="AH229" s="974"/>
      <c r="AI229" s="974"/>
      <c r="AJ229" s="974"/>
      <c r="AK229" s="974"/>
      <c r="AL229" s="974"/>
      <c r="AM229" s="974"/>
      <c r="AN229" s="974"/>
      <c r="AO229" s="974"/>
      <c r="AP229" s="974"/>
      <c r="AQ229" s="974"/>
      <c r="AR229" s="974"/>
      <c r="AS229" s="974"/>
      <c r="AT229" s="974"/>
      <c r="AU229" s="974"/>
      <c r="AV229" s="974"/>
      <c r="AW229" s="974"/>
      <c r="AX229" s="974"/>
      <c r="AY229" s="974"/>
      <c r="AZ229" s="974"/>
      <c r="BA229" s="974"/>
      <c r="BB229" s="974"/>
      <c r="BC229" s="974"/>
      <c r="BD229" s="970"/>
      <c r="BE229" s="970"/>
    </row>
    <row r="230" spans="1:57" ht="15.75" customHeight="1">
      <c r="A230" s="974"/>
      <c r="B230" s="981"/>
      <c r="C230" s="974"/>
      <c r="D230" s="974"/>
      <c r="E230" s="974"/>
      <c r="F230" s="974"/>
      <c r="G230" s="974"/>
      <c r="H230" s="2496" t="s">
        <v>2643</v>
      </c>
      <c r="I230" s="2496"/>
      <c r="J230" s="2496"/>
      <c r="K230" s="2496"/>
      <c r="L230" s="2496"/>
      <c r="M230" s="2496"/>
      <c r="N230" s="2496"/>
      <c r="O230" s="2496"/>
      <c r="P230" s="2496"/>
      <c r="Q230" s="2496"/>
      <c r="R230" s="2496"/>
      <c r="S230" s="2496"/>
      <c r="T230" s="2496"/>
      <c r="U230" s="2496"/>
      <c r="V230" s="2496"/>
      <c r="W230" s="2496"/>
      <c r="X230" s="2496"/>
      <c r="Y230" s="2496"/>
      <c r="Z230" s="2496"/>
      <c r="AA230" s="2496"/>
      <c r="AB230" s="2496"/>
      <c r="AC230" s="2496"/>
      <c r="AD230" s="2496"/>
      <c r="AE230" s="2496"/>
      <c r="AF230" s="2496"/>
      <c r="AG230" s="2496"/>
      <c r="AH230" s="2496"/>
      <c r="AI230" s="2496"/>
      <c r="AJ230" s="2496"/>
      <c r="AK230" s="2496"/>
      <c r="AL230" s="2496"/>
      <c r="AM230" s="2496"/>
      <c r="AN230" s="2496"/>
      <c r="AO230" s="2496"/>
      <c r="AP230" s="2496"/>
      <c r="AQ230" s="2496"/>
      <c r="AR230" s="2496"/>
      <c r="AS230" s="2496"/>
      <c r="AT230" s="2496"/>
      <c r="AU230" s="2496"/>
      <c r="AV230" s="2496"/>
      <c r="AW230" s="2496"/>
      <c r="AX230" s="2496"/>
      <c r="AY230" s="2496"/>
      <c r="AZ230" s="2496"/>
      <c r="BA230" s="974"/>
      <c r="BB230" s="974"/>
      <c r="BC230" s="974"/>
      <c r="BD230" s="970"/>
      <c r="BE230" s="970"/>
    </row>
    <row r="231" spans="1:57" ht="15.75" customHeight="1">
      <c r="A231" s="974"/>
      <c r="B231" s="980"/>
      <c r="C231" s="974"/>
      <c r="D231" s="974"/>
      <c r="E231" s="974"/>
      <c r="F231" s="974"/>
      <c r="G231" s="974"/>
      <c r="H231" s="2496"/>
      <c r="I231" s="2496"/>
      <c r="J231" s="2496"/>
      <c r="K231" s="2496"/>
      <c r="L231" s="2496"/>
      <c r="M231" s="2496"/>
      <c r="N231" s="2496"/>
      <c r="O231" s="2496"/>
      <c r="P231" s="2496"/>
      <c r="Q231" s="2496"/>
      <c r="R231" s="2496"/>
      <c r="S231" s="2496"/>
      <c r="T231" s="2496"/>
      <c r="U231" s="2496"/>
      <c r="V231" s="2496"/>
      <c r="W231" s="2496"/>
      <c r="X231" s="2496"/>
      <c r="Y231" s="2496"/>
      <c r="Z231" s="2496"/>
      <c r="AA231" s="2496"/>
      <c r="AB231" s="2496"/>
      <c r="AC231" s="2496"/>
      <c r="AD231" s="2496"/>
      <c r="AE231" s="2496"/>
      <c r="AF231" s="2496"/>
      <c r="AG231" s="2496"/>
      <c r="AH231" s="2496"/>
      <c r="AI231" s="2496"/>
      <c r="AJ231" s="2496"/>
      <c r="AK231" s="2496"/>
      <c r="AL231" s="2496"/>
      <c r="AM231" s="2496"/>
      <c r="AN231" s="2496"/>
      <c r="AO231" s="2496"/>
      <c r="AP231" s="2496"/>
      <c r="AQ231" s="2496"/>
      <c r="AR231" s="2496"/>
      <c r="AS231" s="2496"/>
      <c r="AT231" s="2496"/>
      <c r="AU231" s="2496"/>
      <c r="AV231" s="2496"/>
      <c r="AW231" s="2496"/>
      <c r="AX231" s="2496"/>
      <c r="AY231" s="2496"/>
      <c r="AZ231" s="2496"/>
      <c r="BA231" s="974"/>
      <c r="BB231" s="974"/>
      <c r="BC231" s="974"/>
      <c r="BD231" s="970"/>
      <c r="BE231" s="970"/>
    </row>
    <row r="232" spans="1:57" ht="15.75" customHeight="1">
      <c r="A232" s="974"/>
      <c r="B232" s="980"/>
      <c r="C232" s="974"/>
      <c r="D232" s="974"/>
      <c r="E232" s="974"/>
      <c r="F232" s="974"/>
      <c r="G232" s="974"/>
      <c r="H232" s="2496"/>
      <c r="I232" s="2496"/>
      <c r="J232" s="2496"/>
      <c r="K232" s="2496"/>
      <c r="L232" s="2496"/>
      <c r="M232" s="2496"/>
      <c r="N232" s="2496"/>
      <c r="O232" s="2496"/>
      <c r="P232" s="2496"/>
      <c r="Q232" s="2496"/>
      <c r="R232" s="2496"/>
      <c r="S232" s="2496"/>
      <c r="T232" s="2496"/>
      <c r="U232" s="2496"/>
      <c r="V232" s="2496"/>
      <c r="W232" s="2496"/>
      <c r="X232" s="2496"/>
      <c r="Y232" s="2496"/>
      <c r="Z232" s="2496"/>
      <c r="AA232" s="2496"/>
      <c r="AB232" s="2496"/>
      <c r="AC232" s="2496"/>
      <c r="AD232" s="2496"/>
      <c r="AE232" s="2496"/>
      <c r="AF232" s="2496"/>
      <c r="AG232" s="2496"/>
      <c r="AH232" s="2496"/>
      <c r="AI232" s="2496"/>
      <c r="AJ232" s="2496"/>
      <c r="AK232" s="2496"/>
      <c r="AL232" s="2496"/>
      <c r="AM232" s="2496"/>
      <c r="AN232" s="2496"/>
      <c r="AO232" s="2496"/>
      <c r="AP232" s="2496"/>
      <c r="AQ232" s="2496"/>
      <c r="AR232" s="2496"/>
      <c r="AS232" s="2496"/>
      <c r="AT232" s="2496"/>
      <c r="AU232" s="2496"/>
      <c r="AV232" s="2496"/>
      <c r="AW232" s="2496"/>
      <c r="AX232" s="2496"/>
      <c r="AY232" s="2496"/>
      <c r="AZ232" s="2496"/>
      <c r="BA232" s="974"/>
      <c r="BB232" s="974"/>
      <c r="BC232" s="974"/>
      <c r="BD232" s="970"/>
      <c r="BE232" s="970"/>
    </row>
    <row r="233" spans="1:57" ht="15.75" customHeight="1">
      <c r="A233" s="974"/>
      <c r="B233" s="980"/>
      <c r="C233" s="974"/>
      <c r="D233" s="974"/>
      <c r="E233" s="974"/>
      <c r="F233" s="974"/>
      <c r="G233" s="974"/>
      <c r="H233" s="2496"/>
      <c r="I233" s="2496"/>
      <c r="J233" s="2496"/>
      <c r="K233" s="2496"/>
      <c r="L233" s="2496"/>
      <c r="M233" s="2496"/>
      <c r="N233" s="2496"/>
      <c r="O233" s="2496"/>
      <c r="P233" s="2496"/>
      <c r="Q233" s="2496"/>
      <c r="R233" s="2496"/>
      <c r="S233" s="2496"/>
      <c r="T233" s="2496"/>
      <c r="U233" s="2496"/>
      <c r="V233" s="2496"/>
      <c r="W233" s="2496"/>
      <c r="X233" s="2496"/>
      <c r="Y233" s="2496"/>
      <c r="Z233" s="2496"/>
      <c r="AA233" s="2496"/>
      <c r="AB233" s="2496"/>
      <c r="AC233" s="2496"/>
      <c r="AD233" s="2496"/>
      <c r="AE233" s="2496"/>
      <c r="AF233" s="2496"/>
      <c r="AG233" s="2496"/>
      <c r="AH233" s="2496"/>
      <c r="AI233" s="2496"/>
      <c r="AJ233" s="2496"/>
      <c r="AK233" s="2496"/>
      <c r="AL233" s="2496"/>
      <c r="AM233" s="2496"/>
      <c r="AN233" s="2496"/>
      <c r="AO233" s="2496"/>
      <c r="AP233" s="2496"/>
      <c r="AQ233" s="2496"/>
      <c r="AR233" s="2496"/>
      <c r="AS233" s="2496"/>
      <c r="AT233" s="2496"/>
      <c r="AU233" s="2496"/>
      <c r="AV233" s="2496"/>
      <c r="AW233" s="2496"/>
      <c r="AX233" s="2496"/>
      <c r="AY233" s="2496"/>
      <c r="AZ233" s="2496"/>
      <c r="BA233" s="974"/>
      <c r="BB233" s="974"/>
      <c r="BC233" s="974"/>
      <c r="BD233" s="970"/>
      <c r="BE233" s="970"/>
    </row>
    <row r="234" spans="1:57" ht="15.75" customHeight="1">
      <c r="A234" s="974"/>
      <c r="B234" s="980"/>
      <c r="C234" s="974"/>
      <c r="D234" s="974"/>
      <c r="E234" s="974"/>
      <c r="F234" s="974"/>
      <c r="G234" s="974"/>
      <c r="H234" s="974"/>
      <c r="I234" s="974"/>
      <c r="J234" s="974"/>
      <c r="K234" s="974"/>
      <c r="L234" s="974"/>
      <c r="M234" s="974"/>
      <c r="N234" s="974"/>
      <c r="O234" s="974"/>
      <c r="P234" s="974"/>
      <c r="Q234" s="974"/>
      <c r="R234" s="974"/>
      <c r="S234" s="974"/>
      <c r="T234" s="974"/>
      <c r="U234" s="974"/>
      <c r="V234" s="974"/>
      <c r="W234" s="974"/>
      <c r="X234" s="974"/>
      <c r="Y234" s="974"/>
      <c r="Z234" s="974"/>
      <c r="AA234" s="974"/>
      <c r="AB234" s="974"/>
      <c r="AC234" s="974"/>
      <c r="AD234" s="974"/>
      <c r="AE234" s="974"/>
      <c r="AF234" s="974"/>
      <c r="AG234" s="974"/>
      <c r="AH234" s="974"/>
      <c r="AI234" s="974"/>
      <c r="AJ234" s="974"/>
      <c r="AK234" s="974"/>
      <c r="AL234" s="974"/>
      <c r="AM234" s="974"/>
      <c r="AN234" s="974"/>
      <c r="AO234" s="974"/>
      <c r="AP234" s="974"/>
      <c r="AQ234" s="974"/>
      <c r="AR234" s="974"/>
      <c r="AS234" s="974"/>
      <c r="AT234" s="974"/>
      <c r="AU234" s="974"/>
      <c r="AV234" s="974"/>
      <c r="AW234" s="974"/>
      <c r="AX234" s="974"/>
      <c r="AY234" s="974"/>
      <c r="AZ234" s="974"/>
      <c r="BA234" s="974"/>
      <c r="BB234" s="974"/>
      <c r="BC234" s="974"/>
      <c r="BD234" s="970"/>
      <c r="BE234" s="970"/>
    </row>
    <row r="235" spans="1:57" ht="15.75" customHeight="1" thickBot="1">
      <c r="A235" s="974"/>
      <c r="B235" s="979"/>
      <c r="C235" s="969"/>
      <c r="D235" s="969"/>
      <c r="E235" s="969"/>
      <c r="F235" s="969"/>
      <c r="G235" s="969"/>
      <c r="H235" s="2495" t="s">
        <v>2644</v>
      </c>
      <c r="I235" s="2495"/>
      <c r="J235" s="2495"/>
      <c r="K235" s="2495"/>
      <c r="L235" s="2495"/>
      <c r="M235" s="2495"/>
      <c r="N235" s="2495"/>
      <c r="O235" s="2495"/>
      <c r="P235" s="2495"/>
      <c r="Q235" s="2495"/>
      <c r="R235" s="2495"/>
      <c r="S235" s="2495"/>
      <c r="T235" s="2495"/>
      <c r="U235" s="2495"/>
      <c r="V235" s="2495"/>
      <c r="W235" s="2495"/>
      <c r="X235" s="2495"/>
      <c r="Y235" s="2495"/>
      <c r="Z235" s="2495"/>
      <c r="AA235" s="2495"/>
      <c r="AB235" s="2495"/>
      <c r="AC235" s="2495"/>
      <c r="AD235" s="2495"/>
      <c r="AE235" s="2495"/>
      <c r="AF235" s="2495"/>
      <c r="AG235" s="2495"/>
      <c r="AH235" s="2495"/>
      <c r="AI235" s="2495"/>
      <c r="AJ235" s="2495"/>
      <c r="AK235" s="2495"/>
      <c r="AL235" s="2495"/>
      <c r="AM235" s="2495"/>
      <c r="AN235" s="2495"/>
      <c r="AO235" s="2495"/>
      <c r="AP235" s="2495"/>
      <c r="AQ235" s="2495"/>
      <c r="AR235" s="2495"/>
      <c r="AS235" s="2495"/>
      <c r="AT235" s="2495"/>
      <c r="AU235" s="2495"/>
      <c r="AV235" s="2495"/>
      <c r="AW235" s="969"/>
      <c r="AX235" s="969"/>
      <c r="AY235" s="969"/>
      <c r="AZ235" s="969"/>
      <c r="BA235" s="969"/>
      <c r="BB235" s="969"/>
      <c r="BC235" s="969"/>
      <c r="BD235" s="968"/>
      <c r="BE235" s="970"/>
    </row>
    <row r="236" spans="1:57" ht="15.75" customHeight="1" thickBot="1">
      <c r="A236" s="974"/>
      <c r="B236" s="977"/>
      <c r="C236" s="976"/>
      <c r="D236" s="976"/>
      <c r="E236" s="976"/>
      <c r="F236" s="976"/>
      <c r="G236" s="976"/>
      <c r="H236" s="976"/>
      <c r="I236" s="976"/>
      <c r="J236" s="976"/>
      <c r="K236" s="976"/>
      <c r="L236" s="976"/>
      <c r="M236" s="976"/>
      <c r="N236" s="976"/>
      <c r="O236" s="976"/>
      <c r="P236" s="976"/>
      <c r="Q236" s="976"/>
      <c r="R236" s="976"/>
      <c r="S236" s="976"/>
      <c r="T236" s="976"/>
      <c r="U236" s="976"/>
      <c r="V236" s="976"/>
      <c r="W236" s="976"/>
      <c r="X236" s="976"/>
      <c r="Y236" s="976"/>
      <c r="Z236" s="976"/>
      <c r="AA236" s="976"/>
      <c r="AB236" s="976"/>
      <c r="AC236" s="976"/>
      <c r="AD236" s="976"/>
      <c r="AE236" s="976"/>
      <c r="AF236" s="976"/>
      <c r="AG236" s="976"/>
      <c r="AH236" s="976"/>
      <c r="AI236" s="976"/>
      <c r="AJ236" s="976"/>
      <c r="AK236" s="976"/>
      <c r="AL236" s="976"/>
      <c r="AM236" s="976"/>
      <c r="AN236" s="976"/>
      <c r="AO236" s="976"/>
      <c r="AP236" s="976"/>
      <c r="AQ236" s="976"/>
      <c r="AR236" s="976"/>
      <c r="AS236" s="976"/>
      <c r="AT236" s="976"/>
      <c r="AU236" s="976"/>
      <c r="AV236" s="976"/>
      <c r="AW236" s="976"/>
      <c r="AX236" s="976"/>
      <c r="AY236" s="976"/>
      <c r="AZ236" s="976"/>
      <c r="BA236" s="976"/>
      <c r="BB236" s="976"/>
      <c r="BC236" s="976"/>
      <c r="BD236" s="975"/>
      <c r="BE236" s="970"/>
    </row>
    <row r="237" spans="1:57" ht="30" customHeight="1" thickBot="1">
      <c r="A237" s="974"/>
      <c r="B237" s="977"/>
      <c r="C237" s="976"/>
      <c r="D237" s="976"/>
      <c r="E237" s="976"/>
      <c r="F237" s="976"/>
      <c r="G237" s="976"/>
      <c r="H237" s="2471" t="s">
        <v>2645</v>
      </c>
      <c r="I237" s="2471"/>
      <c r="J237" s="2471"/>
      <c r="K237" s="2471"/>
      <c r="L237" s="976"/>
      <c r="M237" s="976"/>
      <c r="N237" s="976"/>
      <c r="O237" s="976"/>
      <c r="P237" s="976"/>
      <c r="Q237" s="976"/>
      <c r="R237" s="976"/>
      <c r="S237" s="2492"/>
      <c r="T237" s="2493"/>
      <c r="U237" s="2493"/>
      <c r="V237" s="2493"/>
      <c r="W237" s="2493"/>
      <c r="X237" s="2493"/>
      <c r="Y237" s="2493"/>
      <c r="Z237" s="2493"/>
      <c r="AA237" s="2493"/>
      <c r="AB237" s="2493"/>
      <c r="AC237" s="2493"/>
      <c r="AD237" s="2493"/>
      <c r="AE237" s="2493"/>
      <c r="AF237" s="2493"/>
      <c r="AG237" s="2493"/>
      <c r="AH237" s="2493"/>
      <c r="AI237" s="2493"/>
      <c r="AJ237" s="2494"/>
      <c r="AK237" s="976"/>
      <c r="AL237" s="976"/>
      <c r="AM237" s="976"/>
      <c r="AN237" s="976"/>
      <c r="AO237" s="976"/>
      <c r="AP237" s="976"/>
      <c r="AQ237" s="976"/>
      <c r="AR237" s="976"/>
      <c r="AS237" s="976"/>
      <c r="AT237" s="976"/>
      <c r="AU237" s="976"/>
      <c r="AV237" s="976"/>
      <c r="AW237" s="976"/>
      <c r="AX237" s="976"/>
      <c r="AY237" s="976"/>
      <c r="AZ237" s="976"/>
      <c r="BA237" s="976"/>
      <c r="BB237" s="976"/>
      <c r="BC237" s="976"/>
      <c r="BD237" s="975"/>
      <c r="BE237" s="970"/>
    </row>
    <row r="238" spans="1:57" ht="15.75" customHeight="1" thickBot="1">
      <c r="A238" s="974"/>
      <c r="B238" s="977"/>
      <c r="C238" s="976"/>
      <c r="D238" s="976"/>
      <c r="E238" s="976"/>
      <c r="F238" s="976"/>
      <c r="G238" s="976"/>
      <c r="H238" s="978"/>
      <c r="I238" s="978"/>
      <c r="J238" s="978"/>
      <c r="K238" s="978"/>
      <c r="L238" s="976"/>
      <c r="M238" s="976"/>
      <c r="N238" s="976"/>
      <c r="O238" s="976"/>
      <c r="P238" s="976"/>
      <c r="Q238" s="976"/>
      <c r="R238" s="976"/>
      <c r="S238" s="976"/>
      <c r="T238" s="976"/>
      <c r="U238" s="976"/>
      <c r="V238" s="976"/>
      <c r="W238" s="976"/>
      <c r="X238" s="976"/>
      <c r="Y238" s="976"/>
      <c r="Z238" s="976"/>
      <c r="AA238" s="976"/>
      <c r="AB238" s="976"/>
      <c r="AC238" s="976"/>
      <c r="AD238" s="976"/>
      <c r="AE238" s="976"/>
      <c r="AF238" s="976"/>
      <c r="AG238" s="976"/>
      <c r="AH238" s="976"/>
      <c r="AI238" s="976"/>
      <c r="AJ238" s="976"/>
      <c r="AK238" s="976"/>
      <c r="AL238" s="976"/>
      <c r="AM238" s="976"/>
      <c r="AN238" s="976"/>
      <c r="AO238" s="976"/>
      <c r="AP238" s="976"/>
      <c r="AQ238" s="976"/>
      <c r="AR238" s="976"/>
      <c r="AS238" s="976"/>
      <c r="AT238" s="976"/>
      <c r="AU238" s="976"/>
      <c r="AV238" s="976"/>
      <c r="AW238" s="976"/>
      <c r="AX238" s="976"/>
      <c r="AY238" s="976"/>
      <c r="AZ238" s="976"/>
      <c r="BA238" s="976"/>
      <c r="BB238" s="976"/>
      <c r="BC238" s="976"/>
      <c r="BD238" s="975"/>
      <c r="BE238" s="970"/>
    </row>
    <row r="239" spans="1:57" ht="15.75" customHeight="1" thickBot="1">
      <c r="A239" s="974"/>
      <c r="B239" s="977"/>
      <c r="C239" s="976"/>
      <c r="D239" s="976"/>
      <c r="E239" s="976"/>
      <c r="F239" s="976"/>
      <c r="G239" s="976"/>
      <c r="H239" s="2471" t="s">
        <v>2545</v>
      </c>
      <c r="I239" s="2471"/>
      <c r="J239" s="2471"/>
      <c r="K239" s="978"/>
      <c r="L239" s="976"/>
      <c r="M239" s="976"/>
      <c r="N239" s="976"/>
      <c r="O239" s="976"/>
      <c r="P239" s="976"/>
      <c r="Q239" s="976"/>
      <c r="R239" s="976"/>
      <c r="S239" s="2489"/>
      <c r="T239" s="2490"/>
      <c r="U239" s="2490"/>
      <c r="V239" s="2490"/>
      <c r="W239" s="2490"/>
      <c r="X239" s="2490"/>
      <c r="Y239" s="2490"/>
      <c r="Z239" s="2490"/>
      <c r="AA239" s="2490"/>
      <c r="AB239" s="2490"/>
      <c r="AC239" s="2490"/>
      <c r="AD239" s="2490"/>
      <c r="AE239" s="2490"/>
      <c r="AF239" s="2490"/>
      <c r="AG239" s="2490"/>
      <c r="AH239" s="2490"/>
      <c r="AI239" s="2490"/>
      <c r="AJ239" s="2491"/>
      <c r="AK239" s="976"/>
      <c r="AL239" s="976"/>
      <c r="AM239" s="976"/>
      <c r="AN239" s="976"/>
      <c r="AO239" s="976"/>
      <c r="AP239" s="976"/>
      <c r="AQ239" s="976"/>
      <c r="AR239" s="976"/>
      <c r="AS239" s="976"/>
      <c r="AT239" s="976"/>
      <c r="AU239" s="976"/>
      <c r="AV239" s="976"/>
      <c r="AW239" s="976"/>
      <c r="AX239" s="976"/>
      <c r="AY239" s="976"/>
      <c r="AZ239" s="976"/>
      <c r="BA239" s="976"/>
      <c r="BB239" s="976"/>
      <c r="BC239" s="976"/>
      <c r="BD239" s="975"/>
      <c r="BE239" s="970"/>
    </row>
    <row r="240" spans="1:57" ht="15.75" customHeight="1" thickBot="1">
      <c r="A240" s="974"/>
      <c r="B240" s="977"/>
      <c r="C240" s="976"/>
      <c r="D240" s="976"/>
      <c r="E240" s="976"/>
      <c r="F240" s="976"/>
      <c r="G240" s="976"/>
      <c r="H240" s="978"/>
      <c r="I240" s="978"/>
      <c r="J240" s="978"/>
      <c r="K240" s="978"/>
      <c r="L240" s="976"/>
      <c r="M240" s="976"/>
      <c r="N240" s="976"/>
      <c r="O240" s="976"/>
      <c r="P240" s="976"/>
      <c r="Q240" s="976"/>
      <c r="R240" s="976"/>
      <c r="S240" s="976"/>
      <c r="T240" s="976"/>
      <c r="U240" s="976"/>
      <c r="V240" s="976"/>
      <c r="W240" s="976"/>
      <c r="X240" s="976"/>
      <c r="Y240" s="976"/>
      <c r="Z240" s="976"/>
      <c r="AA240" s="976"/>
      <c r="AB240" s="976"/>
      <c r="AC240" s="976"/>
      <c r="AD240" s="976"/>
      <c r="AE240" s="976"/>
      <c r="AF240" s="976"/>
      <c r="AG240" s="976"/>
      <c r="AH240" s="976"/>
      <c r="AI240" s="976"/>
      <c r="AJ240" s="976"/>
      <c r="AK240" s="976"/>
      <c r="AL240" s="976"/>
      <c r="AM240" s="976"/>
      <c r="AN240" s="976"/>
      <c r="AO240" s="976"/>
      <c r="AP240" s="976"/>
      <c r="AQ240" s="976"/>
      <c r="AR240" s="976"/>
      <c r="AS240" s="976"/>
      <c r="AT240" s="976"/>
      <c r="AU240" s="976"/>
      <c r="AV240" s="976"/>
      <c r="AW240" s="976"/>
      <c r="AX240" s="976"/>
      <c r="AY240" s="976"/>
      <c r="AZ240" s="976"/>
      <c r="BA240" s="976"/>
      <c r="BB240" s="976"/>
      <c r="BC240" s="976"/>
      <c r="BD240" s="975"/>
      <c r="BE240" s="970"/>
    </row>
    <row r="241" spans="1:57" ht="15.75" customHeight="1" thickBot="1">
      <c r="A241" s="974"/>
      <c r="B241" s="977"/>
      <c r="C241" s="976"/>
      <c r="D241" s="976"/>
      <c r="E241" s="976"/>
      <c r="F241" s="976"/>
      <c r="G241" s="976"/>
      <c r="H241" s="2471" t="s">
        <v>873</v>
      </c>
      <c r="I241" s="2471"/>
      <c r="J241" s="978"/>
      <c r="K241" s="978"/>
      <c r="L241" s="976"/>
      <c r="M241" s="976"/>
      <c r="N241" s="976"/>
      <c r="O241" s="976"/>
      <c r="P241" s="976"/>
      <c r="Q241" s="976"/>
      <c r="R241" s="976"/>
      <c r="S241" s="2489"/>
      <c r="T241" s="2490"/>
      <c r="U241" s="2490"/>
      <c r="V241" s="2490"/>
      <c r="W241" s="2490"/>
      <c r="X241" s="2490"/>
      <c r="Y241" s="2490"/>
      <c r="Z241" s="2490"/>
      <c r="AA241" s="2490"/>
      <c r="AB241" s="2490"/>
      <c r="AC241" s="2490"/>
      <c r="AD241" s="2490"/>
      <c r="AE241" s="2490"/>
      <c r="AF241" s="2490"/>
      <c r="AG241" s="2490"/>
      <c r="AH241" s="2490"/>
      <c r="AI241" s="2490"/>
      <c r="AJ241" s="2491"/>
      <c r="AK241" s="976"/>
      <c r="AL241" s="976"/>
      <c r="AM241" s="976"/>
      <c r="AN241" s="976"/>
      <c r="AO241" s="976"/>
      <c r="AP241" s="976"/>
      <c r="AQ241" s="976"/>
      <c r="AR241" s="976"/>
      <c r="AS241" s="976"/>
      <c r="AT241" s="976"/>
      <c r="AU241" s="976"/>
      <c r="AV241" s="976"/>
      <c r="AW241" s="976"/>
      <c r="AX241" s="976"/>
      <c r="AY241" s="976"/>
      <c r="AZ241" s="976"/>
      <c r="BA241" s="976"/>
      <c r="BB241" s="976"/>
      <c r="BC241" s="976"/>
      <c r="BD241" s="975"/>
      <c r="BE241" s="970"/>
    </row>
    <row r="242" spans="1:57" ht="15.75" customHeight="1" thickBot="1">
      <c r="A242" s="974"/>
      <c r="B242" s="977"/>
      <c r="C242" s="976"/>
      <c r="D242" s="976"/>
      <c r="E242" s="976"/>
      <c r="F242" s="976"/>
      <c r="G242" s="976"/>
      <c r="H242" s="976"/>
      <c r="I242" s="976"/>
      <c r="J242" s="976"/>
      <c r="K242" s="976"/>
      <c r="L242" s="976"/>
      <c r="M242" s="976"/>
      <c r="N242" s="976"/>
      <c r="O242" s="976"/>
      <c r="P242" s="976"/>
      <c r="Q242" s="976"/>
      <c r="R242" s="976"/>
      <c r="S242" s="976"/>
      <c r="T242" s="976"/>
      <c r="U242" s="976"/>
      <c r="V242" s="976"/>
      <c r="W242" s="976"/>
      <c r="X242" s="976"/>
      <c r="Y242" s="976"/>
      <c r="Z242" s="976"/>
      <c r="AA242" s="976"/>
      <c r="AB242" s="976"/>
      <c r="AC242" s="976"/>
      <c r="AD242" s="976"/>
      <c r="AE242" s="976"/>
      <c r="AF242" s="976"/>
      <c r="AG242" s="976"/>
      <c r="AH242" s="976"/>
      <c r="AI242" s="976"/>
      <c r="AJ242" s="976"/>
      <c r="AK242" s="976"/>
      <c r="AL242" s="976"/>
      <c r="AM242" s="976"/>
      <c r="AN242" s="976"/>
      <c r="AO242" s="976"/>
      <c r="AP242" s="976"/>
      <c r="AQ242" s="976"/>
      <c r="AR242" s="976"/>
      <c r="AS242" s="976"/>
      <c r="AT242" s="976"/>
      <c r="AU242" s="976"/>
      <c r="AV242" s="976"/>
      <c r="AW242" s="976"/>
      <c r="AX242" s="976"/>
      <c r="AY242" s="976"/>
      <c r="AZ242" s="976"/>
      <c r="BA242" s="976"/>
      <c r="BB242" s="976"/>
      <c r="BC242" s="976"/>
      <c r="BD242" s="975"/>
      <c r="BE242" s="970"/>
    </row>
    <row r="243" spans="1:57" ht="15.75" customHeight="1" thickBot="1">
      <c r="A243" s="974"/>
      <c r="B243" s="977"/>
      <c r="C243" s="976"/>
      <c r="D243" s="976"/>
      <c r="E243" s="976"/>
      <c r="F243" s="976"/>
      <c r="G243" s="976"/>
      <c r="H243" s="2472" t="s">
        <v>2646</v>
      </c>
      <c r="I243" s="2472"/>
      <c r="J243" s="2472"/>
      <c r="K243" s="2472"/>
      <c r="L243" s="2472"/>
      <c r="M243" s="2472"/>
      <c r="N243" s="2472"/>
      <c r="O243" s="2472"/>
      <c r="P243" s="976"/>
      <c r="Q243" s="976"/>
      <c r="R243" s="976"/>
      <c r="S243" s="2489"/>
      <c r="T243" s="2490"/>
      <c r="U243" s="2490"/>
      <c r="V243" s="2490"/>
      <c r="W243" s="2490"/>
      <c r="X243" s="2490"/>
      <c r="Y243" s="2490"/>
      <c r="Z243" s="2490"/>
      <c r="AA243" s="2490"/>
      <c r="AB243" s="2490"/>
      <c r="AC243" s="2490"/>
      <c r="AD243" s="2490"/>
      <c r="AE243" s="2490"/>
      <c r="AF243" s="2490"/>
      <c r="AG243" s="2490"/>
      <c r="AH243" s="2490"/>
      <c r="AI243" s="2490"/>
      <c r="AJ243" s="2491"/>
      <c r="AK243" s="976"/>
      <c r="AL243" s="976"/>
      <c r="AM243" s="976"/>
      <c r="AN243" s="976"/>
      <c r="AO243" s="976"/>
      <c r="AP243" s="976"/>
      <c r="AQ243" s="976"/>
      <c r="AR243" s="976"/>
      <c r="AS243" s="976"/>
      <c r="AT243" s="976"/>
      <c r="AU243" s="976"/>
      <c r="AV243" s="976"/>
      <c r="AW243" s="976"/>
      <c r="AX243" s="976"/>
      <c r="AY243" s="976"/>
      <c r="AZ243" s="976"/>
      <c r="BA243" s="976"/>
      <c r="BB243" s="976"/>
      <c r="BC243" s="976"/>
      <c r="BD243" s="975"/>
      <c r="BE243" s="970"/>
    </row>
    <row r="244" spans="1:57" ht="15.75" customHeight="1" thickBot="1">
      <c r="A244" s="974"/>
      <c r="B244" s="977"/>
      <c r="C244" s="976"/>
      <c r="D244" s="976"/>
      <c r="E244" s="976"/>
      <c r="F244" s="976"/>
      <c r="G244" s="976"/>
      <c r="H244" s="976"/>
      <c r="I244" s="976"/>
      <c r="J244" s="976"/>
      <c r="K244" s="976"/>
      <c r="L244" s="976"/>
      <c r="M244" s="976"/>
      <c r="N244" s="976"/>
      <c r="O244" s="976"/>
      <c r="P244" s="976"/>
      <c r="Q244" s="976"/>
      <c r="R244" s="976"/>
      <c r="S244" s="976"/>
      <c r="T244" s="976"/>
      <c r="U244" s="976"/>
      <c r="V244" s="976"/>
      <c r="W244" s="976"/>
      <c r="X244" s="976"/>
      <c r="Y244" s="976"/>
      <c r="Z244" s="976"/>
      <c r="AA244" s="976"/>
      <c r="AB244" s="976"/>
      <c r="AC244" s="976"/>
      <c r="AD244" s="976"/>
      <c r="AE244" s="976"/>
      <c r="AF244" s="976"/>
      <c r="AG244" s="976"/>
      <c r="AH244" s="976"/>
      <c r="AI244" s="976"/>
      <c r="AJ244" s="976"/>
      <c r="AK244" s="976"/>
      <c r="AL244" s="976"/>
      <c r="AM244" s="976"/>
      <c r="AN244" s="976"/>
      <c r="AO244" s="976"/>
      <c r="AP244" s="976"/>
      <c r="AQ244" s="976"/>
      <c r="AR244" s="976"/>
      <c r="AS244" s="976"/>
      <c r="AT244" s="976"/>
      <c r="AU244" s="976"/>
      <c r="AV244" s="976"/>
      <c r="AW244" s="976"/>
      <c r="AX244" s="976"/>
      <c r="AY244" s="976"/>
      <c r="AZ244" s="976"/>
      <c r="BA244" s="976"/>
      <c r="BB244" s="976"/>
      <c r="BC244" s="976"/>
      <c r="BD244" s="975"/>
      <c r="BE244" s="970"/>
    </row>
    <row r="245" spans="1:57" ht="15.75" customHeight="1" thickBot="1">
      <c r="A245" s="974"/>
      <c r="B245" s="977"/>
      <c r="C245" s="976"/>
      <c r="D245" s="976"/>
      <c r="E245" s="976"/>
      <c r="F245" s="976"/>
      <c r="G245" s="976"/>
      <c r="H245" s="2473" t="s">
        <v>2647</v>
      </c>
      <c r="I245" s="2473"/>
      <c r="J245" s="976"/>
      <c r="K245" s="976"/>
      <c r="L245" s="976"/>
      <c r="M245" s="976"/>
      <c r="N245" s="976"/>
      <c r="O245" s="976"/>
      <c r="P245" s="976"/>
      <c r="Q245" s="976"/>
      <c r="R245" s="976"/>
      <c r="S245" s="2486"/>
      <c r="T245" s="2487"/>
      <c r="U245" s="2487"/>
      <c r="V245" s="2487"/>
      <c r="W245" s="2487"/>
      <c r="X245" s="2487"/>
      <c r="Y245" s="2487"/>
      <c r="Z245" s="2487"/>
      <c r="AA245" s="2487"/>
      <c r="AB245" s="2487"/>
      <c r="AC245" s="2487"/>
      <c r="AD245" s="2487"/>
      <c r="AE245" s="2487"/>
      <c r="AF245" s="2487"/>
      <c r="AG245" s="2487"/>
      <c r="AH245" s="2487"/>
      <c r="AI245" s="2487"/>
      <c r="AJ245" s="2488"/>
      <c r="AK245" s="976"/>
      <c r="AL245" s="976"/>
      <c r="AM245" s="976"/>
      <c r="AN245" s="976"/>
      <c r="AO245" s="976"/>
      <c r="AP245" s="976"/>
      <c r="AQ245" s="976"/>
      <c r="AR245" s="976"/>
      <c r="AS245" s="976"/>
      <c r="AT245" s="976"/>
      <c r="AU245" s="976"/>
      <c r="AV245" s="976"/>
      <c r="AW245" s="976"/>
      <c r="AX245" s="976"/>
      <c r="AY245" s="976"/>
      <c r="AZ245" s="976"/>
      <c r="BA245" s="976"/>
      <c r="BB245" s="976"/>
      <c r="BC245" s="976"/>
      <c r="BD245" s="975"/>
      <c r="BE245" s="970"/>
    </row>
    <row r="246" spans="1:57" ht="15.75" customHeight="1" thickBot="1">
      <c r="A246" s="974"/>
      <c r="B246" s="973"/>
      <c r="C246" s="972"/>
      <c r="D246" s="972"/>
      <c r="E246" s="972"/>
      <c r="F246" s="972"/>
      <c r="G246" s="972"/>
      <c r="H246" s="972"/>
      <c r="I246" s="972"/>
      <c r="J246" s="972"/>
      <c r="K246" s="972"/>
      <c r="L246" s="972"/>
      <c r="M246" s="972"/>
      <c r="N246" s="972"/>
      <c r="O246" s="972"/>
      <c r="P246" s="972"/>
      <c r="Q246" s="972"/>
      <c r="R246" s="972"/>
      <c r="S246" s="972"/>
      <c r="T246" s="972"/>
      <c r="U246" s="972"/>
      <c r="V246" s="972"/>
      <c r="W246" s="972"/>
      <c r="X246" s="972"/>
      <c r="Y246" s="972"/>
      <c r="Z246" s="972"/>
      <c r="AA246" s="972"/>
      <c r="AB246" s="972"/>
      <c r="AC246" s="972"/>
      <c r="AD246" s="972"/>
      <c r="AE246" s="972"/>
      <c r="AF246" s="972"/>
      <c r="AG246" s="972"/>
      <c r="AH246" s="972"/>
      <c r="AI246" s="972"/>
      <c r="AJ246" s="972"/>
      <c r="AK246" s="972"/>
      <c r="AL246" s="972"/>
      <c r="AM246" s="972"/>
      <c r="AN246" s="972"/>
      <c r="AO246" s="972"/>
      <c r="AP246" s="972"/>
      <c r="AQ246" s="972"/>
      <c r="AR246" s="972"/>
      <c r="AS246" s="972"/>
      <c r="AT246" s="972"/>
      <c r="AU246" s="972"/>
      <c r="AV246" s="972"/>
      <c r="AW246" s="972"/>
      <c r="AX246" s="972"/>
      <c r="AY246" s="972"/>
      <c r="AZ246" s="972"/>
      <c r="BA246" s="972"/>
      <c r="BB246" s="972"/>
      <c r="BC246" s="972"/>
      <c r="BD246" s="971"/>
      <c r="BE246" s="970"/>
    </row>
    <row r="247" spans="1:57" ht="15.75" customHeight="1" thickBot="1">
      <c r="A247" s="969"/>
      <c r="B247" s="969"/>
      <c r="C247" s="969"/>
      <c r="D247" s="969"/>
      <c r="E247" s="969"/>
      <c r="F247" s="969"/>
      <c r="G247" s="969"/>
      <c r="H247" s="969"/>
      <c r="I247" s="969"/>
      <c r="J247" s="969"/>
      <c r="K247" s="969"/>
      <c r="L247" s="969"/>
      <c r="M247" s="969"/>
      <c r="N247" s="969"/>
      <c r="O247" s="969"/>
      <c r="P247" s="969"/>
      <c r="Q247" s="969"/>
      <c r="R247" s="969"/>
      <c r="S247" s="969"/>
      <c r="T247" s="969"/>
      <c r="U247" s="969"/>
      <c r="V247" s="969"/>
      <c r="W247" s="969"/>
      <c r="X247" s="969"/>
      <c r="Y247" s="969"/>
      <c r="Z247" s="969"/>
      <c r="AA247" s="969"/>
      <c r="AB247" s="969"/>
      <c r="AC247" s="969"/>
      <c r="AD247" s="969"/>
      <c r="AE247" s="969"/>
      <c r="AF247" s="969"/>
      <c r="AG247" s="969"/>
      <c r="AH247" s="969"/>
      <c r="AI247" s="969"/>
      <c r="AJ247" s="969"/>
      <c r="AK247" s="969"/>
      <c r="AL247" s="969"/>
      <c r="AM247" s="969"/>
      <c r="AN247" s="969"/>
      <c r="AO247" s="969"/>
      <c r="AP247" s="969"/>
      <c r="AQ247" s="969"/>
      <c r="AR247" s="969"/>
      <c r="AS247" s="969"/>
      <c r="AT247" s="969"/>
      <c r="AU247" s="969"/>
      <c r="AV247" s="969"/>
      <c r="AW247" s="969"/>
      <c r="AX247" s="969"/>
      <c r="AY247" s="969"/>
      <c r="AZ247" s="969"/>
      <c r="BA247" s="969"/>
      <c r="BB247" s="969"/>
      <c r="BC247" s="969"/>
      <c r="BD247" s="969"/>
      <c r="BE247" s="968"/>
    </row>
    <row r="250" spans="1:57" ht="15.75" customHeight="1">
      <c r="D250" s="966"/>
    </row>
    <row r="251" spans="1:57" ht="15.75" customHeight="1">
      <c r="D251" s="967"/>
    </row>
    <row r="252" spans="1:57" ht="15.75" customHeight="1">
      <c r="D252" s="966"/>
    </row>
    <row r="253" spans="1:57" ht="15.75" customHeight="1">
      <c r="D253" s="966"/>
    </row>
    <row r="254" spans="1:57" ht="15.75" customHeight="1">
      <c r="R254" s="965" t="s">
        <v>253</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57" sqref="AB57:AF59"/>
    </sheetView>
  </sheetViews>
  <sheetFormatPr defaultColWidth="0" defaultRowHeight="13" customHeight="1"/>
  <cols>
    <col min="1" max="1" width="1.453125" style="291" customWidth="1"/>
    <col min="2" max="2" width="0.81640625" style="291" customWidth="1"/>
    <col min="3" max="18" width="2.453125" style="291" customWidth="1"/>
    <col min="19" max="19" width="6.26953125" style="291" customWidth="1"/>
    <col min="20" max="39" width="2.7265625" style="291" customWidth="1"/>
    <col min="40" max="40" width="1.453125" style="291" customWidth="1"/>
    <col min="41" max="256" width="2.453125" style="291" hidden="1"/>
    <col min="257" max="257" width="1.453125" style="291" hidden="1" customWidth="1"/>
    <col min="258" max="258" width="0.81640625" style="291" hidden="1" customWidth="1"/>
    <col min="259" max="274" width="2.453125" style="291" hidden="1" customWidth="1"/>
    <col min="275" max="275" width="4" style="291" hidden="1" customWidth="1"/>
    <col min="276" max="295" width="2.453125" style="291" hidden="1" customWidth="1"/>
    <col min="296" max="296" width="1.453125" style="291" hidden="1" customWidth="1"/>
    <col min="297" max="512" width="2.453125" style="291" hidden="1"/>
    <col min="513" max="513" width="1.453125" style="291" hidden="1" customWidth="1"/>
    <col min="514" max="514" width="0.81640625" style="291" hidden="1" customWidth="1"/>
    <col min="515" max="530" width="2.453125" style="291" hidden="1" customWidth="1"/>
    <col min="531" max="531" width="4" style="291" hidden="1" customWidth="1"/>
    <col min="532" max="551" width="2.453125" style="291" hidden="1" customWidth="1"/>
    <col min="552" max="552" width="1.453125" style="291" hidden="1" customWidth="1"/>
    <col min="553" max="768" width="2.453125" style="291" hidden="1"/>
    <col min="769" max="769" width="1.453125" style="291" hidden="1" customWidth="1"/>
    <col min="770" max="770" width="0.81640625" style="291" hidden="1" customWidth="1"/>
    <col min="771" max="786" width="2.453125" style="291" hidden="1" customWidth="1"/>
    <col min="787" max="787" width="4" style="291" hidden="1" customWidth="1"/>
    <col min="788" max="807" width="2.453125" style="291" hidden="1" customWidth="1"/>
    <col min="808" max="808" width="1.453125" style="291" hidden="1" customWidth="1"/>
    <col min="809" max="1024" width="2.453125" style="291" hidden="1"/>
    <col min="1025" max="1025" width="1.453125" style="291" hidden="1" customWidth="1"/>
    <col min="1026" max="1026" width="0.81640625" style="291" hidden="1" customWidth="1"/>
    <col min="1027" max="1042" width="2.453125" style="291" hidden="1" customWidth="1"/>
    <col min="1043" max="1043" width="4" style="291" hidden="1" customWidth="1"/>
    <col min="1044" max="1063" width="2.453125" style="291" hidden="1" customWidth="1"/>
    <col min="1064" max="1064" width="1.453125" style="291" hidden="1" customWidth="1"/>
    <col min="1065" max="1280" width="2.453125" style="291" hidden="1"/>
    <col min="1281" max="1281" width="1.453125" style="291" hidden="1" customWidth="1"/>
    <col min="1282" max="1282" width="0.81640625" style="291" hidden="1" customWidth="1"/>
    <col min="1283" max="1298" width="2.453125" style="291" hidden="1" customWidth="1"/>
    <col min="1299" max="1299" width="4" style="291" hidden="1" customWidth="1"/>
    <col min="1300" max="1319" width="2.453125" style="291" hidden="1" customWidth="1"/>
    <col min="1320" max="1320" width="1.453125" style="291" hidden="1" customWidth="1"/>
    <col min="1321" max="1536" width="2.453125" style="291" hidden="1"/>
    <col min="1537" max="1537" width="1.453125" style="291" hidden="1" customWidth="1"/>
    <col min="1538" max="1538" width="0.81640625" style="291" hidden="1" customWidth="1"/>
    <col min="1539" max="1554" width="2.453125" style="291" hidden="1" customWidth="1"/>
    <col min="1555" max="1555" width="4" style="291" hidden="1" customWidth="1"/>
    <col min="1556" max="1575" width="2.453125" style="291" hidden="1" customWidth="1"/>
    <col min="1576" max="1576" width="1.453125" style="291" hidden="1" customWidth="1"/>
    <col min="1577" max="1792" width="2.453125" style="291" hidden="1"/>
    <col min="1793" max="1793" width="1.453125" style="291" hidden="1" customWidth="1"/>
    <col min="1794" max="1794" width="0.81640625" style="291" hidden="1" customWidth="1"/>
    <col min="1795" max="1810" width="2.453125" style="291" hidden="1" customWidth="1"/>
    <col min="1811" max="1811" width="4" style="291" hidden="1" customWidth="1"/>
    <col min="1812" max="1831" width="2.453125" style="291" hidden="1" customWidth="1"/>
    <col min="1832" max="1832" width="1.453125" style="291" hidden="1" customWidth="1"/>
    <col min="1833" max="2048" width="2.453125" style="291" hidden="1"/>
    <col min="2049" max="2049" width="1.453125" style="291" hidden="1" customWidth="1"/>
    <col min="2050" max="2050" width="0.81640625" style="291" hidden="1" customWidth="1"/>
    <col min="2051" max="2066" width="2.453125" style="291" hidden="1" customWidth="1"/>
    <col min="2067" max="2067" width="4" style="291" hidden="1" customWidth="1"/>
    <col min="2068" max="2087" width="2.453125" style="291" hidden="1" customWidth="1"/>
    <col min="2088" max="2088" width="1.453125" style="291" hidden="1" customWidth="1"/>
    <col min="2089" max="2304" width="2.453125" style="291" hidden="1"/>
    <col min="2305" max="2305" width="1.453125" style="291" hidden="1" customWidth="1"/>
    <col min="2306" max="2306" width="0.81640625" style="291" hidden="1" customWidth="1"/>
    <col min="2307" max="2322" width="2.453125" style="291" hidden="1" customWidth="1"/>
    <col min="2323" max="2323" width="4" style="291" hidden="1" customWidth="1"/>
    <col min="2324" max="2343" width="2.453125" style="291" hidden="1" customWidth="1"/>
    <col min="2344" max="2344" width="1.453125" style="291" hidden="1" customWidth="1"/>
    <col min="2345" max="2560" width="2.453125" style="291" hidden="1"/>
    <col min="2561" max="2561" width="1.453125" style="291" hidden="1" customWidth="1"/>
    <col min="2562" max="2562" width="0.81640625" style="291" hidden="1" customWidth="1"/>
    <col min="2563" max="2578" width="2.453125" style="291" hidden="1" customWidth="1"/>
    <col min="2579" max="2579" width="4" style="291" hidden="1" customWidth="1"/>
    <col min="2580" max="2599" width="2.453125" style="291" hidden="1" customWidth="1"/>
    <col min="2600" max="2600" width="1.453125" style="291" hidden="1" customWidth="1"/>
    <col min="2601" max="2816" width="2.453125" style="291" hidden="1"/>
    <col min="2817" max="2817" width="1.453125" style="291" hidden="1" customWidth="1"/>
    <col min="2818" max="2818" width="0.81640625" style="291" hidden="1" customWidth="1"/>
    <col min="2819" max="2834" width="2.453125" style="291" hidden="1" customWidth="1"/>
    <col min="2835" max="2835" width="4" style="291" hidden="1" customWidth="1"/>
    <col min="2836" max="2855" width="2.453125" style="291" hidden="1" customWidth="1"/>
    <col min="2856" max="2856" width="1.453125" style="291" hidden="1" customWidth="1"/>
    <col min="2857" max="3072" width="2.453125" style="291" hidden="1"/>
    <col min="3073" max="3073" width="1.453125" style="291" hidden="1" customWidth="1"/>
    <col min="3074" max="3074" width="0.81640625" style="291" hidden="1" customWidth="1"/>
    <col min="3075" max="3090" width="2.453125" style="291" hidden="1" customWidth="1"/>
    <col min="3091" max="3091" width="4" style="291" hidden="1" customWidth="1"/>
    <col min="3092" max="3111" width="2.453125" style="291" hidden="1" customWidth="1"/>
    <col min="3112" max="3112" width="1.453125" style="291" hidden="1" customWidth="1"/>
    <col min="3113" max="3328" width="2.453125" style="291" hidden="1"/>
    <col min="3329" max="3329" width="1.453125" style="291" hidden="1" customWidth="1"/>
    <col min="3330" max="3330" width="0.81640625" style="291" hidden="1" customWidth="1"/>
    <col min="3331" max="3346" width="2.453125" style="291" hidden="1" customWidth="1"/>
    <col min="3347" max="3347" width="4" style="291" hidden="1" customWidth="1"/>
    <col min="3348" max="3367" width="2.453125" style="291" hidden="1" customWidth="1"/>
    <col min="3368" max="3368" width="1.453125" style="291" hidden="1" customWidth="1"/>
    <col min="3369" max="3584" width="2.453125" style="291" hidden="1"/>
    <col min="3585" max="3585" width="1.453125" style="291" hidden="1" customWidth="1"/>
    <col min="3586" max="3586" width="0.81640625" style="291" hidden="1" customWidth="1"/>
    <col min="3587" max="3602" width="2.453125" style="291" hidden="1" customWidth="1"/>
    <col min="3603" max="3603" width="4" style="291" hidden="1" customWidth="1"/>
    <col min="3604" max="3623" width="2.453125" style="291" hidden="1" customWidth="1"/>
    <col min="3624" max="3624" width="1.453125" style="291" hidden="1" customWidth="1"/>
    <col min="3625" max="3840" width="2.453125" style="291" hidden="1"/>
    <col min="3841" max="3841" width="1.453125" style="291" hidden="1" customWidth="1"/>
    <col min="3842" max="3842" width="0.81640625" style="291" hidden="1" customWidth="1"/>
    <col min="3843" max="3858" width="2.453125" style="291" hidden="1" customWidth="1"/>
    <col min="3859" max="3859" width="4" style="291" hidden="1" customWidth="1"/>
    <col min="3860" max="3879" width="2.453125" style="291" hidden="1" customWidth="1"/>
    <col min="3880" max="3880" width="1.453125" style="291" hidden="1" customWidth="1"/>
    <col min="3881" max="4096" width="2.453125" style="291" hidden="1"/>
    <col min="4097" max="4097" width="1.453125" style="291" hidden="1" customWidth="1"/>
    <col min="4098" max="4098" width="0.81640625" style="291" hidden="1" customWidth="1"/>
    <col min="4099" max="4114" width="2.453125" style="291" hidden="1" customWidth="1"/>
    <col min="4115" max="4115" width="4" style="291" hidden="1" customWidth="1"/>
    <col min="4116" max="4135" width="2.453125" style="291" hidden="1" customWidth="1"/>
    <col min="4136" max="4136" width="1.453125" style="291" hidden="1" customWidth="1"/>
    <col min="4137" max="4352" width="2.453125" style="291" hidden="1"/>
    <col min="4353" max="4353" width="1.453125" style="291" hidden="1" customWidth="1"/>
    <col min="4354" max="4354" width="0.81640625" style="291" hidden="1" customWidth="1"/>
    <col min="4355" max="4370" width="2.453125" style="291" hidden="1" customWidth="1"/>
    <col min="4371" max="4371" width="4" style="291" hidden="1" customWidth="1"/>
    <col min="4372" max="4391" width="2.453125" style="291" hidden="1" customWidth="1"/>
    <col min="4392" max="4392" width="1.453125" style="291" hidden="1" customWidth="1"/>
    <col min="4393" max="4608" width="2.453125" style="291" hidden="1"/>
    <col min="4609" max="4609" width="1.453125" style="291" hidden="1" customWidth="1"/>
    <col min="4610" max="4610" width="0.81640625" style="291" hidden="1" customWidth="1"/>
    <col min="4611" max="4626" width="2.453125" style="291" hidden="1" customWidth="1"/>
    <col min="4627" max="4627" width="4" style="291" hidden="1" customWidth="1"/>
    <col min="4628" max="4647" width="2.453125" style="291" hidden="1" customWidth="1"/>
    <col min="4648" max="4648" width="1.453125" style="291" hidden="1" customWidth="1"/>
    <col min="4649" max="4864" width="2.453125" style="291" hidden="1"/>
    <col min="4865" max="4865" width="1.453125" style="291" hidden="1" customWidth="1"/>
    <col min="4866" max="4866" width="0.81640625" style="291" hidden="1" customWidth="1"/>
    <col min="4867" max="4882" width="2.453125" style="291" hidden="1" customWidth="1"/>
    <col min="4883" max="4883" width="4" style="291" hidden="1" customWidth="1"/>
    <col min="4884" max="4903" width="2.453125" style="291" hidden="1" customWidth="1"/>
    <col min="4904" max="4904" width="1.453125" style="291" hidden="1" customWidth="1"/>
    <col min="4905" max="5120" width="2.453125" style="291" hidden="1"/>
    <col min="5121" max="5121" width="1.453125" style="291" hidden="1" customWidth="1"/>
    <col min="5122" max="5122" width="0.81640625" style="291" hidden="1" customWidth="1"/>
    <col min="5123" max="5138" width="2.453125" style="291" hidden="1" customWidth="1"/>
    <col min="5139" max="5139" width="4" style="291" hidden="1" customWidth="1"/>
    <col min="5140" max="5159" width="2.453125" style="291" hidden="1" customWidth="1"/>
    <col min="5160" max="5160" width="1.453125" style="291" hidden="1" customWidth="1"/>
    <col min="5161" max="5376" width="2.453125" style="291" hidden="1"/>
    <col min="5377" max="5377" width="1.453125" style="291" hidden="1" customWidth="1"/>
    <col min="5378" max="5378" width="0.81640625" style="291" hidden="1" customWidth="1"/>
    <col min="5379" max="5394" width="2.453125" style="291" hidden="1" customWidth="1"/>
    <col min="5395" max="5395" width="4" style="291" hidden="1" customWidth="1"/>
    <col min="5396" max="5415" width="2.453125" style="291" hidden="1" customWidth="1"/>
    <col min="5416" max="5416" width="1.453125" style="291" hidden="1" customWidth="1"/>
    <col min="5417" max="5632" width="2.453125" style="291" hidden="1"/>
    <col min="5633" max="5633" width="1.453125" style="291" hidden="1" customWidth="1"/>
    <col min="5634" max="5634" width="0.81640625" style="291" hidden="1" customWidth="1"/>
    <col min="5635" max="5650" width="2.453125" style="291" hidden="1" customWidth="1"/>
    <col min="5651" max="5651" width="4" style="291" hidden="1" customWidth="1"/>
    <col min="5652" max="5671" width="2.453125" style="291" hidden="1" customWidth="1"/>
    <col min="5672" max="5672" width="1.453125" style="291" hidden="1" customWidth="1"/>
    <col min="5673" max="5888" width="2.453125" style="291" hidden="1"/>
    <col min="5889" max="5889" width="1.453125" style="291" hidden="1" customWidth="1"/>
    <col min="5890" max="5890" width="0.81640625" style="291" hidden="1" customWidth="1"/>
    <col min="5891" max="5906" width="2.453125" style="291" hidden="1" customWidth="1"/>
    <col min="5907" max="5907" width="4" style="291" hidden="1" customWidth="1"/>
    <col min="5908" max="5927" width="2.453125" style="291" hidden="1" customWidth="1"/>
    <col min="5928" max="5928" width="1.453125" style="291" hidden="1" customWidth="1"/>
    <col min="5929" max="6144" width="2.453125" style="291" hidden="1"/>
    <col min="6145" max="6145" width="1.453125" style="291" hidden="1" customWidth="1"/>
    <col min="6146" max="6146" width="0.81640625" style="291" hidden="1" customWidth="1"/>
    <col min="6147" max="6162" width="2.453125" style="291" hidden="1" customWidth="1"/>
    <col min="6163" max="6163" width="4" style="291" hidden="1" customWidth="1"/>
    <col min="6164" max="6183" width="2.453125" style="291" hidden="1" customWidth="1"/>
    <col min="6184" max="6184" width="1.453125" style="291" hidden="1" customWidth="1"/>
    <col min="6185" max="6400" width="2.453125" style="291" hidden="1"/>
    <col min="6401" max="6401" width="1.453125" style="291" hidden="1" customWidth="1"/>
    <col min="6402" max="6402" width="0.81640625" style="291" hidden="1" customWidth="1"/>
    <col min="6403" max="6418" width="2.453125" style="291" hidden="1" customWidth="1"/>
    <col min="6419" max="6419" width="4" style="291" hidden="1" customWidth="1"/>
    <col min="6420" max="6439" width="2.453125" style="291" hidden="1" customWidth="1"/>
    <col min="6440" max="6440" width="1.453125" style="291" hidden="1" customWidth="1"/>
    <col min="6441" max="6656" width="2.453125" style="291" hidden="1"/>
    <col min="6657" max="6657" width="1.453125" style="291" hidden="1" customWidth="1"/>
    <col min="6658" max="6658" width="0.81640625" style="291" hidden="1" customWidth="1"/>
    <col min="6659" max="6674" width="2.453125" style="291" hidden="1" customWidth="1"/>
    <col min="6675" max="6675" width="4" style="291" hidden="1" customWidth="1"/>
    <col min="6676" max="6695" width="2.453125" style="291" hidden="1" customWidth="1"/>
    <col min="6696" max="6696" width="1.453125" style="291" hidden="1" customWidth="1"/>
    <col min="6697" max="6912" width="2.453125" style="291" hidden="1"/>
    <col min="6913" max="6913" width="1.453125" style="291" hidden="1" customWidth="1"/>
    <col min="6914" max="6914" width="0.81640625" style="291" hidden="1" customWidth="1"/>
    <col min="6915" max="6930" width="2.453125" style="291" hidden="1" customWidth="1"/>
    <col min="6931" max="6931" width="4" style="291" hidden="1" customWidth="1"/>
    <col min="6932" max="6951" width="2.453125" style="291" hidden="1" customWidth="1"/>
    <col min="6952" max="6952" width="1.453125" style="291" hidden="1" customWidth="1"/>
    <col min="6953" max="7168" width="2.453125" style="291" hidden="1"/>
    <col min="7169" max="7169" width="1.453125" style="291" hidden="1" customWidth="1"/>
    <col min="7170" max="7170" width="0.81640625" style="291" hidden="1" customWidth="1"/>
    <col min="7171" max="7186" width="2.453125" style="291" hidden="1" customWidth="1"/>
    <col min="7187" max="7187" width="4" style="291" hidden="1" customWidth="1"/>
    <col min="7188" max="7207" width="2.453125" style="291" hidden="1" customWidth="1"/>
    <col min="7208" max="7208" width="1.453125" style="291" hidden="1" customWidth="1"/>
    <col min="7209" max="7424" width="2.453125" style="291" hidden="1"/>
    <col min="7425" max="7425" width="1.453125" style="291" hidden="1" customWidth="1"/>
    <col min="7426" max="7426" width="0.81640625" style="291" hidden="1" customWidth="1"/>
    <col min="7427" max="7442" width="2.453125" style="291" hidden="1" customWidth="1"/>
    <col min="7443" max="7443" width="4" style="291" hidden="1" customWidth="1"/>
    <col min="7444" max="7463" width="2.453125" style="291" hidden="1" customWidth="1"/>
    <col min="7464" max="7464" width="1.453125" style="291" hidden="1" customWidth="1"/>
    <col min="7465" max="7680" width="2.453125" style="291" hidden="1"/>
    <col min="7681" max="7681" width="1.453125" style="291" hidden="1" customWidth="1"/>
    <col min="7682" max="7682" width="0.81640625" style="291" hidden="1" customWidth="1"/>
    <col min="7683" max="7698" width="2.453125" style="291" hidden="1" customWidth="1"/>
    <col min="7699" max="7699" width="4" style="291" hidden="1" customWidth="1"/>
    <col min="7700" max="7719" width="2.453125" style="291" hidden="1" customWidth="1"/>
    <col min="7720" max="7720" width="1.453125" style="291" hidden="1" customWidth="1"/>
    <col min="7721" max="7936" width="2.453125" style="291" hidden="1"/>
    <col min="7937" max="7937" width="1.453125" style="291" hidden="1" customWidth="1"/>
    <col min="7938" max="7938" width="0.81640625" style="291" hidden="1" customWidth="1"/>
    <col min="7939" max="7954" width="2.453125" style="291" hidden="1" customWidth="1"/>
    <col min="7955" max="7955" width="4" style="291" hidden="1" customWidth="1"/>
    <col min="7956" max="7975" width="2.453125" style="291" hidden="1" customWidth="1"/>
    <col min="7976" max="7976" width="1.453125" style="291" hidden="1" customWidth="1"/>
    <col min="7977" max="8192" width="2.453125" style="291" hidden="1"/>
    <col min="8193" max="8193" width="1.453125" style="291" hidden="1" customWidth="1"/>
    <col min="8194" max="8194" width="0.81640625" style="291" hidden="1" customWidth="1"/>
    <col min="8195" max="8210" width="2.453125" style="291" hidden="1" customWidth="1"/>
    <col min="8211" max="8211" width="4" style="291" hidden="1" customWidth="1"/>
    <col min="8212" max="8231" width="2.453125" style="291" hidden="1" customWidth="1"/>
    <col min="8232" max="8232" width="1.453125" style="291" hidden="1" customWidth="1"/>
    <col min="8233" max="8448" width="2.453125" style="291" hidden="1"/>
    <col min="8449" max="8449" width="1.453125" style="291" hidden="1" customWidth="1"/>
    <col min="8450" max="8450" width="0.81640625" style="291" hidden="1" customWidth="1"/>
    <col min="8451" max="8466" width="2.453125" style="291" hidden="1" customWidth="1"/>
    <col min="8467" max="8467" width="4" style="291" hidden="1" customWidth="1"/>
    <col min="8468" max="8487" width="2.453125" style="291" hidden="1" customWidth="1"/>
    <col min="8488" max="8488" width="1.453125" style="291" hidden="1" customWidth="1"/>
    <col min="8489" max="8704" width="2.453125" style="291" hidden="1"/>
    <col min="8705" max="8705" width="1.453125" style="291" hidden="1" customWidth="1"/>
    <col min="8706" max="8706" width="0.81640625" style="291" hidden="1" customWidth="1"/>
    <col min="8707" max="8722" width="2.453125" style="291" hidden="1" customWidth="1"/>
    <col min="8723" max="8723" width="4" style="291" hidden="1" customWidth="1"/>
    <col min="8724" max="8743" width="2.453125" style="291" hidden="1" customWidth="1"/>
    <col min="8744" max="8744" width="1.453125" style="291" hidden="1" customWidth="1"/>
    <col min="8745" max="8960" width="2.453125" style="291" hidden="1"/>
    <col min="8961" max="8961" width="1.453125" style="291" hidden="1" customWidth="1"/>
    <col min="8962" max="8962" width="0.81640625" style="291" hidden="1" customWidth="1"/>
    <col min="8963" max="8978" width="2.453125" style="291" hidden="1" customWidth="1"/>
    <col min="8979" max="8979" width="4" style="291" hidden="1" customWidth="1"/>
    <col min="8980" max="8999" width="2.453125" style="291" hidden="1" customWidth="1"/>
    <col min="9000" max="9000" width="1.453125" style="291" hidden="1" customWidth="1"/>
    <col min="9001" max="9216" width="2.453125" style="291" hidden="1"/>
    <col min="9217" max="9217" width="1.453125" style="291" hidden="1" customWidth="1"/>
    <col min="9218" max="9218" width="0.81640625" style="291" hidden="1" customWidth="1"/>
    <col min="9219" max="9234" width="2.453125" style="291" hidden="1" customWidth="1"/>
    <col min="9235" max="9235" width="4" style="291" hidden="1" customWidth="1"/>
    <col min="9236" max="9255" width="2.453125" style="291" hidden="1" customWidth="1"/>
    <col min="9256" max="9256" width="1.453125" style="291" hidden="1" customWidth="1"/>
    <col min="9257" max="9472" width="2.453125" style="291" hidden="1"/>
    <col min="9473" max="9473" width="1.453125" style="291" hidden="1" customWidth="1"/>
    <col min="9474" max="9474" width="0.81640625" style="291" hidden="1" customWidth="1"/>
    <col min="9475" max="9490" width="2.453125" style="291" hidden="1" customWidth="1"/>
    <col min="9491" max="9491" width="4" style="291" hidden="1" customWidth="1"/>
    <col min="9492" max="9511" width="2.453125" style="291" hidden="1" customWidth="1"/>
    <col min="9512" max="9512" width="1.453125" style="291" hidden="1" customWidth="1"/>
    <col min="9513" max="9728" width="2.453125" style="291" hidden="1"/>
    <col min="9729" max="9729" width="1.453125" style="291" hidden="1" customWidth="1"/>
    <col min="9730" max="9730" width="0.81640625" style="291" hidden="1" customWidth="1"/>
    <col min="9731" max="9746" width="2.453125" style="291" hidden="1" customWidth="1"/>
    <col min="9747" max="9747" width="4" style="291" hidden="1" customWidth="1"/>
    <col min="9748" max="9767" width="2.453125" style="291" hidden="1" customWidth="1"/>
    <col min="9768" max="9768" width="1.453125" style="291" hidden="1" customWidth="1"/>
    <col min="9769" max="9984" width="2.453125" style="291" hidden="1"/>
    <col min="9985" max="9985" width="1.453125" style="291" hidden="1" customWidth="1"/>
    <col min="9986" max="9986" width="0.81640625" style="291" hidden="1" customWidth="1"/>
    <col min="9987" max="10002" width="2.453125" style="291" hidden="1" customWidth="1"/>
    <col min="10003" max="10003" width="4" style="291" hidden="1" customWidth="1"/>
    <col min="10004" max="10023" width="2.453125" style="291" hidden="1" customWidth="1"/>
    <col min="10024" max="10024" width="1.453125" style="291" hidden="1" customWidth="1"/>
    <col min="10025" max="10240" width="2.453125" style="291" hidden="1"/>
    <col min="10241" max="10241" width="1.453125" style="291" hidden="1" customWidth="1"/>
    <col min="10242" max="10242" width="0.81640625" style="291" hidden="1" customWidth="1"/>
    <col min="10243" max="10258" width="2.453125" style="291" hidden="1" customWidth="1"/>
    <col min="10259" max="10259" width="4" style="291" hidden="1" customWidth="1"/>
    <col min="10260" max="10279" width="2.453125" style="291" hidden="1" customWidth="1"/>
    <col min="10280" max="10280" width="1.453125" style="291" hidden="1" customWidth="1"/>
    <col min="10281" max="10496" width="2.453125" style="291" hidden="1"/>
    <col min="10497" max="10497" width="1.453125" style="291" hidden="1" customWidth="1"/>
    <col min="10498" max="10498" width="0.81640625" style="291" hidden="1" customWidth="1"/>
    <col min="10499" max="10514" width="2.453125" style="291" hidden="1" customWidth="1"/>
    <col min="10515" max="10515" width="4" style="291" hidden="1" customWidth="1"/>
    <col min="10516" max="10535" width="2.453125" style="291" hidden="1" customWidth="1"/>
    <col min="10536" max="10536" width="1.453125" style="291" hidden="1" customWidth="1"/>
    <col min="10537" max="10752" width="2.453125" style="291" hidden="1"/>
    <col min="10753" max="10753" width="1.453125" style="291" hidden="1" customWidth="1"/>
    <col min="10754" max="10754" width="0.81640625" style="291" hidden="1" customWidth="1"/>
    <col min="10755" max="10770" width="2.453125" style="291" hidden="1" customWidth="1"/>
    <col min="10771" max="10771" width="4" style="291" hidden="1" customWidth="1"/>
    <col min="10772" max="10791" width="2.453125" style="291" hidden="1" customWidth="1"/>
    <col min="10792" max="10792" width="1.453125" style="291" hidden="1" customWidth="1"/>
    <col min="10793" max="11008" width="2.453125" style="291" hidden="1"/>
    <col min="11009" max="11009" width="1.453125" style="291" hidden="1" customWidth="1"/>
    <col min="11010" max="11010" width="0.81640625" style="291" hidden="1" customWidth="1"/>
    <col min="11011" max="11026" width="2.453125" style="291" hidden="1" customWidth="1"/>
    <col min="11027" max="11027" width="4" style="291" hidden="1" customWidth="1"/>
    <col min="11028" max="11047" width="2.453125" style="291" hidden="1" customWidth="1"/>
    <col min="11048" max="11048" width="1.453125" style="291" hidden="1" customWidth="1"/>
    <col min="11049" max="11264" width="2.453125" style="291" hidden="1"/>
    <col min="11265" max="11265" width="1.453125" style="291" hidden="1" customWidth="1"/>
    <col min="11266" max="11266" width="0.81640625" style="291" hidden="1" customWidth="1"/>
    <col min="11267" max="11282" width="2.453125" style="291" hidden="1" customWidth="1"/>
    <col min="11283" max="11283" width="4" style="291" hidden="1" customWidth="1"/>
    <col min="11284" max="11303" width="2.453125" style="291" hidden="1" customWidth="1"/>
    <col min="11304" max="11304" width="1.453125" style="291" hidden="1" customWidth="1"/>
    <col min="11305" max="11520" width="2.453125" style="291" hidden="1"/>
    <col min="11521" max="11521" width="1.453125" style="291" hidden="1" customWidth="1"/>
    <col min="11522" max="11522" width="0.81640625" style="291" hidden="1" customWidth="1"/>
    <col min="11523" max="11538" width="2.453125" style="291" hidden="1" customWidth="1"/>
    <col min="11539" max="11539" width="4" style="291" hidden="1" customWidth="1"/>
    <col min="11540" max="11559" width="2.453125" style="291" hidden="1" customWidth="1"/>
    <col min="11560" max="11560" width="1.453125" style="291" hidden="1" customWidth="1"/>
    <col min="11561" max="11776" width="2.453125" style="291" hidden="1"/>
    <col min="11777" max="11777" width="1.453125" style="291" hidden="1" customWidth="1"/>
    <col min="11778" max="11778" width="0.81640625" style="291" hidden="1" customWidth="1"/>
    <col min="11779" max="11794" width="2.453125" style="291" hidden="1" customWidth="1"/>
    <col min="11795" max="11795" width="4" style="291" hidden="1" customWidth="1"/>
    <col min="11796" max="11815" width="2.453125" style="291" hidden="1" customWidth="1"/>
    <col min="11816" max="11816" width="1.453125" style="291" hidden="1" customWidth="1"/>
    <col min="11817" max="12032" width="2.453125" style="291" hidden="1"/>
    <col min="12033" max="12033" width="1.453125" style="291" hidden="1" customWidth="1"/>
    <col min="12034" max="12034" width="0.81640625" style="291" hidden="1" customWidth="1"/>
    <col min="12035" max="12050" width="2.453125" style="291" hidden="1" customWidth="1"/>
    <col min="12051" max="12051" width="4" style="291" hidden="1" customWidth="1"/>
    <col min="12052" max="12071" width="2.453125" style="291" hidden="1" customWidth="1"/>
    <col min="12072" max="12072" width="1.453125" style="291" hidden="1" customWidth="1"/>
    <col min="12073" max="12288" width="2.453125" style="291" hidden="1"/>
    <col min="12289" max="12289" width="1.453125" style="291" hidden="1" customWidth="1"/>
    <col min="12290" max="12290" width="0.81640625" style="291" hidden="1" customWidth="1"/>
    <col min="12291" max="12306" width="2.453125" style="291" hidden="1" customWidth="1"/>
    <col min="12307" max="12307" width="4" style="291" hidden="1" customWidth="1"/>
    <col min="12308" max="12327" width="2.453125" style="291" hidden="1" customWidth="1"/>
    <col min="12328" max="12328" width="1.453125" style="291" hidden="1" customWidth="1"/>
    <col min="12329" max="12544" width="2.453125" style="291" hidden="1"/>
    <col min="12545" max="12545" width="1.453125" style="291" hidden="1" customWidth="1"/>
    <col min="12546" max="12546" width="0.81640625" style="291" hidden="1" customWidth="1"/>
    <col min="12547" max="12562" width="2.453125" style="291" hidden="1" customWidth="1"/>
    <col min="12563" max="12563" width="4" style="291" hidden="1" customWidth="1"/>
    <col min="12564" max="12583" width="2.453125" style="291" hidden="1" customWidth="1"/>
    <col min="12584" max="12584" width="1.453125" style="291" hidden="1" customWidth="1"/>
    <col min="12585" max="12800" width="2.453125" style="291" hidden="1"/>
    <col min="12801" max="12801" width="1.453125" style="291" hidden="1" customWidth="1"/>
    <col min="12802" max="12802" width="0.81640625" style="291" hidden="1" customWidth="1"/>
    <col min="12803" max="12818" width="2.453125" style="291" hidden="1" customWidth="1"/>
    <col min="12819" max="12819" width="4" style="291" hidden="1" customWidth="1"/>
    <col min="12820" max="12839" width="2.453125" style="291" hidden="1" customWidth="1"/>
    <col min="12840" max="12840" width="1.453125" style="291" hidden="1" customWidth="1"/>
    <col min="12841" max="13056" width="2.453125" style="291" hidden="1"/>
    <col min="13057" max="13057" width="1.453125" style="291" hidden="1" customWidth="1"/>
    <col min="13058" max="13058" width="0.81640625" style="291" hidden="1" customWidth="1"/>
    <col min="13059" max="13074" width="2.453125" style="291" hidden="1" customWidth="1"/>
    <col min="13075" max="13075" width="4" style="291" hidden="1" customWidth="1"/>
    <col min="13076" max="13095" width="2.453125" style="291" hidden="1" customWidth="1"/>
    <col min="13096" max="13096" width="1.453125" style="291" hidden="1" customWidth="1"/>
    <col min="13097" max="13312" width="2.453125" style="291" hidden="1"/>
    <col min="13313" max="13313" width="1.453125" style="291" hidden="1" customWidth="1"/>
    <col min="13314" max="13314" width="0.81640625" style="291" hidden="1" customWidth="1"/>
    <col min="13315" max="13330" width="2.453125" style="291" hidden="1" customWidth="1"/>
    <col min="13331" max="13331" width="4" style="291" hidden="1" customWidth="1"/>
    <col min="13332" max="13351" width="2.453125" style="291" hidden="1" customWidth="1"/>
    <col min="13352" max="13352" width="1.453125" style="291" hidden="1" customWidth="1"/>
    <col min="13353" max="13568" width="2.453125" style="291" hidden="1"/>
    <col min="13569" max="13569" width="1.453125" style="291" hidden="1" customWidth="1"/>
    <col min="13570" max="13570" width="0.81640625" style="291" hidden="1" customWidth="1"/>
    <col min="13571" max="13586" width="2.453125" style="291" hidden="1" customWidth="1"/>
    <col min="13587" max="13587" width="4" style="291" hidden="1" customWidth="1"/>
    <col min="13588" max="13607" width="2.453125" style="291" hidden="1" customWidth="1"/>
    <col min="13608" max="13608" width="1.453125" style="291" hidden="1" customWidth="1"/>
    <col min="13609" max="13824" width="2.453125" style="291" hidden="1"/>
    <col min="13825" max="13825" width="1.453125" style="291" hidden="1" customWidth="1"/>
    <col min="13826" max="13826" width="0.81640625" style="291" hidden="1" customWidth="1"/>
    <col min="13827" max="13842" width="2.453125" style="291" hidden="1" customWidth="1"/>
    <col min="13843" max="13843" width="4" style="291" hidden="1" customWidth="1"/>
    <col min="13844" max="13863" width="2.453125" style="291" hidden="1" customWidth="1"/>
    <col min="13864" max="13864" width="1.453125" style="291" hidden="1" customWidth="1"/>
    <col min="13865" max="14080" width="2.453125" style="291" hidden="1"/>
    <col min="14081" max="14081" width="1.453125" style="291" hidden="1" customWidth="1"/>
    <col min="14082" max="14082" width="0.81640625" style="291" hidden="1" customWidth="1"/>
    <col min="14083" max="14098" width="2.453125" style="291" hidden="1" customWidth="1"/>
    <col min="14099" max="14099" width="4" style="291" hidden="1" customWidth="1"/>
    <col min="14100" max="14119" width="2.453125" style="291" hidden="1" customWidth="1"/>
    <col min="14120" max="14120" width="1.453125" style="291" hidden="1" customWidth="1"/>
    <col min="14121" max="14336" width="2.453125" style="291" hidden="1"/>
    <col min="14337" max="14337" width="1.453125" style="291" hidden="1" customWidth="1"/>
    <col min="14338" max="14338" width="0.81640625" style="291" hidden="1" customWidth="1"/>
    <col min="14339" max="14354" width="2.453125" style="291" hidden="1" customWidth="1"/>
    <col min="14355" max="14355" width="4" style="291" hidden="1" customWidth="1"/>
    <col min="14356" max="14375" width="2.453125" style="291" hidden="1" customWidth="1"/>
    <col min="14376" max="14376" width="1.453125" style="291" hidden="1" customWidth="1"/>
    <col min="14377" max="14592" width="2.453125" style="291" hidden="1"/>
    <col min="14593" max="14593" width="1.453125" style="291" hidden="1" customWidth="1"/>
    <col min="14594" max="14594" width="0.81640625" style="291" hidden="1" customWidth="1"/>
    <col min="14595" max="14610" width="2.453125" style="291" hidden="1" customWidth="1"/>
    <col min="14611" max="14611" width="4" style="291" hidden="1" customWidth="1"/>
    <col min="14612" max="14631" width="2.453125" style="291" hidden="1" customWidth="1"/>
    <col min="14632" max="14632" width="1.453125" style="291" hidden="1" customWidth="1"/>
    <col min="14633" max="14848" width="2.453125" style="291" hidden="1"/>
    <col min="14849" max="14849" width="1.453125" style="291" hidden="1" customWidth="1"/>
    <col min="14850" max="14850" width="0.81640625" style="291" hidden="1" customWidth="1"/>
    <col min="14851" max="14866" width="2.453125" style="291" hidden="1" customWidth="1"/>
    <col min="14867" max="14867" width="4" style="291" hidden="1" customWidth="1"/>
    <col min="14868" max="14887" width="2.453125" style="291" hidden="1" customWidth="1"/>
    <col min="14888" max="14888" width="1.453125" style="291" hidden="1" customWidth="1"/>
    <col min="14889" max="15104" width="2.453125" style="291" hidden="1"/>
    <col min="15105" max="15105" width="1.453125" style="291" hidden="1" customWidth="1"/>
    <col min="15106" max="15106" width="0.81640625" style="291" hidden="1" customWidth="1"/>
    <col min="15107" max="15122" width="2.453125" style="291" hidden="1" customWidth="1"/>
    <col min="15123" max="15123" width="4" style="291" hidden="1" customWidth="1"/>
    <col min="15124" max="15143" width="2.453125" style="291" hidden="1" customWidth="1"/>
    <col min="15144" max="15144" width="1.453125" style="291" hidden="1" customWidth="1"/>
    <col min="15145" max="15360" width="2.453125" style="291" hidden="1"/>
    <col min="15361" max="15361" width="1.453125" style="291" hidden="1" customWidth="1"/>
    <col min="15362" max="15362" width="0.81640625" style="291" hidden="1" customWidth="1"/>
    <col min="15363" max="15378" width="2.453125" style="291" hidden="1" customWidth="1"/>
    <col min="15379" max="15379" width="4" style="291" hidden="1" customWidth="1"/>
    <col min="15380" max="15399" width="2.453125" style="291" hidden="1" customWidth="1"/>
    <col min="15400" max="15400" width="1.453125" style="291" hidden="1" customWidth="1"/>
    <col min="15401" max="15616" width="2.453125" style="291" hidden="1"/>
    <col min="15617" max="15617" width="1.453125" style="291" hidden="1" customWidth="1"/>
    <col min="15618" max="15618" width="0.81640625" style="291" hidden="1" customWidth="1"/>
    <col min="15619" max="15634" width="2.453125" style="291" hidden="1" customWidth="1"/>
    <col min="15635" max="15635" width="4" style="291" hidden="1" customWidth="1"/>
    <col min="15636" max="15655" width="2.453125" style="291" hidden="1" customWidth="1"/>
    <col min="15656" max="15656" width="1.453125" style="291" hidden="1" customWidth="1"/>
    <col min="15657" max="15872" width="2.453125" style="291" hidden="1"/>
    <col min="15873" max="15873" width="1.453125" style="291" hidden="1" customWidth="1"/>
    <col min="15874" max="15874" width="0.81640625" style="291" hidden="1" customWidth="1"/>
    <col min="15875" max="15890" width="2.453125" style="291" hidden="1" customWidth="1"/>
    <col min="15891" max="15891" width="4" style="291" hidden="1" customWidth="1"/>
    <col min="15892" max="15911" width="2.453125" style="291" hidden="1" customWidth="1"/>
    <col min="15912" max="15912" width="1.453125" style="291" hidden="1" customWidth="1"/>
    <col min="15913" max="16128" width="2.453125" style="291" hidden="1"/>
    <col min="16129" max="16129" width="1.453125" style="291" hidden="1" customWidth="1"/>
    <col min="16130" max="16130" width="0.81640625" style="291" hidden="1" customWidth="1"/>
    <col min="16131" max="16146" width="2.453125" style="291" hidden="1" customWidth="1"/>
    <col min="16147" max="16147" width="4" style="291" hidden="1" customWidth="1"/>
    <col min="16148" max="16167" width="2.453125" style="291" hidden="1" customWidth="1"/>
    <col min="16168" max="16168" width="1.453125" style="291" hidden="1" customWidth="1"/>
    <col min="16169" max="16384" width="2.453125" style="291" hidden="1"/>
  </cols>
  <sheetData>
    <row r="1" spans="1:40" ht="13" customHeight="1">
      <c r="A1" s="2583" t="s">
        <v>2648</v>
      </c>
      <c r="B1" s="2583"/>
      <c r="C1" s="2583"/>
      <c r="D1" s="2583"/>
      <c r="E1" s="2583"/>
      <c r="F1" s="2583"/>
      <c r="G1" s="2583"/>
      <c r="H1" s="2583"/>
      <c r="I1" s="2583"/>
      <c r="J1" s="2583"/>
      <c r="K1" s="2583"/>
      <c r="L1" s="2583"/>
      <c r="M1" s="2583"/>
      <c r="N1" s="2583"/>
      <c r="O1" s="2583"/>
      <c r="P1" s="2583"/>
      <c r="Q1" s="2583"/>
      <c r="R1" s="2583"/>
      <c r="S1" s="2583"/>
      <c r="T1" s="2583"/>
      <c r="U1" s="2583"/>
      <c r="V1" s="2583"/>
      <c r="W1" s="2583"/>
      <c r="X1" s="2583"/>
      <c r="Y1" s="2583"/>
      <c r="Z1" s="2583"/>
      <c r="AA1" s="2583"/>
      <c r="AB1" s="2583"/>
      <c r="AC1" s="2583"/>
      <c r="AD1" s="2583"/>
      <c r="AE1" s="2583"/>
      <c r="AF1" s="2583"/>
      <c r="AG1" s="2583"/>
      <c r="AH1" s="2583"/>
      <c r="AI1" s="2583"/>
      <c r="AJ1" s="2583"/>
      <c r="AK1" s="2583"/>
      <c r="AL1" s="2583"/>
      <c r="AM1" s="2583"/>
      <c r="AN1" s="2583"/>
    </row>
    <row r="2" spans="1:40" ht="13" customHeight="1" thickBot="1">
      <c r="A2" s="2584"/>
      <c r="B2" s="2584"/>
      <c r="C2" s="2584"/>
      <c r="D2" s="2584"/>
      <c r="E2" s="2584"/>
      <c r="F2" s="2584"/>
      <c r="G2" s="2584"/>
      <c r="H2" s="2584"/>
      <c r="I2" s="2584"/>
      <c r="J2" s="2584"/>
      <c r="K2" s="2584"/>
      <c r="L2" s="2584"/>
      <c r="M2" s="2584"/>
      <c r="N2" s="2584"/>
      <c r="O2" s="2584"/>
      <c r="P2" s="2584"/>
      <c r="Q2" s="2584"/>
      <c r="R2" s="2584"/>
      <c r="S2" s="2584"/>
      <c r="T2" s="2584"/>
      <c r="U2" s="2584"/>
      <c r="V2" s="2584"/>
      <c r="W2" s="2584"/>
      <c r="X2" s="2584"/>
      <c r="Y2" s="2584"/>
      <c r="Z2" s="2584"/>
      <c r="AA2" s="2584"/>
      <c r="AB2" s="2584"/>
      <c r="AC2" s="2584"/>
      <c r="AD2" s="2584"/>
      <c r="AE2" s="2584"/>
      <c r="AF2" s="2584"/>
      <c r="AG2" s="2584"/>
      <c r="AH2" s="2584"/>
      <c r="AI2" s="2584"/>
      <c r="AJ2" s="2584"/>
      <c r="AK2" s="2584"/>
      <c r="AL2" s="2584"/>
      <c r="AM2" s="2584"/>
      <c r="AN2" s="2584"/>
    </row>
    <row r="3" spans="1:40" ht="13" customHeight="1" thickTop="1">
      <c r="A3" s="291" t="str">
        <f>+A1</f>
        <v>V. BASIS AND CREDITS : 4% FEDERAL AND STATE CREDIT</v>
      </c>
      <c r="C3" s="60"/>
      <c r="D3" s="60"/>
      <c r="E3" s="60"/>
      <c r="F3" s="60"/>
      <c r="G3" s="60"/>
      <c r="H3" s="60"/>
      <c r="I3" s="60"/>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row>
    <row r="4" spans="1:40" ht="13" customHeight="1">
      <c r="A4" s="293"/>
    </row>
    <row r="5" spans="1:40" ht="13" customHeight="1">
      <c r="A5" s="293" t="s">
        <v>922</v>
      </c>
      <c r="C5" s="293" t="s">
        <v>269</v>
      </c>
      <c r="F5" s="293"/>
    </row>
    <row r="6" spans="1:40" ht="13" customHeight="1">
      <c r="A6" s="293"/>
      <c r="C6" s="291" t="s">
        <v>2649</v>
      </c>
    </row>
    <row r="7" spans="1:40" ht="13" customHeight="1">
      <c r="B7" s="294"/>
      <c r="C7" s="295"/>
      <c r="D7" s="295"/>
      <c r="E7" s="295"/>
      <c r="F7" s="295"/>
      <c r="G7" s="295"/>
      <c r="H7" s="295"/>
      <c r="I7" s="295"/>
      <c r="J7" s="295"/>
      <c r="K7" s="295"/>
      <c r="L7" s="295"/>
      <c r="M7" s="295"/>
      <c r="N7" s="295"/>
      <c r="O7" s="295"/>
      <c r="P7" s="295"/>
      <c r="Q7" s="295"/>
      <c r="R7" s="295"/>
      <c r="S7" s="295"/>
      <c r="T7" s="2563" t="str">
        <f xml:space="preserve"> IF(T25=100%,'Sources and Basis Breakdown'!G2,'Sources and Basis Breakdown'!F2)</f>
        <v>30% PVC for New Const/
Rehabilitation
DDA/QCT
Building(s)</v>
      </c>
      <c r="U7" s="2563"/>
      <c r="V7" s="2563"/>
      <c r="W7" s="2563"/>
      <c r="X7" s="2563"/>
      <c r="Y7" s="2563" t="str">
        <f>IF(T25=100%,"",'Sources and Basis Breakdown'!G2)</f>
        <v>30% PVC for New Const/
Rehabilitation
NON-DDA/
NON-QCT Building(s)</v>
      </c>
      <c r="Z7" s="2563"/>
      <c r="AA7" s="2563"/>
      <c r="AB7" s="2563"/>
      <c r="AC7" s="2563"/>
      <c r="AD7" s="2563" t="str">
        <f xml:space="preserve"> IF(T25=100%, 'Sources and Basis Breakdown'!J2,'Sources and Basis Breakdown'!I2)</f>
        <v>30% PVC for Acquisition
DDA/QCT Building(s)</v>
      </c>
      <c r="AE7" s="2563"/>
      <c r="AF7" s="2563"/>
      <c r="AG7" s="2563"/>
      <c r="AH7" s="2563"/>
      <c r="AI7" s="2563" t="str">
        <f>IF(T25=100%,"",'Sources and Basis Breakdown'!J2)</f>
        <v>30% PVC for Acquisition
NON-DDA/
NON-QCT Building(s)</v>
      </c>
      <c r="AJ7" s="2563"/>
      <c r="AK7" s="2563"/>
      <c r="AL7" s="2563"/>
      <c r="AM7" s="2563"/>
    </row>
    <row r="8" spans="1:40" ht="13" customHeight="1">
      <c r="B8" s="296"/>
      <c r="T8" s="2563"/>
      <c r="U8" s="2563"/>
      <c r="V8" s="2563"/>
      <c r="W8" s="2563"/>
      <c r="X8" s="2563"/>
      <c r="Y8" s="2563"/>
      <c r="Z8" s="2563"/>
      <c r="AA8" s="2563"/>
      <c r="AB8" s="2563"/>
      <c r="AC8" s="2563"/>
      <c r="AD8" s="2563"/>
      <c r="AE8" s="2563"/>
      <c r="AF8" s="2563"/>
      <c r="AG8" s="2563"/>
      <c r="AH8" s="2563"/>
      <c r="AI8" s="2563"/>
      <c r="AJ8" s="2563"/>
      <c r="AK8" s="2563"/>
      <c r="AL8" s="2563"/>
      <c r="AM8" s="2563"/>
    </row>
    <row r="9" spans="1:40" ht="13" customHeight="1">
      <c r="B9" s="296"/>
      <c r="T9" s="2563"/>
      <c r="U9" s="2563"/>
      <c r="V9" s="2563"/>
      <c r="W9" s="2563"/>
      <c r="X9" s="2563"/>
      <c r="Y9" s="2563"/>
      <c r="Z9" s="2563"/>
      <c r="AA9" s="2563"/>
      <c r="AB9" s="2563"/>
      <c r="AC9" s="2563"/>
      <c r="AD9" s="2563"/>
      <c r="AE9" s="2563"/>
      <c r="AF9" s="2563"/>
      <c r="AG9" s="2563"/>
      <c r="AH9" s="2563"/>
      <c r="AI9" s="2563"/>
      <c r="AJ9" s="2563"/>
      <c r="AK9" s="2563"/>
      <c r="AL9" s="2563"/>
      <c r="AM9" s="2563"/>
    </row>
    <row r="10" spans="1:40" ht="13" customHeight="1">
      <c r="B10" s="297"/>
      <c r="C10" s="298"/>
      <c r="D10" s="298"/>
      <c r="E10" s="298"/>
      <c r="F10" s="298"/>
      <c r="G10" s="298"/>
      <c r="H10" s="298"/>
      <c r="I10" s="298"/>
      <c r="J10" s="298"/>
      <c r="K10" s="298"/>
      <c r="L10" s="298"/>
      <c r="M10" s="298"/>
      <c r="N10" s="298"/>
      <c r="O10" s="298"/>
      <c r="P10" s="298"/>
      <c r="Q10" s="298"/>
      <c r="R10" s="298"/>
      <c r="S10" s="298"/>
      <c r="T10" s="2563"/>
      <c r="U10" s="2563"/>
      <c r="V10" s="2563"/>
      <c r="W10" s="2563"/>
      <c r="X10" s="2563"/>
      <c r="Y10" s="2563"/>
      <c r="Z10" s="2563"/>
      <c r="AA10" s="2563"/>
      <c r="AB10" s="2563"/>
      <c r="AC10" s="2563"/>
      <c r="AD10" s="2563"/>
      <c r="AE10" s="2563"/>
      <c r="AF10" s="2563"/>
      <c r="AG10" s="2563"/>
      <c r="AH10" s="2563"/>
      <c r="AI10" s="2563"/>
      <c r="AJ10" s="2563"/>
      <c r="AK10" s="2563"/>
      <c r="AL10" s="2563"/>
      <c r="AM10" s="2563"/>
    </row>
    <row r="11" spans="1:40" ht="13" customHeight="1">
      <c r="B11" s="2546" t="s">
        <v>1930</v>
      </c>
      <c r="C11" s="2547"/>
      <c r="D11" s="2547"/>
      <c r="E11" s="2547"/>
      <c r="F11" s="2547"/>
      <c r="G11" s="2547"/>
      <c r="H11" s="2547"/>
      <c r="I11" s="2547"/>
      <c r="J11" s="2547"/>
      <c r="K11" s="2547"/>
      <c r="L11" s="2547"/>
      <c r="M11" s="2547"/>
      <c r="N11" s="2547"/>
      <c r="O11" s="2547"/>
      <c r="P11" s="2547"/>
      <c r="Q11" s="2547"/>
      <c r="R11" s="2547"/>
      <c r="S11" s="2548"/>
      <c r="T11" s="2585">
        <f>IF('Sources and Basis Breakdown'!F107=0,'Sources and Basis Breakdown'!E107,'Sources and Basis Breakdown'!F107)</f>
        <v>42599253</v>
      </c>
      <c r="U11" s="2586"/>
      <c r="V11" s="2586"/>
      <c r="W11" s="2586"/>
      <c r="X11" s="2586"/>
      <c r="Y11" s="2585">
        <f>IF(Y7="",0,IF('Sources and Basis Breakdown'!G107+'Sources and Basis Breakdown'!F107='Sources and Basis Breakdown'!E107,'Sources and Basis Breakdown'!G107,0))</f>
        <v>0</v>
      </c>
      <c r="Z11" s="2586"/>
      <c r="AA11" s="2586"/>
      <c r="AB11" s="2586"/>
      <c r="AC11" s="2586"/>
      <c r="AD11" s="2586">
        <f>IF('Sources and Basis Breakdown'!I107=0,'Sources and Basis Breakdown'!H107,'Sources and Basis Breakdown'!I107)</f>
        <v>0</v>
      </c>
      <c r="AE11" s="2586"/>
      <c r="AF11" s="2586"/>
      <c r="AG11" s="2586"/>
      <c r="AH11" s="2586"/>
      <c r="AI11" s="2586">
        <f>IF(Y7="",0,IF('Sources and Basis Breakdown'!I107+'Sources and Basis Breakdown'!J107='Sources and Basis Breakdown'!H107,'Sources and Basis Breakdown'!J107,0))</f>
        <v>0</v>
      </c>
      <c r="AJ11" s="2586"/>
      <c r="AK11" s="2586"/>
      <c r="AL11" s="2586"/>
      <c r="AM11" s="2586"/>
    </row>
    <row r="12" spans="1:40" ht="13" customHeight="1">
      <c r="B12" s="2587" t="s">
        <v>2650</v>
      </c>
      <c r="C12" s="1237"/>
      <c r="D12" s="1237"/>
      <c r="E12" s="1237"/>
      <c r="F12" s="1237"/>
      <c r="G12" s="1237"/>
      <c r="H12" s="1237"/>
      <c r="I12" s="1237"/>
      <c r="J12" s="1237"/>
      <c r="K12" s="1237"/>
      <c r="L12" s="1237"/>
      <c r="M12" s="1237"/>
      <c r="N12" s="1237"/>
      <c r="O12" s="1237"/>
      <c r="P12" s="1237"/>
      <c r="Q12" s="1237"/>
      <c r="R12" s="1237"/>
      <c r="S12" s="2588"/>
      <c r="T12" s="2578"/>
      <c r="U12" s="2579"/>
      <c r="V12" s="2579"/>
      <c r="W12" s="2579"/>
      <c r="X12" s="2580"/>
      <c r="Y12" s="2578"/>
      <c r="Z12" s="2579"/>
      <c r="AA12" s="2579"/>
      <c r="AB12" s="2579"/>
      <c r="AC12" s="2580"/>
      <c r="AD12" s="2578"/>
      <c r="AE12" s="2579"/>
      <c r="AF12" s="2579"/>
      <c r="AG12" s="2579"/>
      <c r="AH12" s="2580"/>
      <c r="AI12" s="2578"/>
      <c r="AJ12" s="2579"/>
      <c r="AK12" s="2579"/>
      <c r="AL12" s="2579"/>
      <c r="AM12" s="2580"/>
    </row>
    <row r="13" spans="1:40" ht="13" customHeight="1">
      <c r="B13" s="323"/>
      <c r="C13" s="2589" t="s">
        <v>2651</v>
      </c>
      <c r="D13" s="2589"/>
      <c r="E13" s="2589"/>
      <c r="F13" s="2589"/>
      <c r="G13" s="2589"/>
      <c r="H13" s="2589"/>
      <c r="I13" s="2589"/>
      <c r="J13" s="2589"/>
      <c r="K13" s="2589"/>
      <c r="L13" s="2589"/>
      <c r="M13" s="2589"/>
      <c r="N13" s="2589"/>
      <c r="O13" s="2589"/>
      <c r="P13" s="2589"/>
      <c r="Q13" s="2589"/>
      <c r="R13" s="2589"/>
      <c r="S13" s="2590"/>
      <c r="T13" s="2581"/>
      <c r="U13" s="2582"/>
      <c r="V13" s="2582"/>
      <c r="W13" s="2582"/>
      <c r="X13" s="2582"/>
      <c r="Y13" s="2581"/>
      <c r="Z13" s="2582"/>
      <c r="AA13" s="2582"/>
      <c r="AB13" s="2582"/>
      <c r="AC13" s="2582"/>
      <c r="AD13" s="2582"/>
      <c r="AE13" s="2582"/>
      <c r="AF13" s="2582"/>
      <c r="AG13" s="2582"/>
      <c r="AH13" s="2582"/>
      <c r="AI13" s="2582"/>
      <c r="AJ13" s="2582"/>
      <c r="AK13" s="2582"/>
      <c r="AL13" s="2582"/>
      <c r="AM13" s="2582"/>
    </row>
    <row r="14" spans="1:40" ht="13" customHeight="1">
      <c r="B14" s="323"/>
      <c r="C14" s="2589" t="s">
        <v>2652</v>
      </c>
      <c r="D14" s="2589"/>
      <c r="E14" s="2589"/>
      <c r="F14" s="2589"/>
      <c r="G14" s="2589"/>
      <c r="H14" s="2589"/>
      <c r="I14" s="2589"/>
      <c r="J14" s="2589"/>
      <c r="K14" s="2589"/>
      <c r="L14" s="2589"/>
      <c r="M14" s="2589"/>
      <c r="N14" s="2589"/>
      <c r="O14" s="2589"/>
      <c r="P14" s="2589"/>
      <c r="Q14" s="2589"/>
      <c r="R14" s="2589"/>
      <c r="S14" s="2590"/>
      <c r="T14" s="2571"/>
      <c r="U14" s="2572"/>
      <c r="V14" s="2572"/>
      <c r="W14" s="2572"/>
      <c r="X14" s="2572"/>
      <c r="Y14" s="2571"/>
      <c r="Z14" s="2572"/>
      <c r="AA14" s="2572"/>
      <c r="AB14" s="2572"/>
      <c r="AC14" s="2572"/>
      <c r="AD14" s="2572"/>
      <c r="AE14" s="2572"/>
      <c r="AF14" s="2572"/>
      <c r="AG14" s="2572"/>
      <c r="AH14" s="2572"/>
      <c r="AI14" s="2572"/>
      <c r="AJ14" s="2572"/>
      <c r="AK14" s="2572"/>
      <c r="AL14" s="2572"/>
      <c r="AM14" s="2572"/>
    </row>
    <row r="15" spans="1:40" ht="13" customHeight="1">
      <c r="B15" s="323"/>
      <c r="C15" s="2589" t="s">
        <v>2653</v>
      </c>
      <c r="D15" s="2589"/>
      <c r="E15" s="2589"/>
      <c r="F15" s="2589"/>
      <c r="G15" s="2589"/>
      <c r="H15" s="2589"/>
      <c r="I15" s="2589"/>
      <c r="J15" s="2589"/>
      <c r="K15" s="2589"/>
      <c r="L15" s="2589"/>
      <c r="M15" s="2589"/>
      <c r="N15" s="2589"/>
      <c r="O15" s="2589"/>
      <c r="P15" s="2589"/>
      <c r="Q15" s="2589"/>
      <c r="R15" s="2589"/>
      <c r="S15" s="2590"/>
      <c r="T15" s="2571"/>
      <c r="U15" s="2572"/>
      <c r="V15" s="2572"/>
      <c r="W15" s="2572"/>
      <c r="X15" s="2572"/>
      <c r="Y15" s="2571"/>
      <c r="Z15" s="2572"/>
      <c r="AA15" s="2572"/>
      <c r="AB15" s="2572"/>
      <c r="AC15" s="2572"/>
      <c r="AD15" s="2572"/>
      <c r="AE15" s="2572"/>
      <c r="AF15" s="2572"/>
      <c r="AG15" s="2572"/>
      <c r="AH15" s="2572"/>
      <c r="AI15" s="2572"/>
      <c r="AJ15" s="2572"/>
      <c r="AK15" s="2572"/>
      <c r="AL15" s="2572"/>
      <c r="AM15" s="2572"/>
    </row>
    <row r="16" spans="1:40" ht="13" customHeight="1">
      <c r="B16" s="323"/>
      <c r="C16" s="2589" t="s">
        <v>2654</v>
      </c>
      <c r="D16" s="2589"/>
      <c r="E16" s="2589"/>
      <c r="F16" s="2589"/>
      <c r="G16" s="2589"/>
      <c r="H16" s="2589"/>
      <c r="I16" s="2589"/>
      <c r="J16" s="2589"/>
      <c r="K16" s="2589"/>
      <c r="L16" s="2589"/>
      <c r="M16" s="2589"/>
      <c r="N16" s="2589"/>
      <c r="O16" s="2589"/>
      <c r="P16" s="2589"/>
      <c r="Q16" s="2589"/>
      <c r="R16" s="2589"/>
      <c r="S16" s="2590"/>
      <c r="T16" s="2571"/>
      <c r="U16" s="2572"/>
      <c r="V16" s="2572"/>
      <c r="W16" s="2572"/>
      <c r="X16" s="2572"/>
      <c r="Y16" s="2571"/>
      <c r="Z16" s="2572"/>
      <c r="AA16" s="2572"/>
      <c r="AB16" s="2572"/>
      <c r="AC16" s="2572"/>
      <c r="AD16" s="2572"/>
      <c r="AE16" s="2572"/>
      <c r="AF16" s="2572"/>
      <c r="AG16" s="2572"/>
      <c r="AH16" s="2572"/>
      <c r="AI16" s="2572"/>
      <c r="AJ16" s="2572"/>
      <c r="AK16" s="2572"/>
      <c r="AL16" s="2572"/>
      <c r="AM16" s="2572"/>
    </row>
    <row r="17" spans="1:40" ht="13" customHeight="1">
      <c r="B17" s="323"/>
      <c r="C17" s="2589" t="s">
        <v>2655</v>
      </c>
      <c r="D17" s="2589"/>
      <c r="E17" s="2589"/>
      <c r="F17" s="2589"/>
      <c r="G17" s="2589"/>
      <c r="H17" s="2589"/>
      <c r="I17" s="2589"/>
      <c r="J17" s="2589"/>
      <c r="K17" s="2589"/>
      <c r="L17" s="2589"/>
      <c r="M17" s="2589"/>
      <c r="N17" s="2589"/>
      <c r="O17" s="2589"/>
      <c r="P17" s="2589"/>
      <c r="Q17" s="2589"/>
      <c r="R17" s="2589"/>
      <c r="S17" s="2590"/>
      <c r="T17" s="2571"/>
      <c r="U17" s="2572"/>
      <c r="V17" s="2572"/>
      <c r="W17" s="2572"/>
      <c r="X17" s="2572"/>
      <c r="Y17" s="2571"/>
      <c r="Z17" s="2572"/>
      <c r="AA17" s="2572"/>
      <c r="AB17" s="2572"/>
      <c r="AC17" s="2572"/>
      <c r="AD17" s="2572"/>
      <c r="AE17" s="2572"/>
      <c r="AF17" s="2572"/>
      <c r="AG17" s="2572"/>
      <c r="AH17" s="2572"/>
      <c r="AI17" s="2572"/>
      <c r="AJ17" s="2572"/>
      <c r="AK17" s="2572"/>
      <c r="AL17" s="2572"/>
      <c r="AM17" s="2572"/>
    </row>
    <row r="18" spans="1:40" ht="13" customHeight="1">
      <c r="A18"/>
      <c r="B18" s="962"/>
      <c r="C18" s="1605" t="s">
        <v>2656</v>
      </c>
      <c r="D18" s="1605"/>
      <c r="E18" s="1605"/>
      <c r="F18" s="1605"/>
      <c r="G18" s="1605"/>
      <c r="H18" s="1605"/>
      <c r="I18" s="1605"/>
      <c r="J18" s="1605"/>
      <c r="K18" s="1605"/>
      <c r="L18" s="1605"/>
      <c r="M18" s="1605"/>
      <c r="N18" s="1605"/>
      <c r="O18" s="1605"/>
      <c r="P18" s="1605"/>
      <c r="Q18" s="1605"/>
      <c r="R18" s="1605"/>
      <c r="S18" s="1606"/>
      <c r="T18" s="2571"/>
      <c r="U18" s="2572"/>
      <c r="V18" s="2572"/>
      <c r="W18" s="2572"/>
      <c r="X18" s="2572"/>
      <c r="Y18" s="2571"/>
      <c r="Z18" s="2572"/>
      <c r="AA18" s="2572"/>
      <c r="AB18" s="2572"/>
      <c r="AC18" s="2572"/>
      <c r="AD18" s="2572"/>
      <c r="AE18" s="2572"/>
      <c r="AF18" s="2572"/>
      <c r="AG18" s="2572"/>
      <c r="AH18" s="2572"/>
      <c r="AI18" s="2572"/>
      <c r="AJ18" s="2572"/>
      <c r="AK18" s="2572"/>
      <c r="AL18" s="2572"/>
      <c r="AM18" s="2572"/>
    </row>
    <row r="19" spans="1:40" ht="13" customHeight="1">
      <c r="B19" s="962"/>
      <c r="C19" s="1605" t="s">
        <v>2656</v>
      </c>
      <c r="D19" s="1605"/>
      <c r="E19" s="1605"/>
      <c r="F19" s="1605"/>
      <c r="G19" s="1605"/>
      <c r="H19" s="1605"/>
      <c r="I19" s="1605"/>
      <c r="J19" s="1605"/>
      <c r="K19" s="1605"/>
      <c r="L19" s="1605"/>
      <c r="M19" s="1605"/>
      <c r="N19" s="1605"/>
      <c r="O19" s="1605"/>
      <c r="P19" s="1605"/>
      <c r="Q19" s="1605"/>
      <c r="R19" s="1605"/>
      <c r="S19" s="1606"/>
      <c r="T19" s="2571"/>
      <c r="U19" s="2572"/>
      <c r="V19" s="2572"/>
      <c r="W19" s="2572"/>
      <c r="X19" s="2572"/>
      <c r="Y19" s="2571"/>
      <c r="Z19" s="2572"/>
      <c r="AA19" s="2572"/>
      <c r="AB19" s="2572"/>
      <c r="AC19" s="2572"/>
      <c r="AD19" s="2572"/>
      <c r="AE19" s="2572"/>
      <c r="AF19" s="2572"/>
      <c r="AG19" s="2572"/>
      <c r="AH19" s="2572"/>
      <c r="AI19" s="2572"/>
      <c r="AJ19" s="2572"/>
      <c r="AK19" s="2572"/>
      <c r="AL19" s="2572"/>
      <c r="AM19" s="2572"/>
    </row>
    <row r="20" spans="1:40" ht="13" customHeight="1">
      <c r="B20" s="2546" t="s">
        <v>2657</v>
      </c>
      <c r="C20" s="2547"/>
      <c r="D20" s="2547"/>
      <c r="E20" s="2547"/>
      <c r="F20" s="2547"/>
      <c r="G20" s="2547"/>
      <c r="H20" s="2547"/>
      <c r="I20" s="2547"/>
      <c r="J20" s="2547"/>
      <c r="K20" s="2547"/>
      <c r="L20" s="2547"/>
      <c r="M20" s="2547"/>
      <c r="N20" s="2547"/>
      <c r="O20" s="2547"/>
      <c r="P20" s="2547"/>
      <c r="Q20" s="2547"/>
      <c r="R20" s="2547"/>
      <c r="S20" s="2548"/>
      <c r="T20" s="2562">
        <f>SUM(T13:X19)</f>
        <v>0</v>
      </c>
      <c r="U20" s="2540"/>
      <c r="V20" s="2540"/>
      <c r="W20" s="2540"/>
      <c r="X20" s="2540"/>
      <c r="Y20" s="2562">
        <f>SUM(Y13:AC19)</f>
        <v>0</v>
      </c>
      <c r="Z20" s="2540"/>
      <c r="AA20" s="2540"/>
      <c r="AB20" s="2540"/>
      <c r="AC20" s="2540"/>
      <c r="AD20" s="2550">
        <f>SUM(AD13:AH19)</f>
        <v>0</v>
      </c>
      <c r="AE20" s="2561"/>
      <c r="AF20" s="2561"/>
      <c r="AG20" s="2561"/>
      <c r="AH20" s="2562"/>
      <c r="AI20" s="2550">
        <f>SUM(AI13:AM19)</f>
        <v>0</v>
      </c>
      <c r="AJ20" s="2561"/>
      <c r="AK20" s="2561"/>
      <c r="AL20" s="2561"/>
      <c r="AM20" s="2562"/>
    </row>
    <row r="21" spans="1:40" ht="13" customHeight="1">
      <c r="B21" s="2546" t="s">
        <v>2658</v>
      </c>
      <c r="C21" s="2547"/>
      <c r="D21" s="2547"/>
      <c r="E21" s="2547"/>
      <c r="F21" s="2547"/>
      <c r="G21" s="2547"/>
      <c r="H21" s="2547"/>
      <c r="I21" s="2547"/>
      <c r="J21" s="2547"/>
      <c r="K21" s="2547"/>
      <c r="L21" s="2547"/>
      <c r="M21" s="2547"/>
      <c r="N21" s="2547"/>
      <c r="O21" s="2547"/>
      <c r="P21" s="2547"/>
      <c r="Q21" s="2547"/>
      <c r="R21" s="2547"/>
      <c r="S21" s="2548"/>
      <c r="T21" s="2571"/>
      <c r="U21" s="2572"/>
      <c r="V21" s="2572"/>
      <c r="W21" s="2572"/>
      <c r="X21" s="2572"/>
      <c r="Y21" s="2571"/>
      <c r="Z21" s="2572"/>
      <c r="AA21" s="2572"/>
      <c r="AB21" s="2572"/>
      <c r="AC21" s="2572"/>
      <c r="AD21" s="2578"/>
      <c r="AE21" s="2579"/>
      <c r="AF21" s="2579"/>
      <c r="AG21" s="2579"/>
      <c r="AH21" s="2580"/>
      <c r="AI21" s="2578"/>
      <c r="AJ21" s="2579"/>
      <c r="AK21" s="2579"/>
      <c r="AL21" s="2579"/>
      <c r="AM21" s="2580"/>
    </row>
    <row r="22" spans="1:40" ht="13" customHeight="1">
      <c r="B22" s="2546" t="s">
        <v>2659</v>
      </c>
      <c r="C22" s="2547"/>
      <c r="D22" s="2547"/>
      <c r="E22" s="2547"/>
      <c r="F22" s="2547"/>
      <c r="G22" s="2547"/>
      <c r="H22" s="2547"/>
      <c r="I22" s="2547"/>
      <c r="J22" s="2547"/>
      <c r="K22" s="2547"/>
      <c r="L22" s="2547"/>
      <c r="M22" s="2547"/>
      <c r="N22" s="2547"/>
      <c r="O22" s="2547"/>
      <c r="P22" s="2547"/>
      <c r="Q22" s="2547"/>
      <c r="R22" s="2547"/>
      <c r="S22" s="2548"/>
      <c r="T22" s="2567">
        <f>(ABS(T20)+ABS(T21))*-1</f>
        <v>0</v>
      </c>
      <c r="U22" s="2568"/>
      <c r="V22" s="2568"/>
      <c r="W22" s="2568"/>
      <c r="X22" s="2568"/>
      <c r="Y22" s="2567">
        <f>(Y20+Y21)*-1</f>
        <v>0</v>
      </c>
      <c r="Z22" s="2568"/>
      <c r="AA22" s="2568"/>
      <c r="AB22" s="2568"/>
      <c r="AC22" s="2568"/>
      <c r="AD22" s="2569">
        <f>(AD20)*-1</f>
        <v>0</v>
      </c>
      <c r="AE22" s="2570"/>
      <c r="AF22" s="2570"/>
      <c r="AG22" s="2570"/>
      <c r="AH22" s="2567"/>
      <c r="AI22" s="2569">
        <f>(AI20)*-1</f>
        <v>0</v>
      </c>
      <c r="AJ22" s="2570"/>
      <c r="AK22" s="2570"/>
      <c r="AL22" s="2570"/>
      <c r="AM22" s="2567"/>
    </row>
    <row r="23" spans="1:40" ht="13" customHeight="1">
      <c r="B23" s="2546" t="s">
        <v>2660</v>
      </c>
      <c r="C23" s="2547"/>
      <c r="D23" s="2547"/>
      <c r="E23" s="2547"/>
      <c r="F23" s="2547"/>
      <c r="G23" s="2547"/>
      <c r="H23" s="2547"/>
      <c r="I23" s="2547"/>
      <c r="J23" s="2547"/>
      <c r="K23" s="2547"/>
      <c r="L23" s="2547"/>
      <c r="M23" s="2547"/>
      <c r="N23" s="2547"/>
      <c r="O23" s="2547"/>
      <c r="P23" s="2547"/>
      <c r="Q23" s="2547"/>
      <c r="R23" s="2547"/>
      <c r="S23" s="2548"/>
      <c r="T23" s="2562">
        <f>T11+T22</f>
        <v>42599253</v>
      </c>
      <c r="U23" s="2540"/>
      <c r="V23" s="2540"/>
      <c r="W23" s="2540"/>
      <c r="X23" s="2540"/>
      <c r="Y23" s="2562">
        <f>Y11+Y22</f>
        <v>0</v>
      </c>
      <c r="Z23" s="2540"/>
      <c r="AA23" s="2540"/>
      <c r="AB23" s="2540"/>
      <c r="AC23" s="2540"/>
      <c r="AD23" s="2562">
        <f>AD11+AD22</f>
        <v>0</v>
      </c>
      <c r="AE23" s="2540"/>
      <c r="AF23" s="2540"/>
      <c r="AG23" s="2540"/>
      <c r="AH23" s="2540"/>
      <c r="AI23" s="2562">
        <f>AI11+AI22</f>
        <v>0</v>
      </c>
      <c r="AJ23" s="2540"/>
      <c r="AK23" s="2540"/>
      <c r="AL23" s="2540"/>
      <c r="AM23" s="2540"/>
    </row>
    <row r="24" spans="1:40" ht="13" customHeight="1">
      <c r="B24" s="2546" t="s">
        <v>2661</v>
      </c>
      <c r="C24" s="2547"/>
      <c r="D24" s="2547"/>
      <c r="E24" s="2547"/>
      <c r="F24" s="2547"/>
      <c r="G24" s="2547"/>
      <c r="H24" s="2547"/>
      <c r="I24" s="2547"/>
      <c r="J24" s="2547"/>
      <c r="K24" s="2547"/>
      <c r="L24" s="2547"/>
      <c r="M24" s="2547"/>
      <c r="N24" s="2547"/>
      <c r="O24" s="2547"/>
      <c r="P24" s="2547"/>
      <c r="Q24" s="2547"/>
      <c r="R24" s="2547"/>
      <c r="S24" s="2548"/>
      <c r="T24" s="2550">
        <f>Application!AJ1052</f>
        <v>63894902.32</v>
      </c>
      <c r="U24" s="2561"/>
      <c r="V24" s="2561"/>
      <c r="W24" s="2561"/>
      <c r="X24" s="2561"/>
      <c r="Y24" s="2561"/>
      <c r="Z24" s="2561"/>
      <c r="AA24" s="2561"/>
      <c r="AB24" s="2561"/>
      <c r="AC24" s="2561"/>
      <c r="AD24" s="2561"/>
      <c r="AE24" s="2561"/>
      <c r="AF24" s="2561"/>
      <c r="AG24" s="2561"/>
      <c r="AH24" s="2561"/>
      <c r="AI24" s="2561"/>
      <c r="AJ24" s="2561"/>
      <c r="AK24" s="2561"/>
      <c r="AL24" s="2561"/>
      <c r="AM24" s="2562"/>
    </row>
    <row r="25" spans="1:40" ht="13" customHeight="1">
      <c r="B25" s="2593" t="s">
        <v>2662</v>
      </c>
      <c r="C25" s="2594"/>
      <c r="D25" s="2594"/>
      <c r="E25" s="2594"/>
      <c r="F25" s="2594"/>
      <c r="G25" s="2594"/>
      <c r="H25" s="2594"/>
      <c r="I25" s="2594"/>
      <c r="J25" s="2594"/>
      <c r="K25" s="2594"/>
      <c r="L25" s="2594"/>
      <c r="M25" s="2594"/>
      <c r="N25" s="2594"/>
      <c r="O25" s="2594"/>
      <c r="P25" s="2594"/>
      <c r="Q25" s="2594"/>
      <c r="R25" s="2594"/>
      <c r="S25" s="2595"/>
      <c r="T25" s="2575">
        <f>IF(OR(Application!T196="yes",Application!T195="yes"),1.3,1)</f>
        <v>1.3</v>
      </c>
      <c r="U25" s="2576"/>
      <c r="V25" s="2576"/>
      <c r="W25" s="2576"/>
      <c r="X25" s="2576"/>
      <c r="Y25" s="2575">
        <v>1</v>
      </c>
      <c r="Z25" s="2576"/>
      <c r="AA25" s="2576"/>
      <c r="AB25" s="2576"/>
      <c r="AC25" s="2576"/>
      <c r="AD25" s="2575">
        <v>1</v>
      </c>
      <c r="AE25" s="2576"/>
      <c r="AF25" s="2576"/>
      <c r="AG25" s="2576"/>
      <c r="AH25" s="2577"/>
      <c r="AI25" s="2575">
        <v>1</v>
      </c>
      <c r="AJ25" s="2576"/>
      <c r="AK25" s="2576"/>
      <c r="AL25" s="2576"/>
      <c r="AM25" s="2577"/>
    </row>
    <row r="26" spans="1:40" ht="13" customHeight="1">
      <c r="B26" s="2546" t="s">
        <v>2663</v>
      </c>
      <c r="C26" s="2547"/>
      <c r="D26" s="2547"/>
      <c r="E26" s="2547"/>
      <c r="F26" s="2547"/>
      <c r="G26" s="2547"/>
      <c r="H26" s="2547"/>
      <c r="I26" s="2547"/>
      <c r="J26" s="2547"/>
      <c r="K26" s="2547"/>
      <c r="L26" s="2547"/>
      <c r="M26" s="2547"/>
      <c r="N26" s="2547"/>
      <c r="O26" s="2547"/>
      <c r="P26" s="2547"/>
      <c r="Q26" s="2547"/>
      <c r="R26" s="2547"/>
      <c r="S26" s="2548"/>
      <c r="T26" s="2562">
        <f>T23*T25</f>
        <v>55379028.899999999</v>
      </c>
      <c r="U26" s="2540"/>
      <c r="V26" s="2540"/>
      <c r="W26" s="2540"/>
      <c r="X26" s="2540"/>
      <c r="Y26" s="2562">
        <f>Y23*Y25</f>
        <v>0</v>
      </c>
      <c r="Z26" s="2540"/>
      <c r="AA26" s="2540"/>
      <c r="AB26" s="2540"/>
      <c r="AC26" s="2540"/>
      <c r="AD26" s="2562">
        <f>AD23*AD25</f>
        <v>0</v>
      </c>
      <c r="AE26" s="2540"/>
      <c r="AF26" s="2540"/>
      <c r="AG26" s="2540"/>
      <c r="AH26" s="2540"/>
      <c r="AI26" s="2562">
        <f>AI23*AI25</f>
        <v>0</v>
      </c>
      <c r="AJ26" s="2540"/>
      <c r="AK26" s="2540"/>
      <c r="AL26" s="2540"/>
      <c r="AM26" s="2540"/>
    </row>
    <row r="27" spans="1:40" ht="13" customHeight="1">
      <c r="A27" s="299"/>
      <c r="B27" s="2596" t="s">
        <v>2664</v>
      </c>
      <c r="C27" s="2597"/>
      <c r="D27" s="2597"/>
      <c r="E27" s="2597"/>
      <c r="F27" s="2597"/>
      <c r="G27" s="2597"/>
      <c r="H27" s="2597"/>
      <c r="I27" s="2597"/>
      <c r="J27" s="2597"/>
      <c r="K27" s="2597"/>
      <c r="L27" s="2597"/>
      <c r="M27" s="2597"/>
      <c r="N27" s="2597"/>
      <c r="O27" s="2597"/>
      <c r="P27" s="2597"/>
      <c r="Q27" s="2597"/>
      <c r="R27" s="2597"/>
      <c r="S27" s="2598"/>
      <c r="T27" s="2573">
        <f>Application!$AG$445</f>
        <v>1</v>
      </c>
      <c r="U27" s="2574"/>
      <c r="V27" s="2574"/>
      <c r="W27" s="2574"/>
      <c r="X27" s="2574"/>
      <c r="Y27" s="2573">
        <f>Application!$AG$445</f>
        <v>1</v>
      </c>
      <c r="Z27" s="2574"/>
      <c r="AA27" s="2574"/>
      <c r="AB27" s="2574"/>
      <c r="AC27" s="2574"/>
      <c r="AD27" s="2573">
        <f>Application!$AG$445</f>
        <v>1</v>
      </c>
      <c r="AE27" s="2574"/>
      <c r="AF27" s="2574"/>
      <c r="AG27" s="2574"/>
      <c r="AH27" s="2574"/>
      <c r="AI27" s="2573">
        <f>Application!$AG$445</f>
        <v>1</v>
      </c>
      <c r="AJ27" s="2574"/>
      <c r="AK27" s="2574"/>
      <c r="AL27" s="2574"/>
      <c r="AM27" s="2574"/>
    </row>
    <row r="28" spans="1:40" ht="13" customHeight="1">
      <c r="A28" s="293"/>
      <c r="B28" s="2546" t="s">
        <v>2665</v>
      </c>
      <c r="C28" s="2547"/>
      <c r="D28" s="2547"/>
      <c r="E28" s="2547"/>
      <c r="F28" s="2547"/>
      <c r="G28" s="2547"/>
      <c r="H28" s="2547"/>
      <c r="I28" s="2547"/>
      <c r="J28" s="2547"/>
      <c r="K28" s="2547"/>
      <c r="L28" s="2547"/>
      <c r="M28" s="2547"/>
      <c r="N28" s="2547"/>
      <c r="O28" s="2547"/>
      <c r="P28" s="2547"/>
      <c r="Q28" s="2547"/>
      <c r="R28" s="2547"/>
      <c r="S28" s="2548"/>
      <c r="T28" s="2562">
        <f>IF(ISERROR((T26*T27)),0,(T26*T27))</f>
        <v>55379028.899999999</v>
      </c>
      <c r="U28" s="2540"/>
      <c r="V28" s="2540"/>
      <c r="W28" s="2540"/>
      <c r="X28" s="2540"/>
      <c r="Y28" s="2562">
        <f>IF(ISERROR((Y26*Y27)),0,(Y26*Y27))</f>
        <v>0</v>
      </c>
      <c r="Z28" s="2540"/>
      <c r="AA28" s="2540"/>
      <c r="AB28" s="2540"/>
      <c r="AC28" s="2540"/>
      <c r="AD28" s="2562">
        <f>IF(ISERROR((AD26*AD27)),0,(AD26*AD27))</f>
        <v>0</v>
      </c>
      <c r="AE28" s="2540"/>
      <c r="AF28" s="2540"/>
      <c r="AG28" s="2540"/>
      <c r="AH28" s="2540"/>
      <c r="AI28" s="2562">
        <f>IF(ISERROR((AI26*AI27)),0,(AI26*AI27))</f>
        <v>0</v>
      </c>
      <c r="AJ28" s="2540"/>
      <c r="AK28" s="2540"/>
      <c r="AL28" s="2540"/>
      <c r="AM28" s="2540"/>
    </row>
    <row r="29" spans="1:40" ht="13" customHeight="1">
      <c r="B29" s="2546" t="s">
        <v>2666</v>
      </c>
      <c r="C29" s="2547"/>
      <c r="D29" s="2547"/>
      <c r="E29" s="2547"/>
      <c r="F29" s="2547"/>
      <c r="G29" s="2547"/>
      <c r="H29" s="2547"/>
      <c r="I29" s="2547"/>
      <c r="J29" s="2547"/>
      <c r="K29" s="2547"/>
      <c r="L29" s="2547"/>
      <c r="M29" s="2547"/>
      <c r="N29" s="2547"/>
      <c r="O29" s="2547"/>
      <c r="P29" s="2547"/>
      <c r="Q29" s="2547"/>
      <c r="R29" s="2547"/>
      <c r="S29" s="2548"/>
      <c r="T29" s="2550">
        <f>T28+Y28+AD28+AI28</f>
        <v>55379028.899999999</v>
      </c>
      <c r="U29" s="2561"/>
      <c r="V29" s="2561"/>
      <c r="W29" s="2561"/>
      <c r="X29" s="2561"/>
      <c r="Y29" s="2561"/>
      <c r="Z29" s="2561"/>
      <c r="AA29" s="2561"/>
      <c r="AB29" s="2561"/>
      <c r="AC29" s="2561"/>
      <c r="AD29" s="2561"/>
      <c r="AE29" s="2561"/>
      <c r="AF29" s="2561"/>
      <c r="AG29" s="2561"/>
      <c r="AH29" s="2561"/>
      <c r="AI29" s="2561"/>
      <c r="AJ29" s="2561"/>
      <c r="AK29" s="2561"/>
      <c r="AL29" s="2561"/>
      <c r="AM29" s="2562"/>
    </row>
    <row r="30" spans="1:40" ht="13" customHeight="1">
      <c r="B30" s="2566" t="s">
        <v>2667</v>
      </c>
      <c r="C30" s="2566"/>
      <c r="D30" s="2566"/>
      <c r="E30" s="2566"/>
      <c r="F30" s="2566"/>
      <c r="G30" s="2566"/>
      <c r="H30" s="2566"/>
      <c r="I30" s="2566"/>
      <c r="J30" s="2566"/>
      <c r="K30" s="2566"/>
      <c r="L30" s="2566"/>
      <c r="M30" s="2566"/>
      <c r="N30" s="2566"/>
      <c r="O30" s="2566"/>
      <c r="P30" s="2566"/>
      <c r="Q30" s="2566"/>
      <c r="R30" s="2566"/>
      <c r="S30" s="2566"/>
      <c r="T30" s="2566"/>
      <c r="U30" s="2566"/>
      <c r="V30" s="2566"/>
      <c r="W30" s="2566"/>
      <c r="X30" s="2566"/>
      <c r="Y30" s="2566"/>
      <c r="Z30" s="2566"/>
      <c r="AA30" s="2566"/>
      <c r="AB30" s="2566"/>
      <c r="AC30" s="2566"/>
      <c r="AD30" s="2566"/>
      <c r="AE30" s="2566"/>
      <c r="AF30" s="2566"/>
      <c r="AG30" s="2566"/>
      <c r="AH30" s="2566"/>
      <c r="AI30" s="2566"/>
      <c r="AJ30" s="2566"/>
      <c r="AK30" s="2566"/>
      <c r="AL30" s="2566"/>
      <c r="AM30" s="2566"/>
    </row>
    <row r="31" spans="1:40" ht="13" customHeight="1">
      <c r="B31" s="2566" t="s">
        <v>2668</v>
      </c>
      <c r="C31" s="2566"/>
      <c r="D31" s="2566"/>
      <c r="E31" s="2566"/>
      <c r="F31" s="2566"/>
      <c r="G31" s="2566"/>
      <c r="H31" s="2566"/>
      <c r="I31" s="2566"/>
      <c r="J31" s="2566"/>
      <c r="K31" s="2566"/>
      <c r="L31" s="2566"/>
      <c r="M31" s="2566"/>
      <c r="N31" s="2566"/>
      <c r="O31" s="2566"/>
      <c r="P31" s="2566"/>
      <c r="Q31" s="2566"/>
      <c r="R31" s="2566"/>
      <c r="S31" s="2566"/>
      <c r="T31" s="2566"/>
      <c r="U31" s="2566"/>
      <c r="V31" s="2566"/>
      <c r="W31" s="2566"/>
      <c r="X31" s="2566"/>
      <c r="Y31" s="2566"/>
      <c r="Z31" s="2566"/>
      <c r="AA31" s="2566"/>
      <c r="AB31" s="2566"/>
      <c r="AC31" s="2566"/>
      <c r="AD31" s="2566"/>
      <c r="AE31" s="2566"/>
      <c r="AF31" s="2566"/>
      <c r="AG31" s="2566"/>
      <c r="AH31" s="2566"/>
      <c r="AI31" s="2566"/>
      <c r="AJ31" s="2566"/>
      <c r="AK31" s="2566"/>
      <c r="AL31" s="2566"/>
      <c r="AM31" s="2566"/>
      <c r="AN31" s="389"/>
    </row>
    <row r="32" spans="1:40" ht="13" customHeight="1">
      <c r="B32" s="1219"/>
      <c r="C32" s="382" t="s">
        <v>2669</v>
      </c>
      <c r="D32" s="1219"/>
      <c r="E32" s="1219"/>
      <c r="F32" s="1219"/>
      <c r="G32" s="1219"/>
      <c r="H32" s="1219"/>
      <c r="I32" s="1219"/>
      <c r="J32" s="1219"/>
      <c r="K32" s="1219"/>
      <c r="L32" s="1219"/>
      <c r="M32" s="1219"/>
      <c r="N32" s="1219"/>
      <c r="O32" s="1219"/>
      <c r="P32" s="1219"/>
      <c r="Q32" s="1219"/>
      <c r="R32" s="1219"/>
      <c r="S32" s="1219"/>
      <c r="T32" s="1219"/>
      <c r="U32" s="1219"/>
      <c r="V32" s="1219"/>
      <c r="W32" s="1219"/>
      <c r="X32" s="1219"/>
      <c r="Y32" s="1219"/>
      <c r="Z32" s="1219"/>
      <c r="AA32" s="1219"/>
      <c r="AB32" s="1219"/>
      <c r="AC32" s="1219"/>
      <c r="AD32" s="1219"/>
      <c r="AE32" s="1219"/>
      <c r="AF32" s="1219"/>
      <c r="AG32" s="1219"/>
      <c r="AH32" s="1219"/>
      <c r="AI32" s="1219"/>
      <c r="AJ32" s="1219"/>
      <c r="AK32" s="1219"/>
      <c r="AL32" s="1219"/>
      <c r="AM32" s="1219"/>
    </row>
    <row r="34" spans="1:76" ht="13" customHeight="1">
      <c r="A34" s="293" t="s">
        <v>963</v>
      </c>
      <c r="C34" s="293" t="s">
        <v>278</v>
      </c>
    </row>
    <row r="35" spans="1:76" ht="13" customHeight="1">
      <c r="B35" s="294"/>
      <c r="C35" s="295"/>
      <c r="D35" s="295"/>
      <c r="E35" s="295"/>
      <c r="F35" s="295"/>
      <c r="G35" s="295"/>
      <c r="H35" s="295"/>
      <c r="I35" s="295"/>
      <c r="J35" s="295"/>
      <c r="K35" s="295"/>
      <c r="L35" s="295"/>
      <c r="M35" s="295"/>
      <c r="N35" s="295"/>
      <c r="O35" s="295"/>
      <c r="P35" s="295"/>
      <c r="Q35" s="295"/>
      <c r="R35" s="295"/>
      <c r="S35" s="295"/>
      <c r="T35" s="295"/>
      <c r="U35" s="295"/>
      <c r="V35" s="295"/>
      <c r="W35" s="295"/>
      <c r="X35" s="300"/>
      <c r="Y35" s="2563" t="s">
        <v>2670</v>
      </c>
      <c r="Z35" s="2563"/>
      <c r="AA35" s="2563"/>
      <c r="AB35" s="2563"/>
      <c r="AC35" s="2563"/>
      <c r="AD35" s="2564" t="s">
        <v>2671</v>
      </c>
      <c r="AE35" s="2564"/>
      <c r="AF35" s="2564"/>
      <c r="AG35" s="2564"/>
      <c r="AH35" s="2564"/>
    </row>
    <row r="36" spans="1:76" ht="13" customHeight="1">
      <c r="B36" s="296"/>
      <c r="X36" s="301"/>
      <c r="Y36" s="2563"/>
      <c r="Z36" s="2563"/>
      <c r="AA36" s="2563"/>
      <c r="AB36" s="2563"/>
      <c r="AC36" s="2563"/>
      <c r="AD36" s="2564"/>
      <c r="AE36" s="2564"/>
      <c r="AF36" s="2564"/>
      <c r="AG36" s="2564"/>
      <c r="AH36" s="2564"/>
    </row>
    <row r="37" spans="1:76" ht="13" customHeight="1">
      <c r="B37" s="297"/>
      <c r="C37" s="298"/>
      <c r="D37" s="298"/>
      <c r="E37" s="298"/>
      <c r="F37" s="298"/>
      <c r="G37" s="298"/>
      <c r="H37" s="298"/>
      <c r="I37" s="298"/>
      <c r="J37" s="298"/>
      <c r="K37" s="298"/>
      <c r="L37" s="298"/>
      <c r="M37" s="298"/>
      <c r="N37" s="298"/>
      <c r="O37" s="298"/>
      <c r="P37" s="298"/>
      <c r="Q37" s="298"/>
      <c r="R37" s="298"/>
      <c r="S37" s="298"/>
      <c r="T37" s="298"/>
      <c r="U37" s="298"/>
      <c r="V37" s="298"/>
      <c r="W37" s="298"/>
      <c r="X37" s="302"/>
      <c r="Y37" s="2563"/>
      <c r="Z37" s="2563"/>
      <c r="AA37" s="2563"/>
      <c r="AB37" s="2563"/>
      <c r="AC37" s="2563"/>
      <c r="AD37" s="2564"/>
      <c r="AE37" s="2564"/>
      <c r="AF37" s="2564"/>
      <c r="AG37" s="2564"/>
      <c r="AH37" s="2564"/>
    </row>
    <row r="38" spans="1:76" ht="13" customHeight="1">
      <c r="A38" s="293"/>
      <c r="B38" s="2546" t="s">
        <v>2665</v>
      </c>
      <c r="C38" s="2547"/>
      <c r="D38" s="2547"/>
      <c r="E38" s="2547"/>
      <c r="F38" s="2547"/>
      <c r="G38" s="2547"/>
      <c r="H38" s="2547"/>
      <c r="I38" s="2547"/>
      <c r="J38" s="2547"/>
      <c r="K38" s="2547"/>
      <c r="L38" s="2547"/>
      <c r="M38" s="2547"/>
      <c r="N38" s="2547"/>
      <c r="O38" s="2547"/>
      <c r="P38" s="2547"/>
      <c r="Q38" s="2547"/>
      <c r="R38" s="2547"/>
      <c r="S38" s="2547"/>
      <c r="T38" s="2547"/>
      <c r="U38" s="2547"/>
      <c r="V38" s="2547"/>
      <c r="W38" s="2547"/>
      <c r="X38" s="2548"/>
      <c r="Y38" s="2540">
        <f>IF(T24&gt;=(T23+Y23+AD23+AI23),T28+Y28,0)</f>
        <v>55379028.899999999</v>
      </c>
      <c r="Z38" s="2540"/>
      <c r="AA38" s="2540"/>
      <c r="AB38" s="2540"/>
      <c r="AC38" s="2540"/>
      <c r="AD38" s="2540">
        <f>IF(T24&gt;=(T23+Y23+AD23+AI23),AD28+AI28,0)</f>
        <v>0</v>
      </c>
      <c r="AE38" s="2540"/>
      <c r="AF38" s="2540"/>
      <c r="AG38" s="2540"/>
      <c r="AH38" s="2540"/>
    </row>
    <row r="39" spans="1:76" ht="13" customHeight="1">
      <c r="B39" s="2546" t="s">
        <v>2672</v>
      </c>
      <c r="C39" s="2547"/>
      <c r="D39" s="2547"/>
      <c r="E39" s="2547"/>
      <c r="F39" s="2547"/>
      <c r="G39" s="2547"/>
      <c r="H39" s="2547"/>
      <c r="I39" s="2547"/>
      <c r="J39" s="2547"/>
      <c r="K39" s="2547"/>
      <c r="L39" s="2547"/>
      <c r="M39" s="2547"/>
      <c r="N39" s="2547"/>
      <c r="O39" s="2547"/>
      <c r="P39" s="2547"/>
      <c r="Q39" s="2547"/>
      <c r="R39" s="2547"/>
      <c r="S39" s="2547"/>
      <c r="T39" s="2547"/>
      <c r="U39" s="2547"/>
      <c r="V39" s="2547"/>
      <c r="W39" s="2547"/>
      <c r="X39" s="2548"/>
      <c r="Y39" s="2565">
        <v>0.04</v>
      </c>
      <c r="Z39" s="2565"/>
      <c r="AA39" s="2565"/>
      <c r="AB39" s="2565"/>
      <c r="AC39" s="2565"/>
      <c r="AD39" s="2565">
        <v>0.04</v>
      </c>
      <c r="AE39" s="2565"/>
      <c r="AF39" s="2565"/>
      <c r="AG39" s="2565"/>
      <c r="AH39" s="2565"/>
    </row>
    <row r="40" spans="1:76" ht="13" customHeight="1">
      <c r="A40" s="293"/>
      <c r="B40" s="2546" t="s">
        <v>2673</v>
      </c>
      <c r="C40" s="2547"/>
      <c r="D40" s="2547"/>
      <c r="E40" s="2547"/>
      <c r="F40" s="2547"/>
      <c r="G40" s="2547"/>
      <c r="H40" s="2547"/>
      <c r="I40" s="2547"/>
      <c r="J40" s="2547"/>
      <c r="K40" s="2547"/>
      <c r="L40" s="2547"/>
      <c r="M40" s="2547"/>
      <c r="N40" s="2547"/>
      <c r="O40" s="2547"/>
      <c r="P40" s="2547"/>
      <c r="Q40" s="2547"/>
      <c r="R40" s="2547"/>
      <c r="S40" s="2547"/>
      <c r="T40" s="2547"/>
      <c r="U40" s="2547"/>
      <c r="V40" s="2547"/>
      <c r="W40" s="2547"/>
      <c r="X40" s="2548"/>
      <c r="Y40" s="2540">
        <f>ROUND(Y38*Y39,0)</f>
        <v>2215161</v>
      </c>
      <c r="Z40" s="2540"/>
      <c r="AA40" s="2540"/>
      <c r="AB40" s="2540"/>
      <c r="AC40" s="2540"/>
      <c r="AD40" s="2562">
        <f>ROUND(AD38*AD39,0)</f>
        <v>0</v>
      </c>
      <c r="AE40" s="2540"/>
      <c r="AF40" s="2540"/>
      <c r="AG40" s="2540"/>
      <c r="AH40" s="2540"/>
    </row>
    <row r="41" spans="1:76" ht="13" customHeight="1">
      <c r="B41" s="2546" t="s">
        <v>2674</v>
      </c>
      <c r="C41" s="2547"/>
      <c r="D41" s="2547"/>
      <c r="E41" s="2547"/>
      <c r="F41" s="2547"/>
      <c r="G41" s="2547"/>
      <c r="H41" s="2547"/>
      <c r="I41" s="2547"/>
      <c r="J41" s="2547"/>
      <c r="K41" s="2547"/>
      <c r="L41" s="2547"/>
      <c r="M41" s="2547"/>
      <c r="N41" s="2547"/>
      <c r="O41" s="2547"/>
      <c r="P41" s="2547"/>
      <c r="Q41" s="2547"/>
      <c r="R41" s="2547"/>
      <c r="S41" s="2547"/>
      <c r="T41" s="2547"/>
      <c r="U41" s="2547"/>
      <c r="V41" s="2547"/>
      <c r="W41" s="2547"/>
      <c r="X41" s="2548"/>
      <c r="Y41" s="2550">
        <f>Y40+AD40</f>
        <v>2215161</v>
      </c>
      <c r="Z41" s="2561"/>
      <c r="AA41" s="2561"/>
      <c r="AB41" s="2561"/>
      <c r="AC41" s="2561"/>
      <c r="AD41" s="2561"/>
      <c r="AE41" s="2561"/>
      <c r="AF41" s="2561"/>
      <c r="AG41" s="2561"/>
      <c r="AH41" s="2562"/>
    </row>
    <row r="42" spans="1:76" ht="13" customHeight="1">
      <c r="A42" s="293"/>
      <c r="B42" s="755"/>
      <c r="C42" s="755"/>
      <c r="D42" s="755"/>
      <c r="E42" s="755"/>
      <c r="F42" s="755"/>
      <c r="G42" s="755"/>
      <c r="H42" s="755"/>
      <c r="I42" s="755"/>
      <c r="J42" s="755"/>
      <c r="K42" s="755"/>
      <c r="L42" s="755"/>
      <c r="M42" s="755"/>
      <c r="N42" s="755"/>
      <c r="O42" s="755"/>
      <c r="P42" s="755"/>
      <c r="Q42" s="755"/>
      <c r="R42" s="755"/>
      <c r="S42" s="755"/>
      <c r="T42" s="755"/>
      <c r="U42" s="755"/>
      <c r="V42" s="755"/>
      <c r="W42" s="755"/>
      <c r="X42" s="755"/>
      <c r="Y42" s="755"/>
      <c r="Z42" s="755"/>
      <c r="AA42" s="755"/>
      <c r="AB42" s="755"/>
      <c r="AC42" s="755"/>
      <c r="AD42" s="755"/>
      <c r="AE42" s="755"/>
      <c r="AF42" s="755"/>
      <c r="AG42" s="755"/>
      <c r="AH42" s="755"/>
    </row>
    <row r="43" spans="1:76" ht="13" customHeight="1">
      <c r="B43" s="303"/>
      <c r="C43" s="303"/>
      <c r="D43" s="303"/>
      <c r="E43" s="303"/>
      <c r="F43" s="303"/>
      <c r="G43" s="303"/>
      <c r="H43" s="303"/>
      <c r="I43" s="303"/>
      <c r="J43" s="303"/>
      <c r="K43" s="303"/>
      <c r="L43" s="303"/>
      <c r="M43" s="303"/>
      <c r="N43" s="303"/>
      <c r="O43" s="303"/>
      <c r="P43" s="303"/>
      <c r="Q43" s="303"/>
      <c r="R43" s="303"/>
      <c r="S43" s="303"/>
      <c r="T43" s="303"/>
      <c r="U43" s="303"/>
      <c r="V43" s="303"/>
      <c r="W43" s="303"/>
      <c r="X43" s="303"/>
      <c r="Y43" s="303"/>
      <c r="Z43" s="303"/>
      <c r="AA43" s="303"/>
      <c r="AB43" s="303"/>
      <c r="AC43" s="303"/>
      <c r="AD43" s="303"/>
      <c r="AE43" s="303"/>
      <c r="AF43" s="303"/>
      <c r="AG43" s="303"/>
      <c r="AH43" s="303"/>
    </row>
    <row r="44" spans="1:76" s="118" customFormat="1" ht="13" customHeight="1" thickBot="1">
      <c r="A44" s="2560" t="s">
        <v>2675</v>
      </c>
      <c r="B44" s="2560"/>
      <c r="C44" s="2560"/>
      <c r="D44" s="2560"/>
      <c r="E44" s="2560"/>
      <c r="F44" s="2560"/>
      <c r="G44" s="2560"/>
      <c r="H44" s="2560"/>
      <c r="I44" s="2560"/>
      <c r="J44" s="2560"/>
      <c r="K44" s="2560"/>
      <c r="L44" s="2560"/>
      <c r="M44" s="2560"/>
      <c r="N44" s="2560"/>
      <c r="O44" s="2560"/>
      <c r="P44" s="2560"/>
      <c r="Q44" s="2560"/>
      <c r="R44" s="2560"/>
      <c r="S44" s="2560"/>
      <c r="T44" s="2560"/>
      <c r="U44" s="2560"/>
      <c r="V44" s="2560"/>
      <c r="W44" s="2560"/>
      <c r="X44" s="2560"/>
      <c r="Y44" s="2560"/>
      <c r="Z44" s="2560"/>
      <c r="AA44" s="2560"/>
      <c r="AB44" s="2560"/>
      <c r="AC44" s="2560"/>
      <c r="AD44" s="2560"/>
      <c r="AE44" s="2560"/>
      <c r="AF44" s="2560"/>
      <c r="AG44" s="2560"/>
      <c r="AH44" s="2560"/>
      <c r="AI44" s="2560"/>
      <c r="AJ44" s="2560"/>
      <c r="AK44" s="2560"/>
      <c r="AL44" s="2560"/>
      <c r="AM44" s="2560"/>
      <c r="AN44" s="2560"/>
      <c r="AO44" s="2560"/>
      <c r="AP44" s="2560"/>
      <c r="AQ44" s="2560"/>
      <c r="AR44" s="2560"/>
      <c r="AS44" s="2560"/>
      <c r="AT44" s="2560"/>
      <c r="AU44" s="2560"/>
      <c r="AV44" s="2560"/>
      <c r="AW44" s="2560"/>
      <c r="AX44" s="2560"/>
      <c r="AY44" s="2560"/>
      <c r="AZ44" s="2560"/>
      <c r="BA44" s="2560"/>
      <c r="BB44" s="2560"/>
      <c r="BC44" s="2560"/>
      <c r="BD44" s="2560"/>
      <c r="BE44" s="2560"/>
      <c r="BF44" s="2560"/>
      <c r="BG44" s="2560"/>
      <c r="BH44" s="2560"/>
      <c r="BI44" s="2560"/>
      <c r="BJ44" s="2560"/>
      <c r="BK44" s="2560"/>
      <c r="BL44" s="2560"/>
      <c r="BM44" s="2560"/>
      <c r="BN44" s="2560"/>
      <c r="BO44" s="2560"/>
      <c r="BP44" s="2560"/>
      <c r="BQ44" s="2560"/>
      <c r="BR44" s="2560"/>
      <c r="BS44" s="2560"/>
      <c r="BT44" s="2560"/>
      <c r="BU44" s="2560"/>
      <c r="BV44" s="2560"/>
      <c r="BW44" s="2560"/>
      <c r="BX44" s="2560"/>
    </row>
    <row r="45" spans="1:76" s="118" customFormat="1" ht="13" customHeight="1" thickTop="1"/>
    <row r="46" spans="1:76" ht="13" customHeight="1">
      <c r="A46" s="293" t="s">
        <v>1042</v>
      </c>
      <c r="C46" s="293" t="s">
        <v>281</v>
      </c>
    </row>
    <row r="47" spans="1:76" ht="13" customHeight="1">
      <c r="D47" s="293" t="s">
        <v>2676</v>
      </c>
      <c r="AB47" s="2554">
        <f>'Sources and Uses Budget'!B105-MAX(IF('Sources and Uses Budget'!B15="",0,'Sources and Uses Budget'!B15),IF(Application!AG394="",0,Application!AG394))</f>
        <v>46443670</v>
      </c>
      <c r="AC47" s="2555"/>
      <c r="AD47" s="2555"/>
      <c r="AE47" s="2555"/>
      <c r="AF47" s="2556"/>
    </row>
    <row r="48" spans="1:76" ht="13" customHeight="1">
      <c r="D48" s="293" t="s">
        <v>174</v>
      </c>
      <c r="AB48" s="2554">
        <f>Application!AO639-MAX(IF('Sources and Uses Budget'!B15="",0,'Sources and Uses Budget'!B15),IF(Application!AG394="",0,Application!AG394))</f>
        <v>23035151</v>
      </c>
      <c r="AC48" s="2555"/>
      <c r="AD48" s="2555"/>
      <c r="AE48" s="2555"/>
      <c r="AF48" s="2556"/>
    </row>
    <row r="49" spans="1:76" ht="13" customHeight="1">
      <c r="D49" s="293" t="s">
        <v>2677</v>
      </c>
      <c r="AB49" s="2554">
        <f>AB47-AB48</f>
        <v>23408519</v>
      </c>
      <c r="AC49" s="2555"/>
      <c r="AD49" s="2555"/>
      <c r="AE49" s="2555"/>
      <c r="AF49" s="2556"/>
    </row>
    <row r="50" spans="1:76" ht="13" customHeight="1">
      <c r="D50" s="293" t="s">
        <v>2678</v>
      </c>
      <c r="AA50" s="304"/>
      <c r="AB50" s="2542">
        <f>0.85*99.990009%</f>
        <v>0.84991507649999998</v>
      </c>
      <c r="AC50" s="2543"/>
      <c r="AD50" s="2543"/>
      <c r="AE50" s="2543"/>
      <c r="AF50" s="2544"/>
    </row>
    <row r="51" spans="1:76" s="305" customFormat="1" ht="13" customHeight="1">
      <c r="A51" s="291"/>
      <c r="B51" s="291"/>
      <c r="C51" s="291"/>
      <c r="D51" s="291"/>
      <c r="E51" s="2553" t="s">
        <v>2679</v>
      </c>
      <c r="F51" s="2553"/>
      <c r="G51" s="2553"/>
      <c r="H51" s="2553"/>
      <c r="I51" s="2553"/>
      <c r="J51" s="2553"/>
      <c r="K51" s="2553"/>
      <c r="L51" s="2553"/>
      <c r="M51" s="2553"/>
      <c r="N51" s="2553"/>
      <c r="O51" s="2553"/>
      <c r="P51" s="2553"/>
      <c r="Q51" s="2553"/>
      <c r="R51" s="2553"/>
      <c r="S51" s="2553"/>
      <c r="T51" s="2553"/>
      <c r="U51" s="2553"/>
      <c r="V51" s="2553"/>
      <c r="W51" s="2553"/>
      <c r="X51" s="2553"/>
      <c r="Y51" s="2553"/>
      <c r="Z51" s="2553"/>
      <c r="AA51" s="1134"/>
      <c r="AB51" s="1134"/>
      <c r="AC51" s="1134"/>
      <c r="AD51" s="1134"/>
      <c r="AE51" s="1134"/>
      <c r="AF51" s="1134"/>
      <c r="AG51" s="291"/>
      <c r="AH51" s="291"/>
      <c r="AI51" s="291"/>
      <c r="AJ51" s="291"/>
      <c r="AK51" s="291"/>
      <c r="AL51" s="291"/>
      <c r="AM51" s="291"/>
      <c r="AN51" s="291"/>
    </row>
    <row r="52" spans="1:76" s="305" customFormat="1" ht="13" customHeight="1">
      <c r="A52" s="291"/>
      <c r="B52" s="291"/>
      <c r="C52" s="291"/>
      <c r="D52" s="291"/>
      <c r="E52" s="2553"/>
      <c r="F52" s="2553"/>
      <c r="G52" s="2553"/>
      <c r="H52" s="2553"/>
      <c r="I52" s="2553"/>
      <c r="J52" s="2553"/>
      <c r="K52" s="2553"/>
      <c r="L52" s="2553"/>
      <c r="M52" s="2553"/>
      <c r="N52" s="2553"/>
      <c r="O52" s="2553"/>
      <c r="P52" s="2553"/>
      <c r="Q52" s="2553"/>
      <c r="R52" s="2553"/>
      <c r="S52" s="2553"/>
      <c r="T52" s="2553"/>
      <c r="U52" s="2553"/>
      <c r="V52" s="2553"/>
      <c r="W52" s="2553"/>
      <c r="X52" s="2553"/>
      <c r="Y52" s="2553"/>
      <c r="Z52" s="2553"/>
      <c r="AA52" s="306"/>
      <c r="AB52" s="306"/>
      <c r="AC52" s="306"/>
      <c r="AD52" s="306"/>
      <c r="AE52" s="306"/>
      <c r="AF52" s="306"/>
      <c r="AG52" s="307"/>
      <c r="AH52" s="291"/>
      <c r="AI52" s="291"/>
      <c r="AJ52" s="291"/>
      <c r="AK52" s="291"/>
      <c r="AL52" s="291"/>
      <c r="AM52" s="291"/>
      <c r="AN52" s="291"/>
    </row>
    <row r="53" spans="1:76" ht="13" customHeight="1">
      <c r="E53" s="1134"/>
      <c r="F53" s="1134"/>
      <c r="G53" s="1134"/>
      <c r="H53" s="1134"/>
      <c r="I53" s="1134"/>
      <c r="J53" s="1134"/>
      <c r="K53" s="1134"/>
      <c r="L53" s="1134"/>
      <c r="M53" s="1134"/>
      <c r="N53" s="1134"/>
      <c r="O53" s="1134"/>
      <c r="P53" s="1134"/>
      <c r="Q53" s="1134"/>
      <c r="R53" s="1134"/>
      <c r="S53" s="1134"/>
      <c r="T53" s="1134"/>
      <c r="U53" s="1134"/>
      <c r="V53" s="1134"/>
      <c r="W53" s="1134"/>
      <c r="X53" s="1134"/>
      <c r="Y53" s="1134"/>
      <c r="Z53" s="1134"/>
    </row>
    <row r="54" spans="1:76" ht="13" customHeight="1">
      <c r="D54" s="293" t="s">
        <v>2680</v>
      </c>
      <c r="AB54" s="2554">
        <f>ROUND(IF(ISERROR((AB49/AB50)),0,(AB49/AB50)),0)</f>
        <v>27542186</v>
      </c>
      <c r="AC54" s="2555"/>
      <c r="AD54" s="2555"/>
      <c r="AE54" s="2555"/>
      <c r="AF54" s="2556"/>
    </row>
    <row r="55" spans="1:76" ht="13" customHeight="1">
      <c r="D55" s="293" t="s">
        <v>2681</v>
      </c>
      <c r="AB55" s="2554">
        <f>(AB54/10)</f>
        <v>2754218.6</v>
      </c>
      <c r="AC55" s="2555"/>
      <c r="AD55" s="2555"/>
      <c r="AE55" s="2555"/>
      <c r="AF55" s="2556"/>
    </row>
    <row r="56" spans="1:76" ht="13" customHeight="1">
      <c r="D56" s="293" t="s">
        <v>2682</v>
      </c>
      <c r="AB56" s="2557">
        <f>(IF((Y41&lt;AB55),Y41,AB55))</f>
        <v>2215161</v>
      </c>
      <c r="AC56" s="2558"/>
      <c r="AD56" s="2558"/>
      <c r="AE56" s="2558"/>
      <c r="AF56" s="2559"/>
    </row>
    <row r="57" spans="1:76" ht="13" customHeight="1">
      <c r="D57" s="293" t="s">
        <v>2683</v>
      </c>
      <c r="AB57" s="2554">
        <f>ROUND((10*AB56*AB50),0)</f>
        <v>18826987</v>
      </c>
      <c r="AC57" s="2555"/>
      <c r="AD57" s="2555"/>
      <c r="AE57" s="2555"/>
      <c r="AF57" s="2556"/>
    </row>
    <row r="58" spans="1:76" ht="13" customHeight="1">
      <c r="D58" s="293"/>
      <c r="AB58" s="311"/>
      <c r="AC58" s="311"/>
      <c r="AD58" s="311"/>
      <c r="AE58" s="311"/>
      <c r="AF58" s="311"/>
    </row>
    <row r="59" spans="1:76" ht="13" customHeight="1">
      <c r="D59" s="293" t="s">
        <v>2684</v>
      </c>
      <c r="AB59" s="2538">
        <f>AB49-AB57</f>
        <v>4581532</v>
      </c>
      <c r="AC59" s="2538"/>
      <c r="AD59" s="2538"/>
      <c r="AE59" s="2538"/>
      <c r="AF59" s="2538"/>
    </row>
    <row r="60" spans="1:76" ht="13" customHeight="1">
      <c r="D60" s="293"/>
      <c r="AB60" s="311"/>
      <c r="AC60" s="311"/>
      <c r="AD60" s="311"/>
      <c r="AE60" s="311"/>
      <c r="AF60" s="311"/>
    </row>
    <row r="61" spans="1:76" s="118" customFormat="1" ht="13" customHeight="1" thickBot="1">
      <c r="A61" s="2560" t="str">
        <f>IF(Application!AP205="yes","Farmworker State Credit", "State Credit" )</f>
        <v>State Credit</v>
      </c>
      <c r="B61" s="2560"/>
      <c r="C61" s="2560"/>
      <c r="D61" s="2560"/>
      <c r="E61" s="2560"/>
      <c r="F61" s="2560"/>
      <c r="G61" s="2560"/>
      <c r="H61" s="2560"/>
      <c r="I61" s="2560"/>
      <c r="J61" s="2560"/>
      <c r="K61" s="2560"/>
      <c r="L61" s="2560"/>
      <c r="M61" s="2560"/>
      <c r="N61" s="2560"/>
      <c r="O61" s="2560"/>
      <c r="P61" s="2560"/>
      <c r="Q61" s="2560"/>
      <c r="R61" s="2560"/>
      <c r="S61" s="2560"/>
      <c r="T61" s="2560"/>
      <c r="U61" s="2560"/>
      <c r="V61" s="2560"/>
      <c r="W61" s="2560"/>
      <c r="X61" s="2560"/>
      <c r="Y61" s="2560"/>
      <c r="Z61" s="2560"/>
      <c r="AA61" s="2560"/>
      <c r="AB61" s="2560"/>
      <c r="AC61" s="2560"/>
      <c r="AD61" s="2560"/>
      <c r="AE61" s="2560"/>
      <c r="AF61" s="2560"/>
      <c r="AG61" s="2560"/>
      <c r="AH61" s="2560"/>
      <c r="AI61" s="2560"/>
      <c r="AJ61" s="2560"/>
      <c r="AK61" s="2560"/>
      <c r="AL61" s="2560"/>
      <c r="AM61" s="2560"/>
      <c r="AN61" s="2560"/>
      <c r="AO61" s="2560"/>
      <c r="AP61" s="2560"/>
      <c r="AQ61" s="2560"/>
      <c r="AR61" s="2560"/>
      <c r="AS61" s="2560"/>
      <c r="AT61" s="2560"/>
      <c r="AU61" s="2560"/>
      <c r="AV61" s="2560"/>
      <c r="AW61" s="2560"/>
      <c r="AX61" s="2560"/>
      <c r="AY61" s="2560"/>
      <c r="AZ61" s="2560"/>
      <c r="BA61" s="2560"/>
      <c r="BB61" s="2560"/>
      <c r="BC61" s="2560"/>
      <c r="BD61" s="2560"/>
      <c r="BE61" s="2560"/>
      <c r="BF61" s="2560"/>
      <c r="BG61" s="2560"/>
      <c r="BH61" s="2560"/>
      <c r="BI61" s="2560"/>
      <c r="BJ61" s="2560"/>
      <c r="BK61" s="2560"/>
      <c r="BL61" s="2560"/>
      <c r="BM61" s="2560"/>
      <c r="BN61" s="2560"/>
      <c r="BO61" s="2560"/>
      <c r="BP61" s="2560"/>
      <c r="BQ61" s="2560"/>
      <c r="BR61" s="2560"/>
      <c r="BS61" s="2560"/>
      <c r="BT61" s="2560"/>
      <c r="BU61" s="2560"/>
      <c r="BV61" s="2560"/>
      <c r="BW61" s="2560"/>
      <c r="BX61" s="2560"/>
    </row>
    <row r="62" spans="1:76" s="118" customFormat="1" ht="13" customHeight="1" thickTop="1"/>
    <row r="63" spans="1:76" ht="13" customHeight="1">
      <c r="A63" s="293" t="s">
        <v>1060</v>
      </c>
      <c r="C63" s="119" t="s">
        <v>2685</v>
      </c>
      <c r="Y63" s="2549" t="s">
        <v>2686</v>
      </c>
      <c r="Z63" s="2549"/>
      <c r="AA63" s="2549"/>
      <c r="AB63" s="2549"/>
      <c r="AC63" s="2549"/>
      <c r="AD63" s="2549" t="s">
        <v>2671</v>
      </c>
      <c r="AE63" s="2549"/>
      <c r="AF63" s="2549"/>
      <c r="AG63" s="2549"/>
      <c r="AH63" s="2549"/>
    </row>
    <row r="64" spans="1:76" ht="13" customHeight="1">
      <c r="C64" s="293"/>
      <c r="D64" s="1130" t="s">
        <v>2687</v>
      </c>
      <c r="E64" s="308"/>
      <c r="F64" s="308"/>
      <c r="G64" s="308"/>
      <c r="H64" s="308"/>
      <c r="I64" s="308"/>
      <c r="J64" s="308"/>
      <c r="K64" s="308"/>
      <c r="L64" s="308"/>
      <c r="M64" s="308"/>
      <c r="N64" s="308"/>
      <c r="O64" s="308"/>
      <c r="P64" s="308"/>
      <c r="Q64" s="308"/>
      <c r="R64" s="308"/>
      <c r="S64" s="308"/>
      <c r="T64" s="308"/>
      <c r="U64" s="308"/>
      <c r="V64" s="308"/>
      <c r="W64" s="308"/>
      <c r="X64" s="308"/>
      <c r="Y64" s="2550">
        <f>IF(Application!$Z$205="(select)",0,((T23*T27)+Y28))</f>
        <v>42599253</v>
      </c>
      <c r="Z64" s="2551"/>
      <c r="AA64" s="2551"/>
      <c r="AB64" s="2551"/>
      <c r="AC64" s="2552"/>
      <c r="AD64" s="2550">
        <f>IF(AND(OR(Application!D211="At-Risk",Application!D211="At-Risk and Special Needs"),Application!M358="yes"),AD28+AI28,0)</f>
        <v>0</v>
      </c>
      <c r="AE64" s="2551"/>
      <c r="AF64" s="2551"/>
      <c r="AG64" s="2551"/>
      <c r="AH64" s="2552"/>
    </row>
    <row r="65" spans="1:36" ht="13" customHeight="1">
      <c r="C65" s="293"/>
      <c r="E65" s="827" t="s">
        <v>2688</v>
      </c>
      <c r="F65" s="327"/>
      <c r="G65" s="327"/>
      <c r="H65" s="327"/>
      <c r="I65" s="327"/>
      <c r="J65" s="327"/>
      <c r="K65" s="327"/>
      <c r="L65" s="327"/>
      <c r="M65" s="327"/>
      <c r="N65" s="327"/>
      <c r="O65" s="327"/>
      <c r="P65" s="327"/>
      <c r="Q65" s="327"/>
      <c r="R65" s="327"/>
      <c r="S65" s="327"/>
      <c r="T65" s="327"/>
      <c r="U65" s="327"/>
      <c r="V65" s="327"/>
      <c r="W65" s="327"/>
      <c r="X65" s="327"/>
      <c r="Y65" s="327"/>
      <c r="Z65" s="327"/>
      <c r="AA65" s="327"/>
      <c r="AB65" s="327"/>
      <c r="AC65" s="327"/>
      <c r="AD65" s="327"/>
      <c r="AE65" s="327"/>
      <c r="AF65" s="327"/>
      <c r="AG65" s="327"/>
      <c r="AH65" s="327"/>
      <c r="AI65" s="327"/>
      <c r="AJ65" s="327"/>
    </row>
    <row r="66" spans="1:36" ht="22.5" customHeight="1">
      <c r="C66" s="293"/>
      <c r="E66" s="827" t="s">
        <v>2689</v>
      </c>
      <c r="F66" s="327"/>
      <c r="G66" s="327"/>
      <c r="H66" s="327"/>
      <c r="I66" s="327"/>
      <c r="J66" s="327"/>
      <c r="K66" s="327"/>
      <c r="L66" s="327"/>
      <c r="M66" s="327"/>
      <c r="N66" s="327"/>
      <c r="O66" s="327"/>
      <c r="P66" s="327"/>
      <c r="Q66" s="327"/>
      <c r="R66" s="327"/>
      <c r="S66" s="327"/>
      <c r="T66" s="327"/>
      <c r="U66" s="327"/>
      <c r="V66" s="327"/>
      <c r="W66" s="327"/>
      <c r="X66" s="327"/>
      <c r="Y66" s="327"/>
      <c r="Z66" s="327"/>
      <c r="AA66" s="327"/>
      <c r="AB66" s="327"/>
      <c r="AC66" s="327"/>
      <c r="AD66" s="327"/>
      <c r="AE66" s="327"/>
      <c r="AF66" s="327"/>
      <c r="AG66" s="327"/>
      <c r="AH66" s="327"/>
      <c r="AI66" s="327"/>
      <c r="AJ66" s="327"/>
    </row>
    <row r="67" spans="1:36" ht="13" customHeight="1">
      <c r="C67" s="293"/>
      <c r="D67" s="293" t="s">
        <v>2690</v>
      </c>
      <c r="E67" s="309"/>
      <c r="F67" s="309"/>
      <c r="G67" s="309"/>
      <c r="H67" s="309"/>
      <c r="I67" s="309"/>
      <c r="J67" s="309"/>
      <c r="K67" s="309"/>
      <c r="L67" s="309"/>
      <c r="M67" s="309"/>
      <c r="N67" s="309"/>
      <c r="O67" s="309"/>
      <c r="P67" s="309"/>
      <c r="Q67" s="309"/>
      <c r="R67" s="309"/>
      <c r="S67" s="309"/>
      <c r="T67" s="309"/>
      <c r="U67" s="309"/>
      <c r="V67" s="309"/>
      <c r="W67" s="309"/>
      <c r="X67" s="309"/>
      <c r="Y67" s="2539">
        <f>IF(OR(Application!Z205="State Farmworker Credit",Application!Z205="$500M (Farmworker Housing)"),0.75,IF(Application!Z205="15% set-aside",0.13,IF(Application!Z205="15% set-aside with qualifying low value rehab",0.95,0.3)))</f>
        <v>0.3</v>
      </c>
      <c r="Z67" s="2539"/>
      <c r="AA67" s="2539"/>
      <c r="AB67" s="2539"/>
      <c r="AC67" s="2539"/>
      <c r="AD67" s="2539">
        <f>IF(Application!Z205="15% set-aside with qualifying low value rehab", 0.95,0.13)</f>
        <v>0.13</v>
      </c>
      <c r="AE67" s="2539"/>
      <c r="AF67" s="2539"/>
      <c r="AG67" s="2539"/>
      <c r="AH67" s="2539"/>
    </row>
    <row r="68" spans="1:36" ht="13" customHeight="1">
      <c r="C68" s="293"/>
      <c r="D68" s="119" t="s">
        <v>2691</v>
      </c>
      <c r="Y68" s="2540">
        <f>ROUND(Y64*Y67,0)</f>
        <v>12779776</v>
      </c>
      <c r="Z68" s="2541"/>
      <c r="AA68" s="2541"/>
      <c r="AB68" s="2541"/>
      <c r="AC68" s="2541"/>
      <c r="AD68" s="2540">
        <f>ROUND(AD64*AD67,0)</f>
        <v>0</v>
      </c>
      <c r="AE68" s="2541"/>
      <c r="AF68" s="2541"/>
      <c r="AG68" s="2541"/>
      <c r="AH68" s="2541"/>
    </row>
    <row r="69" spans="1:36" ht="13" customHeight="1">
      <c r="C69" s="293"/>
      <c r="D69" s="119" t="s">
        <v>2692</v>
      </c>
      <c r="Y69" s="2540">
        <f>IF(OR(Application!Z205="State Farmworker Credit",Application!Z205="$500M (Farmworker Housing)"),Y68+AD68,MIN(Y68+AD68,200000*(Application!G753+Application!O777)))</f>
        <v>10600000</v>
      </c>
      <c r="Z69" s="2540"/>
      <c r="AA69" s="2540"/>
      <c r="AB69" s="2540"/>
      <c r="AC69" s="2540"/>
      <c r="AD69" s="2540"/>
      <c r="AE69" s="2540"/>
      <c r="AF69" s="2540"/>
      <c r="AG69" s="2540"/>
      <c r="AH69" s="2540"/>
    </row>
    <row r="70" spans="1:36" ht="13" customHeight="1">
      <c r="C70" s="293"/>
      <c r="E70" s="293"/>
      <c r="AB70" s="310"/>
      <c r="AC70" s="310"/>
      <c r="AD70" s="310"/>
      <c r="AE70" s="310"/>
      <c r="AF70" s="310"/>
    </row>
    <row r="71" spans="1:36" ht="13" customHeight="1">
      <c r="A71" s="293" t="s">
        <v>1072</v>
      </c>
      <c r="C71" s="119" t="s">
        <v>287</v>
      </c>
    </row>
    <row r="72" spans="1:36" ht="13" customHeight="1">
      <c r="A72" s="293"/>
      <c r="C72" s="293"/>
      <c r="D72" s="119" t="s">
        <v>2693</v>
      </c>
      <c r="AB72" s="2542">
        <f>0.9</f>
        <v>0.9</v>
      </c>
      <c r="AC72" s="2543"/>
      <c r="AD72" s="2543"/>
      <c r="AE72" s="2543"/>
      <c r="AF72" s="2544"/>
    </row>
    <row r="73" spans="1:36" ht="13" customHeight="1">
      <c r="A73" s="293"/>
      <c r="C73" s="293"/>
      <c r="D73" s="293"/>
      <c r="E73" s="2545" t="s">
        <v>2694</v>
      </c>
      <c r="F73" s="2545"/>
      <c r="G73" s="2545"/>
      <c r="H73" s="2545"/>
      <c r="I73" s="2545"/>
      <c r="J73" s="2545"/>
      <c r="K73" s="2545"/>
      <c r="L73" s="2545"/>
      <c r="M73" s="2545"/>
      <c r="N73" s="2545"/>
      <c r="O73" s="2545"/>
      <c r="P73" s="2545"/>
      <c r="Q73" s="2545"/>
      <c r="R73" s="2545"/>
      <c r="S73" s="2545"/>
      <c r="T73" s="2545"/>
      <c r="U73" s="2545"/>
      <c r="V73" s="2545"/>
      <c r="W73" s="2545"/>
      <c r="X73" s="2545"/>
      <c r="Y73" s="2545"/>
      <c r="Z73" s="2545"/>
      <c r="AA73" s="2545"/>
      <c r="AB73" s="326"/>
      <c r="AC73" s="326"/>
    </row>
    <row r="74" spans="1:36" ht="13" customHeight="1">
      <c r="A74" s="293"/>
      <c r="C74" s="293"/>
      <c r="D74" s="293"/>
      <c r="E74" s="2545"/>
      <c r="F74" s="2545"/>
      <c r="G74" s="2545"/>
      <c r="H74" s="2545"/>
      <c r="I74" s="2545"/>
      <c r="J74" s="2545"/>
      <c r="K74" s="2545"/>
      <c r="L74" s="2545"/>
      <c r="M74" s="2545"/>
      <c r="N74" s="2545"/>
      <c r="O74" s="2545"/>
      <c r="P74" s="2545"/>
      <c r="Q74" s="2545"/>
      <c r="R74" s="2545"/>
      <c r="S74" s="2545"/>
      <c r="T74" s="2545"/>
      <c r="U74" s="2545"/>
      <c r="V74" s="2545"/>
      <c r="W74" s="2545"/>
      <c r="X74" s="2545"/>
      <c r="Y74" s="2545"/>
      <c r="Z74" s="2545"/>
      <c r="AA74" s="2545"/>
      <c r="AB74" s="326"/>
      <c r="AC74" s="326"/>
    </row>
    <row r="75" spans="1:36" ht="13" customHeight="1">
      <c r="A75" s="293"/>
      <c r="C75" s="293"/>
      <c r="D75" s="293"/>
      <c r="E75" s="2545"/>
      <c r="F75" s="2545"/>
      <c r="G75" s="2545"/>
      <c r="H75" s="2545"/>
      <c r="I75" s="2545"/>
      <c r="J75" s="2545"/>
      <c r="K75" s="2545"/>
      <c r="L75" s="2545"/>
      <c r="M75" s="2545"/>
      <c r="N75" s="2545"/>
      <c r="O75" s="2545"/>
      <c r="P75" s="2545"/>
      <c r="Q75" s="2545"/>
      <c r="R75" s="2545"/>
      <c r="S75" s="2545"/>
      <c r="T75" s="2545"/>
      <c r="U75" s="2545"/>
      <c r="V75" s="2545"/>
      <c r="W75" s="2545"/>
      <c r="X75" s="2545"/>
      <c r="Y75" s="2545"/>
      <c r="Z75" s="2545"/>
      <c r="AA75" s="2545"/>
      <c r="AB75" s="326"/>
      <c r="AC75" s="326"/>
    </row>
    <row r="76" spans="1:36" ht="13" customHeight="1">
      <c r="A76" s="293"/>
      <c r="C76" s="293"/>
      <c r="D76" s="293"/>
      <c r="E76" s="312"/>
      <c r="F76" s="312"/>
      <c r="G76" s="312"/>
      <c r="H76" s="312"/>
      <c r="I76" s="312"/>
      <c r="J76" s="312"/>
      <c r="K76" s="312"/>
      <c r="L76" s="312"/>
      <c r="M76" s="312"/>
      <c r="N76" s="312"/>
      <c r="O76" s="312"/>
      <c r="P76" s="312"/>
      <c r="Q76" s="312"/>
      <c r="R76" s="312"/>
      <c r="S76" s="312"/>
      <c r="T76" s="312"/>
      <c r="U76" s="312"/>
      <c r="V76" s="312"/>
      <c r="W76" s="312"/>
      <c r="X76" s="312"/>
      <c r="Y76" s="312"/>
      <c r="Z76" s="312"/>
      <c r="AA76" s="253"/>
      <c r="AB76" s="253"/>
      <c r="AC76" s="253"/>
    </row>
    <row r="77" spans="1:36" ht="13" customHeight="1">
      <c r="C77" s="293"/>
      <c r="D77" s="119" t="s">
        <v>2695</v>
      </c>
      <c r="AB77" s="2533">
        <f>ROUND(IF(ISERROR((AB59/AB72)),0,(AB59/AB72)),0)</f>
        <v>5090591</v>
      </c>
      <c r="AC77" s="2533"/>
      <c r="AD77" s="2533"/>
      <c r="AE77" s="2533"/>
      <c r="AF77" s="2533"/>
    </row>
    <row r="78" spans="1:36" ht="13" customHeight="1">
      <c r="C78" s="293"/>
      <c r="D78" s="119" t="s">
        <v>2696</v>
      </c>
      <c r="AB78" s="2534">
        <f>MIN(Y69,AB77)</f>
        <v>5090591</v>
      </c>
      <c r="AC78" s="2535"/>
      <c r="AD78" s="2535"/>
      <c r="AE78" s="2535"/>
      <c r="AF78" s="2536"/>
    </row>
    <row r="79" spans="1:36" ht="13" customHeight="1">
      <c r="C79" s="293"/>
      <c r="D79" s="119" t="s">
        <v>2697</v>
      </c>
      <c r="AB79" s="2537">
        <f>AB78*AB72</f>
        <v>4581531.9000000004</v>
      </c>
      <c r="AC79" s="2537"/>
      <c r="AD79" s="2537"/>
      <c r="AE79" s="2537"/>
      <c r="AF79" s="2537"/>
    </row>
    <row r="80" spans="1:36" ht="13" customHeight="1">
      <c r="C80" s="293"/>
      <c r="D80" s="293"/>
      <c r="AB80" s="313"/>
      <c r="AC80" s="313"/>
      <c r="AD80" s="313"/>
      <c r="AE80" s="313"/>
      <c r="AF80" s="313"/>
    </row>
    <row r="81" spans="1:78" ht="13" customHeight="1">
      <c r="D81" s="293" t="s">
        <v>2684</v>
      </c>
      <c r="AB81" s="2538">
        <f>AB49-(AB57+AB79)</f>
        <v>0.10000000149011612</v>
      </c>
      <c r="AC81" s="2538"/>
      <c r="AD81" s="2538"/>
      <c r="AE81" s="2538"/>
      <c r="AF81" s="2538"/>
    </row>
    <row r="82" spans="1:78" ht="13" customHeight="1">
      <c r="F82" s="392"/>
      <c r="J82" s="392" t="str">
        <f>IF(AB81&gt;0,"FUNDING GAP MUST NOT EXCEED ZERO","")</f>
        <v>FUNDING GAP MUST NOT EXCEED ZERO</v>
      </c>
    </row>
    <row r="83" spans="1:78" ht="13" customHeight="1">
      <c r="D83" s="393"/>
    </row>
    <row r="84" spans="1:78" ht="13" customHeight="1" thickBot="1">
      <c r="A84" s="2560"/>
      <c r="B84" s="2560"/>
      <c r="C84" s="2560"/>
      <c r="D84" s="2560"/>
      <c r="E84" s="2560"/>
      <c r="F84" s="2560"/>
      <c r="G84" s="2560"/>
      <c r="H84" s="2560"/>
      <c r="I84" s="2560"/>
      <c r="J84" s="2560"/>
      <c r="K84" s="2560"/>
      <c r="L84" s="2560"/>
      <c r="M84" s="2560"/>
      <c r="N84" s="2560"/>
      <c r="O84" s="2560"/>
      <c r="P84" s="2560"/>
      <c r="Q84" s="2560"/>
      <c r="R84" s="2560"/>
      <c r="S84" s="2560"/>
      <c r="T84" s="2560"/>
      <c r="U84" s="2560"/>
      <c r="V84" s="2560"/>
      <c r="W84" s="2560"/>
      <c r="X84" s="2560"/>
      <c r="Y84" s="2560"/>
      <c r="Z84" s="2560"/>
      <c r="AA84" s="2560"/>
      <c r="AB84" s="2560"/>
      <c r="AC84" s="2560"/>
      <c r="AD84" s="2560"/>
      <c r="AE84" s="2560"/>
      <c r="AF84" s="2560"/>
      <c r="AG84" s="2560"/>
      <c r="AH84" s="2560"/>
      <c r="AI84" s="2560"/>
      <c r="AJ84" s="2560"/>
      <c r="AK84" s="2560"/>
      <c r="AL84" s="2560"/>
      <c r="AM84" s="2560"/>
      <c r="AN84" s="2560"/>
      <c r="AO84" s="2560"/>
      <c r="AP84" s="2560"/>
      <c r="AQ84" s="2560"/>
      <c r="AR84" s="2560"/>
      <c r="AS84" s="2560"/>
      <c r="AT84" s="2560"/>
      <c r="AU84" s="2560"/>
      <c r="AV84" s="2560"/>
      <c r="AW84" s="2560"/>
      <c r="AX84" s="2560"/>
      <c r="AY84" s="2560"/>
      <c r="AZ84" s="2560"/>
      <c r="BA84" s="2560"/>
      <c r="BB84" s="2560"/>
      <c r="BC84" s="2560"/>
      <c r="BD84" s="2560"/>
      <c r="BE84" s="2560"/>
      <c r="BF84" s="2560"/>
      <c r="BG84" s="2560"/>
      <c r="BH84" s="2560"/>
      <c r="BI84" s="2560"/>
      <c r="BJ84" s="2560"/>
      <c r="BK84" s="2560"/>
      <c r="BL84" s="2560"/>
      <c r="BM84" s="2560"/>
      <c r="BN84" s="2560"/>
      <c r="BO84" s="2560"/>
      <c r="BP84" s="2560"/>
      <c r="BQ84" s="2560"/>
      <c r="BR84" s="2560"/>
      <c r="BS84" s="2560"/>
      <c r="BT84" s="2560"/>
      <c r="BU84" s="2560"/>
      <c r="BV84" s="2560"/>
      <c r="BW84" s="2560"/>
      <c r="BX84" s="2560"/>
    </row>
    <row r="85" spans="1:78" ht="13" customHeight="1" thickTop="1"/>
    <row r="86" spans="1:78" ht="13" customHeight="1">
      <c r="A86" s="293"/>
      <c r="C86" s="119"/>
    </row>
    <row r="87" spans="1:78" ht="13" customHeight="1">
      <c r="D87" s="119"/>
      <c r="AB87" s="2592"/>
      <c r="AC87" s="2592"/>
      <c r="AD87" s="2592"/>
      <c r="AE87" s="2592"/>
      <c r="AF87" s="2592"/>
    </row>
    <row r="88" spans="1:78" ht="13" customHeight="1" thickBot="1">
      <c r="D88" s="119"/>
      <c r="AB88" s="2591"/>
      <c r="AC88" s="2591"/>
      <c r="AD88" s="2591"/>
      <c r="AE88" s="2591"/>
      <c r="AF88" s="2591"/>
      <c r="AO88" s="391"/>
      <c r="AP88" s="391"/>
      <c r="AQ88" s="391"/>
      <c r="AR88" s="391"/>
      <c r="AS88" s="391"/>
      <c r="AT88" s="391"/>
      <c r="AU88" s="391"/>
      <c r="AV88" s="391"/>
      <c r="AW88" s="391"/>
      <c r="AX88" s="391"/>
      <c r="AY88" s="391"/>
      <c r="AZ88" s="391"/>
      <c r="BA88" s="391"/>
      <c r="BB88" s="391"/>
      <c r="BC88" s="391"/>
      <c r="BD88" s="391"/>
      <c r="BE88" s="391"/>
      <c r="BF88" s="391"/>
      <c r="BG88" s="391"/>
      <c r="BH88" s="391"/>
      <c r="BI88" s="391"/>
      <c r="BJ88" s="391"/>
      <c r="BK88" s="391"/>
      <c r="BL88" s="391"/>
      <c r="BM88" s="391"/>
      <c r="BN88" s="391"/>
      <c r="BO88" s="391"/>
      <c r="BP88" s="391"/>
      <c r="BQ88" s="391"/>
      <c r="BR88" s="391"/>
      <c r="BS88" s="391"/>
      <c r="BT88" s="391"/>
      <c r="BU88" s="391"/>
      <c r="BV88" s="391"/>
      <c r="BW88" s="391"/>
      <c r="BX88" s="391"/>
      <c r="BY88" s="391"/>
      <c r="BZ88" s="391"/>
    </row>
    <row r="89" spans="1:78" ht="13"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J40" sqref="J40"/>
    </sheetView>
  </sheetViews>
  <sheetFormatPr defaultColWidth="9.1796875" defaultRowHeight="14" zeroHeight="1"/>
  <cols>
    <col min="1" max="2" width="15.7265625" style="199" customWidth="1"/>
    <col min="3" max="3" width="11" style="199" customWidth="1"/>
    <col min="4" max="4" width="15.7265625" style="199" customWidth="1"/>
    <col min="5" max="5" width="3.7265625" style="199" customWidth="1"/>
    <col min="6" max="7" width="15.7265625" style="199" customWidth="1"/>
    <col min="8" max="8" width="3.7265625" style="199" customWidth="1"/>
    <col min="9" max="10" width="15.7265625" style="199" customWidth="1"/>
    <col min="11" max="11" width="3.26953125" style="199" customWidth="1"/>
    <col min="12" max="17" width="15.7265625" style="199" customWidth="1"/>
    <col min="18" max="16384" width="9.1796875" style="199"/>
  </cols>
  <sheetData>
    <row r="1" spans="1:12">
      <c r="A1" s="2599" t="s">
        <v>2698</v>
      </c>
      <c r="B1" s="2599"/>
      <c r="C1" s="2599"/>
      <c r="D1" s="2599"/>
      <c r="E1" s="2599"/>
      <c r="F1" s="2599"/>
      <c r="G1" s="2599"/>
      <c r="H1" s="2599"/>
      <c r="I1" s="2599"/>
      <c r="J1" s="2599"/>
      <c r="K1" s="118"/>
      <c r="L1" s="118"/>
    </row>
    <row r="2" spans="1:12">
      <c r="A2" s="123"/>
      <c r="B2" s="123"/>
      <c r="C2" s="123"/>
      <c r="D2" s="123"/>
      <c r="E2" s="123"/>
      <c r="F2" s="123"/>
      <c r="G2" s="123"/>
      <c r="H2" s="123"/>
      <c r="I2" s="123"/>
      <c r="J2" s="123"/>
    </row>
    <row r="3" spans="1:12" ht="84">
      <c r="A3" s="314" t="s">
        <v>2699</v>
      </c>
      <c r="B3" s="314" t="s">
        <v>2700</v>
      </c>
      <c r="C3" s="314" t="s">
        <v>2701</v>
      </c>
      <c r="D3" s="958" t="s">
        <v>2702</v>
      </c>
      <c r="E3" s="118"/>
      <c r="F3" s="958" t="s">
        <v>2703</v>
      </c>
      <c r="G3" s="314" t="s">
        <v>2704</v>
      </c>
      <c r="H3" s="315"/>
      <c r="I3" s="314" t="s">
        <v>2705</v>
      </c>
      <c r="J3" s="314" t="s">
        <v>2706</v>
      </c>
      <c r="K3" s="118"/>
      <c r="L3" s="200"/>
    </row>
    <row r="4" spans="1:12">
      <c r="A4" s="316" t="str">
        <f>Application!B718</f>
        <v>1 Bedroom</v>
      </c>
      <c r="B4" s="891">
        <f>Application!G718</f>
        <v>6</v>
      </c>
      <c r="C4" s="892"/>
      <c r="D4" s="316">
        <f>Application!O718</f>
        <v>1277</v>
      </c>
      <c r="E4" s="317"/>
      <c r="F4" s="893"/>
      <c r="G4" s="316">
        <f>F4*B4</f>
        <v>0</v>
      </c>
      <c r="H4" s="317"/>
      <c r="I4" s="316" t="str">
        <f t="shared" ref="I4:I27" si="0">IF(F4=0,"",(F4-D4))</f>
        <v/>
      </c>
      <c r="J4" s="316" t="str">
        <f t="shared" ref="J4:J27" si="1">IF(F4=0,"",(I4*B4))</f>
        <v/>
      </c>
      <c r="K4" s="118"/>
      <c r="L4" s="200"/>
    </row>
    <row r="5" spans="1:12">
      <c r="A5" s="316" t="str">
        <f>Application!B719</f>
        <v>2 Bedrooms</v>
      </c>
      <c r="B5" s="891">
        <f>Application!G719</f>
        <v>14</v>
      </c>
      <c r="C5" s="892"/>
      <c r="D5" s="316">
        <f>Application!O719</f>
        <v>1517</v>
      </c>
      <c r="E5" s="317"/>
      <c r="F5" s="893"/>
      <c r="G5" s="316">
        <f t="shared" ref="G5:G38" si="2">F5*B5</f>
        <v>0</v>
      </c>
      <c r="H5" s="317"/>
      <c r="I5" s="316" t="str">
        <f t="shared" si="0"/>
        <v/>
      </c>
      <c r="J5" s="316" t="str">
        <f t="shared" si="1"/>
        <v/>
      </c>
      <c r="K5" s="118"/>
      <c r="L5" s="200"/>
    </row>
    <row r="6" spans="1:12">
      <c r="A6" s="316" t="str">
        <f>Application!B720</f>
        <v>2 Bedrooms</v>
      </c>
      <c r="B6" s="891">
        <f>Application!G720</f>
        <v>10</v>
      </c>
      <c r="C6" s="892" t="s">
        <v>1047</v>
      </c>
      <c r="D6" s="316">
        <f>Application!O720</f>
        <v>690</v>
      </c>
      <c r="E6" s="317"/>
      <c r="F6" s="893">
        <f>2327-136</f>
        <v>2191</v>
      </c>
      <c r="G6" s="316">
        <f t="shared" si="2"/>
        <v>21910</v>
      </c>
      <c r="H6" s="317"/>
      <c r="I6" s="316">
        <f t="shared" si="0"/>
        <v>1501</v>
      </c>
      <c r="J6" s="316">
        <f t="shared" si="1"/>
        <v>15010</v>
      </c>
      <c r="K6" s="118"/>
      <c r="L6" s="200"/>
    </row>
    <row r="7" spans="1:12">
      <c r="A7" s="316" t="str">
        <f>Application!B721</f>
        <v>3 Bedrooms</v>
      </c>
      <c r="B7" s="891">
        <f>Application!G721</f>
        <v>7</v>
      </c>
      <c r="C7" s="892"/>
      <c r="D7" s="316">
        <f>Application!O721</f>
        <v>1734</v>
      </c>
      <c r="E7" s="317"/>
      <c r="F7" s="893"/>
      <c r="G7" s="316">
        <f t="shared" si="2"/>
        <v>0</v>
      </c>
      <c r="H7" s="317"/>
      <c r="I7" s="316" t="str">
        <f t="shared" si="0"/>
        <v/>
      </c>
      <c r="J7" s="316" t="str">
        <f t="shared" si="1"/>
        <v/>
      </c>
      <c r="K7" s="118"/>
      <c r="L7" s="200"/>
    </row>
    <row r="8" spans="1:12">
      <c r="A8" s="316" t="str">
        <f>Application!B722</f>
        <v>3 Bedrooms</v>
      </c>
      <c r="B8" s="891">
        <f>Application!G722</f>
        <v>15</v>
      </c>
      <c r="C8" s="892" t="s">
        <v>1047</v>
      </c>
      <c r="D8" s="316">
        <f>Application!O722</f>
        <v>779</v>
      </c>
      <c r="E8" s="317"/>
      <c r="F8" s="893">
        <f>3195-175</f>
        <v>3020</v>
      </c>
      <c r="G8" s="316">
        <f t="shared" si="2"/>
        <v>45300</v>
      </c>
      <c r="H8" s="317"/>
      <c r="I8" s="316">
        <f t="shared" si="0"/>
        <v>2241</v>
      </c>
      <c r="J8" s="316">
        <f t="shared" si="1"/>
        <v>33615</v>
      </c>
      <c r="K8" s="118"/>
      <c r="L8" s="200"/>
    </row>
    <row r="9" spans="1:12">
      <c r="A9" s="316">
        <f>Application!B723</f>
        <v>0</v>
      </c>
      <c r="B9" s="891">
        <f>Application!G723</f>
        <v>0</v>
      </c>
      <c r="C9" s="892"/>
      <c r="D9" s="316">
        <f>Application!O723</f>
        <v>0</v>
      </c>
      <c r="E9" s="317"/>
      <c r="F9" s="893"/>
      <c r="G9" s="316">
        <f t="shared" si="2"/>
        <v>0</v>
      </c>
      <c r="H9" s="317"/>
      <c r="I9" s="316" t="str">
        <f t="shared" si="0"/>
        <v/>
      </c>
      <c r="J9" s="316" t="str">
        <f t="shared" si="1"/>
        <v/>
      </c>
      <c r="K9" s="118"/>
      <c r="L9" s="200"/>
    </row>
    <row r="10" spans="1:12">
      <c r="A10" s="316">
        <f>Application!B724</f>
        <v>0</v>
      </c>
      <c r="B10" s="891">
        <f>Application!G724</f>
        <v>0</v>
      </c>
      <c r="C10" s="892"/>
      <c r="D10" s="316">
        <f>Application!O724</f>
        <v>0</v>
      </c>
      <c r="E10" s="317"/>
      <c r="F10" s="893"/>
      <c r="G10" s="316">
        <f t="shared" si="2"/>
        <v>0</v>
      </c>
      <c r="H10" s="317"/>
      <c r="I10" s="316" t="str">
        <f t="shared" si="0"/>
        <v/>
      </c>
      <c r="J10" s="316" t="str">
        <f t="shared" si="1"/>
        <v/>
      </c>
      <c r="K10" s="118"/>
      <c r="L10" s="200"/>
    </row>
    <row r="11" spans="1:12">
      <c r="A11" s="316">
        <f>Application!B725</f>
        <v>0</v>
      </c>
      <c r="B11" s="891">
        <f>Application!G725</f>
        <v>0</v>
      </c>
      <c r="C11" s="892"/>
      <c r="D11" s="316">
        <f>Application!O725</f>
        <v>0</v>
      </c>
      <c r="E11" s="317"/>
      <c r="F11" s="893"/>
      <c r="G11" s="316">
        <f t="shared" si="2"/>
        <v>0</v>
      </c>
      <c r="H11" s="317"/>
      <c r="I11" s="316" t="str">
        <f t="shared" si="0"/>
        <v/>
      </c>
      <c r="J11" s="316" t="str">
        <f t="shared" si="1"/>
        <v/>
      </c>
      <c r="K11" s="118"/>
      <c r="L11" s="200"/>
    </row>
    <row r="12" spans="1:12">
      <c r="A12" s="316">
        <f>Application!B726</f>
        <v>0</v>
      </c>
      <c r="B12" s="891">
        <f>Application!G726</f>
        <v>0</v>
      </c>
      <c r="C12" s="892"/>
      <c r="D12" s="316">
        <f>Application!O726</f>
        <v>0</v>
      </c>
      <c r="E12" s="317"/>
      <c r="F12" s="893"/>
      <c r="G12" s="316">
        <f t="shared" si="2"/>
        <v>0</v>
      </c>
      <c r="H12" s="317"/>
      <c r="I12" s="316" t="str">
        <f t="shared" si="0"/>
        <v/>
      </c>
      <c r="J12" s="316" t="str">
        <f t="shared" si="1"/>
        <v/>
      </c>
      <c r="K12" s="118"/>
      <c r="L12" s="200"/>
    </row>
    <row r="13" spans="1:12">
      <c r="A13" s="316">
        <f>Application!B727</f>
        <v>0</v>
      </c>
      <c r="B13" s="891">
        <f>Application!G727</f>
        <v>0</v>
      </c>
      <c r="C13" s="892"/>
      <c r="D13" s="316">
        <f>Application!O727</f>
        <v>0</v>
      </c>
      <c r="E13" s="317"/>
      <c r="F13" s="893"/>
      <c r="G13" s="316">
        <f t="shared" si="2"/>
        <v>0</v>
      </c>
      <c r="H13" s="317"/>
      <c r="I13" s="316" t="str">
        <f t="shared" si="0"/>
        <v/>
      </c>
      <c r="J13" s="316" t="str">
        <f t="shared" si="1"/>
        <v/>
      </c>
      <c r="K13" s="118"/>
      <c r="L13" s="200"/>
    </row>
    <row r="14" spans="1:12">
      <c r="A14" s="316">
        <f>Application!B728</f>
        <v>0</v>
      </c>
      <c r="B14" s="891">
        <f>Application!G728</f>
        <v>0</v>
      </c>
      <c r="C14" s="892"/>
      <c r="D14" s="316">
        <f>Application!O728</f>
        <v>0</v>
      </c>
      <c r="E14" s="317"/>
      <c r="F14" s="893"/>
      <c r="G14" s="316">
        <f t="shared" si="2"/>
        <v>0</v>
      </c>
      <c r="H14" s="317"/>
      <c r="I14" s="316" t="str">
        <f t="shared" si="0"/>
        <v/>
      </c>
      <c r="J14" s="316" t="str">
        <f t="shared" si="1"/>
        <v/>
      </c>
      <c r="K14" s="118"/>
      <c r="L14" s="200"/>
    </row>
    <row r="15" spans="1:12">
      <c r="A15" s="316">
        <f>Application!B729</f>
        <v>0</v>
      </c>
      <c r="B15" s="891">
        <f>Application!G729</f>
        <v>0</v>
      </c>
      <c r="C15" s="892"/>
      <c r="D15" s="316">
        <f>Application!O729</f>
        <v>0</v>
      </c>
      <c r="E15" s="317"/>
      <c r="F15" s="893"/>
      <c r="G15" s="316">
        <f t="shared" si="2"/>
        <v>0</v>
      </c>
      <c r="H15" s="317"/>
      <c r="I15" s="316" t="str">
        <f t="shared" si="0"/>
        <v/>
      </c>
      <c r="J15" s="316" t="str">
        <f t="shared" si="1"/>
        <v/>
      </c>
      <c r="K15" s="118"/>
      <c r="L15" s="200"/>
    </row>
    <row r="16" spans="1:12">
      <c r="A16" s="316">
        <f>Application!B730</f>
        <v>0</v>
      </c>
      <c r="B16" s="891">
        <f>Application!G730</f>
        <v>0</v>
      </c>
      <c r="C16" s="892"/>
      <c r="D16" s="316">
        <f>Application!O730</f>
        <v>0</v>
      </c>
      <c r="E16" s="317"/>
      <c r="F16" s="893"/>
      <c r="G16" s="316">
        <f t="shared" si="2"/>
        <v>0</v>
      </c>
      <c r="H16" s="317"/>
      <c r="I16" s="316" t="str">
        <f t="shared" si="0"/>
        <v/>
      </c>
      <c r="J16" s="316" t="str">
        <f t="shared" si="1"/>
        <v/>
      </c>
      <c r="K16" s="118"/>
      <c r="L16" s="200"/>
    </row>
    <row r="17" spans="1:12">
      <c r="A17" s="316">
        <f>Application!B731</f>
        <v>0</v>
      </c>
      <c r="B17" s="891">
        <f>Application!G731</f>
        <v>0</v>
      </c>
      <c r="C17" s="892"/>
      <c r="D17" s="316">
        <f>Application!O731</f>
        <v>0</v>
      </c>
      <c r="E17" s="317"/>
      <c r="F17" s="893"/>
      <c r="G17" s="316">
        <f t="shared" si="2"/>
        <v>0</v>
      </c>
      <c r="H17" s="317"/>
      <c r="I17" s="316" t="str">
        <f t="shared" si="0"/>
        <v/>
      </c>
      <c r="J17" s="316" t="str">
        <f t="shared" si="1"/>
        <v/>
      </c>
      <c r="K17" s="118"/>
      <c r="L17" s="200"/>
    </row>
    <row r="18" spans="1:12">
      <c r="A18" s="316">
        <f>Application!B732</f>
        <v>0</v>
      </c>
      <c r="B18" s="891">
        <f>Application!G732</f>
        <v>0</v>
      </c>
      <c r="C18" s="892"/>
      <c r="D18" s="316">
        <f>Application!O732</f>
        <v>0</v>
      </c>
      <c r="E18" s="317"/>
      <c r="F18" s="893"/>
      <c r="G18" s="316">
        <f t="shared" si="2"/>
        <v>0</v>
      </c>
      <c r="H18" s="317"/>
      <c r="I18" s="316" t="str">
        <f t="shared" si="0"/>
        <v/>
      </c>
      <c r="J18" s="316" t="str">
        <f t="shared" si="1"/>
        <v/>
      </c>
      <c r="K18" s="118"/>
      <c r="L18" s="200"/>
    </row>
    <row r="19" spans="1:12">
      <c r="A19" s="316">
        <f>Application!B733</f>
        <v>0</v>
      </c>
      <c r="B19" s="891">
        <f>Application!G733</f>
        <v>0</v>
      </c>
      <c r="C19" s="892"/>
      <c r="D19" s="316">
        <f>Application!O733</f>
        <v>0</v>
      </c>
      <c r="E19" s="317"/>
      <c r="F19" s="893"/>
      <c r="G19" s="316">
        <f t="shared" si="2"/>
        <v>0</v>
      </c>
      <c r="H19" s="317"/>
      <c r="I19" s="316" t="str">
        <f t="shared" si="0"/>
        <v/>
      </c>
      <c r="J19" s="316" t="str">
        <f t="shared" si="1"/>
        <v/>
      </c>
      <c r="K19" s="118"/>
      <c r="L19" s="200"/>
    </row>
    <row r="20" spans="1:12">
      <c r="A20" s="316">
        <f>Application!B734</f>
        <v>0</v>
      </c>
      <c r="B20" s="891">
        <f>Application!G734</f>
        <v>0</v>
      </c>
      <c r="C20" s="892"/>
      <c r="D20" s="316">
        <f>Application!O734</f>
        <v>0</v>
      </c>
      <c r="E20" s="317"/>
      <c r="F20" s="893"/>
      <c r="G20" s="316">
        <f t="shared" si="2"/>
        <v>0</v>
      </c>
      <c r="H20" s="317"/>
      <c r="I20" s="316" t="str">
        <f t="shared" si="0"/>
        <v/>
      </c>
      <c r="J20" s="316" t="str">
        <f t="shared" si="1"/>
        <v/>
      </c>
      <c r="K20" s="118"/>
      <c r="L20" s="200"/>
    </row>
    <row r="21" spans="1:12">
      <c r="A21" s="316">
        <f>Application!B735</f>
        <v>0</v>
      </c>
      <c r="B21" s="891">
        <f>Application!G735</f>
        <v>0</v>
      </c>
      <c r="C21" s="892"/>
      <c r="D21" s="316">
        <f>Application!O735</f>
        <v>0</v>
      </c>
      <c r="E21" s="317"/>
      <c r="F21" s="893"/>
      <c r="G21" s="316">
        <f t="shared" si="2"/>
        <v>0</v>
      </c>
      <c r="H21" s="317"/>
      <c r="I21" s="316" t="str">
        <f t="shared" si="0"/>
        <v/>
      </c>
      <c r="J21" s="316" t="str">
        <f t="shared" si="1"/>
        <v/>
      </c>
      <c r="K21" s="118"/>
      <c r="L21" s="200"/>
    </row>
    <row r="22" spans="1:12">
      <c r="A22" s="316">
        <f>Application!B736</f>
        <v>0</v>
      </c>
      <c r="B22" s="891">
        <f>Application!G736</f>
        <v>0</v>
      </c>
      <c r="C22" s="892"/>
      <c r="D22" s="316">
        <f>Application!O736</f>
        <v>0</v>
      </c>
      <c r="E22" s="317"/>
      <c r="F22" s="893"/>
      <c r="G22" s="316">
        <f t="shared" si="2"/>
        <v>0</v>
      </c>
      <c r="H22" s="317"/>
      <c r="I22" s="316" t="str">
        <f t="shared" si="0"/>
        <v/>
      </c>
      <c r="J22" s="316" t="str">
        <f t="shared" si="1"/>
        <v/>
      </c>
      <c r="K22" s="118"/>
      <c r="L22" s="200"/>
    </row>
    <row r="23" spans="1:12">
      <c r="A23" s="316">
        <f>Application!B737</f>
        <v>0</v>
      </c>
      <c r="B23" s="891">
        <f>Application!G737</f>
        <v>0</v>
      </c>
      <c r="C23" s="892"/>
      <c r="D23" s="316">
        <f>Application!O737</f>
        <v>0</v>
      </c>
      <c r="E23" s="317"/>
      <c r="F23" s="893"/>
      <c r="G23" s="316">
        <f t="shared" si="2"/>
        <v>0</v>
      </c>
      <c r="H23" s="317"/>
      <c r="I23" s="316" t="str">
        <f t="shared" si="0"/>
        <v/>
      </c>
      <c r="J23" s="316" t="str">
        <f t="shared" si="1"/>
        <v/>
      </c>
      <c r="K23" s="118"/>
      <c r="L23" s="200"/>
    </row>
    <row r="24" spans="1:12">
      <c r="A24" s="316">
        <f>Application!B738</f>
        <v>0</v>
      </c>
      <c r="B24" s="891">
        <f>Application!G738</f>
        <v>0</v>
      </c>
      <c r="C24" s="892"/>
      <c r="D24" s="316">
        <f>Application!O738</f>
        <v>0</v>
      </c>
      <c r="E24" s="317"/>
      <c r="F24" s="893"/>
      <c r="G24" s="316">
        <f t="shared" si="2"/>
        <v>0</v>
      </c>
      <c r="H24" s="317"/>
      <c r="I24" s="316" t="str">
        <f t="shared" si="0"/>
        <v/>
      </c>
      <c r="J24" s="316" t="str">
        <f t="shared" si="1"/>
        <v/>
      </c>
      <c r="K24" s="118"/>
      <c r="L24" s="200"/>
    </row>
    <row r="25" spans="1:12">
      <c r="A25" s="316">
        <f>Application!B739</f>
        <v>0</v>
      </c>
      <c r="B25" s="891">
        <f>Application!G739</f>
        <v>0</v>
      </c>
      <c r="C25" s="892"/>
      <c r="D25" s="316">
        <f>Application!O739</f>
        <v>0</v>
      </c>
      <c r="E25" s="317"/>
      <c r="F25" s="893"/>
      <c r="G25" s="316">
        <f t="shared" si="2"/>
        <v>0</v>
      </c>
      <c r="H25" s="317"/>
      <c r="I25" s="316" t="str">
        <f t="shared" si="0"/>
        <v/>
      </c>
      <c r="J25" s="316" t="str">
        <f t="shared" si="1"/>
        <v/>
      </c>
      <c r="K25" s="118"/>
      <c r="L25" s="200"/>
    </row>
    <row r="26" spans="1:12">
      <c r="A26" s="316">
        <f>Application!B740</f>
        <v>0</v>
      </c>
      <c r="B26" s="891">
        <f>Application!G740</f>
        <v>0</v>
      </c>
      <c r="C26" s="892"/>
      <c r="D26" s="316">
        <f>Application!O740</f>
        <v>0</v>
      </c>
      <c r="E26" s="317"/>
      <c r="F26" s="893"/>
      <c r="G26" s="316">
        <f t="shared" si="2"/>
        <v>0</v>
      </c>
      <c r="H26" s="317"/>
      <c r="I26" s="316" t="str">
        <f t="shared" si="0"/>
        <v/>
      </c>
      <c r="J26" s="316" t="str">
        <f t="shared" si="1"/>
        <v/>
      </c>
      <c r="K26" s="118"/>
      <c r="L26" s="200"/>
    </row>
    <row r="27" spans="1:12">
      <c r="A27" s="316">
        <f>Application!B741</f>
        <v>0</v>
      </c>
      <c r="B27" s="891">
        <f>Application!G741</f>
        <v>0</v>
      </c>
      <c r="C27" s="892"/>
      <c r="D27" s="316">
        <f>Application!O741</f>
        <v>0</v>
      </c>
      <c r="E27" s="317"/>
      <c r="F27" s="893"/>
      <c r="G27" s="316">
        <f t="shared" si="2"/>
        <v>0</v>
      </c>
      <c r="H27" s="317"/>
      <c r="I27" s="316" t="str">
        <f t="shared" si="0"/>
        <v/>
      </c>
      <c r="J27" s="316" t="str">
        <f t="shared" si="1"/>
        <v/>
      </c>
      <c r="K27" s="118"/>
      <c r="L27" s="200"/>
    </row>
    <row r="28" spans="1:12">
      <c r="A28" s="316">
        <f>Application!B742</f>
        <v>0</v>
      </c>
      <c r="B28" s="891">
        <f>Application!G742</f>
        <v>0</v>
      </c>
      <c r="C28" s="892"/>
      <c r="D28" s="316">
        <f>Application!O742</f>
        <v>0</v>
      </c>
      <c r="E28" s="317"/>
      <c r="F28" s="893"/>
      <c r="G28" s="316">
        <f t="shared" si="2"/>
        <v>0</v>
      </c>
      <c r="H28" s="317"/>
      <c r="I28" s="316" t="str">
        <f t="shared" ref="I28:I37" si="3">IF(F28=0,"",(F28-D28))</f>
        <v/>
      </c>
      <c r="J28" s="316" t="str">
        <f t="shared" ref="J28:J37" si="4">IF(F28=0,"",(I28*B28))</f>
        <v/>
      </c>
      <c r="K28" s="118"/>
      <c r="L28" s="200"/>
    </row>
    <row r="29" spans="1:12">
      <c r="A29" s="316">
        <f>Application!B743</f>
        <v>0</v>
      </c>
      <c r="B29" s="891">
        <f>Application!G743</f>
        <v>0</v>
      </c>
      <c r="C29" s="892"/>
      <c r="D29" s="316">
        <f>Application!O743</f>
        <v>0</v>
      </c>
      <c r="E29" s="317"/>
      <c r="F29" s="893"/>
      <c r="G29" s="316">
        <f t="shared" si="2"/>
        <v>0</v>
      </c>
      <c r="H29" s="317"/>
      <c r="I29" s="316" t="str">
        <f t="shared" si="3"/>
        <v/>
      </c>
      <c r="J29" s="316" t="str">
        <f t="shared" si="4"/>
        <v/>
      </c>
      <c r="K29" s="118"/>
      <c r="L29" s="200"/>
    </row>
    <row r="30" spans="1:12">
      <c r="A30" s="316">
        <f>Application!B744</f>
        <v>0</v>
      </c>
      <c r="B30" s="891">
        <f>Application!G744</f>
        <v>0</v>
      </c>
      <c r="C30" s="892"/>
      <c r="D30" s="316">
        <f>Application!O744</f>
        <v>0</v>
      </c>
      <c r="E30" s="317"/>
      <c r="F30" s="893"/>
      <c r="G30" s="316">
        <f t="shared" si="2"/>
        <v>0</v>
      </c>
      <c r="H30" s="317"/>
      <c r="I30" s="316" t="str">
        <f t="shared" si="3"/>
        <v/>
      </c>
      <c r="J30" s="316" t="str">
        <f t="shared" si="4"/>
        <v/>
      </c>
      <c r="K30" s="118"/>
      <c r="L30" s="200"/>
    </row>
    <row r="31" spans="1:12">
      <c r="A31" s="316">
        <f>Application!B745</f>
        <v>0</v>
      </c>
      <c r="B31" s="891">
        <f>Application!G745</f>
        <v>0</v>
      </c>
      <c r="C31" s="892"/>
      <c r="D31" s="316">
        <f>Application!O745</f>
        <v>0</v>
      </c>
      <c r="E31" s="317"/>
      <c r="F31" s="893"/>
      <c r="G31" s="316">
        <f t="shared" si="2"/>
        <v>0</v>
      </c>
      <c r="H31" s="317"/>
      <c r="I31" s="316" t="str">
        <f t="shared" si="3"/>
        <v/>
      </c>
      <c r="J31" s="316" t="str">
        <f t="shared" si="4"/>
        <v/>
      </c>
      <c r="K31" s="118"/>
      <c r="L31" s="200"/>
    </row>
    <row r="32" spans="1:12">
      <c r="A32" s="316">
        <f>Application!B746</f>
        <v>0</v>
      </c>
      <c r="B32" s="891">
        <f>Application!G746</f>
        <v>0</v>
      </c>
      <c r="C32" s="892"/>
      <c r="D32" s="316">
        <f>Application!O746</f>
        <v>0</v>
      </c>
      <c r="E32" s="317"/>
      <c r="F32" s="893"/>
      <c r="G32" s="316">
        <f t="shared" si="2"/>
        <v>0</v>
      </c>
      <c r="H32" s="317"/>
      <c r="I32" s="316" t="str">
        <f t="shared" si="3"/>
        <v/>
      </c>
      <c r="J32" s="316" t="str">
        <f t="shared" si="4"/>
        <v/>
      </c>
      <c r="K32" s="118"/>
      <c r="L32" s="200"/>
    </row>
    <row r="33" spans="1:12">
      <c r="A33" s="316">
        <f>Application!B747</f>
        <v>0</v>
      </c>
      <c r="B33" s="891">
        <f>Application!G747</f>
        <v>0</v>
      </c>
      <c r="C33" s="892"/>
      <c r="D33" s="316">
        <f>Application!O747</f>
        <v>0</v>
      </c>
      <c r="E33" s="317"/>
      <c r="F33" s="893"/>
      <c r="G33" s="316">
        <f t="shared" si="2"/>
        <v>0</v>
      </c>
      <c r="H33" s="317"/>
      <c r="I33" s="316" t="str">
        <f t="shared" si="3"/>
        <v/>
      </c>
      <c r="J33" s="316" t="str">
        <f t="shared" si="4"/>
        <v/>
      </c>
      <c r="K33" s="118"/>
      <c r="L33" s="200"/>
    </row>
    <row r="34" spans="1:12">
      <c r="A34" s="316">
        <f>Application!B748</f>
        <v>0</v>
      </c>
      <c r="B34" s="891">
        <f>Application!G748</f>
        <v>0</v>
      </c>
      <c r="C34" s="892"/>
      <c r="D34" s="316">
        <f>Application!O748</f>
        <v>0</v>
      </c>
      <c r="E34" s="317"/>
      <c r="F34" s="893"/>
      <c r="G34" s="316">
        <f t="shared" si="2"/>
        <v>0</v>
      </c>
      <c r="H34" s="317"/>
      <c r="I34" s="316" t="str">
        <f t="shared" si="3"/>
        <v/>
      </c>
      <c r="J34" s="316" t="str">
        <f t="shared" si="4"/>
        <v/>
      </c>
      <c r="K34" s="118"/>
      <c r="L34" s="200"/>
    </row>
    <row r="35" spans="1:12">
      <c r="A35" s="316">
        <f>Application!B749</f>
        <v>0</v>
      </c>
      <c r="B35" s="891">
        <f>Application!G749</f>
        <v>0</v>
      </c>
      <c r="C35" s="892"/>
      <c r="D35" s="316">
        <f>Application!O749</f>
        <v>0</v>
      </c>
      <c r="E35" s="317"/>
      <c r="F35" s="893"/>
      <c r="G35" s="316">
        <f t="shared" si="2"/>
        <v>0</v>
      </c>
      <c r="H35" s="317"/>
      <c r="I35" s="316" t="str">
        <f t="shared" si="3"/>
        <v/>
      </c>
      <c r="J35" s="316" t="str">
        <f t="shared" si="4"/>
        <v/>
      </c>
      <c r="K35" s="118"/>
      <c r="L35" s="200"/>
    </row>
    <row r="36" spans="1:12">
      <c r="A36" s="316">
        <f>Application!B750</f>
        <v>0</v>
      </c>
      <c r="B36" s="891">
        <f>Application!G750</f>
        <v>0</v>
      </c>
      <c r="C36" s="892"/>
      <c r="D36" s="316">
        <f>Application!O750</f>
        <v>0</v>
      </c>
      <c r="E36" s="317"/>
      <c r="F36" s="893"/>
      <c r="G36" s="316">
        <f t="shared" si="2"/>
        <v>0</v>
      </c>
      <c r="H36" s="317"/>
      <c r="I36" s="316" t="str">
        <f t="shared" si="3"/>
        <v/>
      </c>
      <c r="J36" s="316" t="str">
        <f t="shared" si="4"/>
        <v/>
      </c>
      <c r="K36" s="118"/>
      <c r="L36" s="200"/>
    </row>
    <row r="37" spans="1:12">
      <c r="A37" s="316">
        <f>Application!B751</f>
        <v>0</v>
      </c>
      <c r="B37" s="891">
        <f>Application!G751</f>
        <v>0</v>
      </c>
      <c r="C37" s="892"/>
      <c r="D37" s="316">
        <f>Application!O751</f>
        <v>0</v>
      </c>
      <c r="E37" s="317"/>
      <c r="F37" s="893"/>
      <c r="G37" s="316">
        <f t="shared" si="2"/>
        <v>0</v>
      </c>
      <c r="H37" s="317"/>
      <c r="I37" s="316" t="str">
        <f t="shared" si="3"/>
        <v/>
      </c>
      <c r="J37" s="316" t="str">
        <f t="shared" si="4"/>
        <v/>
      </c>
      <c r="K37" s="118"/>
      <c r="L37" s="200"/>
    </row>
    <row r="38" spans="1:12">
      <c r="A38" s="316">
        <f>Application!B752</f>
        <v>0</v>
      </c>
      <c r="B38" s="891">
        <f>Application!G752</f>
        <v>0</v>
      </c>
      <c r="C38" s="892"/>
      <c r="D38" s="316">
        <f>Application!O752</f>
        <v>0</v>
      </c>
      <c r="E38" s="317"/>
      <c r="F38" s="893"/>
      <c r="G38" s="316">
        <f t="shared" si="2"/>
        <v>0</v>
      </c>
      <c r="H38" s="317"/>
      <c r="I38" s="316" t="str">
        <f>IF(F38=0,"",(F38-D38))</f>
        <v/>
      </c>
      <c r="J38" s="316" t="str">
        <f>IF(F38=0,"",(I38*B38))</f>
        <v/>
      </c>
      <c r="K38" s="118"/>
      <c r="L38" s="200"/>
    </row>
    <row r="39" spans="1:12">
      <c r="A39" s="118"/>
      <c r="B39" s="118"/>
      <c r="C39" s="118"/>
      <c r="D39" s="317"/>
      <c r="E39" s="317"/>
      <c r="F39" s="317"/>
      <c r="G39" s="317"/>
      <c r="H39" s="317"/>
      <c r="I39" s="317"/>
      <c r="J39" s="118"/>
      <c r="K39" s="118"/>
      <c r="L39" s="200"/>
    </row>
    <row r="40" spans="1:12">
      <c r="A40" s="318" t="s">
        <v>2707</v>
      </c>
      <c r="B40" s="319"/>
      <c r="C40" s="319"/>
      <c r="D40" s="320">
        <f>Application!O753</f>
        <v>59623</v>
      </c>
      <c r="E40" s="317"/>
      <c r="F40" s="317"/>
      <c r="G40" s="320">
        <f>SUM(G4:G38)*12</f>
        <v>806520</v>
      </c>
      <c r="H40" s="321"/>
      <c r="I40" s="319"/>
      <c r="J40" s="320">
        <f>SUM(J4:J38)*12</f>
        <v>583500</v>
      </c>
      <c r="K40" s="118"/>
      <c r="L40" s="201"/>
    </row>
    <row r="41" spans="1:12">
      <c r="A41" s="318"/>
      <c r="B41" s="319"/>
      <c r="C41" s="319"/>
      <c r="D41" s="321"/>
      <c r="E41" s="317"/>
      <c r="F41" s="317"/>
      <c r="G41" s="321"/>
      <c r="H41" s="321"/>
      <c r="I41" s="319"/>
      <c r="J41" s="321"/>
      <c r="K41" s="118"/>
      <c r="L41" s="201"/>
    </row>
    <row r="42" spans="1:12">
      <c r="A42" s="322" t="s">
        <v>2708</v>
      </c>
      <c r="B42" s="123"/>
      <c r="C42" s="123"/>
      <c r="D42" s="123"/>
      <c r="E42" s="123"/>
      <c r="F42" s="123"/>
      <c r="G42" s="123"/>
      <c r="H42" s="123"/>
      <c r="I42" s="123"/>
      <c r="J42" s="123"/>
    </row>
    <row r="43" spans="1:12">
      <c r="A43" s="322" t="s">
        <v>2709</v>
      </c>
      <c r="B43" s="123"/>
      <c r="C43" s="123"/>
      <c r="D43" s="123"/>
      <c r="E43" s="123"/>
      <c r="F43" s="123"/>
      <c r="G43" s="123"/>
      <c r="H43" s="123"/>
      <c r="I43" s="123"/>
      <c r="J43" s="123"/>
    </row>
    <row r="44" spans="1:12">
      <c r="A44" s="123" t="s">
        <v>2710</v>
      </c>
      <c r="B44" s="123"/>
      <c r="C44" s="123"/>
      <c r="D44" s="123"/>
      <c r="E44" s="123"/>
      <c r="F44" s="123"/>
      <c r="G44" s="123"/>
      <c r="H44" s="123"/>
      <c r="I44" s="123"/>
      <c r="J44" s="123"/>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abSelected="1" topLeftCell="S47" workbookViewId="0">
      <selection activeCell="E40" sqref="E40"/>
    </sheetView>
  </sheetViews>
  <sheetFormatPr defaultColWidth="0" defaultRowHeight="12.5" zeroHeight="1"/>
  <cols>
    <col min="1" max="1" width="3.7265625" customWidth="1"/>
    <col min="2" max="2" width="30.453125" customWidth="1"/>
    <col min="3" max="3" width="9.1796875" style="126"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124" t="s">
        <v>2711</v>
      </c>
      <c r="B1" s="124"/>
    </row>
    <row r="2" spans="1:34"/>
    <row r="3" spans="1:34" ht="15.5">
      <c r="A3" s="125" t="s">
        <v>2712</v>
      </c>
      <c r="B3" s="125"/>
      <c r="C3" s="147" t="s">
        <v>2713</v>
      </c>
      <c r="D3" s="1127"/>
      <c r="E3" s="148" t="s">
        <v>2714</v>
      </c>
      <c r="F3" s="117"/>
      <c r="G3" s="148" t="s">
        <v>2715</v>
      </c>
      <c r="H3" s="117"/>
      <c r="I3" s="148" t="s">
        <v>2716</v>
      </c>
      <c r="J3" s="117"/>
      <c r="K3" s="148" t="s">
        <v>2717</v>
      </c>
      <c r="L3" s="117"/>
      <c r="M3" s="148" t="s">
        <v>2718</v>
      </c>
      <c r="N3" s="117"/>
      <c r="O3" s="148" t="s">
        <v>2719</v>
      </c>
      <c r="P3" s="117"/>
      <c r="Q3" s="148" t="s">
        <v>2720</v>
      </c>
      <c r="R3" s="117"/>
      <c r="S3" s="148" t="s">
        <v>2721</v>
      </c>
      <c r="T3" s="117"/>
      <c r="U3" s="148" t="s">
        <v>2722</v>
      </c>
      <c r="V3" s="117"/>
      <c r="W3" s="148" t="s">
        <v>2723</v>
      </c>
      <c r="X3" s="117"/>
      <c r="Y3" s="148" t="s">
        <v>2724</v>
      </c>
      <c r="Z3" s="117"/>
      <c r="AA3" s="148" t="s">
        <v>2725</v>
      </c>
      <c r="AB3" s="117"/>
      <c r="AC3" s="148" t="s">
        <v>2726</v>
      </c>
      <c r="AD3" s="117"/>
      <c r="AE3" s="148" t="s">
        <v>2727</v>
      </c>
      <c r="AF3" s="117"/>
      <c r="AG3" s="148" t="s">
        <v>2728</v>
      </c>
      <c r="AH3" s="1127"/>
    </row>
    <row r="4" spans="1:34" s="132" customFormat="1" ht="14">
      <c r="A4" s="132" t="s">
        <v>2729</v>
      </c>
      <c r="C4" s="1105">
        <v>1.0249999999999999</v>
      </c>
      <c r="E4" s="132">
        <f>Application!Y801</f>
        <v>715476</v>
      </c>
      <c r="G4" s="132">
        <f>E4*$C$4</f>
        <v>733362.89999999991</v>
      </c>
      <c r="I4" s="132">
        <f>G4*$C$4</f>
        <v>751696.9724999998</v>
      </c>
      <c r="K4" s="132">
        <f>I4*$C$4</f>
        <v>770489.39681249973</v>
      </c>
      <c r="M4" s="132">
        <f>K4*$C$4</f>
        <v>789751.63173281215</v>
      </c>
      <c r="O4" s="132">
        <f>M4*$C$4</f>
        <v>809495.42252613243</v>
      </c>
      <c r="Q4" s="132">
        <f>O4*$C$4</f>
        <v>829732.80808928562</v>
      </c>
      <c r="S4" s="132">
        <f>Q4*$C$4</f>
        <v>850476.12829151773</v>
      </c>
      <c r="U4" s="132">
        <f>S4*$C$4</f>
        <v>871738.03149880562</v>
      </c>
      <c r="W4" s="132">
        <f>U4*$C$4</f>
        <v>893531.48228627571</v>
      </c>
      <c r="Y4" s="132">
        <f>W4*$C$4</f>
        <v>915869.7693434325</v>
      </c>
      <c r="AA4" s="132">
        <f>Y4*$C$4</f>
        <v>938766.51357701828</v>
      </c>
      <c r="AC4" s="132">
        <f>AA4*$C$4</f>
        <v>962235.67641644366</v>
      </c>
      <c r="AE4" s="132">
        <f>AC4*$C$4</f>
        <v>986291.56832685461</v>
      </c>
      <c r="AG4" s="132">
        <f>AE4*$C$4</f>
        <v>1010948.8575350259</v>
      </c>
    </row>
    <row r="5" spans="1:34" s="123" customFormat="1" ht="14">
      <c r="B5" s="123" t="s">
        <v>2075</v>
      </c>
      <c r="C5" s="1106">
        <f>IF(Application!$D$211="Special Needs",0.1,0.05)</f>
        <v>0.05</v>
      </c>
      <c r="E5" s="134">
        <f>-E4*$C$5</f>
        <v>-35773.800000000003</v>
      </c>
      <c r="F5" s="134"/>
      <c r="G5" s="134">
        <f>-G4*$C$5</f>
        <v>-36668.144999999997</v>
      </c>
      <c r="H5" s="134"/>
      <c r="I5" s="134">
        <f>-I4*$C$5</f>
        <v>-37584.848624999991</v>
      </c>
      <c r="J5" s="134"/>
      <c r="K5" s="134">
        <f>-K4*$C$5</f>
        <v>-38524.469840624988</v>
      </c>
      <c r="L5" s="134"/>
      <c r="M5" s="134">
        <f>-M4*$C$5</f>
        <v>-39487.581586640612</v>
      </c>
      <c r="N5" s="134"/>
      <c r="O5" s="134">
        <f>-O4*$C$5</f>
        <v>-40474.771126306623</v>
      </c>
      <c r="P5" s="134"/>
      <c r="Q5" s="134">
        <f>-Q4*$C$5</f>
        <v>-41486.640404464284</v>
      </c>
      <c r="R5" s="134"/>
      <c r="S5" s="134">
        <f>-S4*$C$5</f>
        <v>-42523.806414575891</v>
      </c>
      <c r="T5" s="134"/>
      <c r="U5" s="134">
        <f>-U4*$C$5</f>
        <v>-43586.901574940282</v>
      </c>
      <c r="V5" s="134"/>
      <c r="W5" s="134">
        <f>-W4*$C$5</f>
        <v>-44676.574114313786</v>
      </c>
      <c r="X5" s="134"/>
      <c r="Y5" s="134">
        <f>-Y4*$C$5</f>
        <v>-45793.488467171628</v>
      </c>
      <c r="Z5" s="134"/>
      <c r="AA5" s="134">
        <f>-AA4*$C$5</f>
        <v>-46938.325678850917</v>
      </c>
      <c r="AB5" s="134"/>
      <c r="AC5" s="134">
        <f>-AC4*$C$5</f>
        <v>-48111.783820822187</v>
      </c>
      <c r="AD5" s="134"/>
      <c r="AE5" s="134">
        <f>-AE4*$C$5</f>
        <v>-49314.578416342731</v>
      </c>
      <c r="AF5" s="134"/>
      <c r="AG5" s="134">
        <f>-AG4*$C$5</f>
        <v>-50547.442876751302</v>
      </c>
    </row>
    <row r="6" spans="1:34" s="123" customFormat="1" ht="14">
      <c r="A6" s="123" t="s">
        <v>2730</v>
      </c>
      <c r="C6" s="1105">
        <v>1.0249999999999999</v>
      </c>
      <c r="E6" s="135">
        <f>Application!Z809</f>
        <v>583500</v>
      </c>
      <c r="F6" s="135"/>
      <c r="G6" s="135">
        <f>E6*$C$6</f>
        <v>598087.5</v>
      </c>
      <c r="H6" s="135"/>
      <c r="I6" s="135">
        <f>G6*$C$6</f>
        <v>613039.6875</v>
      </c>
      <c r="J6" s="135"/>
      <c r="K6" s="135">
        <f>I6*$C$6</f>
        <v>628365.6796875</v>
      </c>
      <c r="L6" s="135"/>
      <c r="M6" s="135">
        <f>K6*$C$6</f>
        <v>644074.82167968748</v>
      </c>
      <c r="N6" s="135"/>
      <c r="O6" s="135">
        <f>M6*$C$6</f>
        <v>660176.69222167961</v>
      </c>
      <c r="P6" s="135"/>
      <c r="Q6" s="135">
        <f>O6*$C$6</f>
        <v>676681.10952722153</v>
      </c>
      <c r="R6" s="135"/>
      <c r="S6" s="135">
        <f>Q6*$C$6</f>
        <v>693598.13726540201</v>
      </c>
      <c r="T6" s="135"/>
      <c r="U6" s="135">
        <f>S6*$C$6</f>
        <v>710938.09069703694</v>
      </c>
      <c r="V6" s="135"/>
      <c r="W6" s="135">
        <f>U6*$C$6</f>
        <v>728711.54296446277</v>
      </c>
      <c r="X6" s="135"/>
      <c r="Y6" s="135">
        <f>W6*$C$6</f>
        <v>746929.3315385743</v>
      </c>
      <c r="Z6" s="135"/>
      <c r="AA6" s="135">
        <f>Y6*$C$6</f>
        <v>765602.56482703856</v>
      </c>
      <c r="AB6" s="135"/>
      <c r="AC6" s="135">
        <f>AA6*$C$6</f>
        <v>784742.62894771446</v>
      </c>
      <c r="AD6" s="135"/>
      <c r="AE6" s="135">
        <f>AC6*$C$6</f>
        <v>804361.19467140723</v>
      </c>
      <c r="AF6" s="135"/>
      <c r="AG6" s="135">
        <f>AE6*$C$6</f>
        <v>824470.22453819239</v>
      </c>
    </row>
    <row r="7" spans="1:34" s="123" customFormat="1" ht="14">
      <c r="B7" s="123" t="s">
        <v>2075</v>
      </c>
      <c r="C7" s="1106">
        <f>IF(Application!$D$211="Special Needs",0.1,0.05)</f>
        <v>0.05</v>
      </c>
      <c r="E7" s="134">
        <f>-E6*$C$7</f>
        <v>-29175</v>
      </c>
      <c r="F7" s="134"/>
      <c r="G7" s="134">
        <f>-G6*$C$7</f>
        <v>-29904.375</v>
      </c>
      <c r="H7" s="134"/>
      <c r="I7" s="134">
        <f>-I6*$C$7</f>
        <v>-30651.984375</v>
      </c>
      <c r="J7" s="134"/>
      <c r="K7" s="134">
        <f>-K6*$C$7</f>
        <v>-31418.283984375001</v>
      </c>
      <c r="L7" s="134"/>
      <c r="M7" s="134">
        <f>-M6*$C$7</f>
        <v>-32203.741083984376</v>
      </c>
      <c r="N7" s="134"/>
      <c r="O7" s="134">
        <f>-O6*$C$7</f>
        <v>-33008.834611083985</v>
      </c>
      <c r="P7" s="134"/>
      <c r="Q7" s="134">
        <f>-Q6*$C$7</f>
        <v>-33834.055476361078</v>
      </c>
      <c r="R7" s="134"/>
      <c r="S7" s="134">
        <f>-S6*$C$7</f>
        <v>-34679.906863270102</v>
      </c>
      <c r="T7" s="134"/>
      <c r="U7" s="134">
        <f>-U6*$C$7</f>
        <v>-35546.904534851848</v>
      </c>
      <c r="V7" s="134"/>
      <c r="W7" s="134">
        <f>-W6*$C$7</f>
        <v>-36435.577148223143</v>
      </c>
      <c r="X7" s="134"/>
      <c r="Y7" s="134">
        <f>-Y6*$C$7</f>
        <v>-37346.466576928717</v>
      </c>
      <c r="Z7" s="134"/>
      <c r="AA7" s="134">
        <f>-AA6*$C$7</f>
        <v>-38280.128241351929</v>
      </c>
      <c r="AB7" s="134"/>
      <c r="AC7" s="134">
        <f>-AC6*$C$7</f>
        <v>-39237.131447385727</v>
      </c>
      <c r="AD7" s="134"/>
      <c r="AE7" s="134">
        <f>-AE6*$C$7</f>
        <v>-40218.059733570364</v>
      </c>
      <c r="AF7" s="134"/>
      <c r="AG7" s="134">
        <f>-AG6*$C$7</f>
        <v>-41223.511226909621</v>
      </c>
    </row>
    <row r="8" spans="1:34" s="123" customFormat="1" ht="14">
      <c r="A8" s="123" t="s">
        <v>214</v>
      </c>
      <c r="C8" s="1105">
        <v>1.0249999999999999</v>
      </c>
      <c r="E8" s="135">
        <f>Application!Z817</f>
        <v>10176</v>
      </c>
      <c r="F8" s="135"/>
      <c r="G8" s="135">
        <f>E8*$C$8</f>
        <v>10430.4</v>
      </c>
      <c r="H8" s="135"/>
      <c r="I8" s="135">
        <f>G8*$C$8</f>
        <v>10691.159999999998</v>
      </c>
      <c r="J8" s="135"/>
      <c r="K8" s="135">
        <f>I8*$C$8</f>
        <v>10958.438999999997</v>
      </c>
      <c r="L8" s="135"/>
      <c r="M8" s="135">
        <f>K8*$C$8</f>
        <v>11232.399974999995</v>
      </c>
      <c r="N8" s="135"/>
      <c r="O8" s="135">
        <f>M8*$C$8</f>
        <v>11513.209974374993</v>
      </c>
      <c r="P8" s="135"/>
      <c r="Q8" s="135">
        <f>O8*$C$8</f>
        <v>11801.040223734368</v>
      </c>
      <c r="R8" s="135"/>
      <c r="S8" s="135">
        <f>Q8*$C$8</f>
        <v>12096.066229327726</v>
      </c>
      <c r="T8" s="135"/>
      <c r="U8" s="135">
        <f>S8*$C$8</f>
        <v>12398.467885060918</v>
      </c>
      <c r="V8" s="135"/>
      <c r="W8" s="135">
        <f>U8*$C$8</f>
        <v>12708.42958218744</v>
      </c>
      <c r="X8" s="135"/>
      <c r="Y8" s="135">
        <f>W8*$C$8</f>
        <v>13026.140321742125</v>
      </c>
      <c r="Z8" s="135"/>
      <c r="AA8" s="135">
        <f>Y8*$C$8</f>
        <v>13351.793829785676</v>
      </c>
      <c r="AB8" s="135"/>
      <c r="AC8" s="135">
        <f>AA8*$C$8</f>
        <v>13685.588675530316</v>
      </c>
      <c r="AD8" s="135"/>
      <c r="AE8" s="135">
        <f>AC8*$C$8</f>
        <v>14027.728392418572</v>
      </c>
      <c r="AF8" s="135"/>
      <c r="AG8" s="135">
        <f>AE8*$C$8</f>
        <v>14378.421602229035</v>
      </c>
    </row>
    <row r="9" spans="1:34" s="123" customFormat="1" ht="14">
      <c r="B9" s="123" t="s">
        <v>2075</v>
      </c>
      <c r="C9" s="1106">
        <f>IF(Application!$D$211="Special Needs",0.1,0.05)</f>
        <v>0.05</v>
      </c>
      <c r="E9" s="134">
        <f>-E8*$C$9</f>
        <v>-508.8</v>
      </c>
      <c r="F9" s="134"/>
      <c r="G9" s="134">
        <f>-G8*$C$9</f>
        <v>-521.52</v>
      </c>
      <c r="H9" s="134"/>
      <c r="I9" s="134">
        <f>-I8*$C$9</f>
        <v>-534.55799999999988</v>
      </c>
      <c r="J9" s="134"/>
      <c r="K9" s="134">
        <f>-K8*$C$9</f>
        <v>-547.92194999999981</v>
      </c>
      <c r="L9" s="134"/>
      <c r="M9" s="134">
        <f>-M8*$C$9</f>
        <v>-561.61999874999981</v>
      </c>
      <c r="N9" s="134"/>
      <c r="O9" s="134">
        <f>-O8*$C$9</f>
        <v>-575.66049871874964</v>
      </c>
      <c r="P9" s="134"/>
      <c r="Q9" s="134">
        <f>-Q8*$C$9</f>
        <v>-590.05201118671846</v>
      </c>
      <c r="R9" s="134"/>
      <c r="S9" s="134">
        <f>-S8*$C$9</f>
        <v>-604.80331146638628</v>
      </c>
      <c r="T9" s="134"/>
      <c r="U9" s="134">
        <f>-U8*$C$9</f>
        <v>-619.9233942530459</v>
      </c>
      <c r="V9" s="134"/>
      <c r="W9" s="134">
        <f>-W8*$C$9</f>
        <v>-635.42147910937206</v>
      </c>
      <c r="X9" s="134"/>
      <c r="Y9" s="134">
        <f>-Y8*$C$9</f>
        <v>-651.30701608710626</v>
      </c>
      <c r="Z9" s="134"/>
      <c r="AA9" s="134">
        <f>-AA8*$C$9</f>
        <v>-667.58969148928384</v>
      </c>
      <c r="AB9" s="134"/>
      <c r="AC9" s="134">
        <f>-AC8*$C$9</f>
        <v>-684.27943377651582</v>
      </c>
      <c r="AD9" s="134"/>
      <c r="AE9" s="134">
        <f>-AE8*$C$9</f>
        <v>-701.38641962092868</v>
      </c>
      <c r="AF9" s="134"/>
      <c r="AG9" s="134">
        <f>-AG8*$C$9</f>
        <v>-718.92108011145183</v>
      </c>
    </row>
    <row r="10" spans="1:34" s="123" customFormat="1" ht="14">
      <c r="A10" s="955" t="s">
        <v>2731</v>
      </c>
      <c r="B10" s="955"/>
      <c r="C10" s="1106"/>
      <c r="E10" s="956"/>
      <c r="F10" s="135"/>
      <c r="G10" s="956"/>
      <c r="H10" s="135"/>
      <c r="I10" s="956"/>
      <c r="J10" s="135"/>
      <c r="K10" s="956"/>
      <c r="L10" s="135"/>
      <c r="M10" s="956"/>
      <c r="N10" s="135"/>
      <c r="O10" s="956"/>
      <c r="P10" s="135"/>
      <c r="Q10" s="956"/>
      <c r="R10" s="135"/>
      <c r="S10" s="956"/>
      <c r="T10" s="135"/>
      <c r="U10" s="956"/>
      <c r="V10" s="135"/>
      <c r="W10" s="956"/>
      <c r="X10" s="135"/>
      <c r="Y10" s="956"/>
      <c r="Z10" s="135"/>
      <c r="AA10" s="956"/>
      <c r="AB10" s="135"/>
      <c r="AC10" s="956"/>
      <c r="AD10" s="135"/>
      <c r="AE10" s="956"/>
      <c r="AF10" s="135"/>
      <c r="AG10" s="956"/>
    </row>
    <row r="11" spans="1:34" s="136" customFormat="1" ht="14">
      <c r="A11" s="136" t="s">
        <v>2732</v>
      </c>
      <c r="C11" s="128"/>
      <c r="E11" s="136">
        <f>SUM(E4:E10)</f>
        <v>1243694.3999999999</v>
      </c>
      <c r="G11" s="136">
        <f>SUM(G4:G10)</f>
        <v>1274786.7599999998</v>
      </c>
      <c r="I11" s="136">
        <f>SUM(I4:I10)</f>
        <v>1306656.4289999998</v>
      </c>
      <c r="K11" s="136">
        <f>SUM(K4:K10)</f>
        <v>1339322.8397249996</v>
      </c>
      <c r="M11" s="136">
        <f>SUM(M4:M10)</f>
        <v>1372805.9107181246</v>
      </c>
      <c r="O11" s="136">
        <f>SUM(O4:O10)</f>
        <v>1407126.0584860777</v>
      </c>
      <c r="Q11" s="136">
        <f>SUM(Q4:Q10)</f>
        <v>1442304.2099482294</v>
      </c>
      <c r="S11" s="136">
        <f>SUM(S4:S10)</f>
        <v>1478361.8151969351</v>
      </c>
      <c r="U11" s="136">
        <f>SUM(U4:U10)</f>
        <v>1515320.8605768583</v>
      </c>
      <c r="W11" s="136">
        <f>SUM(W4:W10)</f>
        <v>1553203.8820912796</v>
      </c>
      <c r="Y11" s="136">
        <f>SUM(Y4:Y10)</f>
        <v>1592033.9791435613</v>
      </c>
      <c r="AA11" s="136">
        <f>SUM(AA4:AA10)</f>
        <v>1631834.8286221502</v>
      </c>
      <c r="AC11" s="136">
        <f>SUM(AC4:AC10)</f>
        <v>1672630.6993377041</v>
      </c>
      <c r="AE11" s="136">
        <f>SUM(AE4:AE10)</f>
        <v>1714446.4668211464</v>
      </c>
      <c r="AG11" s="136">
        <f>SUM(AG4:AG10)</f>
        <v>1757307.628491675</v>
      </c>
    </row>
    <row r="12" spans="1:34">
      <c r="C12" s="783"/>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c r="AF12" s="127"/>
      <c r="AG12" s="127"/>
    </row>
    <row r="13" spans="1:34" ht="15.5">
      <c r="A13" s="125" t="s">
        <v>2733</v>
      </c>
      <c r="C13" s="783"/>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row>
    <row r="14" spans="1:34" s="123" customFormat="1" ht="14">
      <c r="A14" s="123" t="s">
        <v>2734</v>
      </c>
      <c r="C14" s="1105">
        <v>1.0349999999999999</v>
      </c>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row>
    <row r="15" spans="1:34" s="132" customFormat="1" ht="14">
      <c r="A15" s="132" t="s">
        <v>2735</v>
      </c>
      <c r="C15" s="791"/>
      <c r="E15" s="132">
        <f>Application!W847</f>
        <v>77800</v>
      </c>
      <c r="G15" s="132">
        <f>E15*$C$14</f>
        <v>80523</v>
      </c>
      <c r="I15" s="132">
        <f>G15*$C$14</f>
        <v>83341.304999999993</v>
      </c>
      <c r="K15" s="132">
        <f>I15*$C$14</f>
        <v>86258.250674999988</v>
      </c>
      <c r="M15" s="132">
        <f>K15*$C$14</f>
        <v>89277.289448624986</v>
      </c>
      <c r="O15" s="132">
        <f>M15*$C$14</f>
        <v>92401.994579326856</v>
      </c>
      <c r="Q15" s="132">
        <f>O15*$C$14</f>
        <v>95636.064389603285</v>
      </c>
      <c r="S15" s="132">
        <f>Q15*$C$14</f>
        <v>98983.326643239387</v>
      </c>
      <c r="U15" s="132">
        <f>S15*$C$14</f>
        <v>102447.74307575276</v>
      </c>
      <c r="W15" s="132">
        <f>U15*$C$14</f>
        <v>106033.4140834041</v>
      </c>
      <c r="Y15" s="132">
        <f>W15*$C$14</f>
        <v>109744.58357632323</v>
      </c>
      <c r="AA15" s="132">
        <f>Y15*$C$14</f>
        <v>113585.64400149454</v>
      </c>
      <c r="AC15" s="132">
        <f>AA15*$C$14</f>
        <v>117561.14154154684</v>
      </c>
      <c r="AE15" s="132">
        <f>AC15*$C$14</f>
        <v>121675.78149550097</v>
      </c>
      <c r="AG15" s="132">
        <f>AE15*$C$14</f>
        <v>125934.43384784349</v>
      </c>
    </row>
    <row r="16" spans="1:34" s="123" customFormat="1" ht="14">
      <c r="A16" s="123" t="s">
        <v>1615</v>
      </c>
      <c r="C16" s="783"/>
      <c r="E16" s="135">
        <f>Application!W849</f>
        <v>45400</v>
      </c>
      <c r="F16" s="135"/>
      <c r="G16" s="135">
        <f t="shared" ref="G16:AG21" si="0">E16*$C$14</f>
        <v>46989</v>
      </c>
      <c r="H16" s="135"/>
      <c r="I16" s="135">
        <f t="shared" si="0"/>
        <v>48633.614999999998</v>
      </c>
      <c r="J16" s="135"/>
      <c r="K16" s="135">
        <f t="shared" si="0"/>
        <v>50335.791524999993</v>
      </c>
      <c r="L16" s="135"/>
      <c r="M16" s="135">
        <f t="shared" si="0"/>
        <v>52097.544228374987</v>
      </c>
      <c r="N16" s="135"/>
      <c r="O16" s="135">
        <f t="shared" si="0"/>
        <v>53920.95827636811</v>
      </c>
      <c r="P16" s="135"/>
      <c r="Q16" s="135">
        <f t="shared" si="0"/>
        <v>55808.191816040991</v>
      </c>
      <c r="R16" s="135"/>
      <c r="S16" s="135">
        <f t="shared" si="0"/>
        <v>57761.47852960242</v>
      </c>
      <c r="T16" s="135"/>
      <c r="U16" s="135">
        <f t="shared" si="0"/>
        <v>59783.130278138502</v>
      </c>
      <c r="V16" s="135"/>
      <c r="W16" s="135">
        <f t="shared" si="0"/>
        <v>61875.539837873344</v>
      </c>
      <c r="X16" s="135"/>
      <c r="Y16" s="135">
        <f t="shared" si="0"/>
        <v>64041.183732198908</v>
      </c>
      <c r="Z16" s="135"/>
      <c r="AA16" s="135">
        <f t="shared" si="0"/>
        <v>66282.625162825861</v>
      </c>
      <c r="AB16" s="135"/>
      <c r="AC16" s="135">
        <f t="shared" si="0"/>
        <v>68602.517043524756</v>
      </c>
      <c r="AD16" s="135"/>
      <c r="AE16" s="135">
        <f t="shared" si="0"/>
        <v>71003.605140048123</v>
      </c>
      <c r="AF16" s="135"/>
      <c r="AG16" s="135">
        <f t="shared" si="0"/>
        <v>73488.731319949802</v>
      </c>
    </row>
    <row r="17" spans="1:33" s="123" customFormat="1" ht="14">
      <c r="A17" s="123" t="s">
        <v>229</v>
      </c>
      <c r="C17" s="783"/>
      <c r="E17" s="135">
        <f>Application!W855</f>
        <v>50300</v>
      </c>
      <c r="F17" s="135"/>
      <c r="G17" s="135">
        <f t="shared" si="0"/>
        <v>52060.499999999993</v>
      </c>
      <c r="H17" s="135"/>
      <c r="I17" s="135">
        <f t="shared" si="0"/>
        <v>53882.617499999986</v>
      </c>
      <c r="J17" s="135"/>
      <c r="K17" s="135">
        <f t="shared" si="0"/>
        <v>55768.509112499982</v>
      </c>
      <c r="L17" s="135"/>
      <c r="M17" s="135">
        <f t="shared" si="0"/>
        <v>57720.406931437479</v>
      </c>
      <c r="N17" s="135"/>
      <c r="O17" s="135">
        <f t="shared" si="0"/>
        <v>59740.621174037784</v>
      </c>
      <c r="P17" s="135"/>
      <c r="Q17" s="135">
        <f t="shared" si="0"/>
        <v>61831.542915129103</v>
      </c>
      <c r="R17" s="135"/>
      <c r="S17" s="135">
        <f t="shared" si="0"/>
        <v>63995.646917158614</v>
      </c>
      <c r="T17" s="135"/>
      <c r="U17" s="135">
        <f t="shared" si="0"/>
        <v>66235.494559259154</v>
      </c>
      <c r="V17" s="135"/>
      <c r="W17" s="135">
        <f t="shared" si="0"/>
        <v>68553.736868833221</v>
      </c>
      <c r="X17" s="135"/>
      <c r="Y17" s="135">
        <f t="shared" si="0"/>
        <v>70953.117659242373</v>
      </c>
      <c r="Z17" s="135"/>
      <c r="AA17" s="135">
        <f t="shared" si="0"/>
        <v>73436.476777315853</v>
      </c>
      <c r="AB17" s="135"/>
      <c r="AC17" s="135">
        <f t="shared" si="0"/>
        <v>76006.753464521898</v>
      </c>
      <c r="AD17" s="135"/>
      <c r="AE17" s="135">
        <f t="shared" si="0"/>
        <v>78666.989835780158</v>
      </c>
      <c r="AF17" s="135"/>
      <c r="AG17" s="135">
        <f t="shared" si="0"/>
        <v>81420.334480032456</v>
      </c>
    </row>
    <row r="18" spans="1:33" s="123" customFormat="1" ht="14">
      <c r="A18" s="123" t="s">
        <v>2736</v>
      </c>
      <c r="C18" s="783"/>
      <c r="E18" s="135">
        <f>Application!W862</f>
        <v>165600</v>
      </c>
      <c r="F18" s="135"/>
      <c r="G18" s="135">
        <f t="shared" si="0"/>
        <v>171396</v>
      </c>
      <c r="H18" s="135"/>
      <c r="I18" s="135">
        <f t="shared" si="0"/>
        <v>177394.86</v>
      </c>
      <c r="J18" s="135"/>
      <c r="K18" s="135">
        <f t="shared" si="0"/>
        <v>183603.68009999997</v>
      </c>
      <c r="L18" s="135"/>
      <c r="M18" s="135">
        <f t="shared" si="0"/>
        <v>190029.80890349994</v>
      </c>
      <c r="N18" s="135"/>
      <c r="O18" s="135">
        <f t="shared" si="0"/>
        <v>196680.85221512243</v>
      </c>
      <c r="P18" s="135"/>
      <c r="Q18" s="135">
        <f t="shared" si="0"/>
        <v>203564.68204265169</v>
      </c>
      <c r="R18" s="135"/>
      <c r="S18" s="135">
        <f t="shared" si="0"/>
        <v>210689.44591414448</v>
      </c>
      <c r="T18" s="135"/>
      <c r="U18" s="135">
        <f t="shared" si="0"/>
        <v>218063.57652113953</v>
      </c>
      <c r="V18" s="135"/>
      <c r="W18" s="135">
        <f t="shared" si="0"/>
        <v>225695.8016993794</v>
      </c>
      <c r="X18" s="135"/>
      <c r="Y18" s="135">
        <f t="shared" si="0"/>
        <v>233595.15475885765</v>
      </c>
      <c r="Z18" s="135"/>
      <c r="AA18" s="135">
        <f t="shared" si="0"/>
        <v>241770.98517541765</v>
      </c>
      <c r="AB18" s="135"/>
      <c r="AC18" s="135">
        <f t="shared" si="0"/>
        <v>250232.96965655725</v>
      </c>
      <c r="AD18" s="135"/>
      <c r="AE18" s="135">
        <f t="shared" si="0"/>
        <v>258991.12359453674</v>
      </c>
      <c r="AF18" s="135"/>
      <c r="AG18" s="135">
        <f t="shared" si="0"/>
        <v>268055.81292034552</v>
      </c>
    </row>
    <row r="19" spans="1:33" s="123" customFormat="1" ht="14">
      <c r="A19" s="123" t="s">
        <v>1838</v>
      </c>
      <c r="C19" s="783"/>
      <c r="E19" s="135">
        <f>Application!W863</f>
        <v>49700</v>
      </c>
      <c r="F19" s="135"/>
      <c r="G19" s="135">
        <f t="shared" si="0"/>
        <v>51439.499999999993</v>
      </c>
      <c r="H19" s="135"/>
      <c r="I19" s="135">
        <f t="shared" si="0"/>
        <v>53239.882499999985</v>
      </c>
      <c r="J19" s="135"/>
      <c r="K19" s="135">
        <f t="shared" si="0"/>
        <v>55103.27838749998</v>
      </c>
      <c r="L19" s="135"/>
      <c r="M19" s="135">
        <f t="shared" si="0"/>
        <v>57031.893131062476</v>
      </c>
      <c r="N19" s="135"/>
      <c r="O19" s="135">
        <f t="shared" si="0"/>
        <v>59028.009390649655</v>
      </c>
      <c r="P19" s="135"/>
      <c r="Q19" s="135">
        <f t="shared" si="0"/>
        <v>61093.989719322388</v>
      </c>
      <c r="R19" s="135"/>
      <c r="S19" s="135">
        <f t="shared" si="0"/>
        <v>63232.279359498665</v>
      </c>
      <c r="T19" s="135"/>
      <c r="U19" s="135">
        <f t="shared" si="0"/>
        <v>65445.409137081115</v>
      </c>
      <c r="V19" s="135"/>
      <c r="W19" s="135">
        <f t="shared" si="0"/>
        <v>67735.998456878951</v>
      </c>
      <c r="X19" s="135"/>
      <c r="Y19" s="135">
        <f t="shared" si="0"/>
        <v>70106.758402869717</v>
      </c>
      <c r="Z19" s="135"/>
      <c r="AA19" s="135">
        <f t="shared" si="0"/>
        <v>72560.494946970153</v>
      </c>
      <c r="AB19" s="135"/>
      <c r="AC19" s="135">
        <f t="shared" si="0"/>
        <v>75100.112270114099</v>
      </c>
      <c r="AD19" s="135"/>
      <c r="AE19" s="135">
        <f t="shared" si="0"/>
        <v>77728.616199568089</v>
      </c>
      <c r="AF19" s="135"/>
      <c r="AG19" s="135">
        <f t="shared" si="0"/>
        <v>80449.117766552969</v>
      </c>
    </row>
    <row r="20" spans="1:33" s="123" customFormat="1" ht="14">
      <c r="A20" s="123" t="s">
        <v>231</v>
      </c>
      <c r="C20" s="783"/>
      <c r="E20" s="135">
        <f>Application!W872</f>
        <v>43700</v>
      </c>
      <c r="F20" s="135"/>
      <c r="G20" s="135">
        <f t="shared" si="0"/>
        <v>45229.5</v>
      </c>
      <c r="H20" s="135"/>
      <c r="I20" s="135">
        <f t="shared" si="0"/>
        <v>46812.532499999994</v>
      </c>
      <c r="J20" s="135"/>
      <c r="K20" s="135">
        <f t="shared" si="0"/>
        <v>48450.97113749999</v>
      </c>
      <c r="L20" s="135"/>
      <c r="M20" s="135">
        <f t="shared" si="0"/>
        <v>50146.755127312485</v>
      </c>
      <c r="N20" s="135"/>
      <c r="O20" s="135">
        <f t="shared" si="0"/>
        <v>51901.891556768416</v>
      </c>
      <c r="P20" s="135"/>
      <c r="Q20" s="135">
        <f t="shared" si="0"/>
        <v>53718.457761255304</v>
      </c>
      <c r="R20" s="135"/>
      <c r="S20" s="135">
        <f t="shared" si="0"/>
        <v>55598.603782899234</v>
      </c>
      <c r="T20" s="135"/>
      <c r="U20" s="135">
        <f t="shared" si="0"/>
        <v>57544.554915300701</v>
      </c>
      <c r="V20" s="135"/>
      <c r="W20" s="135">
        <f t="shared" si="0"/>
        <v>59558.614337336221</v>
      </c>
      <c r="X20" s="135"/>
      <c r="Y20" s="135">
        <f t="shared" si="0"/>
        <v>61643.165839142981</v>
      </c>
      <c r="Z20" s="135"/>
      <c r="AA20" s="135">
        <f t="shared" si="0"/>
        <v>63800.676643512983</v>
      </c>
      <c r="AB20" s="135"/>
      <c r="AC20" s="135">
        <f t="shared" si="0"/>
        <v>66033.700326035934</v>
      </c>
      <c r="AD20" s="135"/>
      <c r="AE20" s="135">
        <f t="shared" si="0"/>
        <v>68344.879837447181</v>
      </c>
      <c r="AF20" s="135"/>
      <c r="AG20" s="135">
        <f t="shared" si="0"/>
        <v>70736.95063175782</v>
      </c>
    </row>
    <row r="21" spans="1:33" s="123" customFormat="1" ht="14">
      <c r="A21" s="139" t="s">
        <v>2737</v>
      </c>
      <c r="B21" s="139"/>
      <c r="C21" s="783"/>
      <c r="E21" s="145">
        <f>Application!W879</f>
        <v>0</v>
      </c>
      <c r="F21" s="135"/>
      <c r="G21" s="145">
        <f t="shared" si="0"/>
        <v>0</v>
      </c>
      <c r="H21" s="135"/>
      <c r="I21" s="145">
        <f t="shared" si="0"/>
        <v>0</v>
      </c>
      <c r="J21" s="135"/>
      <c r="K21" s="145">
        <f t="shared" si="0"/>
        <v>0</v>
      </c>
      <c r="L21" s="135"/>
      <c r="M21" s="145">
        <f t="shared" si="0"/>
        <v>0</v>
      </c>
      <c r="N21" s="135"/>
      <c r="O21" s="145">
        <f t="shared" si="0"/>
        <v>0</v>
      </c>
      <c r="P21" s="135"/>
      <c r="Q21" s="145">
        <f t="shared" si="0"/>
        <v>0</v>
      </c>
      <c r="R21" s="135"/>
      <c r="S21" s="145">
        <f t="shared" si="0"/>
        <v>0</v>
      </c>
      <c r="T21" s="135"/>
      <c r="U21" s="145">
        <f t="shared" si="0"/>
        <v>0</v>
      </c>
      <c r="V21" s="135"/>
      <c r="W21" s="145">
        <f t="shared" si="0"/>
        <v>0</v>
      </c>
      <c r="X21" s="135"/>
      <c r="Y21" s="145">
        <f t="shared" si="0"/>
        <v>0</v>
      </c>
      <c r="Z21" s="135"/>
      <c r="AA21" s="145">
        <f t="shared" si="0"/>
        <v>0</v>
      </c>
      <c r="AB21" s="135"/>
      <c r="AC21" s="145">
        <f t="shared" si="0"/>
        <v>0</v>
      </c>
      <c r="AD21" s="135"/>
      <c r="AE21" s="145">
        <f t="shared" si="0"/>
        <v>0</v>
      </c>
      <c r="AF21" s="135"/>
      <c r="AG21" s="145">
        <f t="shared" si="0"/>
        <v>0</v>
      </c>
    </row>
    <row r="22" spans="1:33" s="136" customFormat="1" ht="14">
      <c r="A22" s="136" t="s">
        <v>2738</v>
      </c>
      <c r="C22" s="783"/>
      <c r="E22" s="136">
        <f>SUM(E15:E21)</f>
        <v>432500</v>
      </c>
      <c r="G22" s="136">
        <f>SUM(G15:G21)</f>
        <v>447637.5</v>
      </c>
      <c r="I22" s="136">
        <f>SUM(I15:I21)</f>
        <v>463304.81249999994</v>
      </c>
      <c r="K22" s="136">
        <f>SUM(K15:K21)</f>
        <v>479520.4809374999</v>
      </c>
      <c r="M22" s="136">
        <f>SUM(M15:M21)</f>
        <v>496303.69777031243</v>
      </c>
      <c r="O22" s="136">
        <f>SUM(O15:O21)</f>
        <v>513674.32719227322</v>
      </c>
      <c r="Q22" s="136">
        <f>SUM(Q15:Q21)</f>
        <v>531652.92864400276</v>
      </c>
      <c r="S22" s="136">
        <f>SUM(S15:S21)</f>
        <v>550260.78114654275</v>
      </c>
      <c r="U22" s="136">
        <f>SUM(U15:U21)</f>
        <v>569519.90848667175</v>
      </c>
      <c r="W22" s="136">
        <f>SUM(W15:W21)</f>
        <v>589453.10528370528</v>
      </c>
      <c r="Y22" s="136">
        <f>SUM(Y15:Y21)</f>
        <v>610083.96396863484</v>
      </c>
      <c r="AA22" s="136">
        <f>SUM(AA15:AA21)</f>
        <v>631436.90270753705</v>
      </c>
      <c r="AC22" s="136">
        <f>SUM(AC15:AC21)</f>
        <v>653537.19430230081</v>
      </c>
      <c r="AE22" s="136">
        <f>SUM(AE15:AE21)</f>
        <v>676410.99610288127</v>
      </c>
      <c r="AG22" s="136">
        <f>SUM(AG15:AG21)</f>
        <v>700085.38096648199</v>
      </c>
    </row>
    <row r="23" spans="1:33" s="123" customFormat="1" ht="14">
      <c r="C23" s="783"/>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row>
    <row r="24" spans="1:33" s="123" customFormat="1" ht="14">
      <c r="A24" s="123" t="s">
        <v>2739</v>
      </c>
      <c r="C24" s="783"/>
      <c r="E24" s="737"/>
      <c r="F24" s="135"/>
      <c r="G24" s="135">
        <f>E24*$C$24</f>
        <v>0</v>
      </c>
      <c r="H24" s="135"/>
      <c r="I24" s="135">
        <f>G24*$C$24</f>
        <v>0</v>
      </c>
      <c r="J24" s="135"/>
      <c r="K24" s="135">
        <f>I24*$C$24</f>
        <v>0</v>
      </c>
      <c r="L24" s="135"/>
      <c r="M24" s="135">
        <f>K24*$C$24</f>
        <v>0</v>
      </c>
      <c r="N24" s="135"/>
      <c r="O24" s="135">
        <f>M24*$C$24</f>
        <v>0</v>
      </c>
      <c r="P24" s="135"/>
      <c r="Q24" s="135">
        <f>O24*$C$24</f>
        <v>0</v>
      </c>
      <c r="R24" s="135"/>
      <c r="S24" s="135">
        <f>Q24*$C$24</f>
        <v>0</v>
      </c>
      <c r="T24" s="135"/>
      <c r="U24" s="135">
        <f>S24*$C$24</f>
        <v>0</v>
      </c>
      <c r="V24" s="135"/>
      <c r="W24" s="135">
        <f>U24*$C$24</f>
        <v>0</v>
      </c>
      <c r="X24" s="135"/>
      <c r="Y24" s="135">
        <f>W24*$C$24</f>
        <v>0</v>
      </c>
      <c r="Z24" s="135"/>
      <c r="AA24" s="135">
        <f>Y24*$C$24</f>
        <v>0</v>
      </c>
      <c r="AB24" s="135"/>
      <c r="AC24" s="135">
        <f>AA24*$C$24</f>
        <v>0</v>
      </c>
      <c r="AD24" s="135"/>
      <c r="AE24" s="135">
        <f>AC24*$C$24</f>
        <v>0</v>
      </c>
      <c r="AF24" s="135"/>
      <c r="AG24" s="135">
        <f>AE24*$C$24</f>
        <v>0</v>
      </c>
    </row>
    <row r="25" spans="1:33" s="123" customFormat="1" ht="14">
      <c r="C25" s="783"/>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row>
    <row r="26" spans="1:33" s="123" customFormat="1" ht="14">
      <c r="A26" s="123" t="s">
        <v>2740</v>
      </c>
      <c r="C26" s="1105">
        <v>1.0349999999999999</v>
      </c>
      <c r="E26" s="135">
        <f>Application!AC887</f>
        <v>0</v>
      </c>
      <c r="F26" s="135"/>
      <c r="G26" s="135">
        <f>E26*$C$26</f>
        <v>0</v>
      </c>
      <c r="H26" s="135"/>
      <c r="I26" s="135">
        <f>G26*$C$26</f>
        <v>0</v>
      </c>
      <c r="J26" s="135"/>
      <c r="K26" s="135">
        <f>I26*$C$26</f>
        <v>0</v>
      </c>
      <c r="L26" s="135"/>
      <c r="M26" s="135">
        <f>K26*$C$26</f>
        <v>0</v>
      </c>
      <c r="N26" s="135"/>
      <c r="O26" s="135">
        <f>M26*$C$26</f>
        <v>0</v>
      </c>
      <c r="P26" s="135"/>
      <c r="Q26" s="135">
        <f>O26*$C$26</f>
        <v>0</v>
      </c>
      <c r="R26" s="135"/>
      <c r="S26" s="135">
        <f>Q26*$C$26</f>
        <v>0</v>
      </c>
      <c r="T26" s="135"/>
      <c r="U26" s="135">
        <f>S26*$C$26</f>
        <v>0</v>
      </c>
      <c r="V26" s="135"/>
      <c r="W26" s="135">
        <f>U26*$C$26</f>
        <v>0</v>
      </c>
      <c r="X26" s="135"/>
      <c r="Y26" s="135">
        <f>W26*$C$26</f>
        <v>0</v>
      </c>
      <c r="Z26" s="135"/>
      <c r="AA26" s="135">
        <f>Y26*$C$26</f>
        <v>0</v>
      </c>
      <c r="AB26" s="135"/>
      <c r="AC26" s="135">
        <f>AA26*$C$26</f>
        <v>0</v>
      </c>
      <c r="AD26" s="135"/>
      <c r="AE26" s="135">
        <f>AC26*$C$26</f>
        <v>0</v>
      </c>
      <c r="AF26" s="135"/>
      <c r="AG26" s="135">
        <f>AE26*$C$26</f>
        <v>0</v>
      </c>
    </row>
    <row r="27" spans="1:33" s="123" customFormat="1" ht="14">
      <c r="A27" s="123" t="s">
        <v>2126</v>
      </c>
      <c r="C27" s="1105">
        <v>1.0349999999999999</v>
      </c>
      <c r="E27" s="135">
        <f>Application!AC888</f>
        <v>18000</v>
      </c>
      <c r="F27" s="135"/>
      <c r="G27" s="135">
        <f>E27*$C$27</f>
        <v>18630</v>
      </c>
      <c r="H27" s="135"/>
      <c r="I27" s="135">
        <f>G27*$C$27</f>
        <v>19282.05</v>
      </c>
      <c r="J27" s="135"/>
      <c r="K27" s="135">
        <f>I27*$C$27</f>
        <v>19956.921749999998</v>
      </c>
      <c r="L27" s="135"/>
      <c r="M27" s="135">
        <f>K27*$C$27</f>
        <v>20655.414011249995</v>
      </c>
      <c r="N27" s="135"/>
      <c r="O27" s="135">
        <f>M27*$C$27</f>
        <v>21378.353501643742</v>
      </c>
      <c r="P27" s="135"/>
      <c r="Q27" s="135">
        <f>O27*$C$27</f>
        <v>22126.59587420127</v>
      </c>
      <c r="R27" s="135"/>
      <c r="S27" s="135">
        <f>Q27*$C$27</f>
        <v>22901.026729798312</v>
      </c>
      <c r="T27" s="135"/>
      <c r="U27" s="135">
        <f>S27*$C$27</f>
        <v>23702.562665341251</v>
      </c>
      <c r="V27" s="135"/>
      <c r="W27" s="135">
        <f>U27*$C$27</f>
        <v>24532.152358628195</v>
      </c>
      <c r="X27" s="135"/>
      <c r="Y27" s="135">
        <f>W27*$C$27</f>
        <v>25390.777691180181</v>
      </c>
      <c r="Z27" s="135"/>
      <c r="AA27" s="135">
        <f>Y27*$C$27</f>
        <v>26279.454910371485</v>
      </c>
      <c r="AB27" s="135"/>
      <c r="AC27" s="135">
        <f>AA27*$C$27</f>
        <v>27199.235832234484</v>
      </c>
      <c r="AD27" s="135"/>
      <c r="AE27" s="135">
        <f>AC27*$C$27</f>
        <v>28151.209086362691</v>
      </c>
      <c r="AF27" s="135"/>
      <c r="AG27" s="135">
        <f>AE27*$C$27</f>
        <v>29136.501404385384</v>
      </c>
    </row>
    <row r="28" spans="1:33" s="123" customFormat="1" ht="14">
      <c r="A28" s="123" t="s">
        <v>2741</v>
      </c>
      <c r="C28" s="1105"/>
      <c r="E28" s="135">
        <f>Application!AC889</f>
        <v>26500</v>
      </c>
      <c r="F28" s="135"/>
      <c r="G28" s="135">
        <f>$E$28</f>
        <v>26500</v>
      </c>
      <c r="H28" s="135"/>
      <c r="I28" s="135">
        <f>$E$28</f>
        <v>26500</v>
      </c>
      <c r="J28" s="135"/>
      <c r="K28" s="135">
        <f>$E$28</f>
        <v>26500</v>
      </c>
      <c r="L28" s="135"/>
      <c r="M28" s="135">
        <f>$E$28</f>
        <v>26500</v>
      </c>
      <c r="N28" s="135"/>
      <c r="O28" s="135">
        <f>$E$28</f>
        <v>26500</v>
      </c>
      <c r="P28" s="135"/>
      <c r="Q28" s="135">
        <f>$E$28</f>
        <v>26500</v>
      </c>
      <c r="R28" s="135"/>
      <c r="S28" s="135">
        <f>$E$28</f>
        <v>26500</v>
      </c>
      <c r="T28" s="135"/>
      <c r="U28" s="135">
        <f>$E$28</f>
        <v>26500</v>
      </c>
      <c r="V28" s="135"/>
      <c r="W28" s="135">
        <f>$E$28</f>
        <v>26500</v>
      </c>
      <c r="X28" s="135"/>
      <c r="Y28" s="135">
        <f>$E$28</f>
        <v>26500</v>
      </c>
      <c r="Z28" s="135"/>
      <c r="AA28" s="135">
        <f>$E$28</f>
        <v>26500</v>
      </c>
      <c r="AB28" s="135"/>
      <c r="AC28" s="135">
        <f>$E$28</f>
        <v>26500</v>
      </c>
      <c r="AD28" s="135"/>
      <c r="AE28" s="135">
        <f>$E$28</f>
        <v>26500</v>
      </c>
      <c r="AF28" s="135"/>
      <c r="AG28" s="135">
        <f>$E$28</f>
        <v>26500</v>
      </c>
    </row>
    <row r="29" spans="1:33" s="123" customFormat="1" ht="14">
      <c r="A29" s="123" t="s">
        <v>2742</v>
      </c>
      <c r="C29" s="1105"/>
      <c r="E29" s="135">
        <f>Application!AC890</f>
        <v>7500</v>
      </c>
      <c r="F29" s="135"/>
      <c r="G29" s="135">
        <f>$E$29</f>
        <v>7500</v>
      </c>
      <c r="H29" s="135"/>
      <c r="I29" s="135">
        <f>$E$29</f>
        <v>7500</v>
      </c>
      <c r="J29" s="135"/>
      <c r="K29" s="135">
        <f>$E$29</f>
        <v>7500</v>
      </c>
      <c r="L29" s="135"/>
      <c r="M29" s="135">
        <f>$E$29</f>
        <v>7500</v>
      </c>
      <c r="N29" s="135"/>
      <c r="O29" s="135">
        <f>$E$29</f>
        <v>7500</v>
      </c>
      <c r="P29" s="135"/>
      <c r="Q29" s="135">
        <f>$E$29</f>
        <v>7500</v>
      </c>
      <c r="R29" s="135"/>
      <c r="S29" s="135">
        <f>$E$29</f>
        <v>7500</v>
      </c>
      <c r="T29" s="135"/>
      <c r="U29" s="135">
        <f>$E$29</f>
        <v>7500</v>
      </c>
      <c r="V29" s="135"/>
      <c r="W29" s="135">
        <f>$E$29</f>
        <v>7500</v>
      </c>
      <c r="X29" s="135"/>
      <c r="Y29" s="135">
        <f>$E$29</f>
        <v>7500</v>
      </c>
      <c r="Z29" s="135"/>
      <c r="AA29" s="135">
        <f>$E$29</f>
        <v>7500</v>
      </c>
      <c r="AB29" s="135"/>
      <c r="AC29" s="135">
        <f>$E$29</f>
        <v>7500</v>
      </c>
      <c r="AD29" s="135"/>
      <c r="AE29" s="135">
        <f>$E$29</f>
        <v>7500</v>
      </c>
      <c r="AF29" s="135"/>
      <c r="AG29" s="135">
        <f>$E$29</f>
        <v>7500</v>
      </c>
    </row>
    <row r="30" spans="1:33" s="123" customFormat="1" ht="14">
      <c r="A30" s="123" t="s">
        <v>2743</v>
      </c>
      <c r="C30" s="1105">
        <v>1.02</v>
      </c>
      <c r="E30" s="135">
        <f>Application!AC891</f>
        <v>0</v>
      </c>
      <c r="F30" s="135"/>
      <c r="G30" s="135">
        <f>E30*$C$30</f>
        <v>0</v>
      </c>
      <c r="H30" s="135"/>
      <c r="I30" s="135">
        <f>G30*$C$30</f>
        <v>0</v>
      </c>
      <c r="J30" s="135"/>
      <c r="K30" s="135">
        <f>I30*$C$30</f>
        <v>0</v>
      </c>
      <c r="L30" s="135"/>
      <c r="M30" s="135">
        <f>K30*$C$30</f>
        <v>0</v>
      </c>
      <c r="N30" s="135"/>
      <c r="O30" s="135">
        <f>M30*$C$30</f>
        <v>0</v>
      </c>
      <c r="P30" s="135"/>
      <c r="Q30" s="135">
        <f>O30*$C$30</f>
        <v>0</v>
      </c>
      <c r="R30" s="135"/>
      <c r="S30" s="135">
        <f>Q30*$C$30</f>
        <v>0</v>
      </c>
      <c r="T30" s="135"/>
      <c r="U30" s="135">
        <f>S30*$C$30</f>
        <v>0</v>
      </c>
      <c r="V30" s="135"/>
      <c r="W30" s="135">
        <f>U30*$C$30</f>
        <v>0</v>
      </c>
      <c r="X30" s="135"/>
      <c r="Y30" s="135">
        <f>W30*$C$30</f>
        <v>0</v>
      </c>
      <c r="Z30" s="135"/>
      <c r="AA30" s="135">
        <f>Y30*$C$30</f>
        <v>0</v>
      </c>
      <c r="AB30" s="135"/>
      <c r="AC30" s="135">
        <f>AA30*$C$30</f>
        <v>0</v>
      </c>
      <c r="AD30" s="135"/>
      <c r="AE30" s="135">
        <f>AC30*$C$30</f>
        <v>0</v>
      </c>
      <c r="AF30" s="135"/>
      <c r="AG30" s="135">
        <f>AE30*$C$30</f>
        <v>0</v>
      </c>
    </row>
    <row r="31" spans="1:33" s="123" customFormat="1" ht="14">
      <c r="A31" s="123" t="s">
        <v>2744</v>
      </c>
      <c r="C31" s="1105">
        <v>1.02</v>
      </c>
      <c r="E31" s="135">
        <f>Application!AC892</f>
        <v>0</v>
      </c>
      <c r="F31" s="135"/>
      <c r="G31" s="135">
        <f>E31*$C$31</f>
        <v>0</v>
      </c>
      <c r="H31" s="135"/>
      <c r="I31" s="135">
        <f>G31*$C$31</f>
        <v>0</v>
      </c>
      <c r="J31" s="135"/>
      <c r="K31" s="135">
        <f>I31*$C$31</f>
        <v>0</v>
      </c>
      <c r="L31" s="135"/>
      <c r="M31" s="135">
        <f>K31*$C$31</f>
        <v>0</v>
      </c>
      <c r="N31" s="135"/>
      <c r="O31" s="135">
        <f>M31*$C$31</f>
        <v>0</v>
      </c>
      <c r="P31" s="135"/>
      <c r="Q31" s="135">
        <f>O31*$C$31</f>
        <v>0</v>
      </c>
      <c r="R31" s="135"/>
      <c r="S31" s="135">
        <f>Q31*$C$31</f>
        <v>0</v>
      </c>
      <c r="T31" s="135"/>
      <c r="U31" s="135">
        <f>S31*$C$31</f>
        <v>0</v>
      </c>
      <c r="V31" s="135"/>
      <c r="W31" s="135">
        <f>U31*$C$31</f>
        <v>0</v>
      </c>
      <c r="X31" s="135"/>
      <c r="Y31" s="135">
        <f>W31*$C$31</f>
        <v>0</v>
      </c>
      <c r="Z31" s="135"/>
      <c r="AA31" s="135">
        <f>Y31*$C$31</f>
        <v>0</v>
      </c>
      <c r="AB31" s="135"/>
      <c r="AC31" s="135">
        <f>AA31*$C$31</f>
        <v>0</v>
      </c>
      <c r="AD31" s="135"/>
      <c r="AE31" s="135">
        <f>AC31*$C$31</f>
        <v>0</v>
      </c>
      <c r="AF31" s="135"/>
      <c r="AG31" s="135">
        <f>AE31*$C$31</f>
        <v>0</v>
      </c>
    </row>
    <row r="32" spans="1:33" s="123" customFormat="1" ht="14">
      <c r="A32" s="123" t="str">
        <f>Application!C893</f>
        <v>Other (Specify):</v>
      </c>
      <c r="C32" s="1107">
        <v>1.0349999999999999</v>
      </c>
      <c r="E32" s="135">
        <f>Application!AC893</f>
        <v>0</v>
      </c>
      <c r="F32" s="135"/>
      <c r="G32" s="135">
        <f>E32*$C$32</f>
        <v>0</v>
      </c>
      <c r="H32" s="135"/>
      <c r="I32" s="135">
        <f>G32*$C$32</f>
        <v>0</v>
      </c>
      <c r="J32" s="135"/>
      <c r="K32" s="135">
        <f>I32*$C$32</f>
        <v>0</v>
      </c>
      <c r="L32" s="135"/>
      <c r="M32" s="135">
        <f>K32*$C$32</f>
        <v>0</v>
      </c>
      <c r="N32" s="135"/>
      <c r="O32" s="135">
        <f>M32*$C$32</f>
        <v>0</v>
      </c>
      <c r="P32" s="135"/>
      <c r="Q32" s="135">
        <f>O32*$C$32</f>
        <v>0</v>
      </c>
      <c r="R32" s="135"/>
      <c r="S32" s="135">
        <f>Q32*$C$32</f>
        <v>0</v>
      </c>
      <c r="T32" s="135"/>
      <c r="U32" s="135">
        <f>S32*$C$32</f>
        <v>0</v>
      </c>
      <c r="V32" s="135"/>
      <c r="W32" s="135">
        <f>U32*$C$32</f>
        <v>0</v>
      </c>
      <c r="X32" s="135"/>
      <c r="Y32" s="135">
        <f>W32*$C$32</f>
        <v>0</v>
      </c>
      <c r="Z32" s="135"/>
      <c r="AA32" s="135">
        <f>Y32*$C$32</f>
        <v>0</v>
      </c>
      <c r="AB32" s="135"/>
      <c r="AC32" s="135">
        <f>AA32*$C$32</f>
        <v>0</v>
      </c>
      <c r="AD32" s="135"/>
      <c r="AE32" s="135">
        <f>AC32*$C$32</f>
        <v>0</v>
      </c>
      <c r="AF32" s="135"/>
      <c r="AG32" s="135">
        <f>AE32*$C$32</f>
        <v>0</v>
      </c>
    </row>
    <row r="33" spans="1:33" s="123" customFormat="1" ht="14">
      <c r="A33" s="123" t="str">
        <f>Application!C894</f>
        <v>Other (Specify):</v>
      </c>
      <c r="C33" s="1107">
        <v>1.0349999999999999</v>
      </c>
      <c r="E33" s="135">
        <f>Application!AC894</f>
        <v>0</v>
      </c>
      <c r="F33" s="135"/>
      <c r="G33" s="135">
        <f>E33*$C$33</f>
        <v>0</v>
      </c>
      <c r="H33" s="135"/>
      <c r="I33" s="135">
        <f>G33*$C$33</f>
        <v>0</v>
      </c>
      <c r="J33" s="135"/>
      <c r="K33" s="135">
        <f>I33*$C$33</f>
        <v>0</v>
      </c>
      <c r="L33" s="135"/>
      <c r="M33" s="135">
        <f>K33*$C$33</f>
        <v>0</v>
      </c>
      <c r="N33" s="135"/>
      <c r="O33" s="135">
        <f>M33*$C$33</f>
        <v>0</v>
      </c>
      <c r="P33" s="135"/>
      <c r="Q33" s="135">
        <f>O33*$C$33</f>
        <v>0</v>
      </c>
      <c r="R33" s="135"/>
      <c r="S33" s="135">
        <f>Q33*$C$33</f>
        <v>0</v>
      </c>
      <c r="T33" s="135"/>
      <c r="U33" s="135">
        <f>S33*$C$33</f>
        <v>0</v>
      </c>
      <c r="V33" s="135"/>
      <c r="W33" s="135">
        <f>U33*$C$33</f>
        <v>0</v>
      </c>
      <c r="X33" s="135"/>
      <c r="Y33" s="135">
        <f>W33*$C$33</f>
        <v>0</v>
      </c>
      <c r="Z33" s="135"/>
      <c r="AA33" s="135">
        <f>Y33*$C$33</f>
        <v>0</v>
      </c>
      <c r="AB33" s="135"/>
      <c r="AC33" s="135">
        <f>AA33*$C$33</f>
        <v>0</v>
      </c>
      <c r="AD33" s="135"/>
      <c r="AE33" s="135">
        <f>AC33*$C$33</f>
        <v>0</v>
      </c>
      <c r="AF33" s="135"/>
      <c r="AG33" s="135">
        <f>AE33*$C$33</f>
        <v>0</v>
      </c>
    </row>
    <row r="34" spans="1:33" s="123" customFormat="1" ht="14">
      <c r="C34" s="133"/>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row>
    <row r="35" spans="1:33" s="136" customFormat="1" ht="14">
      <c r="A35" s="136" t="s">
        <v>1640</v>
      </c>
      <c r="C35" s="137"/>
      <c r="E35" s="136">
        <f>SUM(E22:E33)</f>
        <v>484500</v>
      </c>
      <c r="G35" s="136">
        <f>SUM(G22:G33)</f>
        <v>500267.5</v>
      </c>
      <c r="I35" s="136">
        <f>SUM(I22:I33)</f>
        <v>516586.86249999993</v>
      </c>
      <c r="K35" s="136">
        <f>SUM(K22:K33)</f>
        <v>533477.40268749988</v>
      </c>
      <c r="M35" s="136">
        <f>SUM(M22:M33)</f>
        <v>550959.11178156245</v>
      </c>
      <c r="O35" s="136">
        <f>SUM(O22:O33)</f>
        <v>569052.68069391698</v>
      </c>
      <c r="Q35" s="136">
        <f>SUM(Q22:Q33)</f>
        <v>587779.52451820404</v>
      </c>
      <c r="S35" s="136">
        <f>SUM(S22:S33)</f>
        <v>607161.80787634104</v>
      </c>
      <c r="U35" s="136">
        <f>SUM(U22:U33)</f>
        <v>627222.47115201305</v>
      </c>
      <c r="W35" s="136">
        <f>SUM(W22:W33)</f>
        <v>647985.25764233351</v>
      </c>
      <c r="Y35" s="136">
        <f>SUM(Y22:Y33)</f>
        <v>669474.74165981507</v>
      </c>
      <c r="AA35" s="136">
        <f>SUM(AA22:AA33)</f>
        <v>691716.35761790851</v>
      </c>
      <c r="AC35" s="136">
        <f>SUM(AC22:AC33)</f>
        <v>714736.4301345353</v>
      </c>
      <c r="AE35" s="136">
        <f>SUM(AE22:AE33)</f>
        <v>738562.20518924401</v>
      </c>
      <c r="AG35" s="136">
        <f>SUM(AG22:AG33)</f>
        <v>763221.88237086742</v>
      </c>
    </row>
    <row r="36" spans="1:33" s="123" customFormat="1" ht="14">
      <c r="C36" s="133"/>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row>
    <row r="37" spans="1:33" s="136" customFormat="1" ht="14">
      <c r="A37" s="136" t="s">
        <v>2745</v>
      </c>
      <c r="C37" s="137"/>
      <c r="E37" s="136">
        <f>E11-E35</f>
        <v>759194.39999999991</v>
      </c>
      <c r="G37" s="136">
        <f>G11-G35</f>
        <v>774519.25999999978</v>
      </c>
      <c r="I37" s="136">
        <f>I11-I35</f>
        <v>790069.56649999984</v>
      </c>
      <c r="K37" s="136">
        <f>K11-K35</f>
        <v>805845.43703749974</v>
      </c>
      <c r="M37" s="136">
        <f>M11-M35</f>
        <v>821846.79893656215</v>
      </c>
      <c r="O37" s="136">
        <f>O11-O35</f>
        <v>838073.37779216073</v>
      </c>
      <c r="Q37" s="136">
        <f>Q11-Q35</f>
        <v>854524.68543002533</v>
      </c>
      <c r="S37" s="136">
        <f>S11-S35</f>
        <v>871200.00732059404</v>
      </c>
      <c r="U37" s="136">
        <f>U11-U35</f>
        <v>888098.38942484523</v>
      </c>
      <c r="W37" s="136">
        <f>W11-W35</f>
        <v>905218.6244489461</v>
      </c>
      <c r="Y37" s="136">
        <f>Y11-Y35</f>
        <v>922559.23748374626</v>
      </c>
      <c r="AA37" s="136">
        <f>AA11-AA35</f>
        <v>940118.47100424173</v>
      </c>
      <c r="AC37" s="136">
        <f>AC11-AC35</f>
        <v>957894.26920316881</v>
      </c>
      <c r="AE37" s="136">
        <f>AE11-AE35</f>
        <v>975884.26163190242</v>
      </c>
      <c r="AG37" s="136">
        <f>AG11-AG35</f>
        <v>994085.7461208076</v>
      </c>
    </row>
    <row r="38" spans="1:33" s="123" customFormat="1" ht="14">
      <c r="C38" s="133"/>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row>
    <row r="39" spans="1:33" s="123" customFormat="1" ht="14">
      <c r="A39" s="131" t="s">
        <v>2746</v>
      </c>
      <c r="C39" s="133"/>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row>
    <row r="40" spans="1:33" s="123" customFormat="1" ht="14">
      <c r="A40" s="138" t="s">
        <v>2747</v>
      </c>
      <c r="B40" s="139"/>
      <c r="C40" s="133"/>
      <c r="E40" s="135">
        <f>Application!AF627</f>
        <v>612990.78260899999</v>
      </c>
      <c r="F40" s="135"/>
      <c r="G40" s="135">
        <f>$E$40</f>
        <v>612990.78260899999</v>
      </c>
      <c r="H40" s="135"/>
      <c r="I40" s="135">
        <f>$E$40</f>
        <v>612990.78260899999</v>
      </c>
      <c r="J40" s="135"/>
      <c r="K40" s="135">
        <f>$E$40</f>
        <v>612990.78260899999</v>
      </c>
      <c r="L40" s="135"/>
      <c r="M40" s="135">
        <f>$E$40</f>
        <v>612990.78260899999</v>
      </c>
      <c r="N40" s="135"/>
      <c r="O40" s="135">
        <f>$E$40</f>
        <v>612990.78260899999</v>
      </c>
      <c r="P40" s="135"/>
      <c r="Q40" s="135">
        <f>$E$40</f>
        <v>612990.78260899999</v>
      </c>
      <c r="R40" s="135"/>
      <c r="S40" s="135">
        <f>$E$40</f>
        <v>612990.78260899999</v>
      </c>
      <c r="T40" s="135"/>
      <c r="U40" s="135">
        <f>$E$40</f>
        <v>612990.78260899999</v>
      </c>
      <c r="V40" s="135"/>
      <c r="W40" s="135">
        <f>$E$40</f>
        <v>612990.78260899999</v>
      </c>
      <c r="X40" s="135"/>
      <c r="Y40" s="135">
        <f>$E$40</f>
        <v>612990.78260899999</v>
      </c>
      <c r="Z40" s="135"/>
      <c r="AA40" s="135">
        <f>$E$40</f>
        <v>612990.78260899999</v>
      </c>
      <c r="AB40" s="135"/>
      <c r="AC40" s="135">
        <f>$E$40</f>
        <v>612990.78260899999</v>
      </c>
      <c r="AD40" s="135"/>
      <c r="AE40" s="135">
        <f>$E$40</f>
        <v>612990.78260899999</v>
      </c>
      <c r="AF40" s="135"/>
      <c r="AG40" s="135">
        <f>$E$40</f>
        <v>612990.78260899999</v>
      </c>
    </row>
    <row r="41" spans="1:33" s="123" customFormat="1" ht="14">
      <c r="A41" s="138" t="s">
        <v>2748</v>
      </c>
      <c r="B41" s="139"/>
      <c r="C41" s="133"/>
      <c r="E41" s="135">
        <v>46200</v>
      </c>
      <c r="F41" s="135"/>
      <c r="G41" s="135">
        <f>$E$41</f>
        <v>46200</v>
      </c>
      <c r="H41" s="135"/>
      <c r="I41" s="135">
        <f>$E$41</f>
        <v>46200</v>
      </c>
      <c r="J41" s="135"/>
      <c r="K41" s="135">
        <f>$E$41</f>
        <v>46200</v>
      </c>
      <c r="L41" s="135"/>
      <c r="M41" s="135">
        <f>$E$41</f>
        <v>46200</v>
      </c>
      <c r="N41" s="135"/>
      <c r="O41" s="135">
        <f>$E$41</f>
        <v>46200</v>
      </c>
      <c r="P41" s="135"/>
      <c r="Q41" s="135">
        <f>$E$41</f>
        <v>46200</v>
      </c>
      <c r="R41" s="135"/>
      <c r="S41" s="135">
        <f>$E$41</f>
        <v>46200</v>
      </c>
      <c r="T41" s="135"/>
      <c r="U41" s="135">
        <f>$E$41</f>
        <v>46200</v>
      </c>
      <c r="V41" s="135"/>
      <c r="W41" s="135">
        <f>$E$41</f>
        <v>46200</v>
      </c>
      <c r="X41" s="135"/>
      <c r="Y41" s="135">
        <f>$E$41</f>
        <v>46200</v>
      </c>
      <c r="Z41" s="135"/>
      <c r="AA41" s="135">
        <f>$E$41</f>
        <v>46200</v>
      </c>
      <c r="AB41" s="135"/>
      <c r="AC41" s="135">
        <f>$E$41</f>
        <v>46200</v>
      </c>
      <c r="AD41" s="135"/>
      <c r="AE41" s="135">
        <f>$E$41</f>
        <v>46200</v>
      </c>
      <c r="AF41" s="135"/>
      <c r="AG41" s="135">
        <f>$E$41</f>
        <v>46200</v>
      </c>
    </row>
    <row r="42" spans="1:33" s="123" customFormat="1" ht="14">
      <c r="A42" s="138"/>
      <c r="B42" s="139"/>
      <c r="C42" s="133"/>
      <c r="E42" s="145"/>
      <c r="F42" s="135"/>
      <c r="G42" s="145">
        <f>$E$42</f>
        <v>0</v>
      </c>
      <c r="H42" s="135"/>
      <c r="I42" s="145">
        <f>$E$42</f>
        <v>0</v>
      </c>
      <c r="J42" s="135"/>
      <c r="K42" s="145">
        <f>$E$42</f>
        <v>0</v>
      </c>
      <c r="L42" s="135"/>
      <c r="M42" s="145">
        <f>$E$42</f>
        <v>0</v>
      </c>
      <c r="N42" s="135"/>
      <c r="O42" s="145">
        <f>$E$42</f>
        <v>0</v>
      </c>
      <c r="P42" s="135"/>
      <c r="Q42" s="145">
        <f>$E$42</f>
        <v>0</v>
      </c>
      <c r="R42" s="135"/>
      <c r="S42" s="145">
        <f>$E$42</f>
        <v>0</v>
      </c>
      <c r="T42" s="135"/>
      <c r="U42" s="145">
        <f>$E$42</f>
        <v>0</v>
      </c>
      <c r="V42" s="135"/>
      <c r="W42" s="145">
        <f>$E$42</f>
        <v>0</v>
      </c>
      <c r="X42" s="135"/>
      <c r="Y42" s="145">
        <f>$E$42</f>
        <v>0</v>
      </c>
      <c r="Z42" s="135"/>
      <c r="AA42" s="145">
        <f>$E$42</f>
        <v>0</v>
      </c>
      <c r="AB42" s="135"/>
      <c r="AC42" s="145">
        <f>$E$42</f>
        <v>0</v>
      </c>
      <c r="AD42" s="135"/>
      <c r="AE42" s="145">
        <f>$E$42</f>
        <v>0</v>
      </c>
      <c r="AF42" s="135"/>
      <c r="AG42" s="145">
        <f>$E$42</f>
        <v>0</v>
      </c>
    </row>
    <row r="43" spans="1:33" s="136" customFormat="1" ht="14">
      <c r="A43" s="136" t="s">
        <v>2749</v>
      </c>
      <c r="C43" s="137"/>
      <c r="E43" s="136">
        <f>SUM(E40:E42)</f>
        <v>659190.78260899999</v>
      </c>
      <c r="G43" s="136">
        <f>SUM(G40:G42)</f>
        <v>659190.78260899999</v>
      </c>
      <c r="I43" s="136">
        <f>SUM(I40:I42)</f>
        <v>659190.78260899999</v>
      </c>
      <c r="K43" s="136">
        <f>SUM(K40:K42)</f>
        <v>659190.78260899999</v>
      </c>
      <c r="M43" s="136">
        <f>SUM(M40:M42)</f>
        <v>659190.78260899999</v>
      </c>
      <c r="O43" s="136">
        <f>SUM(O40:O42)</f>
        <v>659190.78260899999</v>
      </c>
      <c r="Q43" s="136">
        <f>SUM(Q40:Q42)</f>
        <v>659190.78260899999</v>
      </c>
      <c r="S43" s="136">
        <f>SUM(S40:S42)</f>
        <v>659190.78260899999</v>
      </c>
      <c r="U43" s="136">
        <f>SUM(U40:U42)</f>
        <v>659190.78260899999</v>
      </c>
      <c r="W43" s="136">
        <f>SUM(W40:W42)</f>
        <v>659190.78260899999</v>
      </c>
      <c r="Y43" s="136">
        <f>SUM(Y40:Y42)</f>
        <v>659190.78260899999</v>
      </c>
      <c r="AA43" s="136">
        <f>SUM(AA40:AA42)</f>
        <v>659190.78260899999</v>
      </c>
      <c r="AC43" s="136">
        <f>SUM(AC40:AC42)</f>
        <v>659190.78260899999</v>
      </c>
      <c r="AE43" s="136">
        <f>SUM(AE40:AE42)</f>
        <v>659190.78260899999</v>
      </c>
      <c r="AG43" s="136">
        <f>SUM(AG40:AG42)</f>
        <v>659190.78260899999</v>
      </c>
    </row>
    <row r="44" spans="1:33" s="123" customFormat="1" ht="14">
      <c r="C44" s="133"/>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row>
    <row r="45" spans="1:33" s="136" customFormat="1" ht="14">
      <c r="A45" s="136" t="s">
        <v>2750</v>
      </c>
      <c r="C45" s="137"/>
      <c r="E45" s="136">
        <f>E37-E43</f>
        <v>100003.61739099992</v>
      </c>
      <c r="G45" s="136">
        <f>G37-G43</f>
        <v>115328.47739099979</v>
      </c>
      <c r="I45" s="136">
        <f>I37-I43</f>
        <v>130878.78389099985</v>
      </c>
      <c r="K45" s="136">
        <f>K37-K43</f>
        <v>146654.65442849975</v>
      </c>
      <c r="M45" s="136">
        <f>M37-M43</f>
        <v>162656.01632756216</v>
      </c>
      <c r="O45" s="136">
        <f>O37-O43</f>
        <v>178882.59518316074</v>
      </c>
      <c r="Q45" s="136">
        <f>Q37-Q43</f>
        <v>195333.90282102535</v>
      </c>
      <c r="S45" s="136">
        <f>S37-S43</f>
        <v>212009.22471159406</v>
      </c>
      <c r="U45" s="136">
        <f>U37-U43</f>
        <v>228907.60681584524</v>
      </c>
      <c r="W45" s="136">
        <f>W37-W43</f>
        <v>246027.84183994611</v>
      </c>
      <c r="Y45" s="136">
        <f>Y37-Y43</f>
        <v>263368.45487474627</v>
      </c>
      <c r="AA45" s="136">
        <f>AA37-AA43</f>
        <v>280927.68839524174</v>
      </c>
      <c r="AC45" s="136">
        <f>AC37-AC43</f>
        <v>298703.48659416882</v>
      </c>
      <c r="AE45" s="136">
        <f>AE37-AE43</f>
        <v>316693.47902290244</v>
      </c>
      <c r="AG45" s="136">
        <f>AG37-AG43</f>
        <v>334894.96351180761</v>
      </c>
    </row>
    <row r="46" spans="1:33" s="123" customFormat="1" ht="14">
      <c r="C46" s="133"/>
      <c r="E46" s="135"/>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row>
    <row r="47" spans="1:33" s="140" customFormat="1" ht="14">
      <c r="A47" s="140" t="s">
        <v>2751</v>
      </c>
      <c r="C47" s="133"/>
      <c r="E47" s="140">
        <f>E45/(E4+E6+E8)</f>
        <v>7.6388087396268664E-2</v>
      </c>
      <c r="G47" s="140">
        <f>G45/(G4+G6+G8)</f>
        <v>8.5945396484546022E-2</v>
      </c>
      <c r="I47" s="140">
        <f>I45/(I4+I6+I8)</f>
        <v>9.5154963414219654E-2</v>
      </c>
      <c r="K47" s="140">
        <f>K45/(K4+K6+K8)</f>
        <v>0.10402415129102213</v>
      </c>
      <c r="M47" s="140">
        <f>M45/(M4+M6+M8)</f>
        <v>0.11256013272142151</v>
      </c>
      <c r="O47" s="140">
        <f>O45/(O4+O6+O8)</f>
        <v>0.12076989435249243</v>
      </c>
      <c r="Q47" s="140">
        <f>Q45/(Q4+Q6+Q8)</f>
        <v>0.12866024130002013</v>
      </c>
      <c r="S47" s="140">
        <f>S45/(S4+S6+S8)</f>
        <v>0.13623780146755504</v>
      </c>
      <c r="U47" s="140">
        <f>U45/(U4+U6+U8)</f>
        <v>0.14350902975906277</v>
      </c>
      <c r="W47" s="140">
        <f>W45/(W4+W6+W8)</f>
        <v>0.15048021218776031</v>
      </c>
      <c r="Y47" s="140">
        <f>Y45/(Y4+Y6+Y8)</f>
        <v>0.15715746988365453</v>
      </c>
      <c r="AA47" s="140">
        <f>AA45/(AA4+AA6+AA8)</f>
        <v>0.1635467630022473</v>
      </c>
      <c r="AC47" s="140">
        <f>AC45/(AC4+AC6+AC8)</f>
        <v>0.16965389453680449</v>
      </c>
      <c r="AE47" s="140">
        <f>AE45/(AE4+AE6+AE8)</f>
        <v>0.17548451403653151</v>
      </c>
      <c r="AG47" s="140">
        <f>AG45/(AG4+AG6+AG8)</f>
        <v>0.18104412123294009</v>
      </c>
    </row>
    <row r="48" spans="1:33" s="140" customFormat="1" ht="14">
      <c r="A48" s="140" t="s">
        <v>2752</v>
      </c>
      <c r="C48" s="133"/>
      <c r="E48" s="140">
        <f>E45/E43</f>
        <v>0.15170663794053263</v>
      </c>
      <c r="G48" s="140">
        <f>G45/G43</f>
        <v>0.17495462684496765</v>
      </c>
      <c r="I48" s="140">
        <f>I45/I43</f>
        <v>0.19854462068325188</v>
      </c>
      <c r="K48" s="140">
        <f>K45/K43</f>
        <v>0.22247679776112431</v>
      </c>
      <c r="M48" s="140">
        <f>M45/M43</f>
        <v>0.24675104782835203</v>
      </c>
      <c r="O48" s="140">
        <f>O45/O43</f>
        <v>0.27136695460935356</v>
      </c>
      <c r="Q48" s="140">
        <f>Q45/Q43</f>
        <v>0.29632377753814548</v>
      </c>
      <c r="S48" s="140">
        <f>S45/S43</f>
        <v>0.3216204326651631</v>
      </c>
      <c r="U48" s="140">
        <f>U45/U43</f>
        <v>0.34725547270223611</v>
      </c>
      <c r="W48" s="140">
        <f>W45/W43</f>
        <v>0.37322706617073237</v>
      </c>
      <c r="Y48" s="140">
        <f>Y45/Y43</f>
        <v>0.39953297561650475</v>
      </c>
      <c r="AA48" s="140">
        <f>AA45/AA43</f>
        <v>0.42617053485390499</v>
      </c>
      <c r="AC48" s="140">
        <f>AC45/AC43</f>
        <v>0.4531366251996658</v>
      </c>
      <c r="AE48" s="140">
        <f>AE45/AE43</f>
        <v>0.48042765065595533</v>
      </c>
      <c r="AG48" s="140">
        <f>AG45/AG43</f>
        <v>0.50803951200035369</v>
      </c>
    </row>
    <row r="49" spans="1:35" s="141" customFormat="1" ht="14">
      <c r="A49" s="141" t="s">
        <v>2081</v>
      </c>
      <c r="C49" s="142"/>
      <c r="E49" s="141">
        <f>E37/E43</f>
        <v>1.1517066379405327</v>
      </c>
      <c r="G49" s="141">
        <f>G37/G43</f>
        <v>1.1749546268449678</v>
      </c>
      <c r="I49" s="141">
        <f>I37/I43</f>
        <v>1.198544620683252</v>
      </c>
      <c r="K49" s="141">
        <f>K37/K43</f>
        <v>1.2224767977611244</v>
      </c>
      <c r="M49" s="141">
        <f>M37/M43</f>
        <v>1.2467510478283521</v>
      </c>
      <c r="O49" s="141">
        <f>O37/O43</f>
        <v>1.2713669546093536</v>
      </c>
      <c r="Q49" s="141">
        <f>Q37/Q43</f>
        <v>1.2963237775381455</v>
      </c>
      <c r="S49" s="141">
        <f>S37/S43</f>
        <v>1.321620432665163</v>
      </c>
      <c r="U49" s="141">
        <f>U37/U43</f>
        <v>1.3472554727022361</v>
      </c>
      <c r="W49" s="141">
        <f>W37/W43</f>
        <v>1.3732270661707324</v>
      </c>
      <c r="Y49" s="141">
        <f>Y37/Y43</f>
        <v>1.3995329756165047</v>
      </c>
      <c r="AA49" s="141">
        <f>AA37/AA43</f>
        <v>1.4261705348539051</v>
      </c>
      <c r="AC49" s="141">
        <f>AC37/AC43</f>
        <v>1.4531366251996658</v>
      </c>
      <c r="AE49" s="141">
        <f>AE37/AE43</f>
        <v>1.4804276506559553</v>
      </c>
      <c r="AG49" s="141">
        <f>AG37/AG43</f>
        <v>1.5080395120003538</v>
      </c>
    </row>
    <row r="50" spans="1:35" s="123" customFormat="1" ht="14">
      <c r="A50" s="143"/>
      <c r="B50" s="143"/>
      <c r="C50" s="144"/>
      <c r="D50" s="143"/>
      <c r="E50" s="145"/>
      <c r="F50" s="145"/>
      <c r="G50" s="145"/>
      <c r="H50" s="145"/>
      <c r="I50" s="145"/>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row>
    <row r="51" spans="1:35" s="2" customFormat="1">
      <c r="A51" s="2" t="s">
        <v>2753</v>
      </c>
      <c r="C51" s="783"/>
      <c r="E51" s="782"/>
      <c r="F51" s="782"/>
      <c r="G51" s="782"/>
      <c r="H51" s="782"/>
      <c r="I51" s="782"/>
      <c r="J51" s="782"/>
      <c r="K51" s="782"/>
      <c r="L51" s="782"/>
      <c r="M51" s="782"/>
      <c r="N51" s="782"/>
      <c r="O51" s="782"/>
      <c r="P51" s="782"/>
      <c r="Q51" s="782"/>
      <c r="R51" s="782"/>
      <c r="S51" s="782"/>
      <c r="T51" s="782"/>
      <c r="U51" s="782"/>
      <c r="V51" s="782"/>
      <c r="W51" s="782"/>
      <c r="X51" s="782"/>
      <c r="Y51" s="782"/>
      <c r="Z51" s="782"/>
      <c r="AA51" s="782"/>
      <c r="AB51" s="782"/>
      <c r="AC51" s="782"/>
      <c r="AD51" s="782"/>
      <c r="AE51" s="782"/>
      <c r="AF51" s="782"/>
      <c r="AG51" s="782"/>
    </row>
    <row r="52" spans="1:35" s="2" customFormat="1">
      <c r="A52" s="2601" t="s">
        <v>1079</v>
      </c>
      <c r="B52" s="2601"/>
      <c r="C52" s="2601"/>
      <c r="D52" s="782"/>
      <c r="E52" s="782"/>
      <c r="F52" s="782"/>
      <c r="G52" s="782"/>
      <c r="H52" s="782"/>
      <c r="I52" s="782"/>
      <c r="J52" s="782"/>
      <c r="K52" s="782"/>
      <c r="L52" s="782"/>
      <c r="M52" s="782"/>
      <c r="N52" s="782"/>
      <c r="O52" s="782"/>
      <c r="P52" s="782"/>
      <c r="Q52" s="782"/>
      <c r="R52" s="782"/>
      <c r="S52" s="782"/>
      <c r="T52" s="782"/>
      <c r="U52" s="782"/>
      <c r="V52" s="782"/>
      <c r="W52" s="782"/>
      <c r="X52" s="782"/>
      <c r="Y52" s="782"/>
      <c r="Z52" s="782"/>
      <c r="AA52" s="782"/>
      <c r="AB52" s="782"/>
      <c r="AC52" s="782"/>
      <c r="AD52" s="782"/>
      <c r="AE52" s="782"/>
      <c r="AF52" s="782"/>
      <c r="AG52" s="782"/>
    </row>
    <row r="53" spans="1:35" s="784" customFormat="1">
      <c r="A53" s="784" t="s">
        <v>2623</v>
      </c>
      <c r="C53" s="785">
        <v>1.0349999999999999</v>
      </c>
      <c r="E53" s="786">
        <v>10800</v>
      </c>
      <c r="G53" s="782">
        <f>E53*$C$53</f>
        <v>11178</v>
      </c>
      <c r="I53" s="782">
        <f>G53*$C$53</f>
        <v>11569.23</v>
      </c>
      <c r="K53" s="782">
        <f>I53*$C$53</f>
        <v>11974.153049999999</v>
      </c>
      <c r="M53" s="782">
        <f>K53*$C$53</f>
        <v>12393.248406749997</v>
      </c>
      <c r="O53" s="782">
        <f>M53*$C$53</f>
        <v>12827.012100986247</v>
      </c>
      <c r="Q53" s="782">
        <f>O53*$C$53</f>
        <v>13275.957524520765</v>
      </c>
      <c r="S53" s="782">
        <f>Q53*$C$53</f>
        <v>13740.616037878992</v>
      </c>
      <c r="U53" s="782">
        <f>S53*$C$53</f>
        <v>14221.537599204756</v>
      </c>
      <c r="W53" s="782">
        <f>U53*$C$53</f>
        <v>14719.291415176922</v>
      </c>
      <c r="Y53" s="782">
        <f>W53*$C$53</f>
        <v>15234.466614708113</v>
      </c>
      <c r="AA53" s="782">
        <f>Y53*$C$53</f>
        <v>15767.672946222896</v>
      </c>
      <c r="AC53" s="782">
        <f>AA53*$C$53</f>
        <v>16319.541499340696</v>
      </c>
      <c r="AE53" s="782">
        <f>AC53*$C$53</f>
        <v>16890.72545181762</v>
      </c>
      <c r="AG53" s="782">
        <f>AE53*$C$53</f>
        <v>17481.900842631236</v>
      </c>
    </row>
    <row r="54" spans="1:35" s="2" customFormat="1">
      <c r="A54" s="2" t="s">
        <v>2754</v>
      </c>
      <c r="C54" s="780">
        <v>1.0349999999999999</v>
      </c>
      <c r="E54" s="787">
        <v>5000</v>
      </c>
      <c r="F54" s="782"/>
      <c r="G54" s="782">
        <f>E54*$C$54</f>
        <v>5175</v>
      </c>
      <c r="H54" s="782"/>
      <c r="I54" s="782">
        <f t="shared" ref="G54:AG57" si="1">G54*$C$53</f>
        <v>5356.125</v>
      </c>
      <c r="J54" s="782"/>
      <c r="K54" s="782">
        <f t="shared" si="1"/>
        <v>5543.5893749999996</v>
      </c>
      <c r="L54" s="782"/>
      <c r="M54" s="782">
        <f t="shared" si="1"/>
        <v>5737.615003124999</v>
      </c>
      <c r="N54" s="782"/>
      <c r="O54" s="782">
        <f t="shared" si="1"/>
        <v>5938.4315282343732</v>
      </c>
      <c r="P54" s="782"/>
      <c r="Q54" s="782">
        <f t="shared" si="1"/>
        <v>6146.276631722576</v>
      </c>
      <c r="R54" s="782"/>
      <c r="S54" s="782">
        <f t="shared" si="1"/>
        <v>6361.3963138328654</v>
      </c>
      <c r="T54" s="782"/>
      <c r="U54" s="782">
        <f t="shared" si="1"/>
        <v>6584.0451848170151</v>
      </c>
      <c r="V54" s="782"/>
      <c r="W54" s="782">
        <f t="shared" si="1"/>
        <v>6814.4867662856104</v>
      </c>
      <c r="X54" s="782"/>
      <c r="Y54" s="782">
        <f t="shared" si="1"/>
        <v>7052.9938031056063</v>
      </c>
      <c r="Z54" s="782"/>
      <c r="AA54" s="782">
        <f t="shared" si="1"/>
        <v>7299.8485862143016</v>
      </c>
      <c r="AB54" s="782"/>
      <c r="AC54" s="782">
        <f t="shared" si="1"/>
        <v>7555.3432867318015</v>
      </c>
      <c r="AD54" s="782"/>
      <c r="AE54" s="782">
        <f t="shared" si="1"/>
        <v>7819.7803017674141</v>
      </c>
      <c r="AF54" s="782"/>
      <c r="AG54" s="782">
        <f t="shared" si="1"/>
        <v>8093.472612329273</v>
      </c>
      <c r="AH54" s="782"/>
      <c r="AI54" s="782"/>
    </row>
    <row r="55" spans="1:35" s="2" customFormat="1">
      <c r="A55" s="2" t="s">
        <v>2755</v>
      </c>
      <c r="C55" s="780"/>
      <c r="E55" s="787"/>
      <c r="F55" s="782"/>
      <c r="G55" s="782">
        <f t="shared" si="1"/>
        <v>0</v>
      </c>
      <c r="H55" s="782"/>
      <c r="I55" s="782">
        <f t="shared" si="1"/>
        <v>0</v>
      </c>
      <c r="J55" s="782"/>
      <c r="K55" s="782">
        <f t="shared" si="1"/>
        <v>0</v>
      </c>
      <c r="L55" s="782"/>
      <c r="M55" s="782">
        <f t="shared" si="1"/>
        <v>0</v>
      </c>
      <c r="N55" s="782"/>
      <c r="O55" s="782">
        <f t="shared" si="1"/>
        <v>0</v>
      </c>
      <c r="P55" s="782"/>
      <c r="Q55" s="782">
        <f t="shared" si="1"/>
        <v>0</v>
      </c>
      <c r="R55" s="782"/>
      <c r="S55" s="782">
        <f t="shared" si="1"/>
        <v>0</v>
      </c>
      <c r="T55" s="782"/>
      <c r="U55" s="782">
        <f t="shared" si="1"/>
        <v>0</v>
      </c>
      <c r="V55" s="782"/>
      <c r="W55" s="782">
        <f t="shared" si="1"/>
        <v>0</v>
      </c>
      <c r="X55" s="782"/>
      <c r="Y55" s="782">
        <f t="shared" si="1"/>
        <v>0</v>
      </c>
      <c r="Z55" s="782"/>
      <c r="AA55" s="782">
        <f t="shared" si="1"/>
        <v>0</v>
      </c>
      <c r="AB55" s="782"/>
      <c r="AC55" s="782">
        <f t="shared" si="1"/>
        <v>0</v>
      </c>
      <c r="AD55" s="782"/>
      <c r="AE55" s="782">
        <f t="shared" si="1"/>
        <v>0</v>
      </c>
      <c r="AF55" s="782"/>
      <c r="AG55" s="782">
        <f t="shared" si="1"/>
        <v>0</v>
      </c>
      <c r="AH55" s="782"/>
      <c r="AI55" s="782"/>
    </row>
    <row r="56" spans="1:35" s="2" customFormat="1">
      <c r="A56" s="788"/>
      <c r="B56" s="788"/>
      <c r="C56" s="780"/>
      <c r="E56" s="787"/>
      <c r="F56" s="782"/>
      <c r="G56" s="782">
        <f t="shared" si="1"/>
        <v>0</v>
      </c>
      <c r="H56" s="782"/>
      <c r="I56" s="782">
        <f t="shared" si="1"/>
        <v>0</v>
      </c>
      <c r="J56" s="782"/>
      <c r="K56" s="782">
        <f t="shared" si="1"/>
        <v>0</v>
      </c>
      <c r="L56" s="782"/>
      <c r="M56" s="782">
        <f t="shared" si="1"/>
        <v>0</v>
      </c>
      <c r="N56" s="782"/>
      <c r="O56" s="782">
        <f t="shared" si="1"/>
        <v>0</v>
      </c>
      <c r="P56" s="782"/>
      <c r="Q56" s="782">
        <f t="shared" si="1"/>
        <v>0</v>
      </c>
      <c r="R56" s="782"/>
      <c r="S56" s="782">
        <f t="shared" si="1"/>
        <v>0</v>
      </c>
      <c r="T56" s="782"/>
      <c r="U56" s="782">
        <f t="shared" si="1"/>
        <v>0</v>
      </c>
      <c r="V56" s="782"/>
      <c r="W56" s="782">
        <f t="shared" si="1"/>
        <v>0</v>
      </c>
      <c r="X56" s="782"/>
      <c r="Y56" s="782">
        <f t="shared" si="1"/>
        <v>0</v>
      </c>
      <c r="Z56" s="782"/>
      <c r="AA56" s="782">
        <f t="shared" si="1"/>
        <v>0</v>
      </c>
      <c r="AB56" s="782"/>
      <c r="AC56" s="782">
        <f t="shared" si="1"/>
        <v>0</v>
      </c>
      <c r="AD56" s="782"/>
      <c r="AE56" s="782">
        <f t="shared" si="1"/>
        <v>0</v>
      </c>
      <c r="AF56" s="782"/>
      <c r="AG56" s="782">
        <f t="shared" si="1"/>
        <v>0</v>
      </c>
      <c r="AH56" s="782"/>
      <c r="AI56" s="782"/>
    </row>
    <row r="57" spans="1:35" s="2" customFormat="1">
      <c r="A57" s="788"/>
      <c r="B57" s="788"/>
      <c r="C57" s="780"/>
      <c r="E57" s="789"/>
      <c r="F57" s="782"/>
      <c r="G57" s="790">
        <f t="shared" si="1"/>
        <v>0</v>
      </c>
      <c r="H57" s="782"/>
      <c r="I57" s="790">
        <f t="shared" si="1"/>
        <v>0</v>
      </c>
      <c r="J57" s="782"/>
      <c r="K57" s="790">
        <f t="shared" si="1"/>
        <v>0</v>
      </c>
      <c r="L57" s="782"/>
      <c r="M57" s="790">
        <f t="shared" si="1"/>
        <v>0</v>
      </c>
      <c r="N57" s="782"/>
      <c r="O57" s="790">
        <f t="shared" si="1"/>
        <v>0</v>
      </c>
      <c r="P57" s="782"/>
      <c r="Q57" s="790">
        <f t="shared" si="1"/>
        <v>0</v>
      </c>
      <c r="R57" s="782"/>
      <c r="S57" s="790">
        <f t="shared" si="1"/>
        <v>0</v>
      </c>
      <c r="T57" s="782"/>
      <c r="U57" s="790">
        <f t="shared" si="1"/>
        <v>0</v>
      </c>
      <c r="V57" s="782"/>
      <c r="W57" s="790">
        <f t="shared" si="1"/>
        <v>0</v>
      </c>
      <c r="X57" s="782"/>
      <c r="Y57" s="790">
        <f t="shared" si="1"/>
        <v>0</v>
      </c>
      <c r="Z57" s="782"/>
      <c r="AA57" s="790">
        <f t="shared" si="1"/>
        <v>0</v>
      </c>
      <c r="AB57" s="782"/>
      <c r="AC57" s="790">
        <f t="shared" si="1"/>
        <v>0</v>
      </c>
      <c r="AD57" s="782"/>
      <c r="AE57" s="790">
        <f t="shared" si="1"/>
        <v>0</v>
      </c>
      <c r="AF57" s="782"/>
      <c r="AG57" s="790">
        <f t="shared" si="1"/>
        <v>0</v>
      </c>
      <c r="AH57" s="782"/>
      <c r="AI57" s="782"/>
    </row>
    <row r="58" spans="1:35" s="2" customFormat="1">
      <c r="A58" s="784" t="s">
        <v>2756</v>
      </c>
      <c r="C58" s="783"/>
      <c r="E58" s="782">
        <f>SUM(E53:E57)</f>
        <v>15800</v>
      </c>
      <c r="F58" s="782"/>
      <c r="G58" s="782">
        <f>SUM(G53:G57)</f>
        <v>16353</v>
      </c>
      <c r="H58" s="782"/>
      <c r="I58" s="782">
        <f>SUM(I53:I57)</f>
        <v>16925.355</v>
      </c>
      <c r="J58" s="782"/>
      <c r="K58" s="782">
        <f>SUM(K53:K57)</f>
        <v>17517.742424999997</v>
      </c>
      <c r="L58" s="782"/>
      <c r="M58" s="782">
        <f>SUM(M53:M57)</f>
        <v>18130.863409874997</v>
      </c>
      <c r="N58" s="782"/>
      <c r="O58" s="782">
        <f>SUM(O53:O57)</f>
        <v>18765.443629220619</v>
      </c>
      <c r="P58" s="782"/>
      <c r="Q58" s="782">
        <f>SUM(Q53:Q57)</f>
        <v>19422.234156243343</v>
      </c>
      <c r="R58" s="782"/>
      <c r="S58" s="782">
        <f>SUM(S53:S57)</f>
        <v>20102.012351711855</v>
      </c>
      <c r="T58" s="782"/>
      <c r="U58" s="782">
        <f>SUM(U53:U57)</f>
        <v>20805.582784021772</v>
      </c>
      <c r="V58" s="782"/>
      <c r="W58" s="782">
        <f>SUM(W53:W57)</f>
        <v>21533.778181462534</v>
      </c>
      <c r="X58" s="782"/>
      <c r="Y58" s="782">
        <f>SUM(Y53:Y57)</f>
        <v>22287.46041781372</v>
      </c>
      <c r="Z58" s="782"/>
      <c r="AA58" s="782">
        <f>SUM(AA53:AA57)</f>
        <v>23067.521532437197</v>
      </c>
      <c r="AB58" s="782"/>
      <c r="AC58" s="782">
        <f>SUM(AC53:AC57)</f>
        <v>23874.884786072496</v>
      </c>
      <c r="AD58" s="782"/>
      <c r="AE58" s="782">
        <f>SUM(AE53:AE57)</f>
        <v>24710.505753585036</v>
      </c>
      <c r="AF58" s="782"/>
      <c r="AG58" s="782">
        <f>SUM(AG53:AG57)</f>
        <v>25575.373454960507</v>
      </c>
      <c r="AH58" s="782"/>
      <c r="AI58" s="782"/>
    </row>
    <row r="59" spans="1:35" s="2" customFormat="1" ht="12.75" customHeight="1">
      <c r="A59" s="784"/>
      <c r="C59" s="783"/>
      <c r="E59" s="782"/>
      <c r="F59" s="782"/>
      <c r="G59" s="782"/>
      <c r="H59" s="782"/>
      <c r="I59" s="782"/>
      <c r="J59" s="782"/>
      <c r="K59" s="782"/>
      <c r="L59" s="782"/>
      <c r="M59" s="782"/>
      <c r="N59" s="782"/>
      <c r="O59" s="782"/>
      <c r="P59" s="782"/>
      <c r="Q59" s="782"/>
      <c r="R59" s="782"/>
      <c r="S59" s="782"/>
      <c r="T59" s="782"/>
      <c r="U59" s="782"/>
      <c r="V59" s="782"/>
      <c r="W59" s="782"/>
      <c r="X59" s="782"/>
      <c r="Y59" s="782"/>
      <c r="Z59" s="782"/>
      <c r="AA59" s="782"/>
      <c r="AB59" s="782"/>
      <c r="AC59" s="782"/>
      <c r="AD59" s="782"/>
      <c r="AE59" s="782"/>
      <c r="AF59" s="782"/>
      <c r="AG59" s="782"/>
      <c r="AH59" s="782"/>
      <c r="AI59" s="782"/>
    </row>
    <row r="60" spans="1:35" s="784" customFormat="1">
      <c r="A60" s="784" t="s">
        <v>2757</v>
      </c>
      <c r="C60" s="791"/>
      <c r="E60" s="784">
        <f>E45-E58</f>
        <v>84203.61739099992</v>
      </c>
      <c r="G60" s="784">
        <f>G45-G58</f>
        <v>98975.477390999789</v>
      </c>
      <c r="I60" s="784">
        <f>I45-I58</f>
        <v>113953.42889099986</v>
      </c>
      <c r="K60" s="784">
        <f>K45-K58</f>
        <v>129136.91200349975</v>
      </c>
      <c r="M60" s="784">
        <f>M45-M58</f>
        <v>144525.15291768717</v>
      </c>
      <c r="O60" s="784">
        <f>O45-O58</f>
        <v>160117.15155394012</v>
      </c>
      <c r="Q60" s="784">
        <f>Q45-Q58</f>
        <v>175911.66866478202</v>
      </c>
      <c r="S60" s="784">
        <f>S45-S58</f>
        <v>191907.21235988219</v>
      </c>
      <c r="U60" s="784">
        <f>U45-U58</f>
        <v>208102.02403182347</v>
      </c>
      <c r="W60" s="784">
        <f>W45-W58</f>
        <v>224494.06365848356</v>
      </c>
      <c r="Y60" s="784">
        <f>Y45-Y58</f>
        <v>241080.99445693256</v>
      </c>
      <c r="AA60" s="784">
        <f>AA45-AA58</f>
        <v>257860.16686280456</v>
      </c>
      <c r="AC60" s="784">
        <f>AC45-AC58</f>
        <v>274828.60180809634</v>
      </c>
      <c r="AE60" s="784">
        <f>AE45-AE58</f>
        <v>291982.97326931742</v>
      </c>
      <c r="AG60" s="784">
        <f>AG45-AG58</f>
        <v>309319.59005684708</v>
      </c>
    </row>
    <row r="61" spans="1:35" s="2" customFormat="1" ht="8.25" customHeight="1">
      <c r="C61" s="783"/>
      <c r="E61" s="782"/>
      <c r="F61" s="782"/>
      <c r="G61" s="782"/>
      <c r="H61" s="782"/>
      <c r="I61" s="782"/>
      <c r="J61" s="782"/>
      <c r="K61" s="782"/>
      <c r="L61" s="782"/>
      <c r="M61" s="782"/>
      <c r="N61" s="782"/>
      <c r="O61" s="782"/>
      <c r="P61" s="782"/>
      <c r="Q61" s="782"/>
      <c r="R61" s="782"/>
      <c r="S61" s="782"/>
      <c r="T61" s="782"/>
      <c r="U61" s="782"/>
      <c r="V61" s="782"/>
      <c r="W61" s="782"/>
      <c r="X61" s="782"/>
      <c r="Y61" s="782"/>
      <c r="Z61" s="782"/>
      <c r="AA61" s="782"/>
      <c r="AB61" s="782"/>
      <c r="AC61" s="782"/>
      <c r="AD61" s="782"/>
      <c r="AE61" s="782"/>
      <c r="AF61" s="782"/>
      <c r="AG61" s="782"/>
      <c r="AH61" s="782"/>
      <c r="AI61" s="782"/>
    </row>
    <row r="62" spans="1:35" s="784" customFormat="1">
      <c r="A62" s="784" t="s">
        <v>2758</v>
      </c>
      <c r="C62" s="781">
        <v>1</v>
      </c>
      <c r="E62" s="786">
        <f>E60*$C$62</f>
        <v>84203.61739099992</v>
      </c>
      <c r="G62" s="784">
        <f>G60*$C$62</f>
        <v>98975.477390999789</v>
      </c>
      <c r="I62" s="784">
        <f>I60*$C$62</f>
        <v>113953.42889099986</v>
      </c>
      <c r="K62" s="784">
        <f>K60*$C$62</f>
        <v>129136.91200349975</v>
      </c>
      <c r="M62" s="784">
        <f>M60*$C$62</f>
        <v>144525.15291768717</v>
      </c>
      <c r="O62" s="784">
        <f>O60*$C$62</f>
        <v>160117.15155394012</v>
      </c>
      <c r="Q62" s="784">
        <f>Q60*$C$62</f>
        <v>175911.66866478202</v>
      </c>
      <c r="S62" s="784">
        <f>S60*$C$62</f>
        <v>191907.21235988219</v>
      </c>
      <c r="U62" s="784">
        <f>U60*$C$62</f>
        <v>208102.02403182347</v>
      </c>
      <c r="W62" s="784">
        <f>W60*$C$62</f>
        <v>224494.06365848356</v>
      </c>
      <c r="Y62" s="784">
        <f>Y60*$C$62</f>
        <v>241080.99445693256</v>
      </c>
      <c r="AA62" s="784">
        <f>AA60*$C$62</f>
        <v>257860.16686280456</v>
      </c>
      <c r="AC62" s="784">
        <f>AC60*$C$62</f>
        <v>274828.60180809634</v>
      </c>
      <c r="AE62" s="784">
        <f>AE60*$C$62</f>
        <v>291982.97326931742</v>
      </c>
      <c r="AG62" s="784">
        <f>AG60*$C$62</f>
        <v>309319.59005684708</v>
      </c>
    </row>
    <row r="63" spans="1:35" s="784" customFormat="1">
      <c r="A63" s="2601" t="s">
        <v>1079</v>
      </c>
      <c r="B63" s="2601"/>
      <c r="C63" s="2601"/>
    </row>
    <row r="64" spans="1:35" s="2" customFormat="1" ht="8.25" customHeight="1">
      <c r="C64" s="783"/>
      <c r="E64" s="782"/>
      <c r="F64" s="782"/>
      <c r="G64" s="782"/>
      <c r="H64" s="782"/>
      <c r="I64" s="782"/>
      <c r="J64" s="782"/>
      <c r="K64" s="782"/>
      <c r="L64" s="782"/>
      <c r="M64" s="782"/>
      <c r="N64" s="782"/>
      <c r="O64" s="782"/>
      <c r="P64" s="782"/>
      <c r="Q64" s="782"/>
      <c r="R64" s="782"/>
      <c r="S64" s="782"/>
      <c r="T64" s="782"/>
      <c r="U64" s="782"/>
      <c r="V64" s="782"/>
      <c r="W64" s="782"/>
      <c r="X64" s="782"/>
      <c r="Y64" s="782"/>
      <c r="Z64" s="782"/>
      <c r="AA64" s="782"/>
      <c r="AB64" s="782"/>
      <c r="AC64" s="782"/>
      <c r="AD64" s="782"/>
      <c r="AE64" s="782"/>
      <c r="AF64" s="782"/>
      <c r="AG64" s="782"/>
      <c r="AH64" s="782"/>
      <c r="AI64" s="782"/>
    </row>
    <row r="65" spans="1:35" s="2" customFormat="1">
      <c r="A65" s="2" t="s">
        <v>2759</v>
      </c>
      <c r="C65" s="781"/>
      <c r="E65" s="782"/>
      <c r="F65" s="782"/>
      <c r="G65" s="782"/>
      <c r="H65" s="782"/>
      <c r="I65" s="782"/>
      <c r="J65" s="782"/>
      <c r="K65" s="782"/>
      <c r="L65" s="782"/>
      <c r="M65" s="782"/>
      <c r="N65" s="782"/>
      <c r="O65" s="782"/>
      <c r="P65" s="782"/>
      <c r="Q65" s="782"/>
      <c r="R65" s="782"/>
      <c r="S65" s="782"/>
      <c r="T65" s="782"/>
      <c r="U65" s="782"/>
      <c r="V65" s="782"/>
      <c r="W65" s="782"/>
      <c r="X65" s="782"/>
      <c r="Y65" s="782"/>
      <c r="Z65" s="782"/>
      <c r="AA65" s="782"/>
      <c r="AB65" s="782"/>
      <c r="AC65" s="782"/>
      <c r="AD65" s="782"/>
      <c r="AE65" s="782"/>
      <c r="AF65" s="782"/>
      <c r="AG65" s="782"/>
      <c r="AH65" s="782"/>
      <c r="AI65" s="782"/>
    </row>
    <row r="66" spans="1:35" s="784" customFormat="1">
      <c r="A66" s="786"/>
      <c r="B66" s="786"/>
      <c r="C66" s="785"/>
      <c r="E66" s="786">
        <f>$E60*$C$65</f>
        <v>0</v>
      </c>
      <c r="G66" s="782">
        <f>G60*$C$65</f>
        <v>0</v>
      </c>
      <c r="I66" s="782">
        <f>I60*$C$65</f>
        <v>0</v>
      </c>
      <c r="K66" s="782">
        <f>K60*$C$65</f>
        <v>0</v>
      </c>
      <c r="M66" s="782">
        <f>M60*$C$65</f>
        <v>0</v>
      </c>
      <c r="O66" s="782">
        <f>O60*$C$65</f>
        <v>0</v>
      </c>
      <c r="Q66" s="782">
        <f>Q60*$C$65</f>
        <v>0</v>
      </c>
      <c r="S66" s="782">
        <f>S60*$C$65</f>
        <v>0</v>
      </c>
      <c r="U66" s="782">
        <f>U60*$C$65</f>
        <v>0</v>
      </c>
      <c r="W66" s="782">
        <f>W60*$C$65</f>
        <v>0</v>
      </c>
      <c r="Y66" s="782">
        <f>Y60*$C$65</f>
        <v>0</v>
      </c>
      <c r="AA66" s="782">
        <f>AA60*$C$65</f>
        <v>0</v>
      </c>
      <c r="AC66" s="782">
        <f>AC60*$C$65</f>
        <v>0</v>
      </c>
      <c r="AE66" s="782">
        <f>AE60*$C$65</f>
        <v>0</v>
      </c>
      <c r="AG66" s="782">
        <f>AG60*$C$65</f>
        <v>0</v>
      </c>
    </row>
    <row r="67" spans="1:35" s="782" customFormat="1">
      <c r="A67" s="787"/>
      <c r="B67" s="787"/>
      <c r="C67" s="792"/>
      <c r="E67" s="786">
        <f>$E60*$C$65</f>
        <v>0</v>
      </c>
      <c r="G67" s="782">
        <f>G60*$C$65</f>
        <v>0</v>
      </c>
      <c r="I67" s="782">
        <f>I60*$C$65</f>
        <v>0</v>
      </c>
      <c r="K67" s="782">
        <f>K60*$C$65</f>
        <v>0</v>
      </c>
      <c r="M67" s="782">
        <f>M60*$C$65</f>
        <v>0</v>
      </c>
      <c r="O67" s="782">
        <f>O60*$C$65</f>
        <v>0</v>
      </c>
      <c r="Q67" s="782">
        <f>Q60*$C$65</f>
        <v>0</v>
      </c>
      <c r="S67" s="782">
        <f>S60*$C$65</f>
        <v>0</v>
      </c>
      <c r="U67" s="782">
        <f>U60*$C$65</f>
        <v>0</v>
      </c>
      <c r="W67" s="782">
        <f>W60*$C$65</f>
        <v>0</v>
      </c>
      <c r="Y67" s="782">
        <f>Y60*$C$65</f>
        <v>0</v>
      </c>
      <c r="AA67" s="782">
        <f>AA60*$C$65</f>
        <v>0</v>
      </c>
      <c r="AC67" s="782">
        <f>AC60*$C$65</f>
        <v>0</v>
      </c>
      <c r="AE67" s="782">
        <f>AE60*$C$65</f>
        <v>0</v>
      </c>
      <c r="AG67" s="782">
        <f>AG60*$C$65</f>
        <v>0</v>
      </c>
    </row>
    <row r="68" spans="1:35" s="782" customFormat="1">
      <c r="A68" s="787"/>
      <c r="B68" s="787"/>
      <c r="C68" s="792"/>
      <c r="E68" s="787"/>
      <c r="G68" s="782">
        <f t="shared" ref="G68:AG69" si="2">E68*$C$66</f>
        <v>0</v>
      </c>
      <c r="I68" s="782">
        <f t="shared" si="2"/>
        <v>0</v>
      </c>
      <c r="K68" s="782">
        <f t="shared" si="2"/>
        <v>0</v>
      </c>
      <c r="M68" s="782">
        <f t="shared" si="2"/>
        <v>0</v>
      </c>
      <c r="O68" s="782">
        <f t="shared" si="2"/>
        <v>0</v>
      </c>
      <c r="Q68" s="782">
        <f t="shared" si="2"/>
        <v>0</v>
      </c>
      <c r="S68" s="782">
        <f t="shared" si="2"/>
        <v>0</v>
      </c>
      <c r="U68" s="782">
        <f t="shared" si="2"/>
        <v>0</v>
      </c>
      <c r="W68" s="782">
        <f t="shared" si="2"/>
        <v>0</v>
      </c>
      <c r="Y68" s="782">
        <f t="shared" si="2"/>
        <v>0</v>
      </c>
      <c r="AA68" s="782">
        <f t="shared" si="2"/>
        <v>0</v>
      </c>
      <c r="AC68" s="782">
        <f t="shared" si="2"/>
        <v>0</v>
      </c>
      <c r="AE68" s="782">
        <f t="shared" si="2"/>
        <v>0</v>
      </c>
      <c r="AG68" s="782">
        <f t="shared" si="2"/>
        <v>0</v>
      </c>
    </row>
    <row r="69" spans="1:35" s="782" customFormat="1">
      <c r="A69" s="787"/>
      <c r="B69" s="787"/>
      <c r="C69" s="792"/>
      <c r="E69" s="789"/>
      <c r="G69" s="790">
        <f t="shared" si="2"/>
        <v>0</v>
      </c>
      <c r="I69" s="790">
        <f t="shared" si="2"/>
        <v>0</v>
      </c>
      <c r="K69" s="790">
        <f t="shared" si="2"/>
        <v>0</v>
      </c>
      <c r="M69" s="790">
        <f t="shared" si="2"/>
        <v>0</v>
      </c>
      <c r="O69" s="790">
        <f t="shared" si="2"/>
        <v>0</v>
      </c>
      <c r="Q69" s="790">
        <f t="shared" si="2"/>
        <v>0</v>
      </c>
      <c r="S69" s="790">
        <f t="shared" si="2"/>
        <v>0</v>
      </c>
      <c r="U69" s="790">
        <f t="shared" si="2"/>
        <v>0</v>
      </c>
      <c r="W69" s="790">
        <f t="shared" si="2"/>
        <v>0</v>
      </c>
      <c r="Y69" s="790">
        <f t="shared" si="2"/>
        <v>0</v>
      </c>
      <c r="AA69" s="790">
        <f t="shared" si="2"/>
        <v>0</v>
      </c>
      <c r="AC69" s="790">
        <f t="shared" si="2"/>
        <v>0</v>
      </c>
      <c r="AE69" s="790">
        <f t="shared" si="2"/>
        <v>0</v>
      </c>
      <c r="AG69" s="790">
        <f t="shared" si="2"/>
        <v>0</v>
      </c>
    </row>
    <row r="70" spans="1:35" s="782" customFormat="1">
      <c r="A70" s="784" t="s">
        <v>2756</v>
      </c>
      <c r="C70" s="792"/>
      <c r="E70" s="782">
        <f>SUM(E66:E69)</f>
        <v>0</v>
      </c>
      <c r="G70" s="782">
        <f>SUM(G66:G69)</f>
        <v>0</v>
      </c>
      <c r="I70" s="782">
        <f>SUM(I66:I69)</f>
        <v>0</v>
      </c>
      <c r="K70" s="782">
        <f>SUM(K66:K69)</f>
        <v>0</v>
      </c>
      <c r="M70" s="782">
        <f>SUM(M66:M69)</f>
        <v>0</v>
      </c>
      <c r="O70" s="782">
        <f>SUM(O66:O69)</f>
        <v>0</v>
      </c>
      <c r="Q70" s="782">
        <f>SUM(Q66:Q69)</f>
        <v>0</v>
      </c>
      <c r="S70" s="782">
        <f>SUM(S66:S69)</f>
        <v>0</v>
      </c>
      <c r="U70" s="782">
        <f>SUM(U66:U69)</f>
        <v>0</v>
      </c>
      <c r="W70" s="782">
        <f>SUM(W66:W69)</f>
        <v>0</v>
      </c>
      <c r="Y70" s="782">
        <f>SUM(Y66:Y69)</f>
        <v>0</v>
      </c>
      <c r="AA70" s="782">
        <f>SUM(AA66:AA69)</f>
        <v>0</v>
      </c>
      <c r="AC70" s="782">
        <f>SUM(AC66:AC69)</f>
        <v>0</v>
      </c>
      <c r="AE70" s="782">
        <f>SUM(AE66:AE69)</f>
        <v>0</v>
      </c>
      <c r="AG70" s="782">
        <f>SUM(AG66:AG69)</f>
        <v>0</v>
      </c>
    </row>
    <row r="71" spans="1:35" s="782" customFormat="1">
      <c r="A71" s="784"/>
      <c r="C71" s="792"/>
    </row>
    <row r="72" spans="1:35" s="782" customFormat="1">
      <c r="A72" s="784" t="s">
        <v>2760</v>
      </c>
      <c r="C72" s="792"/>
      <c r="E72" s="784">
        <f>E60-E62-E70</f>
        <v>0</v>
      </c>
      <c r="G72" s="784">
        <f>G60-G62-G70</f>
        <v>0</v>
      </c>
      <c r="I72" s="784">
        <f>I60-I62-I70</f>
        <v>0</v>
      </c>
      <c r="K72" s="784">
        <f>K60-K62-K70</f>
        <v>0</v>
      </c>
      <c r="M72" s="784">
        <f>M60-M62-M70</f>
        <v>0</v>
      </c>
      <c r="O72" s="784">
        <f>O60-O62-O70</f>
        <v>0</v>
      </c>
      <c r="Q72" s="784">
        <f>Q60-Q62-Q70</f>
        <v>0</v>
      </c>
      <c r="S72" s="784">
        <f>S60-S62-S70</f>
        <v>0</v>
      </c>
      <c r="U72" s="784">
        <f>U60-U62-U70</f>
        <v>0</v>
      </c>
      <c r="W72" s="784">
        <f>W60-W62-W70</f>
        <v>0</v>
      </c>
      <c r="Y72" s="784">
        <f>Y60-Y62-Y70</f>
        <v>0</v>
      </c>
      <c r="AA72" s="784">
        <f>AA60-AA62-AA70</f>
        <v>0</v>
      </c>
      <c r="AC72" s="784">
        <f>AC60-AC62-AC70</f>
        <v>0</v>
      </c>
      <c r="AE72" s="784">
        <f>AE60-AE62-AE70</f>
        <v>0</v>
      </c>
      <c r="AG72" s="784">
        <f>AG60-AG62-AG70</f>
        <v>0</v>
      </c>
    </row>
    <row r="73" spans="1:35" s="782" customFormat="1" ht="13">
      <c r="A73" s="398"/>
      <c r="C73" s="792"/>
    </row>
    <row r="74" spans="1:35" s="130" customFormat="1" ht="13">
      <c r="A74" s="398"/>
      <c r="B74" s="782"/>
      <c r="C74" s="792"/>
      <c r="D74" s="782"/>
      <c r="E74" s="782"/>
      <c r="F74" s="782"/>
      <c r="G74" s="782"/>
      <c r="H74" s="782"/>
      <c r="I74" s="782"/>
      <c r="J74" s="782"/>
      <c r="K74" s="782"/>
      <c r="L74" s="782"/>
      <c r="M74" s="782"/>
      <c r="N74" s="782"/>
      <c r="O74" s="782"/>
      <c r="P74" s="782"/>
      <c r="Q74" s="782"/>
      <c r="R74" s="782"/>
      <c r="S74" s="782"/>
      <c r="T74" s="782"/>
      <c r="U74" s="782"/>
      <c r="V74" s="782"/>
      <c r="W74" s="782"/>
      <c r="X74" s="782"/>
      <c r="Y74" s="782"/>
      <c r="Z74" s="782"/>
      <c r="AA74" s="782"/>
      <c r="AB74" s="782"/>
      <c r="AC74" s="782"/>
      <c r="AD74" s="782"/>
      <c r="AE74" s="782"/>
      <c r="AF74" s="782"/>
      <c r="AG74" s="782"/>
      <c r="AH74" s="782"/>
      <c r="AI74" s="782"/>
    </row>
    <row r="75" spans="1:35" s="130" customFormat="1">
      <c r="A75" s="782" t="s">
        <v>2761</v>
      </c>
      <c r="B75" s="782"/>
      <c r="C75" s="792"/>
      <c r="D75" s="782"/>
      <c r="E75" s="782"/>
      <c r="F75" s="782"/>
      <c r="G75" s="782"/>
      <c r="H75" s="782"/>
      <c r="I75" s="782"/>
      <c r="J75" s="782"/>
      <c r="K75" s="782"/>
      <c r="L75" s="782"/>
      <c r="M75" s="782"/>
      <c r="N75" s="782"/>
      <c r="O75" s="782"/>
      <c r="P75" s="782"/>
      <c r="Q75" s="782"/>
      <c r="R75" s="782"/>
      <c r="S75" s="782"/>
      <c r="T75" s="782"/>
      <c r="U75" s="782"/>
      <c r="V75" s="782"/>
      <c r="W75" s="782"/>
      <c r="X75" s="782"/>
      <c r="Y75" s="782"/>
      <c r="Z75" s="782"/>
      <c r="AA75" s="782"/>
      <c r="AB75" s="782"/>
      <c r="AC75" s="782"/>
      <c r="AD75" s="782"/>
      <c r="AE75" s="782"/>
      <c r="AF75" s="782"/>
      <c r="AG75" s="782"/>
      <c r="AH75" s="782"/>
      <c r="AI75" s="782"/>
    </row>
    <row r="76" spans="1:35" s="130" customFormat="1">
      <c r="A76" s="782"/>
      <c r="B76" s="782"/>
      <c r="C76" s="792"/>
      <c r="D76" s="782"/>
      <c r="E76" s="782"/>
      <c r="F76" s="782"/>
      <c r="G76" s="782"/>
      <c r="H76" s="782"/>
      <c r="I76" s="782"/>
      <c r="J76" s="782"/>
      <c r="K76" s="782"/>
      <c r="L76" s="782"/>
      <c r="M76" s="782"/>
      <c r="N76" s="782"/>
      <c r="O76" s="782"/>
      <c r="P76" s="782"/>
      <c r="Q76" s="782"/>
      <c r="R76" s="782"/>
      <c r="S76" s="782"/>
      <c r="T76" s="782"/>
      <c r="U76" s="782"/>
      <c r="V76" s="782"/>
      <c r="W76" s="782"/>
      <c r="X76" s="782"/>
      <c r="Y76" s="782"/>
      <c r="Z76" s="782"/>
      <c r="AA76" s="782"/>
      <c r="AB76" s="782"/>
      <c r="AC76" s="782"/>
      <c r="AD76" s="782"/>
      <c r="AE76" s="782"/>
      <c r="AF76" s="782"/>
      <c r="AG76" s="782"/>
      <c r="AH76" s="782"/>
      <c r="AI76" s="782"/>
    </row>
    <row r="77" spans="1:35" s="146" customFormat="1" ht="30" customHeight="1">
      <c r="A77" s="2600" t="s">
        <v>2762</v>
      </c>
      <c r="B77" s="2600"/>
      <c r="C77" s="2600"/>
      <c r="D77" s="2600"/>
      <c r="E77" s="2600"/>
      <c r="F77" s="2600"/>
      <c r="G77" s="2600"/>
      <c r="H77" s="2600"/>
      <c r="I77" s="2600"/>
      <c r="J77" s="2600"/>
      <c r="K77" s="2600"/>
      <c r="L77" s="2600"/>
      <c r="M77" s="2600"/>
      <c r="N77" s="2600"/>
      <c r="O77" s="2600"/>
      <c r="P77" s="2600"/>
      <c r="Q77" s="2600"/>
      <c r="R77" s="2600"/>
      <c r="S77" s="2600"/>
      <c r="T77" s="2600"/>
      <c r="U77" s="2600"/>
      <c r="V77" s="2600"/>
      <c r="W77" s="2600"/>
      <c r="X77" s="2600"/>
      <c r="Y77" s="2600"/>
      <c r="Z77" s="2600"/>
      <c r="AA77" s="2600"/>
      <c r="AB77" s="2600"/>
      <c r="AC77" s="2600"/>
      <c r="AD77" s="2600"/>
      <c r="AE77" s="2600"/>
      <c r="AF77" s="2600"/>
      <c r="AG77" s="2600"/>
      <c r="AH77" s="1108"/>
      <c r="AI77" s="1108"/>
    </row>
    <row r="78" spans="1:35" s="127" customFormat="1" hidden="1">
      <c r="C78" s="129"/>
    </row>
    <row r="79" spans="1:35" s="127" customFormat="1" hidden="1">
      <c r="C79" s="129"/>
    </row>
    <row r="80" spans="1:35" s="127" customFormat="1" hidden="1">
      <c r="C80" s="129"/>
    </row>
    <row r="81" spans="3:3" s="127" customFormat="1" hidden="1">
      <c r="C81" s="129"/>
    </row>
    <row r="82" spans="3:3" s="127" customFormat="1" hidden="1">
      <c r="C82" s="129"/>
    </row>
    <row r="83" spans="3:3" s="127" customFormat="1" hidden="1">
      <c r="C83" s="129"/>
    </row>
    <row r="84" spans="3:3" s="127" customFormat="1" hidden="1">
      <c r="C84" s="129"/>
    </row>
    <row r="85" spans="3:3" s="127" customFormat="1" hidden="1">
      <c r="C85" s="129"/>
    </row>
    <row r="86" spans="3:3" s="127" customFormat="1" hidden="1">
      <c r="C86" s="129"/>
    </row>
    <row r="87" spans="3:3" s="127" customFormat="1" hidden="1">
      <c r="C87" s="129"/>
    </row>
    <row r="88" spans="3:3" s="127" customFormat="1" hidden="1">
      <c r="C88" s="129"/>
    </row>
    <row r="89" spans="3:3" s="127" customFormat="1" hidden="1">
      <c r="C89" s="129"/>
    </row>
    <row r="90" spans="3:3" s="127" customFormat="1" hidden="1">
      <c r="C90" s="129"/>
    </row>
    <row r="91" spans="3:3" s="127" customFormat="1" hidden="1">
      <c r="C91" s="129"/>
    </row>
    <row r="92" spans="3:3" s="127" customFormat="1" hidden="1">
      <c r="C92" s="129"/>
    </row>
    <row r="93" spans="3:3" s="127" customFormat="1" hidden="1">
      <c r="C93" s="129"/>
    </row>
    <row r="94" spans="3:3" s="127" customFormat="1" hidden="1">
      <c r="C94" s="129"/>
    </row>
    <row r="95" spans="3:3" s="127" customFormat="1" hidden="1">
      <c r="C95" s="129"/>
    </row>
    <row r="96" spans="3:3" s="127" customFormat="1" hidden="1">
      <c r="C96" s="129"/>
    </row>
    <row r="97" spans="3:3" s="127" customFormat="1" hidden="1">
      <c r="C97" s="129"/>
    </row>
    <row r="98" spans="3:3" s="127" customFormat="1" hidden="1">
      <c r="C98" s="129"/>
    </row>
    <row r="99" spans="3:3" s="127" customFormat="1" hidden="1">
      <c r="C99" s="129"/>
    </row>
    <row r="100" spans="3:3" s="127" customFormat="1" hidden="1">
      <c r="C100" s="129"/>
    </row>
    <row r="101" spans="3:3" s="127" customFormat="1" hidden="1">
      <c r="C101" s="129"/>
    </row>
    <row r="102" spans="3:3" s="127" customFormat="1" hidden="1">
      <c r="C102" s="129"/>
    </row>
    <row r="103" spans="3:3" s="127" customFormat="1" hidden="1">
      <c r="C103" s="129"/>
    </row>
    <row r="104" spans="3:3" s="127" customFormat="1" hidden="1">
      <c r="C104" s="129"/>
    </row>
    <row r="105" spans="3:3" s="127" customFormat="1" hidden="1">
      <c r="C105" s="129"/>
    </row>
    <row r="106" spans="3:3" s="127" customFormat="1" hidden="1">
      <c r="C106" s="129"/>
    </row>
    <row r="107" spans="3:3" s="127" customFormat="1" hidden="1">
      <c r="C107" s="129"/>
    </row>
    <row r="108" spans="3:3" s="127" customFormat="1" hidden="1">
      <c r="C108" s="129"/>
    </row>
    <row r="109" spans="3:3" s="127" customFormat="1" hidden="1">
      <c r="C109" s="129"/>
    </row>
    <row r="110" spans="3:3" s="127" customFormat="1" hidden="1">
      <c r="C110" s="129"/>
    </row>
    <row r="111" spans="3:3" s="127" customFormat="1" hidden="1">
      <c r="C111" s="129"/>
    </row>
    <row r="112" spans="3:3" s="127" customFormat="1" hidden="1">
      <c r="C112" s="129"/>
    </row>
    <row r="113" spans="3:3" s="127" customFormat="1" hidden="1">
      <c r="C113" s="129"/>
    </row>
    <row r="114" spans="3:3" s="127" customFormat="1" hidden="1">
      <c r="C114" s="129"/>
    </row>
    <row r="115" spans="3:3" s="127" customFormat="1" hidden="1">
      <c r="C115" s="129"/>
    </row>
    <row r="116" spans="3:3" s="127" customFormat="1" hidden="1">
      <c r="C116" s="129"/>
    </row>
    <row r="117" spans="3:3" s="127" customFormat="1" hidden="1">
      <c r="C117" s="129"/>
    </row>
    <row r="118" spans="3:3" s="127" customFormat="1" hidden="1">
      <c r="C118" s="129"/>
    </row>
    <row r="119" spans="3:3" s="127" customFormat="1" hidden="1">
      <c r="C119" s="129"/>
    </row>
    <row r="120" spans="3:3" s="127" customFormat="1" hidden="1">
      <c r="C120" s="129"/>
    </row>
    <row r="121" spans="3:3" s="127" customFormat="1" hidden="1">
      <c r="C121" s="129"/>
    </row>
    <row r="122" spans="3:3" s="127" customFormat="1" hidden="1">
      <c r="C122" s="129"/>
    </row>
    <row r="123" spans="3:3" s="127" customFormat="1" hidden="1">
      <c r="C123" s="129"/>
    </row>
    <row r="124" spans="3:3" s="127" customFormat="1" hidden="1">
      <c r="C124" s="129"/>
    </row>
    <row r="125" spans="3:3" s="127" customFormat="1" hidden="1">
      <c r="C125" s="129"/>
    </row>
    <row r="126" spans="3:3" s="127" customFormat="1" hidden="1">
      <c r="C126" s="129"/>
    </row>
    <row r="127" spans="3:3" s="127" customFormat="1" hidden="1">
      <c r="C127" s="129"/>
    </row>
    <row r="128" spans="3:3" s="127" customFormat="1" hidden="1">
      <c r="C128" s="129"/>
    </row>
    <row r="129" spans="3:3" s="127" customFormat="1" hidden="1">
      <c r="C129" s="129"/>
    </row>
    <row r="130" spans="3:3" s="127" customFormat="1" hidden="1">
      <c r="C130" s="129"/>
    </row>
    <row r="131" spans="3:3" s="127" customFormat="1" hidden="1">
      <c r="C131" s="129"/>
    </row>
    <row r="132" spans="3:3" s="127" customFormat="1" hidden="1">
      <c r="C132" s="129"/>
    </row>
    <row r="133" spans="3:3" s="127" customFormat="1" hidden="1">
      <c r="C133" s="129"/>
    </row>
    <row r="134" spans="3:3" s="127" customFormat="1" hidden="1">
      <c r="C134" s="129"/>
    </row>
    <row r="135" spans="3:3" s="127" customFormat="1" hidden="1">
      <c r="C135" s="129"/>
    </row>
    <row r="136" spans="3:3" s="127" customFormat="1" hidden="1">
      <c r="C136" s="129"/>
    </row>
    <row r="137" spans="3:3" s="127" customFormat="1" hidden="1">
      <c r="C137" s="129"/>
    </row>
    <row r="138" spans="3:3" s="127" customFormat="1" hidden="1">
      <c r="C138" s="129"/>
    </row>
    <row r="139" spans="3:3" s="127" customFormat="1" hidden="1">
      <c r="C139" s="129"/>
    </row>
    <row r="140" spans="3:3" s="127" customFormat="1" hidden="1">
      <c r="C140" s="129"/>
    </row>
    <row r="141" spans="3:3" s="127" customFormat="1" hidden="1">
      <c r="C141" s="129"/>
    </row>
    <row r="142" spans="3:3" s="127" customFormat="1" hidden="1">
      <c r="C142" s="129"/>
    </row>
    <row r="143" spans="3:3" s="127" customFormat="1" hidden="1">
      <c r="C143" s="129"/>
    </row>
    <row r="144" spans="3:3" s="127" customFormat="1" hidden="1">
      <c r="C144" s="129"/>
    </row>
    <row r="145" spans="3:3" s="127" customFormat="1" hidden="1">
      <c r="C145" s="129"/>
    </row>
    <row r="146" spans="3:3" s="127" customFormat="1" hidden="1">
      <c r="C146" s="129"/>
    </row>
    <row r="147" spans="3:3" s="127" customFormat="1" hidden="1">
      <c r="C147" s="129"/>
    </row>
    <row r="148" spans="3:3" s="127" customFormat="1" hidden="1">
      <c r="C148" s="129"/>
    </row>
    <row r="149" spans="3:3" s="127" customFormat="1" hidden="1">
      <c r="C149" s="129"/>
    </row>
    <row r="150" spans="3:3" s="127" customFormat="1" hidden="1">
      <c r="C150" s="129"/>
    </row>
    <row r="151" spans="3:3" s="127" customFormat="1" hidden="1">
      <c r="C151" s="129"/>
    </row>
    <row r="152" spans="3:3" s="127" customFormat="1" hidden="1">
      <c r="C152" s="129"/>
    </row>
    <row r="153" spans="3:3" s="127" customFormat="1" hidden="1">
      <c r="C153" s="129"/>
    </row>
    <row r="154" spans="3:3" s="127" customFormat="1" hidden="1">
      <c r="C154" s="129"/>
    </row>
    <row r="155" spans="3:3" s="127" customFormat="1" hidden="1">
      <c r="C155" s="129"/>
    </row>
    <row r="156" spans="3:3" s="127" customFormat="1" hidden="1">
      <c r="C156" s="129"/>
    </row>
    <row r="157" spans="3:3" s="127" customFormat="1" hidden="1">
      <c r="C157" s="129"/>
    </row>
    <row r="158" spans="3:3" s="127" customFormat="1" hidden="1">
      <c r="C158" s="129"/>
    </row>
    <row r="159" spans="3:3" s="127" customFormat="1" hidden="1">
      <c r="C159" s="129"/>
    </row>
    <row r="160" spans="3:3" s="127" customFormat="1" hidden="1">
      <c r="C160" s="129"/>
    </row>
    <row r="161" spans="3:3" s="127" customFormat="1" hidden="1">
      <c r="C161" s="129"/>
    </row>
    <row r="162" spans="3:3" s="127" customFormat="1" hidden="1">
      <c r="C162" s="129"/>
    </row>
    <row r="163" spans="3:3" s="127" customFormat="1" hidden="1">
      <c r="C163" s="129"/>
    </row>
    <row r="164" spans="3:3" s="127" customFormat="1" hidden="1">
      <c r="C164" s="129"/>
    </row>
    <row r="165" spans="3:3" s="127" customFormat="1" hidden="1">
      <c r="C165" s="129"/>
    </row>
    <row r="166" spans="3:3" s="127" customFormat="1" hidden="1">
      <c r="C166" s="129"/>
    </row>
    <row r="167" spans="3:3" s="127" customFormat="1" hidden="1">
      <c r="C167" s="129"/>
    </row>
    <row r="168" spans="3:3" s="127" customFormat="1" hidden="1">
      <c r="C168" s="129"/>
    </row>
    <row r="169" spans="3:3" s="127" customFormat="1" hidden="1">
      <c r="C169" s="129"/>
    </row>
    <row r="170" spans="3:3" s="127" customFormat="1" hidden="1">
      <c r="C170" s="129"/>
    </row>
    <row r="171" spans="3:3" s="127" customFormat="1" hidden="1">
      <c r="C171" s="129"/>
    </row>
    <row r="172" spans="3:3" s="127" customFormat="1" hidden="1">
      <c r="C172" s="129"/>
    </row>
    <row r="173" spans="3:3" s="127" customFormat="1" hidden="1">
      <c r="C173" s="129"/>
    </row>
    <row r="174" spans="3:3" s="127" customFormat="1" hidden="1">
      <c r="C174" s="129"/>
    </row>
    <row r="175" spans="3:3" s="127" customFormat="1" hidden="1">
      <c r="C175" s="129"/>
    </row>
    <row r="176" spans="3:3" s="127" customFormat="1" hidden="1">
      <c r="C176" s="129"/>
    </row>
    <row r="177" spans="3:3" s="127" customFormat="1" hidden="1">
      <c r="C177" s="129"/>
    </row>
    <row r="178" spans="3:3" s="127" customFormat="1" hidden="1">
      <c r="C178" s="129"/>
    </row>
    <row r="179" spans="3:3" s="127" customFormat="1" hidden="1">
      <c r="C179" s="129"/>
    </row>
    <row r="180" spans="3:3" s="127" customFormat="1" hidden="1">
      <c r="C180" s="129"/>
    </row>
    <row r="181" spans="3:3" s="127" customFormat="1" hidden="1">
      <c r="C181" s="129"/>
    </row>
    <row r="182" spans="3:3" s="127" customFormat="1" hidden="1">
      <c r="C182" s="129"/>
    </row>
    <row r="183" spans="3:3" s="127" customFormat="1" hidden="1">
      <c r="C183" s="129"/>
    </row>
    <row r="184" spans="3:3" s="127" customFormat="1" hidden="1">
      <c r="C184" s="129"/>
    </row>
    <row r="185" spans="3:3" s="127" customFormat="1" hidden="1">
      <c r="C185" s="129"/>
    </row>
    <row r="186" spans="3:3" s="127" customFormat="1" hidden="1">
      <c r="C186" s="129"/>
    </row>
    <row r="187" spans="3:3" s="127" customFormat="1" hidden="1">
      <c r="C187" s="129"/>
    </row>
    <row r="188" spans="3:3" s="127" customFormat="1" hidden="1">
      <c r="C188" s="129"/>
    </row>
    <row r="189" spans="3:3" s="127" customFormat="1" hidden="1">
      <c r="C189" s="129"/>
    </row>
    <row r="190" spans="3:3" s="127" customFormat="1" hidden="1">
      <c r="C190" s="129"/>
    </row>
    <row r="191" spans="3:3" s="127" customFormat="1" hidden="1">
      <c r="C191" s="129"/>
    </row>
    <row r="192" spans="3:3" s="127" customFormat="1" hidden="1">
      <c r="C192" s="129"/>
    </row>
    <row r="193" spans="3:3" s="127" customFormat="1" hidden="1">
      <c r="C193" s="129"/>
    </row>
    <row r="194" spans="3:3" s="127" customFormat="1" hidden="1">
      <c r="C194" s="129"/>
    </row>
    <row r="195" spans="3:3" s="127" customFormat="1" hidden="1">
      <c r="C195" s="129"/>
    </row>
    <row r="196" spans="3:3" s="127" customFormat="1" hidden="1">
      <c r="C196" s="129"/>
    </row>
    <row r="197" spans="3:3" s="127" customFormat="1" hidden="1">
      <c r="C197" s="129"/>
    </row>
    <row r="198" spans="3:3" s="127" customFormat="1" hidden="1">
      <c r="C198" s="129"/>
    </row>
    <row r="199" spans="3:3" s="127" customFormat="1" hidden="1">
      <c r="C199" s="129"/>
    </row>
    <row r="200" spans="3:3" s="127" customFormat="1" hidden="1">
      <c r="C200" s="129"/>
    </row>
    <row r="201" spans="3:3" s="127" customFormat="1" hidden="1">
      <c r="C201" s="129"/>
    </row>
    <row r="202" spans="3:3" s="127" customFormat="1" hidden="1">
      <c r="C202" s="129"/>
    </row>
    <row r="203" spans="3:3" s="127" customFormat="1" hidden="1">
      <c r="C203" s="129"/>
    </row>
    <row r="204" spans="3:3" s="127" customFormat="1" hidden="1">
      <c r="C204" s="129"/>
    </row>
    <row r="205" spans="3:3" s="127" customFormat="1" hidden="1">
      <c r="C205" s="129"/>
    </row>
    <row r="206" spans="3:3" s="127" customFormat="1" hidden="1">
      <c r="C206" s="129"/>
    </row>
    <row r="207" spans="3:3" s="127" customFormat="1" hidden="1">
      <c r="C207" s="129"/>
    </row>
    <row r="208" spans="3:3" s="127" customFormat="1" hidden="1">
      <c r="C208" s="129"/>
    </row>
    <row r="209" spans="3:3" s="127" customFormat="1" hidden="1">
      <c r="C209" s="129"/>
    </row>
    <row r="210" spans="3:3" s="127" customFormat="1" hidden="1">
      <c r="C210" s="129"/>
    </row>
    <row r="211" spans="3:3" s="127" customFormat="1" hidden="1">
      <c r="C211" s="129"/>
    </row>
    <row r="212" spans="3:3" s="127" customFormat="1" hidden="1">
      <c r="C212" s="129"/>
    </row>
    <row r="213" spans="3:3" s="127" customFormat="1" hidden="1">
      <c r="C213" s="129"/>
    </row>
    <row r="214" spans="3:3" s="127" customFormat="1" hidden="1">
      <c r="C214" s="129"/>
    </row>
    <row r="215" spans="3:3" s="127" customFormat="1" hidden="1">
      <c r="C215" s="129"/>
    </row>
    <row r="216" spans="3:3" s="127" customFormat="1" hidden="1">
      <c r="C216" s="129"/>
    </row>
    <row r="217" spans="3:3" s="127" customFormat="1" hidden="1">
      <c r="C217" s="129"/>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5" zeroHeight="1"/>
  <cols>
    <col min="1" max="1" width="161.7265625" customWidth="1"/>
    <col min="2" max="16384" width="8.81640625" hidden="1"/>
  </cols>
  <sheetData>
    <row r="1" spans="1:1" ht="46.5">
      <c r="A1" s="208" t="s">
        <v>2763</v>
      </c>
    </row>
    <row r="2" spans="1:1" ht="15.5">
      <c r="A2" s="209"/>
    </row>
    <row r="3" spans="1:1" ht="15.5">
      <c r="A3" s="210" t="s">
        <v>2764</v>
      </c>
    </row>
    <row r="4" spans="1:1" ht="15.5">
      <c r="A4" s="210" t="s">
        <v>2765</v>
      </c>
    </row>
    <row r="5" spans="1:1" ht="15.5">
      <c r="A5" s="210" t="s">
        <v>2766</v>
      </c>
    </row>
    <row r="6" spans="1:1" ht="15.5">
      <c r="A6" s="210" t="s">
        <v>2767</v>
      </c>
    </row>
    <row r="7" spans="1:1" ht="15.5">
      <c r="A7" s="210" t="s">
        <v>2768</v>
      </c>
    </row>
    <row r="8" spans="1:1" ht="15.5">
      <c r="A8" s="237" t="s">
        <v>2769</v>
      </c>
    </row>
    <row r="9" spans="1:1" ht="15.5">
      <c r="A9" s="210" t="s">
        <v>2770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topLeftCell="A3" workbookViewId="0">
      <selection activeCell="C5" sqref="C5"/>
    </sheetView>
  </sheetViews>
  <sheetFormatPr defaultColWidth="9.1796875" defaultRowHeight="12.5" zeroHeight="1"/>
  <cols>
    <col min="1" max="1" width="35.7265625" style="118" customWidth="1"/>
    <col min="2" max="4" width="14.7265625" style="118" customWidth="1"/>
    <col min="5" max="5" width="50.7265625" style="118" customWidth="1"/>
    <col min="6" max="253" width="9.1796875" style="118" customWidth="1"/>
    <col min="254" max="16384" width="9.1796875" style="118"/>
  </cols>
  <sheetData>
    <row r="1" spans="1:7" s="173" customFormat="1" ht="18" customHeight="1">
      <c r="A1" s="384" t="s">
        <v>2771</v>
      </c>
      <c r="D1" s="178"/>
    </row>
    <row r="2" spans="1:7" s="173" customFormat="1" ht="13">
      <c r="A2" s="156" t="s">
        <v>2772</v>
      </c>
      <c r="B2" s="158"/>
      <c r="C2" s="158"/>
      <c r="D2" s="155"/>
      <c r="E2" s="159"/>
      <c r="F2" s="158"/>
    </row>
    <row r="3" spans="1:7" s="242" customFormat="1" ht="80.25" customHeight="1">
      <c r="A3" s="175"/>
      <c r="B3" s="160" t="s">
        <v>2773</v>
      </c>
      <c r="C3" s="160" t="s">
        <v>2774</v>
      </c>
      <c r="D3" s="160" t="s">
        <v>2775</v>
      </c>
      <c r="E3" s="157" t="s">
        <v>2776</v>
      </c>
      <c r="F3" s="157"/>
      <c r="G3" s="245"/>
    </row>
    <row r="4" spans="1:7" s="243" customFormat="1" ht="13">
      <c r="A4" s="161" t="s">
        <v>1798</v>
      </c>
      <c r="B4" s="161"/>
      <c r="C4" s="161"/>
      <c r="D4" s="161"/>
      <c r="E4" s="180"/>
      <c r="F4" s="161"/>
      <c r="G4" s="246"/>
    </row>
    <row r="5" spans="1:7" s="243" customFormat="1">
      <c r="A5" s="257" t="s">
        <v>1799</v>
      </c>
      <c r="B5" s="163">
        <f>'Sources and Uses Budget'!$C4</f>
        <v>1440000</v>
      </c>
      <c r="C5" s="163">
        <f>'Sources and Uses Budget'!$C4</f>
        <v>1440000</v>
      </c>
      <c r="D5" s="167">
        <f>C5-B5</f>
        <v>0</v>
      </c>
      <c r="E5" s="165"/>
      <c r="F5" s="164"/>
      <c r="G5" s="246"/>
    </row>
    <row r="6" spans="1:7" s="243" customFormat="1">
      <c r="A6" s="257" t="s">
        <v>1800</v>
      </c>
      <c r="B6" s="163">
        <f>'Sources and Uses Budget'!$C5</f>
        <v>0</v>
      </c>
      <c r="C6" s="163">
        <f>'Sources and Uses Budget'!$C5</f>
        <v>0</v>
      </c>
      <c r="D6" s="167">
        <f t="shared" ref="D6:D77" si="0">C6-B6</f>
        <v>0</v>
      </c>
      <c r="E6" s="165"/>
      <c r="F6" s="164"/>
      <c r="G6" s="246"/>
    </row>
    <row r="7" spans="1:7" s="243" customFormat="1">
      <c r="A7" s="257" t="s">
        <v>1801</v>
      </c>
      <c r="B7" s="163">
        <f>'Sources and Uses Budget'!$C6</f>
        <v>0</v>
      </c>
      <c r="C7" s="163">
        <f>'Sources and Uses Budget'!$C6</f>
        <v>0</v>
      </c>
      <c r="D7" s="167">
        <f t="shared" si="0"/>
        <v>0</v>
      </c>
      <c r="E7" s="165"/>
      <c r="F7" s="164"/>
      <c r="G7" s="246"/>
    </row>
    <row r="8" spans="1:7" s="243" customFormat="1">
      <c r="A8" s="257" t="s">
        <v>1802</v>
      </c>
      <c r="B8" s="163">
        <f>'Sources and Uses Budget'!$C7</f>
        <v>0</v>
      </c>
      <c r="C8" s="163">
        <f>'Sources and Uses Budget'!$C7</f>
        <v>0</v>
      </c>
      <c r="D8" s="167">
        <f t="shared" si="0"/>
        <v>0</v>
      </c>
      <c r="E8" s="165"/>
      <c r="F8" s="164"/>
      <c r="G8" s="246"/>
    </row>
    <row r="9" spans="1:7" s="243" customFormat="1">
      <c r="A9" s="258" t="s">
        <v>1803</v>
      </c>
      <c r="B9" s="167">
        <f>SUM(B5:B8)</f>
        <v>1440000</v>
      </c>
      <c r="C9" s="167">
        <f>SUM(C5:C8)</f>
        <v>1440000</v>
      </c>
      <c r="D9" s="167">
        <f t="shared" si="0"/>
        <v>0</v>
      </c>
      <c r="E9" s="165"/>
      <c r="F9" s="164"/>
      <c r="G9" s="246"/>
    </row>
    <row r="10" spans="1:7" s="243" customFormat="1">
      <c r="A10" s="257" t="s">
        <v>1804</v>
      </c>
      <c r="B10" s="163">
        <f>'Sources and Uses Budget'!$C9</f>
        <v>0</v>
      </c>
      <c r="C10" s="163">
        <f>'Sources and Uses Budget'!$C9</f>
        <v>0</v>
      </c>
      <c r="D10" s="167">
        <f t="shared" si="0"/>
        <v>0</v>
      </c>
      <c r="E10" s="165"/>
      <c r="F10" s="164"/>
      <c r="G10" s="246"/>
    </row>
    <row r="11" spans="1:7" s="243" customFormat="1">
      <c r="A11" s="257" t="s">
        <v>1805</v>
      </c>
      <c r="B11" s="163">
        <f>'Sources and Uses Budget'!$C10</f>
        <v>500000</v>
      </c>
      <c r="C11" s="163">
        <f>'Sources and Uses Budget'!$C10</f>
        <v>500000</v>
      </c>
      <c r="D11" s="167">
        <f t="shared" si="0"/>
        <v>0</v>
      </c>
      <c r="E11" s="165"/>
      <c r="F11" s="164"/>
      <c r="G11" s="246"/>
    </row>
    <row r="12" spans="1:7" s="243" customFormat="1">
      <c r="A12" s="258" t="s">
        <v>1806</v>
      </c>
      <c r="B12" s="167">
        <f>SUM(B10:B11)</f>
        <v>500000</v>
      </c>
      <c r="C12" s="167">
        <f>SUM(C10:C11)</f>
        <v>500000</v>
      </c>
      <c r="D12" s="167">
        <f t="shared" si="0"/>
        <v>0</v>
      </c>
      <c r="E12" s="165"/>
      <c r="F12" s="164"/>
      <c r="G12" s="246"/>
    </row>
    <row r="13" spans="1:7" s="243" customFormat="1">
      <c r="A13" s="258" t="s">
        <v>1807</v>
      </c>
      <c r="B13" s="167">
        <f>SUM(B9+B12)</f>
        <v>1940000</v>
      </c>
      <c r="C13" s="167">
        <f>SUM(C9+C12)</f>
        <v>1940000</v>
      </c>
      <c r="D13" s="167">
        <f t="shared" si="0"/>
        <v>0</v>
      </c>
      <c r="E13" s="165"/>
      <c r="F13" s="164"/>
      <c r="G13" s="246"/>
    </row>
    <row r="14" spans="1:7" s="243" customFormat="1">
      <c r="A14" s="259" t="s">
        <v>1808</v>
      </c>
      <c r="B14" s="163">
        <f>'Sources and Uses Budget'!$C13</f>
        <v>0</v>
      </c>
      <c r="C14" s="163">
        <f>'Sources and Uses Budget'!$C13</f>
        <v>0</v>
      </c>
      <c r="D14" s="167">
        <f t="shared" si="0"/>
        <v>0</v>
      </c>
      <c r="E14" s="165"/>
      <c r="F14" s="164"/>
      <c r="G14" s="246"/>
    </row>
    <row r="15" spans="1:7" s="243" customFormat="1" ht="23">
      <c r="A15" s="257" t="s">
        <v>1926</v>
      </c>
      <c r="B15" s="163">
        <f>'Sources and Uses Budget'!$C14</f>
        <v>0</v>
      </c>
      <c r="C15" s="163">
        <f>'Sources and Uses Budget'!$C14</f>
        <v>0</v>
      </c>
      <c r="D15" s="167">
        <f t="shared" si="0"/>
        <v>0</v>
      </c>
      <c r="E15" s="165"/>
      <c r="F15" s="164"/>
      <c r="G15" s="246"/>
    </row>
    <row r="16" spans="1:7" s="243" customFormat="1">
      <c r="A16" s="257" t="s">
        <v>1810</v>
      </c>
      <c r="B16" s="163">
        <f>'Sources and Uses Budget'!$C15</f>
        <v>0</v>
      </c>
      <c r="C16" s="163">
        <f>'Sources and Uses Budget'!$C15</f>
        <v>0</v>
      </c>
      <c r="D16" s="167">
        <f t="shared" si="0"/>
        <v>0</v>
      </c>
      <c r="E16" s="165"/>
      <c r="F16" s="164"/>
      <c r="G16" s="246"/>
    </row>
    <row r="17" spans="1:7" s="243" customFormat="1" ht="13">
      <c r="A17" s="161" t="s">
        <v>1811</v>
      </c>
      <c r="B17" s="161"/>
      <c r="C17" s="161"/>
      <c r="D17" s="161"/>
      <c r="E17" s="180"/>
      <c r="F17" s="161"/>
      <c r="G17" s="246"/>
    </row>
    <row r="18" spans="1:7" s="243" customFormat="1">
      <c r="A18" s="181" t="s">
        <v>1812</v>
      </c>
      <c r="B18" s="163">
        <f>'Sources and Uses Budget'!$C17</f>
        <v>0</v>
      </c>
      <c r="C18" s="163">
        <f>'Sources and Uses Budget'!$C17</f>
        <v>0</v>
      </c>
      <c r="D18" s="167">
        <f t="shared" si="0"/>
        <v>0</v>
      </c>
      <c r="E18" s="165"/>
      <c r="F18" s="164"/>
      <c r="G18" s="246"/>
    </row>
    <row r="19" spans="1:7" s="243" customFormat="1">
      <c r="A19" s="181" t="s">
        <v>1813</v>
      </c>
      <c r="B19" s="163">
        <f>'Sources and Uses Budget'!$C18</f>
        <v>0</v>
      </c>
      <c r="C19" s="163">
        <f>'Sources and Uses Budget'!$C18</f>
        <v>0</v>
      </c>
      <c r="D19" s="167">
        <f t="shared" si="0"/>
        <v>0</v>
      </c>
      <c r="E19" s="165"/>
      <c r="F19" s="164"/>
      <c r="G19" s="246"/>
    </row>
    <row r="20" spans="1:7" s="243" customFormat="1">
      <c r="A20" s="181" t="s">
        <v>1814</v>
      </c>
      <c r="B20" s="163">
        <f>'Sources and Uses Budget'!$C19</f>
        <v>0</v>
      </c>
      <c r="C20" s="163">
        <f>'Sources and Uses Budget'!$C19</f>
        <v>0</v>
      </c>
      <c r="D20" s="167">
        <f t="shared" si="0"/>
        <v>0</v>
      </c>
      <c r="E20" s="165"/>
      <c r="F20" s="164"/>
      <c r="G20" s="246"/>
    </row>
    <row r="21" spans="1:7" s="243" customFormat="1">
      <c r="A21" s="181" t="s">
        <v>1815</v>
      </c>
      <c r="B21" s="163">
        <f>'Sources and Uses Budget'!$C20</f>
        <v>0</v>
      </c>
      <c r="C21" s="163">
        <f>'Sources and Uses Budget'!$C20</f>
        <v>0</v>
      </c>
      <c r="D21" s="167">
        <f t="shared" si="0"/>
        <v>0</v>
      </c>
      <c r="E21" s="165"/>
      <c r="F21" s="164"/>
      <c r="G21" s="246"/>
    </row>
    <row r="22" spans="1:7" s="243" customFormat="1">
      <c r="A22" s="181" t="s">
        <v>1816</v>
      </c>
      <c r="B22" s="163">
        <f>'Sources and Uses Budget'!$C21</f>
        <v>0</v>
      </c>
      <c r="C22" s="163">
        <f>'Sources and Uses Budget'!$C21</f>
        <v>0</v>
      </c>
      <c r="D22" s="167">
        <f t="shared" si="0"/>
        <v>0</v>
      </c>
      <c r="E22" s="165"/>
      <c r="F22" s="164"/>
      <c r="G22" s="246"/>
    </row>
    <row r="23" spans="1:7" s="243" customFormat="1">
      <c r="A23" s="181" t="s">
        <v>1817</v>
      </c>
      <c r="B23" s="163">
        <f>'Sources and Uses Budget'!$C22</f>
        <v>0</v>
      </c>
      <c r="C23" s="163">
        <f>'Sources and Uses Budget'!$C22</f>
        <v>0</v>
      </c>
      <c r="D23" s="167">
        <f t="shared" si="0"/>
        <v>0</v>
      </c>
      <c r="E23" s="165"/>
      <c r="F23" s="164"/>
      <c r="G23" s="246"/>
    </row>
    <row r="24" spans="1:7" s="243" customFormat="1">
      <c r="A24" s="181" t="s">
        <v>1818</v>
      </c>
      <c r="B24" s="163">
        <f>'Sources and Uses Budget'!$C23</f>
        <v>0</v>
      </c>
      <c r="C24" s="163">
        <f>'Sources and Uses Budget'!$C23</f>
        <v>0</v>
      </c>
      <c r="D24" s="167">
        <f t="shared" si="0"/>
        <v>0</v>
      </c>
      <c r="E24" s="165"/>
      <c r="F24" s="164"/>
      <c r="G24" s="246"/>
    </row>
    <row r="25" spans="1:7" s="243" customFormat="1">
      <c r="A25" s="380" t="s">
        <v>1819</v>
      </c>
      <c r="B25" s="163">
        <f>'Sources and Uses Budget'!$C24</f>
        <v>0</v>
      </c>
      <c r="C25" s="163">
        <f>'Sources and Uses Budget'!$C24</f>
        <v>0</v>
      </c>
      <c r="D25" s="167">
        <f t="shared" si="0"/>
        <v>0</v>
      </c>
      <c r="E25" s="165"/>
      <c r="F25" s="164"/>
      <c r="G25" s="246"/>
    </row>
    <row r="26" spans="1:7" s="243" customFormat="1">
      <c r="A26" s="380" t="str">
        <f>'Sources and Uses Budget'!A25</f>
        <v>Other: (Specify)</v>
      </c>
      <c r="B26" s="163">
        <f>'Sources and Uses Budget'!$C25</f>
        <v>0</v>
      </c>
      <c r="C26" s="163">
        <f>'Sources and Uses Budget'!$C25</f>
        <v>0</v>
      </c>
      <c r="D26" s="167">
        <f t="shared" si="0"/>
        <v>0</v>
      </c>
      <c r="E26" s="165"/>
      <c r="F26" s="164"/>
      <c r="G26" s="246"/>
    </row>
    <row r="27" spans="1:7" s="243" customFormat="1" ht="13">
      <c r="A27" s="828" t="s">
        <v>1821</v>
      </c>
      <c r="B27" s="167">
        <f>SUM(B18:B26)</f>
        <v>0</v>
      </c>
      <c r="C27" s="167">
        <f>SUM(C18:C26)</f>
        <v>0</v>
      </c>
      <c r="D27" s="167">
        <f>SUM(D18:D26)</f>
        <v>0</v>
      </c>
      <c r="E27" s="165"/>
      <c r="F27" s="164"/>
      <c r="G27" s="246"/>
    </row>
    <row r="28" spans="1:7" s="243" customFormat="1" ht="13">
      <c r="A28" s="168" t="s">
        <v>1822</v>
      </c>
      <c r="B28" s="163">
        <f>'Sources and Uses Budget'!$C$27</f>
        <v>0</v>
      </c>
      <c r="C28" s="163">
        <f>'Sources and Uses Budget'!$C$27</f>
        <v>0</v>
      </c>
      <c r="D28" s="167">
        <f t="shared" si="0"/>
        <v>0</v>
      </c>
      <c r="E28" s="165"/>
      <c r="F28" s="164"/>
      <c r="G28" s="246"/>
    </row>
    <row r="29" spans="1:7" s="243" customFormat="1" ht="13">
      <c r="A29" s="161" t="s">
        <v>1823</v>
      </c>
      <c r="B29" s="161"/>
      <c r="C29" s="161"/>
      <c r="D29" s="161"/>
      <c r="E29" s="180"/>
      <c r="F29" s="161"/>
      <c r="G29" s="246"/>
    </row>
    <row r="30" spans="1:7" s="243" customFormat="1">
      <c r="A30" s="181" t="s">
        <v>1812</v>
      </c>
      <c r="B30" s="163">
        <f>'Sources and Uses Budget'!$C29</f>
        <v>1000000</v>
      </c>
      <c r="C30" s="163">
        <f>'Sources and Uses Budget'!$C29</f>
        <v>1000000</v>
      </c>
      <c r="D30" s="167">
        <f t="shared" si="0"/>
        <v>0</v>
      </c>
      <c r="E30" s="165"/>
      <c r="F30" s="164"/>
      <c r="G30" s="246"/>
    </row>
    <row r="31" spans="1:7" s="243" customFormat="1">
      <c r="A31" s="181" t="s">
        <v>1813</v>
      </c>
      <c r="B31" s="163">
        <f>'Sources and Uses Budget'!$C30</f>
        <v>17510152</v>
      </c>
      <c r="C31" s="163">
        <f>'Sources and Uses Budget'!$C30</f>
        <v>17510152</v>
      </c>
      <c r="D31" s="167">
        <f t="shared" si="0"/>
        <v>0</v>
      </c>
      <c r="E31" s="165"/>
      <c r="F31" s="164"/>
      <c r="G31" s="246"/>
    </row>
    <row r="32" spans="1:7" s="243" customFormat="1">
      <c r="A32" s="181" t="s">
        <v>1814</v>
      </c>
      <c r="B32" s="163">
        <f>'Sources and Uses Budget'!$C31</f>
        <v>1368731</v>
      </c>
      <c r="C32" s="163">
        <f>'Sources and Uses Budget'!$C31</f>
        <v>1368731</v>
      </c>
      <c r="D32" s="167">
        <f t="shared" si="0"/>
        <v>0</v>
      </c>
      <c r="E32" s="165"/>
      <c r="F32" s="164"/>
      <c r="G32" s="246"/>
    </row>
    <row r="33" spans="1:7" s="243" customFormat="1">
      <c r="A33" s="181" t="s">
        <v>1815</v>
      </c>
      <c r="B33" s="163">
        <f>'Sources and Uses Budget'!$C32</f>
        <v>912488</v>
      </c>
      <c r="C33" s="163">
        <f>'Sources and Uses Budget'!$C32</f>
        <v>912488</v>
      </c>
      <c r="D33" s="167">
        <f t="shared" si="0"/>
        <v>0</v>
      </c>
      <c r="E33" s="165"/>
      <c r="F33" s="164"/>
      <c r="G33" s="246"/>
    </row>
    <row r="34" spans="1:7" s="243" customFormat="1">
      <c r="A34" s="181" t="s">
        <v>1816</v>
      </c>
      <c r="B34" s="163">
        <f>'Sources and Uses Budget'!$C33</f>
        <v>912487</v>
      </c>
      <c r="C34" s="163">
        <f>'Sources and Uses Budget'!$C33</f>
        <v>912487</v>
      </c>
      <c r="D34" s="167">
        <f t="shared" si="0"/>
        <v>0</v>
      </c>
      <c r="E34" s="165"/>
      <c r="F34" s="164"/>
      <c r="G34" s="246"/>
    </row>
    <row r="35" spans="1:7" s="243" customFormat="1">
      <c r="A35" s="181" t="s">
        <v>1817</v>
      </c>
      <c r="B35" s="163">
        <f>'Sources and Uses Budget'!$C34</f>
        <v>3802030</v>
      </c>
      <c r="C35" s="163">
        <f>'Sources and Uses Budget'!$C34</f>
        <v>3802030</v>
      </c>
      <c r="D35" s="167">
        <f t="shared" si="0"/>
        <v>0</v>
      </c>
      <c r="E35" s="165"/>
      <c r="F35" s="164"/>
      <c r="G35" s="246"/>
    </row>
    <row r="36" spans="1:7" s="243" customFormat="1">
      <c r="A36" s="181" t="s">
        <v>1818</v>
      </c>
      <c r="B36" s="163">
        <f>'Sources and Uses Budget'!$C35</f>
        <v>260059</v>
      </c>
      <c r="C36" s="163">
        <f>'Sources and Uses Budget'!$C35</f>
        <v>260059</v>
      </c>
      <c r="D36" s="167">
        <f t="shared" si="0"/>
        <v>0</v>
      </c>
      <c r="E36" s="165"/>
      <c r="F36" s="164"/>
      <c r="G36" s="246"/>
    </row>
    <row r="37" spans="1:7" s="243" customFormat="1">
      <c r="A37" s="181" t="s">
        <v>1819</v>
      </c>
      <c r="B37" s="163">
        <f>'Sources and Uses Budget'!$C36</f>
        <v>0</v>
      </c>
      <c r="C37" s="163">
        <f>'Sources and Uses Budget'!$C36</f>
        <v>0</v>
      </c>
      <c r="D37" s="167"/>
      <c r="E37" s="165"/>
      <c r="F37" s="164"/>
      <c r="G37" s="246"/>
    </row>
    <row r="38" spans="1:7" s="243" customFormat="1">
      <c r="A38" s="380" t="str">
        <f>'Sources and Uses Budget'!A37</f>
        <v>Other: (Specify)</v>
      </c>
      <c r="B38" s="163">
        <f>'Sources and Uses Budget'!$C37</f>
        <v>0</v>
      </c>
      <c r="C38" s="163">
        <f>'Sources and Uses Budget'!$C37</f>
        <v>0</v>
      </c>
      <c r="D38" s="167">
        <f t="shared" si="0"/>
        <v>0</v>
      </c>
      <c r="E38" s="165"/>
      <c r="F38" s="164"/>
      <c r="G38" s="246"/>
    </row>
    <row r="39" spans="1:7" s="243" customFormat="1" ht="13">
      <c r="A39" s="168" t="s">
        <v>1824</v>
      </c>
      <c r="B39" s="167">
        <f>SUM(B30:B38)</f>
        <v>25765947</v>
      </c>
      <c r="C39" s="167">
        <f>SUM(C30:C38)</f>
        <v>25765947</v>
      </c>
      <c r="D39" s="167">
        <f t="shared" si="0"/>
        <v>0</v>
      </c>
      <c r="E39" s="165"/>
      <c r="F39" s="164"/>
      <c r="G39" s="246"/>
    </row>
    <row r="40" spans="1:7" s="243" customFormat="1" ht="13">
      <c r="A40" s="161" t="s">
        <v>1825</v>
      </c>
      <c r="B40" s="161"/>
      <c r="C40" s="161"/>
      <c r="D40" s="161"/>
      <c r="E40" s="180"/>
      <c r="F40" s="161"/>
      <c r="G40" s="246"/>
    </row>
    <row r="41" spans="1:7" s="243" customFormat="1">
      <c r="A41" s="166" t="s">
        <v>1826</v>
      </c>
      <c r="B41" s="163">
        <f>'Sources and Uses Budget'!$C40</f>
        <v>1060000</v>
      </c>
      <c r="C41" s="163">
        <f>'Sources and Uses Budget'!$C40</f>
        <v>1060000</v>
      </c>
      <c r="D41" s="167">
        <f t="shared" si="0"/>
        <v>0</v>
      </c>
      <c r="E41" s="165"/>
      <c r="F41" s="164"/>
      <c r="G41" s="246"/>
    </row>
    <row r="42" spans="1:7" s="243" customFormat="1">
      <c r="A42" s="166" t="s">
        <v>1827</v>
      </c>
      <c r="B42" s="163">
        <f>'Sources and Uses Budget'!$C41</f>
        <v>0</v>
      </c>
      <c r="C42" s="163">
        <f>'Sources and Uses Budget'!$C41</f>
        <v>0</v>
      </c>
      <c r="D42" s="167">
        <f t="shared" si="0"/>
        <v>0</v>
      </c>
      <c r="E42" s="165"/>
      <c r="F42" s="164"/>
      <c r="G42" s="246"/>
    </row>
    <row r="43" spans="1:7" s="243" customFormat="1" ht="13">
      <c r="A43" s="168" t="s">
        <v>1828</v>
      </c>
      <c r="B43" s="167">
        <f>SUM(B41:B42)</f>
        <v>1060000</v>
      </c>
      <c r="C43" s="167">
        <f>SUM(C41:C42)</f>
        <v>1060000</v>
      </c>
      <c r="D43" s="167">
        <f t="shared" si="0"/>
        <v>0</v>
      </c>
      <c r="E43" s="165"/>
      <c r="F43" s="164"/>
      <c r="G43" s="246"/>
    </row>
    <row r="44" spans="1:7" s="243" customFormat="1" ht="13">
      <c r="A44" s="168" t="s">
        <v>1829</v>
      </c>
      <c r="B44" s="163">
        <f>'Sources and Uses Budget'!$C43</f>
        <v>650000</v>
      </c>
      <c r="C44" s="163">
        <f>'Sources and Uses Budget'!$C43</f>
        <v>650000</v>
      </c>
      <c r="D44" s="167">
        <f t="shared" si="0"/>
        <v>0</v>
      </c>
      <c r="E44" s="165"/>
      <c r="F44" s="164"/>
      <c r="G44" s="246"/>
    </row>
    <row r="45" spans="1:7" s="243" customFormat="1" ht="12" customHeight="1">
      <c r="A45" s="161" t="s">
        <v>1830</v>
      </c>
      <c r="B45" s="161"/>
      <c r="C45" s="161"/>
      <c r="D45" s="161"/>
      <c r="E45" s="180"/>
      <c r="F45" s="161"/>
      <c r="G45" s="246"/>
    </row>
    <row r="46" spans="1:7" s="243" customFormat="1">
      <c r="A46" s="181" t="s">
        <v>1831</v>
      </c>
      <c r="B46" s="163">
        <f>'Sources and Uses Budget'!$C45</f>
        <v>3840280</v>
      </c>
      <c r="C46" s="163">
        <f>'Sources and Uses Budget'!$C45</f>
        <v>3840280</v>
      </c>
      <c r="D46" s="167">
        <f t="shared" si="0"/>
        <v>0</v>
      </c>
      <c r="E46" s="165"/>
      <c r="F46" s="164"/>
      <c r="G46" s="246"/>
    </row>
    <row r="47" spans="1:7" s="243" customFormat="1">
      <c r="A47" s="181" t="s">
        <v>1832</v>
      </c>
      <c r="B47" s="163">
        <f>'Sources and Uses Budget'!$C46</f>
        <v>261383</v>
      </c>
      <c r="C47" s="163">
        <f>'Sources and Uses Budget'!$C46</f>
        <v>261383</v>
      </c>
      <c r="D47" s="167">
        <f t="shared" si="0"/>
        <v>0</v>
      </c>
      <c r="E47" s="165"/>
      <c r="F47" s="164"/>
      <c r="G47" s="246"/>
    </row>
    <row r="48" spans="1:7" s="243" customFormat="1" ht="12" customHeight="1">
      <c r="A48" s="1094" t="s">
        <v>1833</v>
      </c>
      <c r="B48" s="163">
        <f>'Sources and Uses Budget'!$C47</f>
        <v>15000</v>
      </c>
      <c r="C48" s="163">
        <f>'Sources and Uses Budget'!$C47</f>
        <v>15000</v>
      </c>
      <c r="D48" s="167">
        <f t="shared" si="0"/>
        <v>0</v>
      </c>
      <c r="E48" s="165"/>
      <c r="F48" s="164"/>
      <c r="G48" s="246"/>
    </row>
    <row r="49" spans="1:7" s="243" customFormat="1">
      <c r="A49" s="181" t="s">
        <v>1834</v>
      </c>
      <c r="B49" s="163">
        <f>'Sources and Uses Budget'!$C48</f>
        <v>234053</v>
      </c>
      <c r="C49" s="163">
        <f>'Sources and Uses Budget'!$C48</f>
        <v>234053</v>
      </c>
      <c r="D49" s="167">
        <f t="shared" si="0"/>
        <v>0</v>
      </c>
      <c r="E49" s="165"/>
      <c r="F49" s="164"/>
      <c r="G49" s="246"/>
    </row>
    <row r="50" spans="1:7" s="243" customFormat="1">
      <c r="A50" s="181" t="s">
        <v>1835</v>
      </c>
      <c r="B50" s="163">
        <f>'Sources and Uses Budget'!$C49</f>
        <v>65346</v>
      </c>
      <c r="C50" s="163">
        <f>'Sources and Uses Budget'!$C49</f>
        <v>65346</v>
      </c>
      <c r="D50" s="167">
        <f t="shared" si="0"/>
        <v>0</v>
      </c>
      <c r="E50" s="165"/>
      <c r="F50" s="164"/>
      <c r="G50" s="246"/>
    </row>
    <row r="51" spans="1:7" s="243" customFormat="1">
      <c r="A51" s="181" t="s">
        <v>1836</v>
      </c>
      <c r="B51" s="163">
        <f>'Sources and Uses Budget'!$C50</f>
        <v>100000</v>
      </c>
      <c r="C51" s="163">
        <f>'Sources and Uses Budget'!$C50</f>
        <v>100000</v>
      </c>
      <c r="D51" s="167">
        <f t="shared" si="0"/>
        <v>0</v>
      </c>
      <c r="E51" s="165"/>
      <c r="F51" s="164"/>
      <c r="G51" s="246"/>
    </row>
    <row r="52" spans="1:7" s="243" customFormat="1">
      <c r="A52" s="181" t="s">
        <v>1837</v>
      </c>
      <c r="B52" s="163">
        <f>'Sources and Uses Budget'!$C51</f>
        <v>105000</v>
      </c>
      <c r="C52" s="163">
        <f>'Sources and Uses Budget'!$C51</f>
        <v>105000</v>
      </c>
      <c r="D52" s="167">
        <f t="shared" si="0"/>
        <v>0</v>
      </c>
      <c r="E52" s="165"/>
      <c r="F52" s="164"/>
      <c r="G52" s="246"/>
    </row>
    <row r="53" spans="1:7" s="243" customFormat="1">
      <c r="A53" s="181" t="s">
        <v>1838</v>
      </c>
      <c r="B53" s="163">
        <f>'Sources and Uses Budget'!$C52</f>
        <v>398000</v>
      </c>
      <c r="C53" s="163">
        <f>'Sources and Uses Budget'!$C52</f>
        <v>398000</v>
      </c>
      <c r="D53" s="167">
        <f t="shared" si="0"/>
        <v>0</v>
      </c>
      <c r="E53" s="165"/>
      <c r="F53" s="164"/>
      <c r="G53" s="246"/>
    </row>
    <row r="54" spans="1:7" s="243" customFormat="1">
      <c r="A54" s="380" t="str">
        <f>'Sources and Uses Budget'!A53</f>
        <v>Other: Employee Reporting</v>
      </c>
      <c r="B54" s="163">
        <f>'Sources and Uses Budget'!$C53</f>
        <v>25000</v>
      </c>
      <c r="C54" s="163">
        <f>'Sources and Uses Budget'!$C53</f>
        <v>25000</v>
      </c>
      <c r="D54" s="167">
        <f t="shared" si="0"/>
        <v>0</v>
      </c>
      <c r="E54" s="165"/>
      <c r="F54" s="164"/>
      <c r="G54" s="246"/>
    </row>
    <row r="55" spans="1:7" s="244" customFormat="1" ht="13">
      <c r="A55" s="168" t="s">
        <v>1840</v>
      </c>
      <c r="B55" s="170">
        <f>SUM(B46:B54)</f>
        <v>5044062</v>
      </c>
      <c r="C55" s="170">
        <f>SUM(C46:C54)</f>
        <v>5044062</v>
      </c>
      <c r="D55" s="167">
        <f t="shared" si="0"/>
        <v>0</v>
      </c>
      <c r="E55" s="165"/>
      <c r="F55" s="164"/>
      <c r="G55" s="247"/>
    </row>
    <row r="56" spans="1:7" s="243" customFormat="1" ht="13">
      <c r="A56" s="161" t="s">
        <v>1415</v>
      </c>
      <c r="B56" s="161"/>
      <c r="C56" s="161"/>
      <c r="D56" s="161"/>
      <c r="E56" s="180"/>
      <c r="F56" s="161"/>
      <c r="G56" s="246"/>
    </row>
    <row r="57" spans="1:7" s="243" customFormat="1">
      <c r="A57" s="166" t="s">
        <v>1841</v>
      </c>
      <c r="B57" s="163">
        <f>'Sources and Uses Budget'!$C56</f>
        <v>0</v>
      </c>
      <c r="C57" s="163">
        <f>'Sources and Uses Budget'!$C56</f>
        <v>0</v>
      </c>
      <c r="D57" s="167">
        <f t="shared" si="0"/>
        <v>0</v>
      </c>
      <c r="E57" s="165"/>
      <c r="F57" s="164"/>
      <c r="G57" s="246"/>
    </row>
    <row r="58" spans="1:7" s="243" customFormat="1" ht="12" customHeight="1">
      <c r="A58" s="166" t="s">
        <v>1833</v>
      </c>
      <c r="B58" s="163">
        <f>'Sources and Uses Budget'!$C57</f>
        <v>0</v>
      </c>
      <c r="C58" s="163">
        <f>'Sources and Uses Budget'!$C57</f>
        <v>0</v>
      </c>
      <c r="D58" s="167">
        <f t="shared" si="0"/>
        <v>0</v>
      </c>
      <c r="E58" s="165"/>
      <c r="F58" s="164"/>
      <c r="G58" s="246"/>
    </row>
    <row r="59" spans="1:7" s="243" customFormat="1">
      <c r="A59" s="166" t="s">
        <v>1836</v>
      </c>
      <c r="B59" s="163">
        <f>'Sources and Uses Budget'!$C58</f>
        <v>10000</v>
      </c>
      <c r="C59" s="163">
        <f>'Sources and Uses Budget'!$C58</f>
        <v>10000</v>
      </c>
      <c r="D59" s="167">
        <f t="shared" si="0"/>
        <v>0</v>
      </c>
      <c r="E59" s="165"/>
      <c r="F59" s="164"/>
      <c r="G59" s="246"/>
    </row>
    <row r="60" spans="1:7" s="243" customFormat="1">
      <c r="A60" s="166" t="s">
        <v>1837</v>
      </c>
      <c r="B60" s="163">
        <f>'Sources and Uses Budget'!$C59</f>
        <v>0</v>
      </c>
      <c r="C60" s="163">
        <f>'Sources and Uses Budget'!$C59</f>
        <v>0</v>
      </c>
      <c r="D60" s="167">
        <f t="shared" si="0"/>
        <v>0</v>
      </c>
      <c r="E60" s="165"/>
      <c r="F60" s="164"/>
      <c r="G60" s="246"/>
    </row>
    <row r="61" spans="1:7" s="243" customFormat="1">
      <c r="A61" s="166" t="s">
        <v>1838</v>
      </c>
      <c r="B61" s="163">
        <f>'Sources and Uses Budget'!$C60</f>
        <v>15000</v>
      </c>
      <c r="C61" s="163">
        <f>'Sources and Uses Budget'!$C60</f>
        <v>15000</v>
      </c>
      <c r="D61" s="167">
        <f t="shared" si="0"/>
        <v>0</v>
      </c>
      <c r="E61" s="165"/>
      <c r="F61" s="164"/>
      <c r="G61" s="246"/>
    </row>
    <row r="62" spans="1:7" s="243" customFormat="1">
      <c r="A62" s="829">
        <f>'Sources and Uses Budget'!A61</f>
        <v>100000</v>
      </c>
      <c r="B62" s="163">
        <f>'Sources and Uses Budget'!$C61</f>
        <v>0</v>
      </c>
      <c r="C62" s="163">
        <f>'Sources and Uses Budget'!$C61</f>
        <v>0</v>
      </c>
      <c r="D62" s="167">
        <f t="shared" si="0"/>
        <v>0</v>
      </c>
      <c r="E62" s="165"/>
      <c r="F62" s="164"/>
      <c r="G62" s="246"/>
    </row>
    <row r="63" spans="1:7" s="243" customFormat="1" ht="13.75" customHeight="1">
      <c r="A63" s="168" t="s">
        <v>1842</v>
      </c>
      <c r="B63" s="167">
        <f>SUM(B57:B62)</f>
        <v>25000</v>
      </c>
      <c r="C63" s="167">
        <f>SUM(C57:C62)</f>
        <v>25000</v>
      </c>
      <c r="D63" s="167">
        <f t="shared" si="0"/>
        <v>0</v>
      </c>
      <c r="E63" s="165"/>
      <c r="F63" s="164"/>
      <c r="G63" s="246"/>
    </row>
    <row r="64" spans="1:7" s="243" customFormat="1" ht="13">
      <c r="A64" s="171" t="s">
        <v>1843</v>
      </c>
      <c r="B64" s="167">
        <f>SUM(B9+B12+B14+B15+B17+B26+B28+B39+B43+B44+B55+B63)</f>
        <v>34485009</v>
      </c>
      <c r="C64" s="167">
        <f>SUM(C9+C12+C14+C15+C17+C26+C28+C39+C43+C44+C55+C63)</f>
        <v>34485009</v>
      </c>
      <c r="D64" s="167">
        <f t="shared" si="0"/>
        <v>0</v>
      </c>
      <c r="E64" s="165"/>
      <c r="F64" s="164"/>
      <c r="G64" s="246"/>
    </row>
    <row r="65" spans="1:7" s="243" customFormat="1" ht="24">
      <c r="A65" s="82" t="s">
        <v>1844</v>
      </c>
      <c r="B65" s="161"/>
      <c r="C65" s="161"/>
      <c r="D65" s="161"/>
      <c r="E65" s="180"/>
      <c r="F65" s="161"/>
      <c r="G65" s="246"/>
    </row>
    <row r="66" spans="1:7" s="243" customFormat="1">
      <c r="A66" s="181" t="s">
        <v>1845</v>
      </c>
      <c r="B66" s="163">
        <f>'Sources and Uses Budget'!$C65</f>
        <v>100000</v>
      </c>
      <c r="C66" s="163">
        <f>'Sources and Uses Budget'!$C65</f>
        <v>100000</v>
      </c>
      <c r="D66" s="167">
        <f t="shared" si="0"/>
        <v>0</v>
      </c>
      <c r="E66" s="165"/>
      <c r="F66" s="164"/>
      <c r="G66" s="246"/>
    </row>
    <row r="67" spans="1:7" s="243" customFormat="1" ht="23">
      <c r="A67" s="181" t="s">
        <v>1846</v>
      </c>
      <c r="B67" s="163">
        <f>'Sources and Uses Budget'!$C66</f>
        <v>0</v>
      </c>
      <c r="C67" s="163">
        <f>'Sources and Uses Budget'!$C66</f>
        <v>0</v>
      </c>
      <c r="D67" s="167"/>
      <c r="E67" s="165"/>
      <c r="F67" s="164"/>
      <c r="G67" s="246"/>
    </row>
    <row r="68" spans="1:7" s="243" customFormat="1" ht="23">
      <c r="A68" s="181" t="s">
        <v>1847</v>
      </c>
      <c r="B68" s="163">
        <f>'Sources and Uses Budget'!$C67</f>
        <v>0</v>
      </c>
      <c r="C68" s="163">
        <f>'Sources and Uses Budget'!$C67</f>
        <v>0</v>
      </c>
      <c r="D68" s="167"/>
      <c r="E68" s="165"/>
      <c r="F68" s="164"/>
      <c r="G68" s="246"/>
    </row>
    <row r="69" spans="1:7" s="243" customFormat="1">
      <c r="A69" s="181" t="s">
        <v>1848</v>
      </c>
      <c r="B69" s="163">
        <f>'Sources and Uses Budget'!$C68</f>
        <v>0</v>
      </c>
      <c r="C69" s="163">
        <f>'Sources and Uses Budget'!$C68</f>
        <v>0</v>
      </c>
      <c r="D69" s="167"/>
      <c r="E69" s="165"/>
      <c r="F69" s="164"/>
      <c r="G69" s="246"/>
    </row>
    <row r="70" spans="1:7" s="243" customFormat="1">
      <c r="A70" s="380" t="str">
        <f>'Sources and Uses Budget'!A69</f>
        <v>Other: Legal</v>
      </c>
      <c r="B70" s="163">
        <f>'Sources and Uses Budget'!$C69</f>
        <v>225000</v>
      </c>
      <c r="C70" s="163">
        <f>'Sources and Uses Budget'!$C69</f>
        <v>225000</v>
      </c>
      <c r="D70" s="167">
        <f t="shared" si="0"/>
        <v>0</v>
      </c>
      <c r="E70" s="165"/>
      <c r="F70" s="164"/>
      <c r="G70" s="246"/>
    </row>
    <row r="71" spans="1:7" s="243" customFormat="1">
      <c r="A71" s="84" t="s">
        <v>1850</v>
      </c>
      <c r="B71" s="167">
        <f>SUM(B66:B70)</f>
        <v>325000</v>
      </c>
      <c r="C71" s="167">
        <f>SUM(C66:C70)</f>
        <v>325000</v>
      </c>
      <c r="D71" s="167">
        <f t="shared" si="0"/>
        <v>0</v>
      </c>
      <c r="E71" s="165"/>
      <c r="F71" s="164"/>
      <c r="G71" s="246"/>
    </row>
    <row r="72" spans="1:7" s="243" customFormat="1" ht="13">
      <c r="A72" s="161" t="s">
        <v>1851</v>
      </c>
      <c r="B72" s="161"/>
      <c r="C72" s="161"/>
      <c r="D72" s="161"/>
      <c r="E72" s="180"/>
      <c r="F72" s="161"/>
      <c r="G72" s="246"/>
    </row>
    <row r="73" spans="1:7" s="243" customFormat="1">
      <c r="A73" s="166" t="s">
        <v>1852</v>
      </c>
      <c r="B73" s="163">
        <f>'Sources and Uses Budget'!$C72</f>
        <v>0</v>
      </c>
      <c r="C73" s="163">
        <f>'Sources and Uses Budget'!$C72</f>
        <v>0</v>
      </c>
      <c r="D73" s="167">
        <f t="shared" si="0"/>
        <v>0</v>
      </c>
      <c r="E73" s="165"/>
      <c r="F73" s="164"/>
      <c r="G73" s="246"/>
    </row>
    <row r="74" spans="1:7" s="243" customFormat="1">
      <c r="A74" s="166" t="s">
        <v>1853</v>
      </c>
      <c r="B74" s="163">
        <f>'Sources and Uses Budget'!$C73</f>
        <v>0</v>
      </c>
      <c r="C74" s="163">
        <f>'Sources and Uses Budget'!$C73</f>
        <v>0</v>
      </c>
      <c r="D74" s="167">
        <f t="shared" si="0"/>
        <v>0</v>
      </c>
      <c r="E74" s="165"/>
      <c r="F74" s="164"/>
      <c r="G74" s="246"/>
    </row>
    <row r="75" spans="1:7" s="243" customFormat="1">
      <c r="A75" s="184" t="s">
        <v>1854</v>
      </c>
      <c r="B75" s="163">
        <f>'Sources and Uses Budget'!$C74</f>
        <v>0</v>
      </c>
      <c r="C75" s="163">
        <f>'Sources and Uses Budget'!$C74</f>
        <v>0</v>
      </c>
      <c r="D75" s="167">
        <f t="shared" si="0"/>
        <v>0</v>
      </c>
      <c r="E75" s="165"/>
      <c r="F75" s="164"/>
      <c r="G75" s="246"/>
    </row>
    <row r="76" spans="1:7" s="243" customFormat="1">
      <c r="A76" s="166" t="s">
        <v>1855</v>
      </c>
      <c r="B76" s="163">
        <f>'Sources and Uses Budget'!$C75</f>
        <v>381230</v>
      </c>
      <c r="C76" s="163">
        <f>'Sources and Uses Budget'!$C75</f>
        <v>381230</v>
      </c>
      <c r="D76" s="167">
        <f t="shared" si="0"/>
        <v>0</v>
      </c>
      <c r="E76" s="165"/>
      <c r="F76" s="164"/>
      <c r="G76" s="246"/>
    </row>
    <row r="77" spans="1:7" s="243" customFormat="1">
      <c r="A77" s="169" t="s">
        <v>1820</v>
      </c>
      <c r="B77" s="163">
        <f>'Sources and Uses Budget'!$C76</f>
        <v>0</v>
      </c>
      <c r="C77" s="163">
        <f>'Sources and Uses Budget'!$C76</f>
        <v>0</v>
      </c>
      <c r="D77" s="167">
        <f t="shared" si="0"/>
        <v>0</v>
      </c>
      <c r="E77" s="165"/>
      <c r="F77" s="164"/>
      <c r="G77" s="246"/>
    </row>
    <row r="78" spans="1:7" s="243" customFormat="1" ht="13">
      <c r="A78" s="168" t="s">
        <v>1856</v>
      </c>
      <c r="B78" s="167">
        <f>SUM(B73:B77)</f>
        <v>381230</v>
      </c>
      <c r="C78" s="167">
        <f>SUM(C73:C77)</f>
        <v>381230</v>
      </c>
      <c r="D78" s="167">
        <f t="shared" ref="D78:D106" si="1">C78-B78</f>
        <v>0</v>
      </c>
      <c r="E78" s="165"/>
      <c r="F78" s="164"/>
      <c r="G78" s="246"/>
    </row>
    <row r="79" spans="1:7" s="243" customFormat="1" ht="13">
      <c r="A79" s="161" t="s">
        <v>1857</v>
      </c>
      <c r="B79" s="161"/>
      <c r="C79" s="161"/>
      <c r="D79" s="161"/>
      <c r="E79" s="180"/>
      <c r="F79" s="161"/>
      <c r="G79" s="246"/>
    </row>
    <row r="80" spans="1:7" s="243" customFormat="1">
      <c r="A80" s="381" t="s">
        <v>1858</v>
      </c>
      <c r="B80" s="163">
        <f>'Sources and Uses Budget'!$C79</f>
        <v>1325000</v>
      </c>
      <c r="C80" s="163">
        <f>'Sources and Uses Budget'!$C79</f>
        <v>1325000</v>
      </c>
      <c r="D80" s="167">
        <f t="shared" si="1"/>
        <v>0</v>
      </c>
      <c r="E80" s="165"/>
      <c r="F80" s="164"/>
      <c r="G80" s="246"/>
    </row>
    <row r="81" spans="1:7" s="243" customFormat="1">
      <c r="A81" s="381" t="s">
        <v>1859</v>
      </c>
      <c r="B81" s="163">
        <f>'Sources and Uses Budget'!$C80</f>
        <v>460594</v>
      </c>
      <c r="C81" s="163">
        <f>'Sources and Uses Budget'!$C80</f>
        <v>460594</v>
      </c>
      <c r="D81" s="167">
        <f>C81-B81</f>
        <v>0</v>
      </c>
      <c r="E81" s="165"/>
      <c r="F81" s="164"/>
      <c r="G81" s="246"/>
    </row>
    <row r="82" spans="1:7" s="243" customFormat="1" ht="13">
      <c r="A82" s="168" t="s">
        <v>1860</v>
      </c>
      <c r="B82" s="167">
        <f>SUM(B80:B81)</f>
        <v>1785594</v>
      </c>
      <c r="C82" s="167">
        <f>SUM(C80:C81)</f>
        <v>1785594</v>
      </c>
      <c r="D82" s="167">
        <f t="shared" si="1"/>
        <v>0</v>
      </c>
      <c r="E82" s="165"/>
      <c r="F82" s="164"/>
      <c r="G82" s="246"/>
    </row>
    <row r="83" spans="1:7" s="243" customFormat="1" ht="13">
      <c r="A83" s="161" t="s">
        <v>1861</v>
      </c>
      <c r="B83" s="161"/>
      <c r="C83" s="161"/>
      <c r="D83" s="161"/>
      <c r="E83" s="180"/>
      <c r="F83" s="161"/>
      <c r="G83" s="246"/>
    </row>
    <row r="84" spans="1:7" s="243" customFormat="1" ht="13.75" customHeight="1">
      <c r="A84" s="166" t="s">
        <v>2777</v>
      </c>
      <c r="B84" s="163">
        <f>'Sources and Uses Budget'!$C83</f>
        <v>60552</v>
      </c>
      <c r="C84" s="163">
        <f>'Sources and Uses Budget'!$C83</f>
        <v>60552</v>
      </c>
      <c r="D84" s="167">
        <f t="shared" si="1"/>
        <v>0</v>
      </c>
      <c r="E84" s="165"/>
      <c r="F84" s="164"/>
      <c r="G84" s="246"/>
    </row>
    <row r="85" spans="1:7" s="243" customFormat="1">
      <c r="A85" s="166" t="s">
        <v>1863</v>
      </c>
      <c r="B85" s="163">
        <f>'Sources and Uses Budget'!$C84</f>
        <v>50000</v>
      </c>
      <c r="C85" s="163">
        <f>'Sources and Uses Budget'!$C84</f>
        <v>50000</v>
      </c>
      <c r="D85" s="167">
        <f t="shared" si="1"/>
        <v>0</v>
      </c>
      <c r="E85" s="165"/>
      <c r="F85" s="164"/>
      <c r="G85" s="246"/>
    </row>
    <row r="86" spans="1:7" s="243" customFormat="1">
      <c r="A86" s="166" t="s">
        <v>1864</v>
      </c>
      <c r="B86" s="163">
        <f>'Sources and Uses Budget'!$C85</f>
        <v>2120000</v>
      </c>
      <c r="C86" s="163">
        <f>'Sources and Uses Budget'!$C85</f>
        <v>2120000</v>
      </c>
      <c r="D86" s="167">
        <f t="shared" si="1"/>
        <v>0</v>
      </c>
      <c r="E86" s="165"/>
      <c r="F86" s="164"/>
      <c r="G86" s="246"/>
    </row>
    <row r="87" spans="1:7" s="243" customFormat="1">
      <c r="A87" s="166" t="s">
        <v>1865</v>
      </c>
      <c r="B87" s="163">
        <f>'Sources and Uses Budget'!$C86</f>
        <v>795000</v>
      </c>
      <c r="C87" s="163">
        <f>'Sources and Uses Budget'!$C86</f>
        <v>795000</v>
      </c>
      <c r="D87" s="167">
        <f t="shared" si="1"/>
        <v>0</v>
      </c>
      <c r="E87" s="165"/>
      <c r="F87" s="164"/>
      <c r="G87" s="246"/>
    </row>
    <row r="88" spans="1:7" s="243" customFormat="1">
      <c r="A88" s="166" t="s">
        <v>1866</v>
      </c>
      <c r="B88" s="163">
        <f>'Sources and Uses Budget'!$C87</f>
        <v>0</v>
      </c>
      <c r="C88" s="163">
        <f>'Sources and Uses Budget'!$C87</f>
        <v>0</v>
      </c>
      <c r="D88" s="167">
        <f t="shared" si="1"/>
        <v>0</v>
      </c>
      <c r="E88" s="165"/>
      <c r="F88" s="164"/>
      <c r="G88" s="246"/>
    </row>
    <row r="89" spans="1:7" s="243" customFormat="1">
      <c r="A89" s="166" t="s">
        <v>1867</v>
      </c>
      <c r="B89" s="163">
        <f>'Sources and Uses Budget'!$C88</f>
        <v>150000</v>
      </c>
      <c r="C89" s="163">
        <f>'Sources and Uses Budget'!$C88</f>
        <v>150000</v>
      </c>
      <c r="D89" s="167">
        <f t="shared" si="1"/>
        <v>0</v>
      </c>
      <c r="E89" s="165"/>
      <c r="F89" s="164"/>
      <c r="G89" s="246"/>
    </row>
    <row r="90" spans="1:7" s="243" customFormat="1">
      <c r="A90" s="166" t="s">
        <v>1868</v>
      </c>
      <c r="B90" s="163">
        <f>'Sources and Uses Budget'!$C89</f>
        <v>150000</v>
      </c>
      <c r="C90" s="163">
        <f>'Sources and Uses Budget'!$C89</f>
        <v>150000</v>
      </c>
      <c r="D90" s="167">
        <f t="shared" si="1"/>
        <v>0</v>
      </c>
      <c r="E90" s="165"/>
      <c r="F90" s="164"/>
      <c r="G90" s="246"/>
    </row>
    <row r="91" spans="1:7" s="243" customFormat="1">
      <c r="A91" s="166" t="s">
        <v>1869</v>
      </c>
      <c r="B91" s="163">
        <f>'Sources and Uses Budget'!$C90</f>
        <v>15000</v>
      </c>
      <c r="C91" s="163">
        <f>'Sources and Uses Budget'!$C90</f>
        <v>15000</v>
      </c>
      <c r="D91" s="167">
        <f t="shared" si="1"/>
        <v>0</v>
      </c>
      <c r="E91" s="165"/>
      <c r="F91" s="164"/>
      <c r="G91" s="246"/>
    </row>
    <row r="92" spans="1:7" s="243" customFormat="1">
      <c r="A92" s="166" t="s">
        <v>1870</v>
      </c>
      <c r="B92" s="163">
        <f>'Sources and Uses Budget'!$C91</f>
        <v>50000</v>
      </c>
      <c r="C92" s="163">
        <f>'Sources and Uses Budget'!$C91</f>
        <v>50000</v>
      </c>
      <c r="D92" s="167">
        <f t="shared" si="1"/>
        <v>0</v>
      </c>
      <c r="E92" s="165"/>
      <c r="F92" s="164"/>
      <c r="G92" s="246"/>
    </row>
    <row r="93" spans="1:7" s="243" customFormat="1">
      <c r="A93" s="381" t="s">
        <v>1871</v>
      </c>
      <c r="B93" s="163">
        <f>'Sources and Uses Budget'!$C92</f>
        <v>20000</v>
      </c>
      <c r="C93" s="163">
        <f>'Sources and Uses Budget'!$C92</f>
        <v>20000</v>
      </c>
      <c r="D93" s="167">
        <f t="shared" si="1"/>
        <v>0</v>
      </c>
      <c r="E93" s="165"/>
      <c r="F93" s="164"/>
      <c r="G93" s="246"/>
    </row>
    <row r="94" spans="1:7" s="243" customFormat="1">
      <c r="A94" s="169" t="s">
        <v>1820</v>
      </c>
      <c r="B94" s="163">
        <f>'Sources and Uses Budget'!$C93</f>
        <v>492000</v>
      </c>
      <c r="C94" s="163">
        <f>'Sources and Uses Budget'!$C93</f>
        <v>492000</v>
      </c>
      <c r="D94" s="167">
        <f t="shared" si="1"/>
        <v>0</v>
      </c>
      <c r="E94" s="165"/>
      <c r="F94" s="164"/>
      <c r="G94" s="246"/>
    </row>
    <row r="95" spans="1:7" s="243" customFormat="1">
      <c r="A95" s="169" t="s">
        <v>1820</v>
      </c>
      <c r="B95" s="163">
        <f>'Sources and Uses Budget'!$C94</f>
        <v>7861</v>
      </c>
      <c r="C95" s="163">
        <f>'Sources and Uses Budget'!$C94</f>
        <v>7861</v>
      </c>
      <c r="D95" s="167">
        <f t="shared" si="1"/>
        <v>0</v>
      </c>
      <c r="E95" s="165"/>
      <c r="F95" s="164"/>
      <c r="G95" s="246"/>
    </row>
    <row r="96" spans="1:7" s="243" customFormat="1">
      <c r="A96" s="169" t="s">
        <v>1820</v>
      </c>
      <c r="B96" s="163">
        <f>'Sources and Uses Budget'!$C95</f>
        <v>0</v>
      </c>
      <c r="C96" s="163">
        <f>'Sources and Uses Budget'!$C95</f>
        <v>0</v>
      </c>
      <c r="D96" s="167">
        <f t="shared" si="1"/>
        <v>0</v>
      </c>
      <c r="E96" s="165"/>
      <c r="F96" s="164"/>
      <c r="G96" s="246"/>
    </row>
    <row r="97" spans="1:7" s="243" customFormat="1" ht="13">
      <c r="A97" s="168" t="s">
        <v>1874</v>
      </c>
      <c r="B97" s="167">
        <f>SUM(B84:B96)</f>
        <v>3910413</v>
      </c>
      <c r="C97" s="167">
        <f>SUM(C84:C96)</f>
        <v>3910413</v>
      </c>
      <c r="D97" s="167">
        <f t="shared" si="1"/>
        <v>0</v>
      </c>
      <c r="E97" s="165"/>
      <c r="F97" s="164"/>
      <c r="G97" s="246"/>
    </row>
    <row r="98" spans="1:7" s="243" customFormat="1" ht="13">
      <c r="A98" s="168" t="s">
        <v>1875</v>
      </c>
      <c r="B98" s="167">
        <f>SUM(B64+B71+B78+B82+B97)</f>
        <v>40887246</v>
      </c>
      <c r="C98" s="167">
        <f>SUM(C64+C71+C78+C82+C97)</f>
        <v>40887246</v>
      </c>
      <c r="D98" s="167">
        <f t="shared" si="1"/>
        <v>0</v>
      </c>
      <c r="E98" s="165"/>
      <c r="F98" s="164"/>
      <c r="G98" s="246"/>
    </row>
    <row r="99" spans="1:7" s="243" customFormat="1" ht="13">
      <c r="A99" s="161" t="s">
        <v>1876</v>
      </c>
      <c r="B99" s="161"/>
      <c r="C99" s="161"/>
      <c r="D99" s="161"/>
      <c r="E99" s="180"/>
      <c r="F99" s="161"/>
      <c r="G99" s="246"/>
    </row>
    <row r="100" spans="1:7" s="243" customFormat="1">
      <c r="A100" s="181" t="s">
        <v>1877</v>
      </c>
      <c r="B100" s="163">
        <f>'Sources and Uses Budget'!$C99</f>
        <v>5556424</v>
      </c>
      <c r="C100" s="163">
        <f>'Sources and Uses Budget'!$C99</f>
        <v>5556424</v>
      </c>
      <c r="D100" s="167">
        <f t="shared" si="1"/>
        <v>0</v>
      </c>
      <c r="E100" s="165"/>
      <c r="F100" s="164"/>
      <c r="G100" s="246"/>
    </row>
    <row r="101" spans="1:7" s="243" customFormat="1">
      <c r="A101" s="181" t="s">
        <v>1878</v>
      </c>
      <c r="B101" s="163">
        <f>'Sources and Uses Budget'!$C100</f>
        <v>0</v>
      </c>
      <c r="C101" s="163">
        <f>'Sources and Uses Budget'!$C100</f>
        <v>0</v>
      </c>
      <c r="D101" s="167">
        <f t="shared" si="1"/>
        <v>0</v>
      </c>
      <c r="E101" s="165"/>
      <c r="F101" s="164"/>
      <c r="G101" s="246"/>
    </row>
    <row r="102" spans="1:7" s="243" customFormat="1">
      <c r="A102" s="181" t="s">
        <v>1879</v>
      </c>
      <c r="B102" s="163">
        <f>'Sources and Uses Budget'!$C101</f>
        <v>0</v>
      </c>
      <c r="C102" s="163">
        <f>'Sources and Uses Budget'!$C101</f>
        <v>0</v>
      </c>
      <c r="D102" s="167">
        <f t="shared" si="1"/>
        <v>0</v>
      </c>
      <c r="E102" s="165"/>
      <c r="F102" s="164"/>
      <c r="G102" s="246"/>
    </row>
    <row r="103" spans="1:7" s="243" customFormat="1" ht="12" customHeight="1">
      <c r="A103" s="181" t="s">
        <v>1880</v>
      </c>
      <c r="B103" s="163">
        <f>'Sources and Uses Budget'!$C102</f>
        <v>0</v>
      </c>
      <c r="C103" s="163">
        <f>'Sources and Uses Budget'!$C102</f>
        <v>0</v>
      </c>
      <c r="D103" s="167">
        <f t="shared" si="1"/>
        <v>0</v>
      </c>
      <c r="E103" s="165"/>
      <c r="F103" s="164"/>
      <c r="G103" s="246"/>
    </row>
    <row r="104" spans="1:7" s="243" customFormat="1">
      <c r="A104" s="829" t="str">
        <f>'Sources and Uses Budget'!A103</f>
        <v>Other: (Specify)</v>
      </c>
      <c r="B104" s="163">
        <f>'Sources and Uses Budget'!$C103</f>
        <v>0</v>
      </c>
      <c r="C104" s="163">
        <f>'Sources and Uses Budget'!$C103</f>
        <v>0</v>
      </c>
      <c r="D104" s="167">
        <f t="shared" si="1"/>
        <v>0</v>
      </c>
      <c r="E104" s="165"/>
      <c r="F104" s="164"/>
      <c r="G104" s="246"/>
    </row>
    <row r="105" spans="1:7" s="243" customFormat="1" ht="13">
      <c r="A105" s="168" t="s">
        <v>1881</v>
      </c>
      <c r="B105" s="167">
        <f>SUM(B100:B104)</f>
        <v>5556424</v>
      </c>
      <c r="C105" s="167">
        <f>SUM(C100:C104)</f>
        <v>5556424</v>
      </c>
      <c r="D105" s="167">
        <f t="shared" si="1"/>
        <v>0</v>
      </c>
      <c r="E105" s="165"/>
      <c r="F105" s="164"/>
      <c r="G105" s="246"/>
    </row>
    <row r="106" spans="1:7" s="243" customFormat="1" ht="13">
      <c r="A106" s="168" t="s">
        <v>1882</v>
      </c>
      <c r="B106" s="170">
        <f>SUM(B98+B105)</f>
        <v>46443670</v>
      </c>
      <c r="C106" s="170">
        <f>SUM(C98+C105)</f>
        <v>46443670</v>
      </c>
      <c r="D106" s="167">
        <f t="shared" si="1"/>
        <v>0</v>
      </c>
      <c r="E106" s="165"/>
      <c r="F106" s="164"/>
      <c r="G106" s="246"/>
    </row>
    <row r="107" spans="1:7" s="243" customFormat="1" ht="13">
      <c r="A107" s="175" t="s">
        <v>2778</v>
      </c>
      <c r="B107" s="176"/>
      <c r="C107" s="177"/>
      <c r="D107" s="179"/>
      <c r="E107" s="162"/>
      <c r="F107" s="174"/>
      <c r="G107" s="246"/>
    </row>
    <row r="108" spans="1:7" s="173" customFormat="1" ht="12" hidden="1" customHeight="1">
      <c r="A108" s="172"/>
    </row>
    <row r="109" spans="1:7" s="173" customFormat="1" ht="12" hidden="1" customHeight="1">
      <c r="A109" s="172"/>
    </row>
    <row r="110" spans="1:7" s="173" customFormat="1" ht="12" hidden="1" customHeight="1">
      <c r="A110" s="172"/>
    </row>
    <row r="111" spans="1:7" s="173" customFormat="1" ht="12" hidden="1" customHeight="1">
      <c r="A111" s="172"/>
    </row>
    <row r="112" spans="1:7" s="173" customFormat="1" ht="12" hidden="1" customHeight="1">
      <c r="A112" s="172"/>
    </row>
    <row r="113" spans="1:1" s="173" customFormat="1" ht="12" hidden="1" customHeight="1">
      <c r="A113" s="172"/>
    </row>
    <row r="114" spans="1:1" s="173" customFormat="1" ht="12" hidden="1" customHeight="1">
      <c r="A114" s="172"/>
    </row>
    <row r="115" spans="1:1" s="173" customFormat="1" ht="12" hidden="1" customHeight="1">
      <c r="A115" s="172"/>
    </row>
    <row r="116" spans="1:1" s="173" customFormat="1" ht="12" hidden="1" customHeight="1">
      <c r="A116" s="172"/>
    </row>
    <row r="117" spans="1:1" s="173" customFormat="1" ht="12" hidden="1" customHeight="1">
      <c r="A117" s="172"/>
    </row>
    <row r="118" spans="1:1" s="173" customFormat="1" ht="12" hidden="1" customHeight="1">
      <c r="A118" s="172"/>
    </row>
    <row r="119" spans="1:1" s="173" customFormat="1" ht="12" hidden="1" customHeight="1">
      <c r="A119" s="172"/>
    </row>
    <row r="120" spans="1:1" s="173" customFormat="1" ht="12" hidden="1" customHeight="1">
      <c r="A120" s="172"/>
    </row>
    <row r="121" spans="1:1" s="173" customFormat="1" ht="12" hidden="1" customHeight="1">
      <c r="A121" s="172"/>
    </row>
    <row r="122" spans="1:1" s="173" customFormat="1" ht="12" hidden="1" customHeight="1">
      <c r="A122" s="172"/>
    </row>
    <row r="123" spans="1:1" s="173" customFormat="1" ht="12" hidden="1" customHeight="1">
      <c r="A123" s="172"/>
    </row>
    <row r="124" spans="1:1" s="173" customFormat="1" ht="12" hidden="1" customHeight="1">
      <c r="A124" s="172"/>
    </row>
    <row r="125" spans="1:1" s="173" customFormat="1" ht="12" hidden="1" customHeight="1">
      <c r="A125" s="172"/>
    </row>
    <row r="126" spans="1:1" s="173" customFormat="1" ht="12" hidden="1" customHeight="1">
      <c r="A126" s="172"/>
    </row>
    <row r="127" spans="1:1" s="173" customFormat="1" ht="12" hidden="1" customHeight="1">
      <c r="A127" s="172"/>
    </row>
    <row r="128" spans="1:1" s="173" customFormat="1" ht="12" hidden="1" customHeight="1">
      <c r="A128" s="172"/>
    </row>
    <row r="129" spans="1:1" s="173" customFormat="1" ht="12" hidden="1" customHeight="1">
      <c r="A129" s="172"/>
    </row>
    <row r="130" spans="1:1" s="173" customFormat="1" ht="12" hidden="1" customHeight="1">
      <c r="A130" s="172"/>
    </row>
    <row r="131" spans="1:1" s="173" customFormat="1" ht="12" hidden="1" customHeight="1">
      <c r="A131" s="172"/>
    </row>
    <row r="132" spans="1:1" s="173" customFormat="1" ht="12" hidden="1" customHeight="1">
      <c r="A132" s="172"/>
    </row>
    <row r="133" spans="1:1" s="173" customFormat="1" ht="12" hidden="1" customHeight="1">
      <c r="A133" s="172"/>
    </row>
    <row r="134" spans="1:1" s="173" customFormat="1" ht="12" hidden="1" customHeight="1">
      <c r="A134" s="172"/>
    </row>
    <row r="135" spans="1:1" s="173" customFormat="1" ht="12" hidden="1" customHeight="1">
      <c r="A135" s="172"/>
    </row>
    <row r="136" spans="1:1" s="173" customFormat="1" ht="12" hidden="1" customHeight="1">
      <c r="A136" s="172"/>
    </row>
    <row r="137" spans="1:1" s="173" customFormat="1" ht="12" hidden="1" customHeight="1">
      <c r="A137" s="172"/>
    </row>
    <row r="138" spans="1:1" s="173" customFormat="1" ht="12" hidden="1" customHeight="1">
      <c r="A138" s="172"/>
    </row>
    <row r="139" spans="1:1" s="173" customFormat="1" ht="12" hidden="1" customHeight="1">
      <c r="A139" s="172"/>
    </row>
    <row r="140" spans="1:1" s="173" customFormat="1" ht="12" hidden="1" customHeight="1">
      <c r="A140" s="172"/>
    </row>
    <row r="141" spans="1:1" s="173" customFormat="1" ht="12" hidden="1" customHeight="1">
      <c r="A141" s="172"/>
    </row>
    <row r="142" spans="1:1" s="173" customFormat="1" ht="12" hidden="1" customHeight="1">
      <c r="A142" s="172"/>
    </row>
    <row r="143" spans="1:1" s="173" customFormat="1" ht="12" hidden="1" customHeight="1">
      <c r="A143" s="172"/>
    </row>
    <row r="144" spans="1:1" s="173" customFormat="1" ht="12" hidden="1" customHeight="1">
      <c r="A144" s="172"/>
    </row>
    <row r="145" spans="1:1" s="173" customFormat="1" ht="12" hidden="1" customHeight="1">
      <c r="A145" s="172"/>
    </row>
    <row r="146" spans="1:1" s="173" customFormat="1" ht="12" hidden="1" customHeight="1">
      <c r="A146" s="172"/>
    </row>
    <row r="147" spans="1:1" s="173" customFormat="1" ht="12" hidden="1" customHeight="1">
      <c r="A147" s="172"/>
    </row>
    <row r="148" spans="1:1" s="173" customFormat="1" ht="12" hidden="1" customHeight="1">
      <c r="A148" s="172"/>
    </row>
    <row r="149" spans="1:1" s="173" customFormat="1" ht="12" hidden="1" customHeight="1">
      <c r="A149" s="172"/>
    </row>
    <row r="150" spans="1:1" s="173" customFormat="1" ht="12" hidden="1" customHeight="1">
      <c r="A150" s="172"/>
    </row>
    <row r="151" spans="1:1" s="173" customFormat="1" ht="12" hidden="1" customHeight="1">
      <c r="A151" s="172"/>
    </row>
    <row r="152" spans="1:1" s="173" customFormat="1" ht="12" hidden="1" customHeight="1">
      <c r="A152" s="172"/>
    </row>
    <row r="153" spans="1:1" s="173" customFormat="1" ht="12" hidden="1" customHeight="1">
      <c r="A153" s="172"/>
    </row>
    <row r="154" spans="1:1" s="173" customFormat="1" ht="12" hidden="1" customHeight="1">
      <c r="A154" s="172"/>
    </row>
    <row r="155" spans="1:1" s="173" customFormat="1" ht="12" hidden="1" customHeight="1">
      <c r="A155" s="172"/>
    </row>
    <row r="156" spans="1:1" s="173" customFormat="1" ht="12" hidden="1" customHeight="1">
      <c r="A156" s="172"/>
    </row>
    <row r="157" spans="1:1" s="173" customFormat="1" ht="12" hidden="1" customHeight="1">
      <c r="A157" s="172"/>
    </row>
    <row r="158" spans="1:1" s="173" customFormat="1" ht="12" hidden="1" customHeight="1">
      <c r="A158" s="172"/>
    </row>
    <row r="159" spans="1:1" s="173" customFormat="1" ht="12" hidden="1" customHeight="1">
      <c r="A159" s="172"/>
    </row>
    <row r="160" spans="1:1" s="173" customFormat="1" ht="12" hidden="1" customHeight="1">
      <c r="A160" s="172"/>
    </row>
    <row r="161" spans="1:1" s="173" customFormat="1" ht="12" hidden="1" customHeight="1">
      <c r="A161" s="172"/>
    </row>
    <row r="162" spans="1:1" s="173" customFormat="1" ht="12" hidden="1" customHeight="1">
      <c r="A162" s="172"/>
    </row>
    <row r="163" spans="1:1" s="173" customFormat="1" ht="12" hidden="1" customHeight="1">
      <c r="A163" s="172"/>
    </row>
    <row r="164" spans="1:1" s="173" customFormat="1" ht="12" hidden="1" customHeight="1">
      <c r="A164" s="172"/>
    </row>
    <row r="165" spans="1:1" s="173" customFormat="1" ht="12" hidden="1" customHeight="1">
      <c r="A165" s="172"/>
    </row>
    <row r="166" spans="1:1" s="173" customFormat="1" ht="12" hidden="1" customHeight="1">
      <c r="A166" s="172"/>
    </row>
    <row r="167" spans="1:1" s="173" customFormat="1" ht="12" hidden="1" customHeight="1">
      <c r="A167" s="172"/>
    </row>
    <row r="168" spans="1:1" s="173" customFormat="1" ht="12" hidden="1" customHeight="1">
      <c r="A168" s="172"/>
    </row>
    <row r="169" spans="1:1" s="173" customFormat="1" ht="12" hidden="1" customHeight="1">
      <c r="A169" s="172"/>
    </row>
    <row r="170" spans="1:1" s="173" customFormat="1" ht="12" hidden="1" customHeight="1">
      <c r="A170" s="172"/>
    </row>
    <row r="171" spans="1:1" s="173" customFormat="1" ht="12" hidden="1" customHeight="1">
      <c r="A171" s="172"/>
    </row>
    <row r="172" spans="1:1" s="173" customFormat="1" ht="12" hidden="1" customHeight="1">
      <c r="A172" s="172"/>
    </row>
    <row r="173" spans="1:1" s="173" customFormat="1" ht="12" hidden="1" customHeight="1">
      <c r="A173" s="172"/>
    </row>
    <row r="174" spans="1:1" s="173" customFormat="1" ht="12" hidden="1" customHeight="1">
      <c r="A174" s="172"/>
    </row>
    <row r="175" spans="1:1" s="173" customFormat="1" ht="12" hidden="1" customHeight="1">
      <c r="A175" s="172"/>
    </row>
    <row r="176" spans="1:1" s="173" customFormat="1" ht="12" hidden="1" customHeight="1">
      <c r="A176" s="172"/>
    </row>
    <row r="177" spans="1:1" s="173" customFormat="1" ht="12" hidden="1" customHeight="1">
      <c r="A177" s="172"/>
    </row>
    <row r="178" spans="1:1" s="173" customFormat="1" ht="12" hidden="1" customHeight="1">
      <c r="A178" s="172"/>
    </row>
    <row r="179" spans="1:1" s="173" customFormat="1" ht="12" hidden="1" customHeight="1">
      <c r="A179" s="172"/>
    </row>
    <row r="180" spans="1:1" s="173" customFormat="1" ht="12" hidden="1" customHeight="1">
      <c r="A180" s="172"/>
    </row>
    <row r="181" spans="1:1" s="173" customFormat="1" ht="12" hidden="1" customHeight="1">
      <c r="A181" s="172"/>
    </row>
    <row r="182" spans="1:1" s="173" customFormat="1" ht="12" hidden="1" customHeight="1">
      <c r="A182" s="172"/>
    </row>
    <row r="183" spans="1:1" s="173" customFormat="1" ht="12" hidden="1" customHeight="1">
      <c r="A183" s="172"/>
    </row>
    <row r="184" spans="1:1" s="173" customFormat="1" ht="12" hidden="1" customHeight="1">
      <c r="A184" s="172"/>
    </row>
    <row r="185" spans="1:1" s="173" customFormat="1" ht="12" hidden="1" customHeight="1">
      <c r="A185" s="172"/>
    </row>
    <row r="186" spans="1:1" s="173" customFormat="1" ht="12" hidden="1" customHeight="1">
      <c r="A186" s="172"/>
    </row>
    <row r="187" spans="1:1" s="173" customFormat="1" ht="12" hidden="1" customHeight="1">
      <c r="A187" s="172"/>
    </row>
    <row r="188" spans="1:1" s="173" customFormat="1" ht="12" hidden="1" customHeight="1">
      <c r="A188" s="172"/>
    </row>
    <row r="189" spans="1:1" s="173" customFormat="1" ht="12" hidden="1" customHeight="1">
      <c r="A189" s="172"/>
    </row>
    <row r="190" spans="1:1" s="173" customFormat="1" ht="12" hidden="1" customHeight="1">
      <c r="A190" s="172"/>
    </row>
    <row r="191" spans="1:1" s="173" customFormat="1" ht="12" hidden="1" customHeight="1">
      <c r="A191" s="172"/>
    </row>
    <row r="192" spans="1:1" s="173" customFormat="1" ht="12" hidden="1" customHeight="1">
      <c r="A192" s="172"/>
    </row>
    <row r="193" spans="1:1" s="173" customFormat="1" ht="12" hidden="1" customHeight="1">
      <c r="A193" s="172"/>
    </row>
    <row r="194" spans="1:1" s="173" customFormat="1" ht="12" hidden="1" customHeight="1">
      <c r="A194" s="172"/>
    </row>
    <row r="195" spans="1:1" s="173" customFormat="1" ht="12" hidden="1" customHeight="1">
      <c r="A195" s="172"/>
    </row>
    <row r="196" spans="1:1" s="173" customFormat="1" ht="12" hidden="1" customHeight="1">
      <c r="A196" s="172"/>
    </row>
    <row r="197" spans="1:1" s="173" customFormat="1" ht="12" hidden="1" customHeight="1">
      <c r="A197" s="172"/>
    </row>
    <row r="198" spans="1:1" s="173" customFormat="1" ht="12" hidden="1" customHeight="1">
      <c r="A198" s="172"/>
    </row>
    <row r="199" spans="1:1" s="173" customFormat="1" ht="12" hidden="1" customHeight="1">
      <c r="A199" s="172"/>
    </row>
    <row r="200" spans="1:1" s="173" customFormat="1" ht="12" hidden="1" customHeight="1">
      <c r="A200" s="172"/>
    </row>
    <row r="201" spans="1:1" s="173" customFormat="1" ht="12" hidden="1" customHeight="1">
      <c r="A201" s="172"/>
    </row>
    <row r="202" spans="1:1" s="173" customFormat="1" ht="12" hidden="1" customHeight="1">
      <c r="A202" s="172"/>
    </row>
    <row r="203" spans="1:1" s="173" customFormat="1" ht="12" hidden="1" customHeight="1">
      <c r="A203" s="172"/>
    </row>
    <row r="204" spans="1:1" s="173" customFormat="1" ht="12" hidden="1" customHeight="1">
      <c r="A204" s="172"/>
    </row>
    <row r="205" spans="1:1" s="173" customFormat="1" ht="12" hidden="1" customHeight="1">
      <c r="A205" s="172"/>
    </row>
    <row r="206" spans="1:1" s="173" customFormat="1" ht="12" hidden="1" customHeight="1">
      <c r="A206" s="172"/>
    </row>
    <row r="207" spans="1:1" s="173" customFormat="1" ht="12" hidden="1" customHeight="1">
      <c r="A207" s="172"/>
    </row>
    <row r="208" spans="1:1" s="173" customFormat="1" ht="12" hidden="1" customHeight="1">
      <c r="A208" s="172"/>
    </row>
    <row r="209" spans="1:1" s="173" customFormat="1" ht="12" hidden="1" customHeight="1">
      <c r="A209" s="172"/>
    </row>
    <row r="210" spans="1:1" s="173" customFormat="1" ht="12" hidden="1" customHeight="1">
      <c r="A210" s="172"/>
    </row>
    <row r="211" spans="1:1" s="173" customFormat="1" ht="12" hidden="1" customHeight="1">
      <c r="A211" s="172"/>
    </row>
    <row r="212" spans="1:1" s="173" customFormat="1" ht="12" hidden="1" customHeight="1">
      <c r="A212" s="172"/>
    </row>
    <row r="213" spans="1:1" s="173" customFormat="1" ht="12" hidden="1" customHeight="1">
      <c r="A213" s="172"/>
    </row>
    <row r="214" spans="1:1" s="173" customFormat="1" ht="12" hidden="1" customHeight="1">
      <c r="A214" s="172"/>
    </row>
    <row r="215" spans="1:1" s="173" customFormat="1" ht="12" hidden="1" customHeight="1">
      <c r="A215" s="172"/>
    </row>
    <row r="216" spans="1:1" s="173" customFormat="1" ht="12" hidden="1" customHeight="1">
      <c r="A216" s="172"/>
    </row>
    <row r="217" spans="1:1" s="173" customFormat="1" ht="12" hidden="1" customHeight="1">
      <c r="A217" s="172"/>
    </row>
    <row r="218" spans="1:1" s="173" customFormat="1" ht="12" hidden="1" customHeight="1">
      <c r="A218" s="172"/>
    </row>
    <row r="219" spans="1:1" s="173" customFormat="1" ht="12" hidden="1" customHeight="1">
      <c r="A219" s="172"/>
    </row>
    <row r="220" spans="1:1" s="173" customFormat="1" ht="12" hidden="1" customHeight="1">
      <c r="A220" s="172"/>
    </row>
    <row r="221" spans="1:1" s="173" customFormat="1" ht="12" hidden="1" customHeight="1">
      <c r="A221" s="172"/>
    </row>
    <row r="222" spans="1:1" s="173" customFormat="1" ht="12" hidden="1" customHeight="1">
      <c r="A222" s="172"/>
    </row>
    <row r="223" spans="1:1" s="173" customFormat="1" ht="12" hidden="1" customHeight="1">
      <c r="A223" s="172"/>
    </row>
    <row r="224" spans="1:1" s="173" customFormat="1" ht="12" hidden="1" customHeight="1">
      <c r="A224" s="172"/>
    </row>
    <row r="225" spans="1:1" s="173" customFormat="1" ht="12" hidden="1" customHeight="1">
      <c r="A225" s="172"/>
    </row>
    <row r="226" spans="1:1" s="173" customFormat="1" ht="12" hidden="1" customHeight="1">
      <c r="A226" s="172"/>
    </row>
    <row r="227" spans="1:1" s="173" customFormat="1" ht="12" hidden="1" customHeight="1">
      <c r="A227" s="172"/>
    </row>
    <row r="228" spans="1:1" s="173" customFormat="1" ht="12" hidden="1" customHeight="1">
      <c r="A228" s="172"/>
    </row>
    <row r="229" spans="1:1" s="173" customFormat="1" ht="12" hidden="1" customHeight="1">
      <c r="A229" s="172"/>
    </row>
    <row r="230" spans="1:1" s="173" customFormat="1" ht="12" hidden="1" customHeight="1">
      <c r="A230" s="172"/>
    </row>
    <row r="231" spans="1:1" s="173" customFormat="1" ht="12" hidden="1" customHeight="1">
      <c r="A231" s="172"/>
    </row>
    <row r="232" spans="1:1" s="173" customFormat="1" ht="12" hidden="1" customHeight="1">
      <c r="A232" s="172"/>
    </row>
    <row r="233" spans="1:1" s="173" customFormat="1" ht="12" hidden="1" customHeight="1">
      <c r="A233" s="172"/>
    </row>
    <row r="234" spans="1:1" s="173" customFormat="1" ht="12" hidden="1" customHeight="1">
      <c r="A234" s="172"/>
    </row>
    <row r="235" spans="1:1" s="173" customFormat="1" ht="12" hidden="1" customHeight="1">
      <c r="A235" s="172"/>
    </row>
    <row r="236" spans="1:1" s="173" customFormat="1" ht="12" hidden="1" customHeight="1">
      <c r="A236" s="172"/>
    </row>
    <row r="237" spans="1:1" s="173" customFormat="1" ht="12" hidden="1" customHeight="1">
      <c r="A237" s="172"/>
    </row>
    <row r="238" spans="1:1" s="173" customFormat="1" ht="12" hidden="1" customHeight="1">
      <c r="A238" s="172"/>
    </row>
    <row r="239" spans="1:1" s="173" customFormat="1" ht="12" hidden="1" customHeight="1">
      <c r="A239" s="172"/>
    </row>
    <row r="240" spans="1:1" s="173" customFormat="1" ht="12" hidden="1" customHeight="1">
      <c r="A240" s="172"/>
    </row>
    <row r="241" spans="1:1" s="173" customFormat="1" ht="12" hidden="1" customHeight="1">
      <c r="A241" s="172"/>
    </row>
    <row r="242" spans="1:1" s="173" customFormat="1" ht="12" hidden="1" customHeight="1">
      <c r="A242" s="172"/>
    </row>
    <row r="243" spans="1:1" s="173" customFormat="1" ht="12" hidden="1" customHeight="1">
      <c r="A243" s="172"/>
    </row>
    <row r="244" spans="1:1" s="173" customFormat="1" ht="12" hidden="1" customHeight="1">
      <c r="A244" s="172"/>
    </row>
    <row r="245" spans="1:1" s="173" customFormat="1" ht="12" hidden="1" customHeight="1">
      <c r="A245" s="172"/>
    </row>
    <row r="246" spans="1:1" s="173" customFormat="1" ht="12" hidden="1" customHeight="1">
      <c r="A246" s="172"/>
    </row>
    <row r="247" spans="1:1" s="173" customFormat="1" ht="12" hidden="1" customHeight="1">
      <c r="A247" s="172"/>
    </row>
    <row r="248" spans="1:1" s="173" customFormat="1" ht="12" hidden="1" customHeight="1">
      <c r="A248" s="172"/>
    </row>
    <row r="249" spans="1:1" s="173" customFormat="1" ht="12" hidden="1" customHeight="1">
      <c r="A249" s="172"/>
    </row>
    <row r="250" spans="1:1" s="173" customFormat="1" ht="12" hidden="1" customHeight="1">
      <c r="A250" s="172"/>
    </row>
    <row r="251" spans="1:1" s="173" customFormat="1" ht="12" hidden="1" customHeight="1">
      <c r="A251" s="172"/>
    </row>
    <row r="252" spans="1:1" s="173" customFormat="1" ht="12" hidden="1" customHeight="1">
      <c r="A252" s="172"/>
    </row>
    <row r="253" spans="1:1" s="173" customFormat="1" ht="12" hidden="1" customHeight="1">
      <c r="A253" s="172"/>
    </row>
    <row r="254" spans="1:1" s="173" customFormat="1" ht="12" hidden="1" customHeight="1">
      <c r="A254" s="172"/>
    </row>
    <row r="255" spans="1:1" s="173" customFormat="1" ht="12" hidden="1" customHeight="1">
      <c r="A255" s="172"/>
    </row>
    <row r="256" spans="1:1" s="173" customFormat="1" ht="12" hidden="1" customHeight="1">
      <c r="A256" s="172"/>
    </row>
    <row r="257" spans="1:1" s="173" customFormat="1" ht="12" hidden="1" customHeight="1">
      <c r="A257" s="172"/>
    </row>
    <row r="258" spans="1:1" s="173" customFormat="1" ht="12" hidden="1" customHeight="1">
      <c r="A258" s="172"/>
    </row>
    <row r="259" spans="1:1" s="173" customFormat="1" ht="12" hidden="1" customHeight="1">
      <c r="A259" s="172"/>
    </row>
    <row r="260" spans="1:1" s="173" customFormat="1" ht="12" hidden="1" customHeight="1">
      <c r="A260" s="172"/>
    </row>
    <row r="261" spans="1:1" s="173" customFormat="1" ht="12" hidden="1" customHeight="1">
      <c r="A261" s="172"/>
    </row>
    <row r="262" spans="1:1" s="173" customFormat="1" ht="12" hidden="1" customHeight="1">
      <c r="A262" s="172"/>
    </row>
    <row r="263" spans="1:1" s="173" customFormat="1" ht="12" hidden="1" customHeight="1">
      <c r="A263" s="172"/>
    </row>
    <row r="264" spans="1:1" s="173" customFormat="1" ht="12" hidden="1" customHeight="1">
      <c r="A264" s="172"/>
    </row>
    <row r="265" spans="1:1" s="173" customFormat="1" ht="12" hidden="1" customHeight="1">
      <c r="A265" s="172"/>
    </row>
    <row r="266" spans="1:1" s="173" customFormat="1" ht="12" hidden="1" customHeight="1">
      <c r="A266" s="172"/>
    </row>
    <row r="267" spans="1:1" s="173" customFormat="1" ht="12" hidden="1" customHeight="1">
      <c r="A267" s="172"/>
    </row>
    <row r="268" spans="1:1" s="173" customFormat="1" ht="12" hidden="1" customHeight="1">
      <c r="A268" s="172"/>
    </row>
    <row r="269" spans="1:1" s="173" customFormat="1" ht="12" hidden="1" customHeight="1">
      <c r="A269" s="172"/>
    </row>
    <row r="270" spans="1:1" s="173" customFormat="1" ht="12" hidden="1" customHeight="1">
      <c r="A270" s="172"/>
    </row>
    <row r="271" spans="1:1" s="173" customFormat="1" ht="12" hidden="1" customHeight="1">
      <c r="A271" s="172"/>
    </row>
    <row r="272" spans="1:1" s="173" customFormat="1" ht="12" hidden="1" customHeight="1">
      <c r="A272" s="172"/>
    </row>
    <row r="273" spans="1:1" s="173" customFormat="1" ht="12" hidden="1" customHeight="1">
      <c r="A273" s="172"/>
    </row>
    <row r="274" spans="1:1" s="173" customFormat="1" ht="12" hidden="1" customHeight="1">
      <c r="A274" s="172"/>
    </row>
    <row r="275" spans="1:1" s="173" customFormat="1" ht="12" hidden="1" customHeight="1">
      <c r="A275" s="172"/>
    </row>
    <row r="276" spans="1:1" s="173" customFormat="1" ht="12" hidden="1" customHeight="1">
      <c r="A276" s="172"/>
    </row>
    <row r="277" spans="1:1" s="173" customFormat="1" ht="12" hidden="1" customHeight="1">
      <c r="A277" s="172"/>
    </row>
    <row r="278" spans="1:1" s="173" customFormat="1" ht="12" hidden="1" customHeight="1">
      <c r="A278" s="172"/>
    </row>
    <row r="279" spans="1:1" s="173" customFormat="1" ht="12" hidden="1" customHeight="1">
      <c r="A279" s="172"/>
    </row>
    <row r="280" spans="1:1" s="173" customFormat="1" ht="12" hidden="1" customHeight="1">
      <c r="A280" s="172"/>
    </row>
    <row r="281" spans="1:1" s="173" customFormat="1" ht="12" hidden="1" customHeight="1">
      <c r="A281" s="172"/>
    </row>
    <row r="282" spans="1:1" s="173" customFormat="1" ht="12" hidden="1" customHeight="1">
      <c r="A282" s="172"/>
    </row>
    <row r="283" spans="1:1" s="173" customFormat="1" ht="12" hidden="1" customHeight="1">
      <c r="A283" s="172"/>
    </row>
    <row r="284" spans="1:1" s="173" customFormat="1" ht="12" hidden="1" customHeight="1">
      <c r="A284" s="172"/>
    </row>
    <row r="285" spans="1:1" s="173" customFormat="1" ht="12" hidden="1" customHeight="1">
      <c r="A285" s="172"/>
    </row>
    <row r="286" spans="1:1" s="173" customFormat="1" ht="12" hidden="1" customHeight="1">
      <c r="A286" s="172"/>
    </row>
    <row r="287" spans="1:1" s="173" customFormat="1" ht="12" hidden="1" customHeight="1">
      <c r="A287" s="172"/>
    </row>
    <row r="288" spans="1:1" s="173" customFormat="1" ht="12" hidden="1" customHeight="1">
      <c r="A288" s="172"/>
    </row>
    <row r="289" spans="1:1" s="173" customFormat="1" ht="12" hidden="1" customHeight="1">
      <c r="A289" s="172"/>
    </row>
    <row r="290" spans="1:1" s="173" customFormat="1" ht="12" hidden="1" customHeight="1">
      <c r="A290" s="172"/>
    </row>
    <row r="291" spans="1:1" s="173" customFormat="1" ht="12" hidden="1" customHeight="1">
      <c r="A291" s="172"/>
    </row>
    <row r="292" spans="1:1" s="173" customFormat="1" ht="12" hidden="1" customHeight="1">
      <c r="A292" s="172"/>
    </row>
    <row r="293" spans="1:1" s="173" customFormat="1" ht="12" hidden="1" customHeight="1">
      <c r="A293" s="172"/>
    </row>
    <row r="294" spans="1:1" s="173" customFormat="1" ht="12" hidden="1" customHeight="1">
      <c r="A294" s="172"/>
    </row>
    <row r="295" spans="1:1" s="173" customFormat="1" ht="12" hidden="1" customHeight="1">
      <c r="A295" s="172"/>
    </row>
    <row r="296" spans="1:1" s="173" customFormat="1" ht="12" hidden="1" customHeight="1">
      <c r="A296" s="172"/>
    </row>
    <row r="297" spans="1:1" s="173" customFormat="1" ht="12" hidden="1" customHeight="1">
      <c r="A297" s="172"/>
    </row>
    <row r="298" spans="1:1" s="173" customFormat="1" ht="12" hidden="1" customHeight="1">
      <c r="A298" s="172"/>
    </row>
    <row r="299" spans="1:1" s="173" customFormat="1" ht="12" hidden="1" customHeight="1">
      <c r="A299" s="172"/>
    </row>
    <row r="300" spans="1:1" s="173" customFormat="1" ht="12" hidden="1" customHeight="1">
      <c r="A300" s="172"/>
    </row>
    <row r="301" spans="1:1" s="173" customFormat="1" ht="12" hidden="1" customHeight="1">
      <c r="A301" s="172"/>
    </row>
    <row r="302" spans="1:1" s="173" customFormat="1" ht="12" hidden="1" customHeight="1">
      <c r="A302" s="172"/>
    </row>
    <row r="303" spans="1:1" s="173" customFormat="1" ht="12" hidden="1" customHeight="1">
      <c r="A303" s="172"/>
    </row>
    <row r="304" spans="1:1" s="173" customFormat="1" ht="12" hidden="1" customHeight="1">
      <c r="A304" s="172"/>
    </row>
    <row r="305" spans="1:1" s="173" customFormat="1" ht="12" hidden="1" customHeight="1">
      <c r="A305" s="172"/>
    </row>
    <row r="306" spans="1:1" s="173" customFormat="1" ht="12" hidden="1" customHeight="1">
      <c r="A306" s="172"/>
    </row>
    <row r="307" spans="1:1" s="173" customFormat="1" ht="12" hidden="1" customHeight="1">
      <c r="A307" s="172"/>
    </row>
    <row r="308" spans="1:1" s="173" customFormat="1" ht="12" hidden="1" customHeight="1">
      <c r="A308" s="172"/>
    </row>
    <row r="309" spans="1:1" s="173" customFormat="1" ht="12" hidden="1" customHeight="1">
      <c r="A309" s="172"/>
    </row>
    <row r="310" spans="1:1" s="173" customFormat="1" ht="12" hidden="1" customHeight="1">
      <c r="A310" s="172"/>
    </row>
    <row r="311" spans="1:1" s="173" customFormat="1" ht="12" hidden="1" customHeight="1">
      <c r="A311" s="172"/>
    </row>
    <row r="312" spans="1:1" s="173" customFormat="1" ht="12" hidden="1" customHeight="1">
      <c r="A312" s="172"/>
    </row>
    <row r="313" spans="1:1" s="173" customFormat="1" ht="12" hidden="1" customHeight="1">
      <c r="A313" s="172"/>
    </row>
    <row r="314" spans="1:1" s="173" customFormat="1" ht="12" hidden="1" customHeight="1">
      <c r="A314" s="172"/>
    </row>
    <row r="315" spans="1:1" s="173" customFormat="1" ht="12" hidden="1" customHeight="1">
      <c r="A315" s="172"/>
    </row>
    <row r="316" spans="1:1" s="173" customFormat="1" ht="12" hidden="1" customHeight="1">
      <c r="A316" s="172"/>
    </row>
    <row r="317" spans="1:1" s="173" customFormat="1" ht="12" hidden="1" customHeight="1">
      <c r="A317" s="172"/>
    </row>
    <row r="318" spans="1:1" s="173" customFormat="1" ht="12" hidden="1" customHeight="1">
      <c r="A318" s="172"/>
    </row>
    <row r="319" spans="1:1" s="173" customFormat="1" ht="12" hidden="1" customHeight="1">
      <c r="A319" s="172"/>
    </row>
    <row r="320" spans="1:1" s="173" customFormat="1" ht="12" hidden="1" customHeight="1">
      <c r="A320" s="172"/>
    </row>
    <row r="321" spans="1:1" s="173" customFormat="1" ht="12" hidden="1" customHeight="1">
      <c r="A321" s="172"/>
    </row>
    <row r="322" spans="1:1" s="173" customFormat="1" ht="12" hidden="1" customHeight="1">
      <c r="A322" s="172"/>
    </row>
    <row r="323" spans="1:1" s="173" customFormat="1" ht="12" hidden="1" customHeight="1">
      <c r="A323" s="172"/>
    </row>
    <row r="324" spans="1:1" s="173" customFormat="1" ht="12" hidden="1" customHeight="1">
      <c r="A324" s="172"/>
    </row>
    <row r="325" spans="1:1" s="173" customFormat="1" ht="12" hidden="1" customHeight="1">
      <c r="A325" s="172"/>
    </row>
    <row r="326" spans="1:1" s="173" customFormat="1" ht="12" hidden="1" customHeight="1">
      <c r="A326" s="172"/>
    </row>
    <row r="327" spans="1:1" s="173" customFormat="1" ht="12" hidden="1" customHeight="1">
      <c r="A327" s="172"/>
    </row>
    <row r="328" spans="1:1" s="173" customFormat="1" ht="12" hidden="1" customHeight="1">
      <c r="A328" s="172"/>
    </row>
    <row r="329" spans="1:1" s="173" customFormat="1" ht="12" hidden="1" customHeight="1">
      <c r="A329" s="172"/>
    </row>
    <row r="330" spans="1:1" s="173" customFormat="1" ht="12" hidden="1" customHeight="1">
      <c r="A330" s="172"/>
    </row>
    <row r="331" spans="1:1" s="173" customFormat="1" ht="12" hidden="1" customHeight="1">
      <c r="A331" s="172"/>
    </row>
    <row r="332" spans="1:1" s="173" customFormat="1" ht="12" hidden="1" customHeight="1">
      <c r="A332" s="172"/>
    </row>
    <row r="333" spans="1:1" s="173" customFormat="1" ht="12" hidden="1" customHeight="1">
      <c r="A333" s="172"/>
    </row>
    <row r="334" spans="1:1" s="173" customFormat="1" ht="12" hidden="1" customHeight="1">
      <c r="A334" s="172"/>
    </row>
    <row r="335" spans="1:1" s="173" customFormat="1" ht="12" hidden="1" customHeight="1">
      <c r="A335" s="172"/>
    </row>
    <row r="336" spans="1:1" s="173" customFormat="1" ht="12" hidden="1" customHeight="1">
      <c r="A336" s="172"/>
    </row>
    <row r="337" spans="1:1" s="173" customFormat="1" ht="12" hidden="1" customHeight="1">
      <c r="A337" s="172"/>
    </row>
    <row r="338" spans="1:1" s="173" customFormat="1" ht="12" hidden="1" customHeight="1">
      <c r="A338" s="172"/>
    </row>
    <row r="339" spans="1:1" s="173" customFormat="1" ht="12" hidden="1" customHeight="1">
      <c r="A339" s="172"/>
    </row>
    <row r="340" spans="1:1" s="173" customFormat="1" ht="12" hidden="1" customHeight="1">
      <c r="A340" s="172"/>
    </row>
    <row r="341" spans="1:1" s="173" customFormat="1" ht="12" hidden="1" customHeight="1">
      <c r="A341" s="172"/>
    </row>
    <row r="342" spans="1:1" s="173" customFormat="1" ht="12" hidden="1" customHeight="1">
      <c r="A342" s="172"/>
    </row>
    <row r="343" spans="1:1" s="173" customFormat="1" ht="12" hidden="1" customHeight="1">
      <c r="A343" s="172"/>
    </row>
    <row r="344" spans="1:1" s="173" customFormat="1" ht="12" hidden="1" customHeight="1">
      <c r="A344" s="172"/>
    </row>
    <row r="345" spans="1:1" s="173" customFormat="1" ht="12" hidden="1" customHeight="1">
      <c r="A345" s="172"/>
    </row>
    <row r="346" spans="1:1" s="173" customFormat="1" ht="12" hidden="1" customHeight="1">
      <c r="A346" s="172"/>
    </row>
    <row r="347" spans="1:1" s="173" customFormat="1" ht="12" hidden="1" customHeight="1">
      <c r="A347" s="172"/>
    </row>
    <row r="348" spans="1:1" s="173" customFormat="1" ht="12" hidden="1" customHeight="1">
      <c r="A348" s="172"/>
    </row>
    <row r="349" spans="1:1" s="173" customFormat="1" ht="12" hidden="1" customHeight="1">
      <c r="A349" s="172"/>
    </row>
    <row r="350" spans="1:1" s="173" customFormat="1" ht="12" hidden="1" customHeight="1">
      <c r="A350" s="172"/>
    </row>
    <row r="351" spans="1:1" s="173" customFormat="1" ht="12" hidden="1" customHeight="1">
      <c r="A351" s="172"/>
    </row>
    <row r="352" spans="1:1" s="173" customFormat="1" ht="12" hidden="1" customHeight="1">
      <c r="A352" s="172"/>
    </row>
    <row r="353" spans="1:1" s="173" customFormat="1" ht="12" hidden="1" customHeight="1">
      <c r="A353" s="172"/>
    </row>
    <row r="354" spans="1:1" s="173" customFormat="1" ht="12" hidden="1" customHeight="1">
      <c r="A354" s="172"/>
    </row>
    <row r="355" spans="1:1" s="173" customFormat="1" ht="12" hidden="1" customHeight="1">
      <c r="A355" s="172"/>
    </row>
    <row r="356" spans="1:1" s="173" customFormat="1" ht="12" hidden="1" customHeight="1">
      <c r="A356" s="172"/>
    </row>
    <row r="357" spans="1:1" s="173" customFormat="1" ht="12" hidden="1" customHeight="1">
      <c r="A357" s="172"/>
    </row>
    <row r="358" spans="1:1" s="173" customFormat="1" ht="12" hidden="1" customHeight="1">
      <c r="A358" s="172"/>
    </row>
    <row r="359" spans="1:1" s="173" customFormat="1" ht="12" hidden="1" customHeight="1">
      <c r="A359" s="172"/>
    </row>
    <row r="360" spans="1:1" s="173" customFormat="1" ht="12" hidden="1" customHeight="1">
      <c r="A360" s="172"/>
    </row>
    <row r="361" spans="1:1" s="173" customFormat="1" ht="12" hidden="1" customHeight="1">
      <c r="A361" s="172"/>
    </row>
    <row r="362" spans="1:1" s="173" customFormat="1" ht="12" hidden="1" customHeight="1">
      <c r="A362" s="172"/>
    </row>
    <row r="363" spans="1:1" s="173" customFormat="1" ht="12" hidden="1" customHeight="1">
      <c r="A363" s="172"/>
    </row>
    <row r="364" spans="1:1" s="173" customFormat="1" ht="12" hidden="1" customHeight="1">
      <c r="A364" s="172"/>
    </row>
    <row r="365" spans="1:1" s="173" customFormat="1" ht="12" hidden="1" customHeight="1">
      <c r="A365" s="172"/>
    </row>
    <row r="366" spans="1:1" s="173" customFormat="1" ht="12" hidden="1" customHeight="1">
      <c r="A366" s="172"/>
    </row>
    <row r="367" spans="1:1" s="173" customFormat="1" ht="12" hidden="1" customHeight="1">
      <c r="A367" s="172"/>
    </row>
    <row r="368" spans="1:1" s="173" customFormat="1" ht="12" hidden="1" customHeight="1">
      <c r="A368" s="172"/>
    </row>
    <row r="369" spans="1:1" s="173" customFormat="1" ht="12" hidden="1" customHeight="1">
      <c r="A369" s="172"/>
    </row>
    <row r="370" spans="1:1" s="173" customFormat="1" ht="12" hidden="1" customHeight="1">
      <c r="A370" s="172"/>
    </row>
    <row r="371" spans="1:1" s="173" customFormat="1" ht="12" hidden="1" customHeight="1">
      <c r="A371" s="172"/>
    </row>
    <row r="372" spans="1:1" s="173" customFormat="1" ht="12" hidden="1" customHeight="1">
      <c r="A372" s="172"/>
    </row>
    <row r="373" spans="1:1" s="173" customFormat="1" ht="12" hidden="1" customHeight="1">
      <c r="A373" s="172"/>
    </row>
    <row r="374" spans="1:1" s="173" customFormat="1" ht="12" hidden="1" customHeight="1">
      <c r="A374" s="172"/>
    </row>
    <row r="375" spans="1:1" s="173" customFormat="1" ht="12" hidden="1" customHeight="1">
      <c r="A375" s="172"/>
    </row>
    <row r="376" spans="1:1" s="173" customFormat="1" ht="12" hidden="1" customHeight="1">
      <c r="A376" s="172"/>
    </row>
    <row r="377" spans="1:1" s="173" customFormat="1" ht="12" hidden="1" customHeight="1">
      <c r="A377" s="172"/>
    </row>
    <row r="378" spans="1:1" s="173" customFormat="1" ht="12" hidden="1" customHeight="1">
      <c r="A378" s="172"/>
    </row>
    <row r="379" spans="1:1" s="173" customFormat="1" ht="12" hidden="1" customHeight="1">
      <c r="A379" s="172"/>
    </row>
    <row r="380" spans="1:1" s="173" customFormat="1" ht="12" hidden="1" customHeight="1">
      <c r="A380" s="172"/>
    </row>
    <row r="381" spans="1:1" s="173" customFormat="1" ht="12" hidden="1" customHeight="1">
      <c r="A381" s="172"/>
    </row>
    <row r="382" spans="1:1" s="173" customFormat="1" ht="12" hidden="1" customHeight="1">
      <c r="A382" s="172"/>
    </row>
    <row r="383" spans="1:1" s="173" customFormat="1" ht="12" hidden="1" customHeight="1">
      <c r="A383" s="172"/>
    </row>
    <row r="384" spans="1:1" s="173" customFormat="1" ht="12" hidden="1" customHeight="1">
      <c r="A384" s="172"/>
    </row>
    <row r="385" spans="1:1" s="173" customFormat="1" ht="12" hidden="1" customHeight="1">
      <c r="A385" s="172"/>
    </row>
    <row r="386" spans="1:1" s="173" customFormat="1" ht="12" hidden="1" customHeight="1">
      <c r="A386" s="172"/>
    </row>
    <row r="387" spans="1:1" s="173" customFormat="1" ht="12" hidden="1" customHeight="1">
      <c r="A387" s="172"/>
    </row>
    <row r="388" spans="1:1" s="173" customFormat="1" ht="12" hidden="1" customHeight="1">
      <c r="A388" s="172"/>
    </row>
    <row r="389" spans="1:1" s="173" customFormat="1" ht="12" hidden="1" customHeight="1">
      <c r="A389" s="172"/>
    </row>
    <row r="390" spans="1:1" s="173" customFormat="1" ht="12" hidden="1" customHeight="1">
      <c r="A390" s="172"/>
    </row>
    <row r="391" spans="1:1" s="173" customFormat="1" ht="12" hidden="1" customHeight="1">
      <c r="A391" s="172"/>
    </row>
    <row r="392" spans="1:1" s="173" customFormat="1" ht="12" hidden="1" customHeight="1">
      <c r="A392" s="172"/>
    </row>
    <row r="393" spans="1:1" s="173" customFormat="1" ht="12" hidden="1" customHeight="1">
      <c r="A393" s="172"/>
    </row>
    <row r="394" spans="1:1" s="173" customFormat="1" ht="12" hidden="1" customHeight="1">
      <c r="A394" s="172"/>
    </row>
    <row r="395" spans="1:1" s="173" customFormat="1" ht="12" hidden="1" customHeight="1">
      <c r="A395" s="172"/>
    </row>
    <row r="396" spans="1:1" s="173" customFormat="1" ht="12" hidden="1" customHeight="1">
      <c r="A396" s="172"/>
    </row>
    <row r="397" spans="1:1" s="173" customFormat="1" ht="12" hidden="1" customHeight="1">
      <c r="A397" s="172"/>
    </row>
    <row r="398" spans="1:1" s="173" customFormat="1" ht="12" hidden="1" customHeight="1">
      <c r="A398" s="172"/>
    </row>
    <row r="399" spans="1:1" s="173" customFormat="1" ht="12" hidden="1" customHeight="1">
      <c r="A399" s="172"/>
    </row>
    <row r="400" spans="1:1" s="173" customFormat="1" ht="12" hidden="1" customHeight="1">
      <c r="A400" s="172"/>
    </row>
    <row r="401" spans="1:1" s="173" customFormat="1" ht="12" hidden="1" customHeight="1">
      <c r="A401" s="172"/>
    </row>
    <row r="402" spans="1:1" s="173" customFormat="1" ht="12" hidden="1" customHeight="1">
      <c r="A402" s="172"/>
    </row>
    <row r="403" spans="1:1" s="173" customFormat="1" ht="12" hidden="1" customHeight="1">
      <c r="A403" s="172"/>
    </row>
    <row r="404" spans="1:1" s="173" customFormat="1" ht="12" hidden="1" customHeight="1">
      <c r="A404" s="172"/>
    </row>
    <row r="405" spans="1:1" s="173" customFormat="1" ht="12" hidden="1" customHeight="1">
      <c r="A405" s="172"/>
    </row>
    <row r="406" spans="1:1" s="173" customFormat="1" ht="12" hidden="1" customHeight="1">
      <c r="A406" s="172"/>
    </row>
    <row r="407" spans="1:1" s="173" customFormat="1" ht="12" hidden="1" customHeight="1">
      <c r="A407" s="172"/>
    </row>
    <row r="408" spans="1:1" s="173" customFormat="1" ht="12" hidden="1" customHeight="1">
      <c r="A408" s="172"/>
    </row>
    <row r="409" spans="1:1" s="173" customFormat="1" ht="12" hidden="1" customHeight="1">
      <c r="A409" s="172"/>
    </row>
    <row r="410" spans="1:1" s="173" customFormat="1" ht="12" hidden="1" customHeight="1">
      <c r="A410" s="172"/>
    </row>
    <row r="411" spans="1:1" s="173" customFormat="1" ht="12" hidden="1" customHeight="1">
      <c r="A411" s="172"/>
    </row>
    <row r="412" spans="1:1" s="173" customFormat="1" ht="12" hidden="1" customHeight="1">
      <c r="A412" s="172"/>
    </row>
    <row r="413" spans="1:1" s="173" customFormat="1" ht="12" hidden="1" customHeight="1">
      <c r="A413" s="172"/>
    </row>
    <row r="414" spans="1:1" s="173" customFormat="1" ht="12" hidden="1" customHeight="1">
      <c r="A414" s="172"/>
    </row>
    <row r="415" spans="1:1" s="173" customFormat="1" ht="12" hidden="1" customHeight="1">
      <c r="A415" s="172"/>
    </row>
    <row r="416" spans="1:1" s="173" customFormat="1" ht="12" hidden="1" customHeight="1">
      <c r="A416" s="172"/>
    </row>
    <row r="417" spans="1:1" s="173" customFormat="1" ht="12" hidden="1" customHeight="1">
      <c r="A417" s="172"/>
    </row>
    <row r="418" spans="1:1" s="173" customFormat="1" ht="12" hidden="1" customHeight="1">
      <c r="A418" s="172"/>
    </row>
    <row r="419" spans="1:1" s="173" customFormat="1" ht="12" hidden="1" customHeight="1">
      <c r="A419" s="172"/>
    </row>
    <row r="420" spans="1:1" s="173" customFormat="1" ht="12" hidden="1" customHeight="1">
      <c r="A420" s="172"/>
    </row>
    <row r="421" spans="1:1" s="173" customFormat="1" ht="12" hidden="1" customHeight="1">
      <c r="A421" s="172"/>
    </row>
    <row r="422" spans="1:1" s="173" customFormat="1" ht="12" hidden="1" customHeight="1">
      <c r="A422" s="172"/>
    </row>
    <row r="423" spans="1:1" s="173" customFormat="1" ht="12" hidden="1" customHeight="1">
      <c r="A423" s="172"/>
    </row>
    <row r="424" spans="1:1" s="173" customFormat="1" ht="12" hidden="1" customHeight="1">
      <c r="A424" s="172"/>
    </row>
    <row r="425" spans="1:1" s="173" customFormat="1" ht="12" hidden="1" customHeight="1">
      <c r="A425" s="172"/>
    </row>
    <row r="426" spans="1:1" s="173" customFormat="1" ht="12" hidden="1" customHeight="1">
      <c r="A426" s="172"/>
    </row>
    <row r="427" spans="1:1" s="173" customFormat="1" ht="12" hidden="1" customHeight="1">
      <c r="A427" s="172"/>
    </row>
    <row r="428" spans="1:1" s="173" customFormat="1" ht="12" hidden="1" customHeight="1">
      <c r="A428" s="172"/>
    </row>
    <row r="429" spans="1:1" s="173" customFormat="1" ht="12" hidden="1" customHeight="1">
      <c r="A429" s="172"/>
    </row>
    <row r="430" spans="1:1" s="173" customFormat="1" ht="12" hidden="1" customHeight="1">
      <c r="A430" s="172"/>
    </row>
    <row r="431" spans="1:1" s="173" customFormat="1" ht="12" hidden="1" customHeight="1">
      <c r="A431" s="172"/>
    </row>
    <row r="432" spans="1:1" s="173" customFormat="1" ht="12" hidden="1" customHeight="1">
      <c r="A432" s="172"/>
    </row>
    <row r="433" spans="1:1" s="173" customFormat="1" ht="12" hidden="1" customHeight="1">
      <c r="A433" s="172"/>
    </row>
    <row r="434" spans="1:1" s="173" customFormat="1" ht="12" hidden="1" customHeight="1">
      <c r="A434" s="172"/>
    </row>
    <row r="435" spans="1:1" s="173" customFormat="1" ht="12" hidden="1" customHeight="1">
      <c r="A435" s="172"/>
    </row>
    <row r="436" spans="1:1" s="173" customFormat="1" ht="12" hidden="1" customHeight="1">
      <c r="A436" s="172"/>
    </row>
    <row r="437" spans="1:1" s="173" customFormat="1" ht="12" hidden="1" customHeight="1">
      <c r="A437" s="172"/>
    </row>
    <row r="438" spans="1:1" s="173" customFormat="1" ht="12" hidden="1" customHeight="1">
      <c r="A438" s="172"/>
    </row>
    <row r="439" spans="1:1" s="173" customFormat="1" ht="12" hidden="1" customHeight="1">
      <c r="A439" s="172"/>
    </row>
    <row r="440" spans="1:1" s="173" customFormat="1" ht="12" hidden="1" customHeight="1">
      <c r="A440" s="172"/>
    </row>
    <row r="441" spans="1:1" s="173" customFormat="1" ht="12" hidden="1" customHeight="1">
      <c r="A441" s="172"/>
    </row>
    <row r="442" spans="1:1" s="173" customFormat="1" ht="12" hidden="1" customHeight="1">
      <c r="A442" s="172"/>
    </row>
    <row r="443" spans="1:1" s="173" customFormat="1" ht="12" hidden="1" customHeight="1">
      <c r="A443" s="172"/>
    </row>
    <row r="444" spans="1:1" s="173" customFormat="1" ht="12" hidden="1" customHeight="1">
      <c r="A444" s="172"/>
    </row>
    <row r="445" spans="1:1" s="173" customFormat="1" ht="12" hidden="1" customHeight="1">
      <c r="A445" s="172"/>
    </row>
    <row r="446" spans="1:1" s="173" customFormat="1" ht="12" hidden="1" customHeight="1">
      <c r="A446" s="172"/>
    </row>
    <row r="447" spans="1:1" s="173" customFormat="1" ht="12" hidden="1" customHeight="1">
      <c r="A447" s="172"/>
    </row>
    <row r="448" spans="1:1" s="173" customFormat="1" ht="12" hidden="1" customHeight="1">
      <c r="A448" s="172"/>
    </row>
    <row r="449" spans="1:1" s="173" customFormat="1" ht="12" hidden="1" customHeight="1">
      <c r="A449" s="172"/>
    </row>
    <row r="450" spans="1:1" s="173" customFormat="1" ht="12" hidden="1" customHeight="1">
      <c r="A450" s="172"/>
    </row>
    <row r="451" spans="1:1" s="173" customFormat="1" ht="12" hidden="1" customHeight="1">
      <c r="A451" s="172"/>
    </row>
    <row r="452" spans="1:1" s="173" customFormat="1" ht="12" hidden="1" customHeight="1">
      <c r="A452" s="172"/>
    </row>
    <row r="453" spans="1:1" s="173" customFormat="1" ht="12" hidden="1" customHeight="1">
      <c r="A453" s="172"/>
    </row>
    <row r="454" spans="1:1" s="173" customFormat="1" ht="12" hidden="1" customHeight="1">
      <c r="A454" s="172"/>
    </row>
    <row r="455" spans="1:1" s="173" customFormat="1" ht="12" hidden="1" customHeight="1">
      <c r="A455" s="172"/>
    </row>
    <row r="456" spans="1:1" s="173" customFormat="1" ht="12" hidden="1" customHeight="1">
      <c r="A456" s="172"/>
    </row>
    <row r="457" spans="1:1" s="173" customFormat="1" ht="12" hidden="1" customHeight="1">
      <c r="A457" s="172"/>
    </row>
    <row r="458" spans="1:1" s="173" customFormat="1" ht="12" hidden="1" customHeight="1">
      <c r="A458" s="172"/>
    </row>
    <row r="459" spans="1:1" s="173" customFormat="1" ht="12" hidden="1" customHeight="1">
      <c r="A459" s="172"/>
    </row>
    <row r="460" spans="1:1" s="173" customFormat="1" ht="12" hidden="1" customHeight="1">
      <c r="A460" s="172"/>
    </row>
    <row r="461" spans="1:1" s="173" customFormat="1" ht="12" hidden="1" customHeight="1">
      <c r="A461" s="172"/>
    </row>
    <row r="462" spans="1:1" s="173" customFormat="1" ht="12" hidden="1" customHeight="1">
      <c r="A462" s="172"/>
    </row>
    <row r="463" spans="1:1" s="173" customFormat="1" ht="12" hidden="1" customHeight="1">
      <c r="A463" s="172"/>
    </row>
    <row r="464" spans="1:1" s="173" customFormat="1" ht="12" hidden="1" customHeight="1">
      <c r="A464" s="172"/>
    </row>
    <row r="465" spans="1:1" s="173" customFormat="1" ht="12" hidden="1" customHeight="1">
      <c r="A465" s="172"/>
    </row>
    <row r="466" spans="1:1" s="173" customFormat="1" ht="12" hidden="1" customHeight="1">
      <c r="A466" s="172"/>
    </row>
    <row r="467" spans="1:1" s="173" customFormat="1" ht="12" hidden="1" customHeight="1">
      <c r="A467" s="172"/>
    </row>
    <row r="468" spans="1:1" s="173" customFormat="1" ht="12" hidden="1" customHeight="1">
      <c r="A468" s="172"/>
    </row>
    <row r="469" spans="1:1" s="173" customFormat="1" ht="12" hidden="1" customHeight="1">
      <c r="A469" s="172"/>
    </row>
    <row r="470" spans="1:1" s="173" customFormat="1" ht="12" hidden="1" customHeight="1">
      <c r="A470" s="172"/>
    </row>
    <row r="471" spans="1:1" s="173" customFormat="1" ht="12" hidden="1" customHeight="1">
      <c r="A471" s="172"/>
    </row>
    <row r="472" spans="1:1" s="173" customFormat="1" ht="12" hidden="1" customHeight="1">
      <c r="A472" s="172"/>
    </row>
    <row r="473" spans="1:1" s="173" customFormat="1" ht="12" hidden="1" customHeight="1">
      <c r="A473" s="172"/>
    </row>
    <row r="474" spans="1:1" s="173" customFormat="1" ht="12" hidden="1" customHeight="1">
      <c r="A474" s="172"/>
    </row>
    <row r="475" spans="1:1" s="173" customFormat="1" ht="12" hidden="1" customHeight="1">
      <c r="A475" s="172"/>
    </row>
    <row r="476" spans="1:1" s="173" customFormat="1" ht="12" hidden="1" customHeight="1">
      <c r="A476" s="172"/>
    </row>
    <row r="477" spans="1:1" s="173" customFormat="1" ht="12" hidden="1" customHeight="1">
      <c r="A477" s="172"/>
    </row>
    <row r="478" spans="1:1" s="173" customFormat="1" ht="12" hidden="1" customHeight="1">
      <c r="A478" s="172"/>
    </row>
    <row r="479" spans="1:1" s="173" customFormat="1" ht="12" hidden="1" customHeight="1">
      <c r="A479" s="172"/>
    </row>
    <row r="480" spans="1:1" s="173" customFormat="1" ht="12" hidden="1" customHeight="1">
      <c r="A480" s="172"/>
    </row>
    <row r="481" spans="1:1" s="173" customFormat="1" ht="12" hidden="1" customHeight="1">
      <c r="A481" s="172"/>
    </row>
    <row r="482" spans="1:1" s="173" customFormat="1" ht="12" hidden="1" customHeight="1">
      <c r="A482" s="172"/>
    </row>
    <row r="483" spans="1:1" s="173" customFormat="1" ht="12" hidden="1" customHeight="1">
      <c r="A483" s="172"/>
    </row>
    <row r="484" spans="1:1" s="173" customFormat="1" ht="12" hidden="1" customHeight="1">
      <c r="A484" s="172"/>
    </row>
    <row r="485" spans="1:1" s="173" customFormat="1" ht="12" hidden="1" customHeight="1">
      <c r="A485" s="172"/>
    </row>
    <row r="486" spans="1:1" s="173" customFormat="1" ht="12" hidden="1" customHeight="1">
      <c r="A486" s="172"/>
    </row>
    <row r="487" spans="1:1" s="173" customFormat="1" ht="12" hidden="1" customHeight="1">
      <c r="A487" s="172"/>
    </row>
    <row r="488" spans="1:1" s="173" customFormat="1" ht="12" hidden="1" customHeight="1">
      <c r="A488" s="172"/>
    </row>
    <row r="489" spans="1:1" s="173" customFormat="1" ht="12" hidden="1" customHeight="1">
      <c r="A489" s="172"/>
    </row>
    <row r="490" spans="1:1" s="173" customFormat="1" ht="12" hidden="1" customHeight="1">
      <c r="A490" s="172"/>
    </row>
    <row r="491" spans="1:1" s="173" customFormat="1" ht="12" hidden="1" customHeight="1">
      <c r="A491" s="172"/>
    </row>
    <row r="492" spans="1:1" s="173" customFormat="1" ht="12" hidden="1" customHeight="1">
      <c r="A492" s="172"/>
    </row>
    <row r="493" spans="1:1" s="173" customFormat="1" ht="12" hidden="1" customHeight="1">
      <c r="A493" s="172"/>
    </row>
    <row r="494" spans="1:1" s="173" customFormat="1" ht="12" hidden="1" customHeight="1">
      <c r="A494" s="172"/>
    </row>
    <row r="495" spans="1:1" s="173" customFormat="1" ht="12" hidden="1" customHeight="1">
      <c r="A495" s="172"/>
    </row>
    <row r="496" spans="1:1" s="173" customFormat="1" ht="12" hidden="1" customHeight="1">
      <c r="A496" s="172"/>
    </row>
    <row r="497" spans="1:1" s="173" customFormat="1" ht="12" hidden="1" customHeight="1">
      <c r="A497" s="172"/>
    </row>
    <row r="498" spans="1:1" s="173" customFormat="1" ht="12" hidden="1" customHeight="1">
      <c r="A498" s="172"/>
    </row>
    <row r="499" spans="1:1" s="173" customFormat="1" ht="12" hidden="1" customHeight="1">
      <c r="A499" s="172"/>
    </row>
    <row r="500" spans="1:1" s="173" customFormat="1" ht="12" hidden="1" customHeight="1">
      <c r="A500" s="172"/>
    </row>
    <row r="501" spans="1:1" s="173" customFormat="1" ht="12" hidden="1" customHeight="1">
      <c r="A501" s="172"/>
    </row>
    <row r="502" spans="1:1" s="173" customFormat="1" ht="12" hidden="1" customHeight="1">
      <c r="A502" s="172"/>
    </row>
    <row r="503" spans="1:1" s="173" customFormat="1" ht="12" hidden="1" customHeight="1">
      <c r="A503" s="172"/>
    </row>
    <row r="504" spans="1:1" s="173" customFormat="1" ht="12" hidden="1" customHeight="1">
      <c r="A504" s="172"/>
    </row>
    <row r="505" spans="1:1" s="173" customFormat="1" ht="12" hidden="1" customHeight="1">
      <c r="A505" s="172"/>
    </row>
    <row r="506" spans="1:1" s="173" customFormat="1" ht="12" hidden="1" customHeight="1">
      <c r="A506" s="172"/>
    </row>
    <row r="507" spans="1:1" s="173" customFormat="1" ht="12" hidden="1" customHeight="1">
      <c r="A507" s="172"/>
    </row>
    <row r="508" spans="1:1" s="173" customFormat="1" ht="12" hidden="1" customHeight="1">
      <c r="A508" s="172"/>
    </row>
    <row r="509" spans="1:1" s="173" customFormat="1" ht="12" hidden="1" customHeight="1">
      <c r="A509" s="172"/>
    </row>
    <row r="510" spans="1:1" s="173" customFormat="1" ht="12" hidden="1" customHeight="1">
      <c r="A510" s="172"/>
    </row>
    <row r="511" spans="1:1" s="173" customFormat="1" ht="12" hidden="1" customHeight="1">
      <c r="A511" s="172"/>
    </row>
    <row r="512" spans="1:1" s="173" customFormat="1" ht="12" hidden="1" customHeight="1">
      <c r="A512" s="172"/>
    </row>
    <row r="513" spans="1:1" s="173" customFormat="1" ht="12" hidden="1" customHeight="1">
      <c r="A513" s="172"/>
    </row>
    <row r="514" spans="1:1" s="173" customFormat="1" ht="12" hidden="1" customHeight="1">
      <c r="A514" s="172"/>
    </row>
    <row r="515" spans="1:1" s="173" customFormat="1" ht="12" hidden="1" customHeight="1">
      <c r="A515" s="172"/>
    </row>
    <row r="516" spans="1:1" s="173" customFormat="1" ht="12" hidden="1" customHeight="1">
      <c r="A516" s="172"/>
    </row>
    <row r="517" spans="1:1" s="173" customFormat="1" ht="12" hidden="1" customHeight="1">
      <c r="A517" s="172"/>
    </row>
    <row r="518" spans="1:1" s="173" customFormat="1" ht="12" hidden="1" customHeight="1">
      <c r="A518" s="172"/>
    </row>
    <row r="519" spans="1:1" s="173" customFormat="1" ht="12" hidden="1" customHeight="1">
      <c r="A519" s="172"/>
    </row>
    <row r="520" spans="1:1" s="173" customFormat="1" ht="12" hidden="1" customHeight="1">
      <c r="A520" s="172"/>
    </row>
    <row r="521" spans="1:1" s="173" customFormat="1" ht="12" hidden="1" customHeight="1">
      <c r="A521" s="172"/>
    </row>
    <row r="522" spans="1:1" s="173" customFormat="1" ht="12" hidden="1" customHeight="1">
      <c r="A522" s="172"/>
    </row>
    <row r="523" spans="1:1" s="173" customFormat="1" ht="12" hidden="1" customHeight="1">
      <c r="A523" s="172"/>
    </row>
    <row r="524" spans="1:1" s="173" customFormat="1" ht="12" hidden="1" customHeight="1">
      <c r="A524" s="172"/>
    </row>
    <row r="525" spans="1:1" s="173" customFormat="1" ht="12" hidden="1" customHeight="1">
      <c r="A525" s="172"/>
    </row>
    <row r="526" spans="1:1" s="173" customFormat="1" ht="12" hidden="1" customHeight="1">
      <c r="A526" s="172"/>
    </row>
    <row r="527" spans="1:1" s="173" customFormat="1" ht="12" hidden="1" customHeight="1">
      <c r="A527" s="172"/>
    </row>
    <row r="528" spans="1:1" s="173" customFormat="1" ht="12" hidden="1" customHeight="1">
      <c r="A528" s="172"/>
    </row>
    <row r="529" spans="1:1" s="173" customFormat="1" ht="12" hidden="1" customHeight="1">
      <c r="A529" s="172"/>
    </row>
    <row r="530" spans="1:1" s="173" customFormat="1" ht="12" hidden="1" customHeight="1">
      <c r="A530" s="172"/>
    </row>
    <row r="531" spans="1:1" s="173" customFormat="1" ht="12" hidden="1" customHeight="1">
      <c r="A531" s="172"/>
    </row>
    <row r="532" spans="1:1" s="173" customFormat="1" ht="12" hidden="1" customHeight="1">
      <c r="A532" s="172"/>
    </row>
    <row r="533" spans="1:1" s="173" customFormat="1" ht="12" hidden="1" customHeight="1">
      <c r="A533" s="172"/>
    </row>
    <row r="534" spans="1:1" s="173" customFormat="1" ht="12" hidden="1" customHeight="1">
      <c r="A534" s="172"/>
    </row>
    <row r="535" spans="1:1" s="173" customFormat="1" ht="12" hidden="1" customHeight="1">
      <c r="A535" s="172"/>
    </row>
    <row r="536" spans="1:1" s="173" customFormat="1" ht="12" hidden="1" customHeight="1">
      <c r="A536" s="172"/>
    </row>
    <row r="537" spans="1:1" s="173" customFormat="1" ht="12" hidden="1" customHeight="1">
      <c r="A537" s="172"/>
    </row>
    <row r="538" spans="1:1" s="173" customFormat="1" ht="12" hidden="1" customHeight="1">
      <c r="A538" s="172"/>
    </row>
    <row r="539" spans="1:1" s="173" customFormat="1" ht="12" hidden="1" customHeight="1">
      <c r="A539" s="172"/>
    </row>
    <row r="540" spans="1:1" s="173" customFormat="1" ht="12" hidden="1" customHeight="1">
      <c r="A540" s="172"/>
    </row>
    <row r="541" spans="1:1" s="173" customFormat="1" ht="12" hidden="1" customHeight="1">
      <c r="A541" s="172"/>
    </row>
    <row r="542" spans="1:1" s="173" customFormat="1" ht="12" hidden="1" customHeight="1">
      <c r="A542" s="172"/>
    </row>
    <row r="543" spans="1:1" s="173" customFormat="1" ht="12" hidden="1" customHeight="1">
      <c r="A543" s="172"/>
    </row>
    <row r="544" spans="1:1" s="173" customFormat="1" ht="12" hidden="1" customHeight="1">
      <c r="A544" s="172"/>
    </row>
    <row r="545" spans="1:1" s="173" customFormat="1" ht="12" hidden="1" customHeight="1">
      <c r="A545" s="172"/>
    </row>
    <row r="546" spans="1:1" s="173" customFormat="1" ht="12" hidden="1" customHeight="1">
      <c r="A546" s="172"/>
    </row>
    <row r="547" spans="1:1" s="173" customFormat="1" ht="12" hidden="1" customHeight="1">
      <c r="A547" s="172"/>
    </row>
    <row r="548" spans="1:1" s="173" customFormat="1" ht="12" hidden="1" customHeight="1">
      <c r="A548" s="172"/>
    </row>
    <row r="549" spans="1:1" s="173" customFormat="1" ht="12" hidden="1" customHeight="1">
      <c r="A549" s="172"/>
    </row>
    <row r="550" spans="1:1" s="173" customFormat="1" ht="12" hidden="1" customHeight="1">
      <c r="A550" s="172"/>
    </row>
    <row r="551" spans="1:1" s="173" customFormat="1" ht="12" hidden="1" customHeight="1">
      <c r="A551" s="172"/>
    </row>
    <row r="552" spans="1:1" s="173" customFormat="1" ht="12" hidden="1" customHeight="1">
      <c r="A552" s="172"/>
    </row>
    <row r="553" spans="1:1" s="173" customFormat="1" ht="12" hidden="1" customHeight="1">
      <c r="A553" s="172"/>
    </row>
    <row r="554" spans="1:1" s="173" customFormat="1" ht="12" hidden="1" customHeight="1">
      <c r="A554" s="172"/>
    </row>
    <row r="555" spans="1:1" s="173" customFormat="1" ht="12" hidden="1" customHeight="1">
      <c r="A555" s="172"/>
    </row>
    <row r="556" spans="1:1" s="173" customFormat="1" ht="12" hidden="1" customHeight="1">
      <c r="A556" s="172"/>
    </row>
    <row r="557" spans="1:1" s="173" customFormat="1" ht="12" hidden="1" customHeight="1">
      <c r="A557" s="172"/>
    </row>
    <row r="558" spans="1:1" s="173" customFormat="1" ht="12" hidden="1" customHeight="1">
      <c r="A558" s="172"/>
    </row>
    <row r="559" spans="1:1" s="173" customFormat="1" ht="12" hidden="1" customHeight="1">
      <c r="A559" s="172"/>
    </row>
    <row r="560" spans="1:1" s="173" customFormat="1" ht="12" hidden="1" customHeight="1">
      <c r="A560" s="172"/>
    </row>
    <row r="561" spans="1:1" s="173" customFormat="1" ht="12" hidden="1" customHeight="1">
      <c r="A561" s="172"/>
    </row>
    <row r="562" spans="1:1" s="173" customFormat="1" ht="12" hidden="1" customHeight="1">
      <c r="A562" s="172"/>
    </row>
    <row r="563" spans="1:1" s="173" customFormat="1" ht="12" hidden="1" customHeight="1">
      <c r="A563" s="172"/>
    </row>
    <row r="564" spans="1:1" s="173" customFormat="1" ht="12" hidden="1" customHeight="1">
      <c r="A564" s="172"/>
    </row>
    <row r="565" spans="1:1" s="173" customFormat="1" ht="12" hidden="1" customHeight="1">
      <c r="A565" s="172"/>
    </row>
    <row r="566" spans="1:1" s="173" customFormat="1" ht="12" hidden="1" customHeight="1">
      <c r="A566" s="172"/>
    </row>
    <row r="567" spans="1:1" s="173" customFormat="1" ht="12" hidden="1" customHeight="1">
      <c r="A567" s="172"/>
    </row>
    <row r="568" spans="1:1" s="173" customFormat="1" ht="12" hidden="1" customHeight="1">
      <c r="A568" s="172"/>
    </row>
    <row r="569" spans="1:1" s="173" customFormat="1" ht="12" hidden="1" customHeight="1">
      <c r="A569" s="172"/>
    </row>
    <row r="570" spans="1:1" s="173" customFormat="1" ht="12" hidden="1" customHeight="1">
      <c r="A570" s="172"/>
    </row>
    <row r="571" spans="1:1" s="173" customFormat="1" ht="12" hidden="1" customHeight="1">
      <c r="A571" s="172"/>
    </row>
    <row r="572" spans="1:1" s="173" customFormat="1" ht="12" hidden="1" customHeight="1">
      <c r="A572" s="172"/>
    </row>
    <row r="573" spans="1:1" s="173" customFormat="1" ht="12" hidden="1" customHeight="1">
      <c r="A573" s="172"/>
    </row>
    <row r="574" spans="1:1" s="173" customFormat="1" ht="12" hidden="1" customHeight="1">
      <c r="A574" s="172"/>
    </row>
    <row r="575" spans="1:1" s="173" customFormat="1" ht="12" hidden="1" customHeight="1">
      <c r="A575" s="172"/>
    </row>
    <row r="576" spans="1:1" s="173" customFormat="1" ht="12" hidden="1" customHeight="1">
      <c r="A576" s="172"/>
    </row>
    <row r="577" spans="1:1" s="173" customFormat="1" ht="12" hidden="1" customHeight="1">
      <c r="A577" s="172"/>
    </row>
    <row r="578" spans="1:1" s="173" customFormat="1" ht="12" hidden="1" customHeight="1">
      <c r="A578" s="172"/>
    </row>
    <row r="579" spans="1:1" s="173" customFormat="1" ht="12" hidden="1" customHeight="1">
      <c r="A579" s="172"/>
    </row>
    <row r="580" spans="1:1" s="173" customFormat="1" ht="12" hidden="1" customHeight="1">
      <c r="A580" s="172"/>
    </row>
    <row r="581" spans="1:1" s="173" customFormat="1" ht="12" hidden="1" customHeight="1">
      <c r="A581" s="172"/>
    </row>
    <row r="582" spans="1:1" s="173" customFormat="1" ht="12" hidden="1" customHeight="1">
      <c r="A582" s="172"/>
    </row>
    <row r="583" spans="1:1" s="173" customFormat="1" ht="12" hidden="1" customHeight="1">
      <c r="A583" s="172"/>
    </row>
    <row r="584" spans="1:1" s="173" customFormat="1" ht="12" hidden="1" customHeight="1">
      <c r="A584" s="172"/>
    </row>
    <row r="585" spans="1:1" s="173" customFormat="1" ht="12" hidden="1" customHeight="1">
      <c r="A585" s="172"/>
    </row>
    <row r="586" spans="1:1" s="173" customFormat="1" ht="12" hidden="1" customHeight="1">
      <c r="A586" s="172"/>
    </row>
    <row r="587" spans="1:1" s="173" customFormat="1" ht="12" hidden="1" customHeight="1">
      <c r="A587" s="172"/>
    </row>
    <row r="588" spans="1:1" s="173" customFormat="1" ht="12" hidden="1" customHeight="1">
      <c r="A588" s="172"/>
    </row>
    <row r="589" spans="1:1" s="173" customFormat="1" ht="12" hidden="1" customHeight="1">
      <c r="A589" s="172"/>
    </row>
    <row r="590" spans="1:1" s="173" customFormat="1" ht="12" hidden="1" customHeight="1">
      <c r="A590" s="172"/>
    </row>
    <row r="591" spans="1:1" s="173" customFormat="1" ht="12" hidden="1" customHeight="1">
      <c r="A591" s="172"/>
    </row>
    <row r="592" spans="1:1" s="173" customFormat="1" ht="12" hidden="1" customHeight="1">
      <c r="A592" s="172"/>
    </row>
    <row r="593" spans="1:1" s="173" customFormat="1" ht="12" hidden="1" customHeight="1">
      <c r="A593" s="172"/>
    </row>
    <row r="594" spans="1:1" s="173" customFormat="1" ht="12" hidden="1" customHeight="1">
      <c r="A594" s="172"/>
    </row>
    <row r="595" spans="1:1" s="173" customFormat="1" ht="12" hidden="1" customHeight="1">
      <c r="A595" s="172"/>
    </row>
    <row r="596" spans="1:1" s="173" customFormat="1" ht="12" hidden="1" customHeight="1">
      <c r="A596" s="172"/>
    </row>
    <row r="597" spans="1:1" s="173" customFormat="1" ht="12" hidden="1" customHeight="1">
      <c r="A597" s="172"/>
    </row>
    <row r="598" spans="1:1" s="173" customFormat="1" ht="12" hidden="1" customHeight="1">
      <c r="A598" s="172"/>
    </row>
    <row r="599" spans="1:1" s="173" customFormat="1" ht="12" hidden="1" customHeight="1">
      <c r="A599" s="172"/>
    </row>
    <row r="600" spans="1:1" s="173" customFormat="1" ht="12" hidden="1" customHeight="1">
      <c r="A600" s="172"/>
    </row>
    <row r="601" spans="1:1" s="173" customFormat="1" ht="12" hidden="1" customHeight="1">
      <c r="A601" s="172"/>
    </row>
    <row r="602" spans="1:1" s="173" customFormat="1" ht="12" hidden="1" customHeight="1">
      <c r="A602" s="172"/>
    </row>
    <row r="603" spans="1:1" s="173" customFormat="1" ht="12" hidden="1" customHeight="1">
      <c r="A603" s="172"/>
    </row>
    <row r="604" spans="1:1" s="173" customFormat="1" ht="12" hidden="1" customHeight="1">
      <c r="A604" s="172"/>
    </row>
    <row r="605" spans="1:1" s="173" customFormat="1" ht="12" hidden="1" customHeight="1">
      <c r="A605" s="172"/>
    </row>
    <row r="606" spans="1:1" s="173" customFormat="1" ht="12" hidden="1" customHeight="1">
      <c r="A606" s="172"/>
    </row>
    <row r="607" spans="1:1" s="173" customFormat="1" ht="12" hidden="1" customHeight="1">
      <c r="A607" s="172"/>
    </row>
    <row r="608" spans="1:1" s="173" customFormat="1" ht="12" hidden="1" customHeight="1">
      <c r="A608" s="172"/>
    </row>
    <row r="609" spans="1:1" s="173" customFormat="1" ht="12" hidden="1" customHeight="1">
      <c r="A609" s="172"/>
    </row>
    <row r="610" spans="1:1" s="173" customFormat="1" ht="12" hidden="1" customHeight="1">
      <c r="A610" s="172"/>
    </row>
    <row r="611" spans="1:1" s="173" customFormat="1" ht="12" hidden="1" customHeight="1">
      <c r="A611" s="172"/>
    </row>
    <row r="612" spans="1:1" s="173" customFormat="1" ht="12" hidden="1" customHeight="1">
      <c r="A612" s="172"/>
    </row>
    <row r="613" spans="1:1" s="173" customFormat="1" ht="12" hidden="1" customHeight="1">
      <c r="A613" s="172"/>
    </row>
    <row r="614" spans="1:1" s="173" customFormat="1" ht="12" hidden="1" customHeight="1">
      <c r="A614" s="172"/>
    </row>
    <row r="615" spans="1:1" s="173" customFormat="1" ht="12" hidden="1" customHeight="1">
      <c r="A615" s="172"/>
    </row>
    <row r="616" spans="1:1" s="173" customFormat="1" ht="12" hidden="1" customHeight="1">
      <c r="A616" s="172"/>
    </row>
    <row r="617" spans="1:1" s="173" customFormat="1" ht="12" hidden="1" customHeight="1">
      <c r="A617" s="172"/>
    </row>
    <row r="618" spans="1:1" s="173" customFormat="1" ht="12" hidden="1" customHeight="1">
      <c r="A618" s="172"/>
    </row>
    <row r="619" spans="1:1" s="173" customFormat="1" ht="12" hidden="1" customHeight="1">
      <c r="A619" s="172"/>
    </row>
    <row r="620" spans="1:1" s="173" customFormat="1" ht="12" hidden="1" customHeight="1">
      <c r="A620" s="172"/>
    </row>
    <row r="621" spans="1:1" s="173" customFormat="1" ht="12" hidden="1" customHeight="1">
      <c r="A621" s="172"/>
    </row>
    <row r="622" spans="1:1" s="173" customFormat="1" ht="12" hidden="1" customHeight="1">
      <c r="A622" s="172"/>
    </row>
    <row r="623" spans="1:1" s="173" customFormat="1" ht="12" hidden="1" customHeight="1">
      <c r="A623" s="172"/>
    </row>
    <row r="624" spans="1:1" s="173" customFormat="1" ht="12" hidden="1" customHeight="1">
      <c r="A624" s="172"/>
    </row>
    <row r="625" spans="1:1" s="173" customFormat="1" ht="12" hidden="1" customHeight="1">
      <c r="A625" s="172"/>
    </row>
    <row r="626" spans="1:1" s="173" customFormat="1" ht="12" hidden="1" customHeight="1">
      <c r="A626" s="172"/>
    </row>
    <row r="627" spans="1:1" s="173" customFormat="1" ht="12" hidden="1" customHeight="1">
      <c r="A627" s="172"/>
    </row>
    <row r="628" spans="1:1" s="173" customFormat="1" ht="12" hidden="1" customHeight="1">
      <c r="A628" s="172"/>
    </row>
    <row r="629" spans="1:1" s="173" customFormat="1" ht="12" hidden="1" customHeight="1">
      <c r="A629" s="172"/>
    </row>
    <row r="630" spans="1:1" s="173" customFormat="1" ht="12" hidden="1" customHeight="1">
      <c r="A630" s="172"/>
    </row>
    <row r="631" spans="1:1" s="173" customFormat="1" ht="12" hidden="1" customHeight="1">
      <c r="A631" s="172"/>
    </row>
    <row r="632" spans="1:1" s="173" customFormat="1" ht="12" hidden="1" customHeight="1">
      <c r="A632" s="172"/>
    </row>
    <row r="633" spans="1:1" s="173" customFormat="1" ht="12" hidden="1" customHeight="1">
      <c r="A633" s="172"/>
    </row>
    <row r="634" spans="1:1" s="173" customFormat="1" ht="12" hidden="1" customHeight="1">
      <c r="A634" s="172"/>
    </row>
    <row r="635" spans="1:1" s="173" customFormat="1" ht="12" hidden="1" customHeight="1">
      <c r="A635" s="172"/>
    </row>
    <row r="636" spans="1:1" s="173" customFormat="1" ht="12" hidden="1" customHeight="1">
      <c r="A636" s="172"/>
    </row>
    <row r="637" spans="1:1" s="173" customFormat="1" ht="12" hidden="1" customHeight="1">
      <c r="A637" s="172"/>
    </row>
    <row r="638" spans="1:1" s="173" customFormat="1" ht="12" hidden="1" customHeight="1">
      <c r="A638" s="172"/>
    </row>
    <row r="639" spans="1:1" s="173" customFormat="1" ht="12" hidden="1" customHeight="1">
      <c r="A639" s="172"/>
    </row>
    <row r="640" spans="1:1" s="173" customFormat="1" ht="12" hidden="1" customHeight="1">
      <c r="A640" s="172"/>
    </row>
    <row r="641" spans="1:1" s="173" customFormat="1" ht="12" hidden="1" customHeight="1">
      <c r="A641" s="172"/>
    </row>
    <row r="642" spans="1:1" s="173" customFormat="1" ht="12" hidden="1" customHeight="1">
      <c r="A642" s="172"/>
    </row>
    <row r="643" spans="1:1" s="173" customFormat="1" ht="12" hidden="1" customHeight="1">
      <c r="A643" s="172"/>
    </row>
    <row r="644" spans="1:1" s="173" customFormat="1" ht="12" hidden="1" customHeight="1">
      <c r="A644" s="172"/>
    </row>
    <row r="645" spans="1:1" s="173" customFormat="1" ht="12" hidden="1" customHeight="1">
      <c r="A645" s="172"/>
    </row>
    <row r="646" spans="1:1" s="173" customFormat="1" ht="12" hidden="1" customHeight="1">
      <c r="A646" s="172"/>
    </row>
    <row r="647" spans="1:1" s="173" customFormat="1" ht="12" hidden="1" customHeight="1">
      <c r="A647" s="172"/>
    </row>
    <row r="648" spans="1:1" s="173" customFormat="1" ht="12" hidden="1" customHeight="1">
      <c r="A648" s="172"/>
    </row>
    <row r="649" spans="1:1" s="173" customFormat="1" ht="12" hidden="1" customHeight="1">
      <c r="A649" s="172"/>
    </row>
    <row r="650" spans="1:1" s="173" customFormat="1" ht="12" hidden="1" customHeight="1">
      <c r="A650" s="172"/>
    </row>
    <row r="651" spans="1:1" s="173" customFormat="1" ht="12" hidden="1" customHeight="1">
      <c r="A651" s="172"/>
    </row>
    <row r="652" spans="1:1" s="173" customFormat="1" ht="12" hidden="1" customHeight="1">
      <c r="A652" s="172"/>
    </row>
    <row r="653" spans="1:1" s="173" customFormat="1" ht="12" hidden="1" customHeight="1">
      <c r="A653" s="172"/>
    </row>
    <row r="654" spans="1:1" s="173" customFormat="1" ht="12" hidden="1" customHeight="1">
      <c r="A654" s="172"/>
    </row>
    <row r="655" spans="1:1" s="173" customFormat="1" ht="12" hidden="1" customHeight="1">
      <c r="A655" s="172"/>
    </row>
    <row r="656" spans="1:1" s="173" customFormat="1" ht="12" hidden="1" customHeight="1">
      <c r="A656" s="172"/>
    </row>
    <row r="657" spans="1:1" s="173" customFormat="1" ht="12" hidden="1" customHeight="1">
      <c r="A657" s="172"/>
    </row>
    <row r="658" spans="1:1" s="173" customFormat="1" ht="12" hidden="1" customHeight="1">
      <c r="A658" s="172"/>
    </row>
    <row r="659" spans="1:1" s="173" customFormat="1" ht="12" hidden="1" customHeight="1">
      <c r="A659" s="172"/>
    </row>
    <row r="660" spans="1:1" s="173" customFormat="1" ht="12" hidden="1" customHeight="1">
      <c r="A660" s="172"/>
    </row>
    <row r="661" spans="1:1" s="173" customFormat="1" ht="12" hidden="1" customHeight="1">
      <c r="A661" s="172"/>
    </row>
    <row r="662" spans="1:1" s="173" customFormat="1" ht="12" hidden="1" customHeight="1">
      <c r="A662" s="172"/>
    </row>
    <row r="663" spans="1:1" s="173" customFormat="1" ht="12" hidden="1" customHeight="1">
      <c r="A663" s="172"/>
    </row>
    <row r="664" spans="1:1" s="173" customFormat="1" ht="12" hidden="1" customHeight="1">
      <c r="A664" s="172"/>
    </row>
    <row r="665" spans="1:1" s="173" customFormat="1" ht="12" hidden="1" customHeight="1">
      <c r="A665" s="172"/>
    </row>
    <row r="666" spans="1:1" s="173" customFormat="1" ht="12" hidden="1" customHeight="1">
      <c r="A666" s="172"/>
    </row>
    <row r="667" spans="1:1" s="173" customFormat="1" ht="12" hidden="1" customHeight="1">
      <c r="A667" s="172"/>
    </row>
    <row r="668" spans="1:1" s="173" customFormat="1" ht="12" hidden="1" customHeight="1">
      <c r="A668" s="172"/>
    </row>
    <row r="669" spans="1:1" s="173" customFormat="1" ht="12" hidden="1" customHeight="1">
      <c r="A669" s="172"/>
    </row>
    <row r="670" spans="1:1" s="173" customFormat="1" ht="12" hidden="1" customHeight="1">
      <c r="A670" s="172"/>
    </row>
    <row r="671" spans="1:1" s="173" customFormat="1" ht="12" hidden="1" customHeight="1">
      <c r="A671" s="172"/>
    </row>
    <row r="672" spans="1:1" s="173" customFormat="1" ht="12" hidden="1" customHeight="1">
      <c r="A672" s="172"/>
    </row>
    <row r="673" spans="1:1" s="173" customFormat="1" ht="12" hidden="1" customHeight="1">
      <c r="A673" s="172"/>
    </row>
    <row r="674" spans="1:1" s="173" customFormat="1" ht="12" hidden="1" customHeight="1">
      <c r="A674" s="172"/>
    </row>
    <row r="675" spans="1:1" s="173" customFormat="1" ht="12" hidden="1" customHeight="1">
      <c r="A675" s="172"/>
    </row>
    <row r="676" spans="1:1" s="173" customFormat="1" ht="12" hidden="1" customHeight="1">
      <c r="A676" s="172"/>
    </row>
    <row r="677" spans="1:1" s="173" customFormat="1" ht="12" hidden="1" customHeight="1">
      <c r="A677" s="172"/>
    </row>
    <row r="678" spans="1:1" s="173" customFormat="1" ht="12" hidden="1" customHeight="1">
      <c r="A678" s="172"/>
    </row>
    <row r="679" spans="1:1" s="173" customFormat="1" ht="12" hidden="1" customHeight="1">
      <c r="A679" s="172"/>
    </row>
    <row r="680" spans="1:1" s="173" customFormat="1" ht="12" hidden="1" customHeight="1">
      <c r="A680" s="172"/>
    </row>
    <row r="681" spans="1:1" s="173" customFormat="1" ht="12" hidden="1" customHeight="1">
      <c r="A681" s="172"/>
    </row>
    <row r="682" spans="1:1" s="173" customFormat="1" ht="12" hidden="1" customHeight="1">
      <c r="A682" s="172"/>
    </row>
    <row r="683" spans="1:1" s="173" customFormat="1" ht="12" hidden="1" customHeight="1">
      <c r="A683" s="172"/>
    </row>
    <row r="684" spans="1:1" s="173" customFormat="1" ht="12" hidden="1" customHeight="1">
      <c r="A684" s="172"/>
    </row>
    <row r="685" spans="1:1" s="173" customFormat="1" ht="12" hidden="1" customHeight="1">
      <c r="A685" s="172"/>
    </row>
    <row r="686" spans="1:1" s="173" customFormat="1" ht="12" hidden="1" customHeight="1">
      <c r="A686" s="172"/>
    </row>
    <row r="687" spans="1:1" s="173" customFormat="1" ht="12" hidden="1" customHeight="1">
      <c r="A687" s="172"/>
    </row>
    <row r="688" spans="1:1" s="173" customFormat="1" ht="12" hidden="1" customHeight="1">
      <c r="A688" s="172"/>
    </row>
    <row r="689" spans="1:1" s="173" customFormat="1" ht="12" hidden="1" customHeight="1">
      <c r="A689" s="172"/>
    </row>
    <row r="690" spans="1:1" s="173" customFormat="1" ht="12" hidden="1" customHeight="1">
      <c r="A690" s="172"/>
    </row>
    <row r="691" spans="1:1" s="173" customFormat="1" ht="12" hidden="1" customHeight="1">
      <c r="A691" s="172"/>
    </row>
    <row r="692" spans="1:1" s="173" customFormat="1" ht="12" hidden="1" customHeight="1">
      <c r="A692" s="172"/>
    </row>
    <row r="693" spans="1:1" s="173" customFormat="1" ht="12" hidden="1" customHeight="1">
      <c r="A693" s="172"/>
    </row>
    <row r="694" spans="1:1" s="173" customFormat="1" ht="12" hidden="1" customHeight="1">
      <c r="A694" s="172"/>
    </row>
    <row r="695" spans="1:1" s="173" customFormat="1" ht="12" hidden="1" customHeight="1">
      <c r="A695" s="172"/>
    </row>
    <row r="696" spans="1:1" s="173" customFormat="1" ht="12" hidden="1" customHeight="1">
      <c r="A696" s="172"/>
    </row>
    <row r="697" spans="1:1" s="173" customFormat="1" ht="12" hidden="1" customHeight="1">
      <c r="A697" s="172"/>
    </row>
    <row r="698" spans="1:1" s="173" customFormat="1" ht="12" hidden="1" customHeight="1">
      <c r="A698" s="172"/>
    </row>
    <row r="699" spans="1:1" s="173" customFormat="1" ht="12" hidden="1" customHeight="1">
      <c r="A699" s="172"/>
    </row>
    <row r="700" spans="1:1" s="173" customFormat="1" ht="12" hidden="1" customHeight="1">
      <c r="A700" s="172"/>
    </row>
    <row r="701" spans="1:1" s="173" customFormat="1" ht="12" hidden="1" customHeight="1">
      <c r="A701" s="172"/>
    </row>
    <row r="702" spans="1:1" s="173" customFormat="1" ht="12" hidden="1" customHeight="1">
      <c r="A702" s="172"/>
    </row>
    <row r="703" spans="1:1" s="173" customFormat="1" ht="12" hidden="1" customHeight="1">
      <c r="A703" s="172"/>
    </row>
    <row r="704" spans="1:1" s="173" customFormat="1" ht="12" hidden="1" customHeight="1">
      <c r="A704" s="172"/>
    </row>
    <row r="705" spans="1:1" s="173" customFormat="1" ht="12" hidden="1" customHeight="1">
      <c r="A705" s="172"/>
    </row>
    <row r="706" spans="1:1" s="173" customFormat="1" ht="12" hidden="1" customHeight="1">
      <c r="A706" s="172"/>
    </row>
    <row r="707" spans="1:1" s="173" customFormat="1" ht="12" hidden="1" customHeight="1">
      <c r="A707" s="172"/>
    </row>
    <row r="708" spans="1:1" s="173" customFormat="1" ht="12" hidden="1" customHeight="1">
      <c r="A708" s="172"/>
    </row>
    <row r="709" spans="1:1" s="173" customFormat="1" ht="12" hidden="1" customHeight="1">
      <c r="A709" s="172"/>
    </row>
    <row r="710" spans="1:1" s="173" customFormat="1" ht="12" hidden="1" customHeight="1">
      <c r="A710" s="172"/>
    </row>
    <row r="711" spans="1:1" s="173" customFormat="1" ht="12" hidden="1" customHeight="1">
      <c r="A711" s="172"/>
    </row>
    <row r="712" spans="1:1" s="173" customFormat="1" ht="12" hidden="1" customHeight="1">
      <c r="A712" s="172"/>
    </row>
    <row r="713" spans="1:1" s="173" customFormat="1" ht="12" hidden="1" customHeight="1">
      <c r="A713" s="172"/>
    </row>
    <row r="714" spans="1:1" s="173" customFormat="1" ht="12" hidden="1" customHeight="1">
      <c r="A714" s="172"/>
    </row>
    <row r="715" spans="1:1" s="173" customFormat="1" ht="12" hidden="1" customHeight="1">
      <c r="A715" s="172"/>
    </row>
    <row r="716" spans="1:1" s="173" customFormat="1" ht="12" hidden="1" customHeight="1">
      <c r="A716" s="172"/>
    </row>
    <row r="717" spans="1:1" s="173" customFormat="1" ht="12" hidden="1" customHeight="1">
      <c r="A717" s="172"/>
    </row>
    <row r="718" spans="1:1" s="173" customFormat="1" ht="12" hidden="1" customHeight="1">
      <c r="A718" s="172"/>
    </row>
    <row r="719" spans="1:1" s="173" customFormat="1" ht="12" hidden="1" customHeight="1">
      <c r="A719" s="172"/>
    </row>
    <row r="720" spans="1:1" s="173" customFormat="1" ht="12" hidden="1" customHeight="1">
      <c r="A720" s="172"/>
    </row>
    <row r="721" spans="1:1" s="173" customFormat="1" ht="12" hidden="1" customHeight="1">
      <c r="A721" s="172"/>
    </row>
    <row r="722" spans="1:1" s="173" customFormat="1" ht="12" hidden="1" customHeight="1">
      <c r="A722" s="172"/>
    </row>
    <row r="723" spans="1:1" s="173" customFormat="1" ht="12" hidden="1" customHeight="1">
      <c r="A723" s="172"/>
    </row>
    <row r="724" spans="1:1" s="173" customFormat="1" ht="12" hidden="1" customHeight="1">
      <c r="A724" s="172"/>
    </row>
    <row r="725" spans="1:1" s="173" customFormat="1" ht="12" hidden="1" customHeight="1">
      <c r="A725" s="172"/>
    </row>
    <row r="726" spans="1:1" s="173" customFormat="1" ht="12" hidden="1" customHeight="1">
      <c r="A726" s="172"/>
    </row>
    <row r="727" spans="1:1" s="173" customFormat="1" ht="12" hidden="1" customHeight="1">
      <c r="A727" s="172"/>
    </row>
    <row r="728" spans="1:1" s="173" customFormat="1" ht="12" hidden="1" customHeight="1">
      <c r="A728" s="172"/>
    </row>
    <row r="729" spans="1:1" s="173" customFormat="1" ht="12" hidden="1" customHeight="1">
      <c r="A729" s="172"/>
    </row>
    <row r="730" spans="1:1" s="173" customFormat="1" ht="12" hidden="1" customHeight="1">
      <c r="A730" s="172"/>
    </row>
    <row r="731" spans="1:1" s="173" customFormat="1" ht="12" hidden="1" customHeight="1">
      <c r="A731" s="172"/>
    </row>
    <row r="732" spans="1:1" s="173" customFormat="1" ht="12" hidden="1" customHeight="1">
      <c r="A732" s="172"/>
    </row>
    <row r="733" spans="1:1" s="173" customFormat="1" ht="12" hidden="1" customHeight="1">
      <c r="A733" s="172"/>
    </row>
    <row r="734" spans="1:1" s="173" customFormat="1" ht="12" hidden="1" customHeight="1">
      <c r="A734" s="172"/>
    </row>
    <row r="735" spans="1:1" s="173" customFormat="1" ht="12" hidden="1" customHeight="1">
      <c r="A735" s="172"/>
    </row>
    <row r="736" spans="1:1" s="173" customFormat="1" ht="12" hidden="1" customHeight="1">
      <c r="A736" s="172"/>
    </row>
    <row r="737" spans="1:1" s="173" customFormat="1" ht="12" hidden="1" customHeight="1">
      <c r="A737" s="172"/>
    </row>
    <row r="738" spans="1:1" s="173" customFormat="1" ht="12" hidden="1" customHeight="1">
      <c r="A738" s="172"/>
    </row>
    <row r="739" spans="1:1" s="173" customFormat="1" ht="12" hidden="1" customHeight="1">
      <c r="A739" s="172"/>
    </row>
    <row r="740" spans="1:1" s="173" customFormat="1" ht="12" hidden="1" customHeight="1">
      <c r="A740" s="172"/>
    </row>
    <row r="741" spans="1:1" s="173" customFormat="1" ht="12" hidden="1" customHeight="1">
      <c r="A741" s="172"/>
    </row>
    <row r="742" spans="1:1" s="173" customFormat="1" ht="12" hidden="1" customHeight="1">
      <c r="A742" s="172"/>
    </row>
    <row r="743" spans="1:1" s="173" customFormat="1" ht="12" hidden="1" customHeight="1">
      <c r="A743" s="172"/>
    </row>
    <row r="744" spans="1:1" s="173" customFormat="1" ht="12" hidden="1" customHeight="1">
      <c r="A744" s="172"/>
    </row>
    <row r="745" spans="1:1" s="173" customFormat="1" ht="12" hidden="1" customHeight="1">
      <c r="A745" s="172"/>
    </row>
    <row r="746" spans="1:1" s="173" customFormat="1" ht="12" hidden="1" customHeight="1">
      <c r="A746" s="172"/>
    </row>
    <row r="747" spans="1:1" s="173" customFormat="1" ht="12" hidden="1" customHeight="1">
      <c r="A747" s="172"/>
    </row>
    <row r="748" spans="1:1" s="173" customFormat="1" ht="12" hidden="1" customHeight="1">
      <c r="A748" s="172"/>
    </row>
    <row r="749" spans="1:1" s="173" customFormat="1" ht="12" hidden="1" customHeight="1">
      <c r="A749" s="172"/>
    </row>
    <row r="750" spans="1:1" s="173" customFormat="1" ht="12" hidden="1" customHeight="1">
      <c r="A750" s="172"/>
    </row>
    <row r="751" spans="1:1" s="173" customFormat="1" ht="12" hidden="1" customHeight="1">
      <c r="A751" s="172"/>
    </row>
    <row r="752" spans="1:1" s="173" customFormat="1" ht="12" hidden="1" customHeight="1">
      <c r="A752" s="172"/>
    </row>
    <row r="753" spans="1:1" s="173" customFormat="1" ht="12" hidden="1" customHeight="1">
      <c r="A753" s="172"/>
    </row>
    <row r="754" spans="1:1" s="173" customFormat="1" ht="12" hidden="1" customHeight="1">
      <c r="A754" s="172"/>
    </row>
    <row r="755" spans="1:1" s="173" customFormat="1" ht="12" hidden="1" customHeight="1">
      <c r="A755" s="172"/>
    </row>
    <row r="756" spans="1:1" s="173" customFormat="1" ht="12" hidden="1" customHeight="1">
      <c r="A756" s="172"/>
    </row>
    <row r="757" spans="1:1" s="173" customFormat="1" ht="12" hidden="1" customHeight="1">
      <c r="A757" s="172"/>
    </row>
    <row r="758" spans="1:1" s="173" customFormat="1" ht="12" hidden="1" customHeight="1">
      <c r="A758" s="172"/>
    </row>
    <row r="759" spans="1:1" s="173" customFormat="1" ht="12" hidden="1" customHeight="1">
      <c r="A759" s="172"/>
    </row>
    <row r="760" spans="1:1" s="173" customFormat="1" ht="12" hidden="1" customHeight="1">
      <c r="A760" s="172"/>
    </row>
    <row r="761" spans="1:1" s="173" customFormat="1" ht="12" hidden="1" customHeight="1">
      <c r="A761" s="172"/>
    </row>
    <row r="762" spans="1:1" s="173" customFormat="1" ht="12" hidden="1" customHeight="1">
      <c r="A762" s="172"/>
    </row>
    <row r="763" spans="1:1" s="173" customFormat="1" ht="12" hidden="1" customHeight="1">
      <c r="A763" s="172"/>
    </row>
    <row r="764" spans="1:1" s="173" customFormat="1" ht="12" hidden="1" customHeight="1">
      <c r="A764" s="172"/>
    </row>
    <row r="765" spans="1:1" s="173" customFormat="1" ht="12" hidden="1" customHeight="1">
      <c r="A765" s="172"/>
    </row>
    <row r="766" spans="1:1" s="173" customFormat="1" ht="12" hidden="1" customHeight="1">
      <c r="A766" s="172"/>
    </row>
    <row r="767" spans="1:1" s="173" customFormat="1" ht="12" hidden="1" customHeight="1">
      <c r="A767" s="172"/>
    </row>
    <row r="768" spans="1:1" s="173" customFormat="1" ht="12" hidden="1" customHeight="1">
      <c r="A768" s="172"/>
    </row>
    <row r="769" spans="1:1" s="173" customFormat="1" ht="12" hidden="1" customHeight="1">
      <c r="A769" s="172"/>
    </row>
    <row r="770" spans="1:1" s="173" customFormat="1" ht="12" hidden="1" customHeight="1">
      <c r="A770" s="172"/>
    </row>
    <row r="771" spans="1:1" s="173" customFormat="1" ht="12" hidden="1" customHeight="1">
      <c r="A771" s="172"/>
    </row>
    <row r="772" spans="1:1" s="173" customFormat="1" ht="12" hidden="1" customHeight="1">
      <c r="A772" s="172"/>
    </row>
    <row r="773" spans="1:1" s="173" customFormat="1" ht="12" hidden="1" customHeight="1">
      <c r="A773" s="172"/>
    </row>
    <row r="774" spans="1:1" s="173" customFormat="1" ht="12" hidden="1" customHeight="1">
      <c r="A774" s="172"/>
    </row>
    <row r="775" spans="1:1" s="173" customFormat="1" ht="12" hidden="1" customHeight="1">
      <c r="A775" s="172"/>
    </row>
    <row r="776" spans="1:1" s="173" customFormat="1" ht="12" hidden="1" customHeight="1">
      <c r="A776" s="172"/>
    </row>
    <row r="777" spans="1:1" s="173" customFormat="1" ht="12" hidden="1" customHeight="1">
      <c r="A777" s="172"/>
    </row>
    <row r="778" spans="1:1" s="173" customFormat="1" ht="12" hidden="1" customHeight="1">
      <c r="A778" s="172"/>
    </row>
    <row r="779" spans="1:1" s="173" customFormat="1" ht="12" hidden="1" customHeight="1">
      <c r="A779" s="172"/>
    </row>
    <row r="780" spans="1:1" s="173" customFormat="1" ht="12" hidden="1" customHeight="1">
      <c r="A780" s="172"/>
    </row>
    <row r="781" spans="1:1" s="173" customFormat="1" ht="12" hidden="1" customHeight="1">
      <c r="A781" s="172"/>
    </row>
    <row r="782" spans="1:1" s="173" customFormat="1" ht="12" hidden="1" customHeight="1">
      <c r="A782" s="172"/>
    </row>
    <row r="783" spans="1:1" s="173" customFormat="1" ht="12" hidden="1" customHeight="1">
      <c r="A783" s="172"/>
    </row>
    <row r="784" spans="1:1" s="173" customFormat="1" ht="12" hidden="1" customHeight="1">
      <c r="A784" s="172"/>
    </row>
    <row r="785" spans="1:1" s="173" customFormat="1" ht="12" hidden="1" customHeight="1">
      <c r="A785" s="172"/>
    </row>
    <row r="786" spans="1:1" s="173" customFormat="1" ht="12" hidden="1" customHeight="1">
      <c r="A786" s="172"/>
    </row>
    <row r="787" spans="1:1" s="173" customFormat="1" ht="12" hidden="1" customHeight="1">
      <c r="A787" s="172"/>
    </row>
    <row r="788" spans="1:1" s="173" customFormat="1" ht="12" hidden="1" customHeight="1">
      <c r="A788" s="172"/>
    </row>
    <row r="789" spans="1:1" s="173" customFormat="1" ht="12" hidden="1" customHeight="1">
      <c r="A789" s="172"/>
    </row>
    <row r="790" spans="1:1" s="173" customFormat="1" ht="12" hidden="1" customHeight="1">
      <c r="A790" s="172"/>
    </row>
    <row r="791" spans="1:1" s="173" customFormat="1" ht="12" hidden="1" customHeight="1">
      <c r="A791" s="172"/>
    </row>
    <row r="792" spans="1:1" s="173" customFormat="1" ht="12" hidden="1" customHeight="1">
      <c r="A792" s="172"/>
    </row>
    <row r="793" spans="1:1" s="173" customFormat="1" ht="12" hidden="1" customHeight="1">
      <c r="A793" s="172"/>
    </row>
    <row r="794" spans="1:1" s="173" customFormat="1" ht="12" hidden="1" customHeight="1">
      <c r="A794" s="172"/>
    </row>
    <row r="795" spans="1:1" s="173" customFormat="1" ht="12" hidden="1" customHeight="1">
      <c r="A795" s="172"/>
    </row>
    <row r="796" spans="1:1" s="173" customFormat="1" ht="12" hidden="1" customHeight="1">
      <c r="A796" s="172"/>
    </row>
    <row r="797" spans="1:1" s="173" customFormat="1" ht="12" hidden="1" customHeight="1">
      <c r="A797" s="172"/>
    </row>
    <row r="798" spans="1:1" s="173" customFormat="1" ht="12" hidden="1" customHeight="1">
      <c r="A798" s="172"/>
    </row>
    <row r="799" spans="1:1" s="173" customFormat="1" ht="12" hidden="1" customHeight="1">
      <c r="A799" s="172"/>
    </row>
    <row r="800" spans="1:1" s="173" customFormat="1" ht="12" hidden="1" customHeight="1">
      <c r="A800" s="172"/>
    </row>
    <row r="801" spans="1:1" s="173" customFormat="1" ht="12" hidden="1" customHeight="1">
      <c r="A801" s="172"/>
    </row>
    <row r="802" spans="1:1" s="173" customFormat="1" ht="12" hidden="1" customHeight="1">
      <c r="A802" s="172"/>
    </row>
    <row r="803" spans="1:1" s="173" customFormat="1" ht="12" hidden="1" customHeight="1">
      <c r="A803" s="172"/>
    </row>
    <row r="804" spans="1:1" s="173" customFormat="1" ht="12" hidden="1" customHeight="1">
      <c r="A804" s="172"/>
    </row>
    <row r="805" spans="1:1" s="173" customFormat="1" ht="12" hidden="1" customHeight="1">
      <c r="A805" s="172"/>
    </row>
    <row r="806" spans="1:1" s="173" customFormat="1" ht="12" hidden="1" customHeight="1">
      <c r="A806" s="172"/>
    </row>
    <row r="807" spans="1:1" s="173" customFormat="1" ht="12" hidden="1" customHeight="1">
      <c r="A807" s="172"/>
    </row>
    <row r="808" spans="1:1" s="173" customFormat="1" ht="12" hidden="1" customHeight="1">
      <c r="A808" s="172"/>
    </row>
    <row r="809" spans="1:1" s="173" customFormat="1" ht="12" hidden="1" customHeight="1">
      <c r="A809" s="172"/>
    </row>
    <row r="810" spans="1:1" s="173" customFormat="1" ht="12" hidden="1" customHeight="1">
      <c r="A810" s="172"/>
    </row>
    <row r="811" spans="1:1" s="173" customFormat="1" ht="12" hidden="1" customHeight="1">
      <c r="A811" s="172"/>
    </row>
    <row r="812" spans="1:1" s="173" customFormat="1" ht="12" hidden="1" customHeight="1">
      <c r="A812" s="172"/>
    </row>
    <row r="813" spans="1:1" s="173" customFormat="1" ht="12" hidden="1" customHeight="1">
      <c r="A813" s="172"/>
    </row>
    <row r="814" spans="1:1" s="173" customFormat="1" ht="12" hidden="1" customHeight="1">
      <c r="A814" s="172"/>
    </row>
    <row r="815" spans="1:1" s="173" customFormat="1" ht="12" hidden="1" customHeight="1">
      <c r="A815" s="172"/>
    </row>
    <row r="816" spans="1:1" s="173" customFormat="1" ht="12" hidden="1" customHeight="1">
      <c r="A816" s="172"/>
    </row>
    <row r="817" spans="1:1" s="173" customFormat="1" ht="12" hidden="1" customHeight="1">
      <c r="A817" s="172"/>
    </row>
    <row r="818" spans="1:1" s="173" customFormat="1" ht="12" hidden="1" customHeight="1">
      <c r="A818" s="172"/>
    </row>
    <row r="819" spans="1:1" s="173" customFormat="1" ht="12" hidden="1" customHeight="1">
      <c r="A819" s="172"/>
    </row>
    <row r="820" spans="1:1" s="173" customFormat="1" ht="12" hidden="1" customHeight="1">
      <c r="A820" s="172"/>
    </row>
    <row r="821" spans="1:1" s="173" customFormat="1" ht="12" hidden="1" customHeight="1">
      <c r="A821" s="172"/>
    </row>
    <row r="822" spans="1:1" s="173" customFormat="1" ht="12" hidden="1" customHeight="1">
      <c r="A822" s="172"/>
    </row>
    <row r="823" spans="1:1" s="173" customFormat="1" ht="12" hidden="1" customHeight="1">
      <c r="A823" s="172"/>
    </row>
    <row r="824" spans="1:1" s="173" customFormat="1" ht="12" hidden="1" customHeight="1">
      <c r="A824" s="172"/>
    </row>
    <row r="825" spans="1:1" s="173" customFormat="1" ht="12" hidden="1" customHeight="1">
      <c r="A825" s="172"/>
    </row>
    <row r="826" spans="1:1" s="173" customFormat="1" ht="12" hidden="1" customHeight="1">
      <c r="A826" s="172"/>
    </row>
    <row r="827" spans="1:1" s="173" customFormat="1" ht="12" hidden="1" customHeight="1">
      <c r="A827" s="172"/>
    </row>
    <row r="828" spans="1:1" s="173" customFormat="1" ht="12" hidden="1" customHeight="1">
      <c r="A828" s="172"/>
    </row>
    <row r="829" spans="1:1" s="173" customFormat="1" ht="12" hidden="1" customHeight="1">
      <c r="A829" s="172"/>
    </row>
    <row r="830" spans="1:1" s="173" customFormat="1" ht="12" hidden="1" customHeight="1">
      <c r="A830" s="172"/>
    </row>
    <row r="831" spans="1:1" s="173" customFormat="1" ht="12" hidden="1" customHeight="1">
      <c r="A831" s="172"/>
    </row>
    <row r="832" spans="1:1" s="173" customFormat="1" ht="12" hidden="1" customHeight="1">
      <c r="A832" s="172"/>
    </row>
    <row r="833" spans="1:1" s="173" customFormat="1" ht="12" hidden="1" customHeight="1">
      <c r="A833" s="172"/>
    </row>
    <row r="834" spans="1:1" s="173" customFormat="1" ht="12" hidden="1" customHeight="1">
      <c r="A834" s="172"/>
    </row>
    <row r="835" spans="1:1" s="173" customFormat="1" ht="12" hidden="1" customHeight="1">
      <c r="A835" s="172"/>
    </row>
    <row r="836" spans="1:1" s="173" customFormat="1" ht="12" hidden="1" customHeight="1">
      <c r="A836" s="172"/>
    </row>
    <row r="837" spans="1:1" s="173" customFormat="1" ht="12" hidden="1" customHeight="1">
      <c r="A837" s="172"/>
    </row>
    <row r="838" spans="1:1" s="173" customFormat="1" ht="12" hidden="1" customHeight="1">
      <c r="A838" s="172"/>
    </row>
    <row r="839" spans="1:1" s="173" customFormat="1" ht="12" hidden="1" customHeight="1">
      <c r="A839" s="172"/>
    </row>
    <row r="840" spans="1:1" s="173" customFormat="1" ht="12" hidden="1" customHeight="1">
      <c r="A840" s="172"/>
    </row>
    <row r="841" spans="1:1" s="173" customFormat="1" ht="12" hidden="1" customHeight="1">
      <c r="A841" s="172"/>
    </row>
    <row r="842" spans="1:1" s="173" customFormat="1" ht="12" hidden="1" customHeight="1">
      <c r="A842" s="172"/>
    </row>
    <row r="843" spans="1:1" s="173" customFormat="1" ht="12" hidden="1" customHeight="1">
      <c r="A843" s="172"/>
    </row>
    <row r="844" spans="1:1" s="173" customFormat="1" ht="12" hidden="1" customHeight="1">
      <c r="A844" s="172"/>
    </row>
    <row r="845" spans="1:1" s="173" customFormat="1" ht="12" hidden="1" customHeight="1">
      <c r="A845" s="172"/>
    </row>
    <row r="846" spans="1:1" s="173" customFormat="1" ht="12" hidden="1" customHeight="1">
      <c r="A846" s="172"/>
    </row>
    <row r="847" spans="1:1" s="173" customFormat="1" ht="12" hidden="1" customHeight="1">
      <c r="A847" s="172"/>
    </row>
    <row r="848" spans="1:1" s="173" customFormat="1" ht="12" hidden="1" customHeight="1">
      <c r="A848" s="172"/>
    </row>
    <row r="849" spans="1:1" s="173" customFormat="1" ht="12" hidden="1" customHeight="1">
      <c r="A849" s="172"/>
    </row>
    <row r="850" spans="1:1" s="173" customFormat="1" ht="12" hidden="1" customHeight="1">
      <c r="A850" s="172"/>
    </row>
    <row r="851" spans="1:1" s="173" customFormat="1" ht="12" hidden="1" customHeight="1">
      <c r="A851" s="172"/>
    </row>
    <row r="852" spans="1:1" s="173" customFormat="1" ht="12" hidden="1" customHeight="1">
      <c r="A852" s="172"/>
    </row>
    <row r="853" spans="1:1" s="173" customFormat="1" ht="12" hidden="1" customHeight="1">
      <c r="A853" s="172"/>
    </row>
    <row r="854" spans="1:1" s="173" customFormat="1" ht="12" hidden="1" customHeight="1">
      <c r="A854" s="172"/>
    </row>
    <row r="855" spans="1:1" s="173" customFormat="1" ht="12" hidden="1" customHeight="1">
      <c r="A855" s="172"/>
    </row>
    <row r="856" spans="1:1" s="173" customFormat="1" ht="12" hidden="1" customHeight="1">
      <c r="A856" s="172"/>
    </row>
    <row r="857" spans="1:1" s="173" customFormat="1" ht="12" hidden="1" customHeight="1">
      <c r="A857" s="172"/>
    </row>
    <row r="858" spans="1:1" s="173" customFormat="1" ht="12" hidden="1" customHeight="1">
      <c r="A858" s="172"/>
    </row>
    <row r="859" spans="1:1" s="173" customFormat="1" ht="12" hidden="1" customHeight="1">
      <c r="A859" s="172"/>
    </row>
    <row r="860" spans="1:1" s="173" customFormat="1" ht="12" hidden="1" customHeight="1">
      <c r="A860" s="172"/>
    </row>
    <row r="861" spans="1:1" s="173" customFormat="1" ht="12" hidden="1" customHeight="1">
      <c r="A861" s="172"/>
    </row>
    <row r="862" spans="1:1" s="173" customFormat="1" ht="12" hidden="1" customHeight="1">
      <c r="A862" s="172"/>
    </row>
    <row r="863" spans="1:1" s="173" customFormat="1" ht="12" hidden="1" customHeight="1">
      <c r="A863" s="172"/>
    </row>
    <row r="864" spans="1:1" s="173" customFormat="1" ht="12" hidden="1" customHeight="1">
      <c r="A864" s="172"/>
    </row>
    <row r="865" spans="1:1" s="173" customFormat="1" ht="12" hidden="1" customHeight="1">
      <c r="A865" s="172"/>
    </row>
    <row r="866" spans="1:1" s="173" customFormat="1" ht="12" hidden="1" customHeight="1">
      <c r="A866" s="172"/>
    </row>
    <row r="867" spans="1:1" s="173" customFormat="1" ht="12" hidden="1" customHeight="1">
      <c r="A867" s="172"/>
    </row>
    <row r="868" spans="1:1" s="173" customFormat="1" ht="12" hidden="1" customHeight="1">
      <c r="A868" s="172"/>
    </row>
    <row r="869" spans="1:1" s="173" customFormat="1" ht="12" hidden="1" customHeight="1">
      <c r="A869" s="172"/>
    </row>
    <row r="870" spans="1:1" s="173" customFormat="1" ht="12" hidden="1" customHeight="1">
      <c r="A870" s="172"/>
    </row>
    <row r="871" spans="1:1" s="173" customFormat="1" ht="12" hidden="1" customHeight="1">
      <c r="A871" s="172"/>
    </row>
    <row r="872" spans="1:1" s="173" customFormat="1" ht="12" hidden="1" customHeight="1">
      <c r="A872" s="172"/>
    </row>
    <row r="873" spans="1:1" s="173" customFormat="1" ht="12" hidden="1" customHeight="1">
      <c r="A873" s="172"/>
    </row>
    <row r="874" spans="1:1" s="173" customFormat="1" ht="12" hidden="1" customHeight="1">
      <c r="A874" s="172"/>
    </row>
    <row r="875" spans="1:1" s="173" customFormat="1" ht="12" hidden="1" customHeight="1">
      <c r="A875" s="172"/>
    </row>
    <row r="876" spans="1:1" s="173" customFormat="1" ht="12" hidden="1" customHeight="1">
      <c r="A876" s="172"/>
    </row>
    <row r="877" spans="1:1" s="173" customFormat="1" ht="12" hidden="1" customHeight="1">
      <c r="A877" s="172"/>
    </row>
    <row r="878" spans="1:1" s="173" customFormat="1" ht="12" hidden="1" customHeight="1">
      <c r="A878" s="172"/>
    </row>
    <row r="879" spans="1:1" s="173" customFormat="1" ht="12" hidden="1" customHeight="1">
      <c r="A879" s="172"/>
    </row>
    <row r="880" spans="1:1" s="173" customFormat="1" ht="12" hidden="1" customHeight="1">
      <c r="A880" s="172"/>
    </row>
    <row r="881" spans="1:1" s="173" customFormat="1" ht="12" hidden="1" customHeight="1">
      <c r="A881" s="172"/>
    </row>
    <row r="882" spans="1:1" s="173" customFormat="1" ht="12" hidden="1" customHeight="1">
      <c r="A882" s="172"/>
    </row>
    <row r="883" spans="1:1" s="173" customFormat="1" ht="12" hidden="1" customHeight="1">
      <c r="A883" s="172"/>
    </row>
    <row r="884" spans="1:1" s="173" customFormat="1" ht="12" hidden="1" customHeight="1">
      <c r="A884" s="172"/>
    </row>
    <row r="885" spans="1:1" s="173" customFormat="1" ht="12" hidden="1" customHeight="1">
      <c r="A885" s="172"/>
    </row>
    <row r="886" spans="1:1" s="173" customFormat="1" ht="12" hidden="1" customHeight="1">
      <c r="A886" s="172"/>
    </row>
    <row r="887" spans="1:1" s="173" customFormat="1" ht="12" hidden="1" customHeight="1">
      <c r="A887" s="172"/>
    </row>
    <row r="888" spans="1:1" s="173" customFormat="1" ht="12" hidden="1" customHeight="1">
      <c r="A888" s="172"/>
    </row>
    <row r="889" spans="1:1" s="173" customFormat="1" ht="12" hidden="1" customHeight="1">
      <c r="A889" s="172"/>
    </row>
    <row r="890" spans="1:1" s="173" customFormat="1" ht="12" hidden="1" customHeight="1">
      <c r="A890" s="172"/>
    </row>
    <row r="891" spans="1:1" s="173" customFormat="1" ht="12" hidden="1" customHeight="1">
      <c r="A891" s="172"/>
    </row>
    <row r="892" spans="1:1" s="173" customFormat="1" ht="12" hidden="1" customHeight="1">
      <c r="A892" s="172"/>
    </row>
    <row r="893" spans="1:1" s="173" customFormat="1" ht="12" hidden="1" customHeight="1">
      <c r="A893" s="172"/>
    </row>
    <row r="894" spans="1:1" s="173" customFormat="1" ht="12" hidden="1" customHeight="1">
      <c r="A894" s="172"/>
    </row>
    <row r="895" spans="1:1" s="173" customFormat="1" ht="12" hidden="1" customHeight="1">
      <c r="A895" s="172"/>
    </row>
    <row r="896" spans="1:1" s="173" customFormat="1" ht="12" hidden="1" customHeight="1">
      <c r="A896" s="172"/>
    </row>
    <row r="897" spans="1:1" s="173" customFormat="1" ht="12" hidden="1" customHeight="1">
      <c r="A897" s="172"/>
    </row>
    <row r="898" spans="1:1" s="173" customFormat="1" ht="12" hidden="1" customHeight="1">
      <c r="A898" s="172"/>
    </row>
    <row r="899" spans="1:1" s="173" customFormat="1" ht="12" hidden="1" customHeight="1">
      <c r="A899" s="172"/>
    </row>
    <row r="900" spans="1:1" s="173" customFormat="1" ht="12" hidden="1" customHeight="1">
      <c r="A900" s="172"/>
    </row>
    <row r="901" spans="1:1" s="173" customFormat="1" ht="12" hidden="1" customHeight="1">
      <c r="A901" s="172"/>
    </row>
    <row r="902" spans="1:1" s="173" customFormat="1" ht="12" hidden="1" customHeight="1">
      <c r="A902" s="172"/>
    </row>
    <row r="903" spans="1:1" s="173" customFormat="1" ht="12" hidden="1" customHeight="1">
      <c r="A903" s="172"/>
    </row>
    <row r="904" spans="1:1" s="173" customFormat="1" ht="12" hidden="1" customHeight="1">
      <c r="A904" s="172"/>
    </row>
    <row r="905" spans="1:1" s="173" customFormat="1" ht="12" hidden="1" customHeight="1">
      <c r="A905" s="172"/>
    </row>
    <row r="906" spans="1:1" s="173" customFormat="1" ht="12" hidden="1" customHeight="1">
      <c r="A906" s="172"/>
    </row>
    <row r="907" spans="1:1" s="173" customFormat="1" ht="12" hidden="1" customHeight="1">
      <c r="A907" s="172"/>
    </row>
    <row r="908" spans="1:1" s="173" customFormat="1" ht="12" hidden="1" customHeight="1">
      <c r="A908" s="172"/>
    </row>
    <row r="909" spans="1:1" s="173" customFormat="1" ht="12" hidden="1" customHeight="1">
      <c r="A909" s="172"/>
    </row>
    <row r="910" spans="1:1" s="173" customFormat="1" ht="12" hidden="1" customHeight="1">
      <c r="A910" s="172"/>
    </row>
    <row r="911" spans="1:1" s="173" customFormat="1" ht="12" hidden="1" customHeight="1">
      <c r="A911" s="172"/>
    </row>
    <row r="912" spans="1:1" s="173" customFormat="1" ht="12" hidden="1" customHeight="1">
      <c r="A912" s="172"/>
    </row>
    <row r="913" spans="1:1" s="173" customFormat="1" ht="12" hidden="1" customHeight="1">
      <c r="A913" s="172"/>
    </row>
    <row r="914" spans="1:1" s="173" customFormat="1" ht="12" hidden="1" customHeight="1">
      <c r="A914" s="172"/>
    </row>
    <row r="915" spans="1:1" s="173" customFormat="1" ht="12" hidden="1" customHeight="1">
      <c r="A915" s="172"/>
    </row>
    <row r="916" spans="1:1" s="173" customFormat="1" ht="12" hidden="1" customHeight="1">
      <c r="A916" s="172"/>
    </row>
    <row r="917" spans="1:1" s="173" customFormat="1" ht="12" hidden="1" customHeight="1">
      <c r="A917" s="172"/>
    </row>
    <row r="918" spans="1:1" s="173" customFormat="1" ht="12" hidden="1" customHeight="1">
      <c r="A918" s="172"/>
    </row>
    <row r="919" spans="1:1" s="173" customFormat="1" ht="12" hidden="1" customHeight="1">
      <c r="A919" s="172"/>
    </row>
    <row r="920" spans="1:1" s="173" customFormat="1" ht="12" hidden="1" customHeight="1">
      <c r="A920" s="172"/>
    </row>
    <row r="921" spans="1:1" s="173" customFormat="1" ht="12" hidden="1" customHeight="1">
      <c r="A921" s="172"/>
    </row>
    <row r="922" spans="1:1" s="173" customFormat="1" ht="12" hidden="1" customHeight="1">
      <c r="A922" s="172"/>
    </row>
    <row r="923" spans="1:1" s="173" customFormat="1" ht="12" hidden="1" customHeight="1">
      <c r="A923" s="172"/>
    </row>
    <row r="924" spans="1:1" s="173" customFormat="1" ht="12" hidden="1" customHeight="1">
      <c r="A924" s="172"/>
    </row>
    <row r="925" spans="1:1" s="173" customFormat="1" ht="12" hidden="1" customHeight="1">
      <c r="A925" s="172"/>
    </row>
    <row r="926" spans="1:1" s="173" customFormat="1" ht="12" hidden="1" customHeight="1">
      <c r="A926" s="172"/>
    </row>
    <row r="927" spans="1:1" s="173" customFormat="1" ht="12" hidden="1" customHeight="1">
      <c r="A927" s="172"/>
    </row>
    <row r="928" spans="1:1" s="173" customFormat="1" ht="12" hidden="1" customHeight="1">
      <c r="A928" s="172"/>
    </row>
    <row r="929" spans="1:1" s="173" customFormat="1" ht="12" hidden="1" customHeight="1">
      <c r="A929" s="172"/>
    </row>
    <row r="930" spans="1:1" s="173" customFormat="1" ht="12" hidden="1" customHeight="1">
      <c r="A930" s="172"/>
    </row>
    <row r="931" spans="1:1" s="173" customFormat="1" ht="12" hidden="1" customHeight="1">
      <c r="A931" s="172"/>
    </row>
    <row r="932" spans="1:1" s="173" customFormat="1" ht="12" hidden="1" customHeight="1">
      <c r="A932" s="172"/>
    </row>
    <row r="933" spans="1:1" s="173" customFormat="1" ht="12" hidden="1" customHeight="1">
      <c r="A933" s="172"/>
    </row>
    <row r="934" spans="1:1" s="173" customFormat="1" ht="12" hidden="1" customHeight="1">
      <c r="A934" s="172"/>
    </row>
    <row r="935" spans="1:1" s="173" customFormat="1" ht="12" hidden="1" customHeight="1">
      <c r="A935" s="172"/>
    </row>
    <row r="936" spans="1:1" s="173" customFormat="1" ht="12" hidden="1" customHeight="1">
      <c r="A936" s="172"/>
    </row>
    <row r="937" spans="1:1" s="173" customFormat="1" ht="12" hidden="1" customHeight="1">
      <c r="A937" s="172"/>
    </row>
    <row r="938" spans="1:1" s="173" customFormat="1" ht="12" hidden="1" customHeight="1">
      <c r="A938" s="172"/>
    </row>
    <row r="939" spans="1:1" s="173" customFormat="1" ht="12" hidden="1" customHeight="1">
      <c r="A939" s="172"/>
    </row>
    <row r="940" spans="1:1" s="173" customFormat="1" ht="12" hidden="1" customHeight="1">
      <c r="A940" s="172"/>
    </row>
    <row r="941" spans="1:1" s="173" customFormat="1" ht="12" hidden="1" customHeight="1">
      <c r="A941" s="172"/>
    </row>
    <row r="942" spans="1:1" s="173" customFormat="1" ht="12" hidden="1" customHeight="1">
      <c r="A942" s="172"/>
    </row>
    <row r="943" spans="1:1" s="173" customFormat="1" ht="12" hidden="1" customHeight="1">
      <c r="A943" s="172"/>
    </row>
    <row r="944" spans="1:1" s="173" customFormat="1" ht="12" hidden="1" customHeight="1">
      <c r="A944" s="172"/>
    </row>
    <row r="945" spans="1:1" s="173" customFormat="1" ht="12" hidden="1" customHeight="1">
      <c r="A945" s="172"/>
    </row>
    <row r="946" spans="1:1" s="173" customFormat="1" ht="12" hidden="1" customHeight="1">
      <c r="A946" s="172"/>
    </row>
    <row r="947" spans="1:1" s="173" customFormat="1" ht="12" hidden="1" customHeight="1">
      <c r="A947" s="172"/>
    </row>
    <row r="948" spans="1:1" s="173" customFormat="1" ht="12" hidden="1" customHeight="1">
      <c r="A948" s="172"/>
    </row>
    <row r="949" spans="1:1" s="173" customFormat="1" ht="12" hidden="1" customHeight="1">
      <c r="A949" s="172"/>
    </row>
    <row r="950" spans="1:1" s="173" customFormat="1" ht="12" hidden="1" customHeight="1">
      <c r="A950" s="172"/>
    </row>
    <row r="951" spans="1:1" s="173" customFormat="1" ht="12" hidden="1" customHeight="1">
      <c r="A951" s="172"/>
    </row>
    <row r="952" spans="1:1" s="173" customFormat="1" ht="12" hidden="1" customHeight="1">
      <c r="A952" s="172"/>
    </row>
    <row r="953" spans="1:1" s="173" customFormat="1" ht="12" hidden="1" customHeight="1">
      <c r="A953" s="172"/>
    </row>
    <row r="954" spans="1:1" s="173" customFormat="1" ht="12" hidden="1" customHeight="1">
      <c r="A954" s="172"/>
    </row>
    <row r="955" spans="1:1" s="173" customFormat="1" ht="12" hidden="1" customHeight="1">
      <c r="A955" s="172"/>
    </row>
    <row r="956" spans="1:1" s="173" customFormat="1" ht="12" hidden="1" customHeight="1">
      <c r="A956" s="172"/>
    </row>
    <row r="957" spans="1:1" s="173" customFormat="1" ht="12" hidden="1" customHeight="1">
      <c r="A957" s="172"/>
    </row>
    <row r="958" spans="1:1" s="173" customFormat="1" ht="12" hidden="1" customHeight="1">
      <c r="A958" s="172"/>
    </row>
    <row r="959" spans="1:1" s="173" customFormat="1" ht="12" hidden="1" customHeight="1">
      <c r="A959" s="172"/>
    </row>
    <row r="960" spans="1:1" s="173" customFormat="1" ht="12" hidden="1" customHeight="1">
      <c r="A960" s="172"/>
    </row>
    <row r="961" spans="1:1" s="173" customFormat="1" ht="12" hidden="1" customHeight="1">
      <c r="A961" s="172"/>
    </row>
    <row r="962" spans="1:1" s="173" customFormat="1" ht="12" hidden="1" customHeight="1">
      <c r="A962" s="172"/>
    </row>
    <row r="963" spans="1:1" s="173" customFormat="1" ht="12" hidden="1" customHeight="1">
      <c r="A963" s="172"/>
    </row>
    <row r="964" spans="1:1" s="173" customFormat="1" ht="12" hidden="1" customHeight="1">
      <c r="A964" s="172"/>
    </row>
    <row r="965" spans="1:1" s="173" customFormat="1" ht="12" hidden="1" customHeight="1">
      <c r="A965" s="172"/>
    </row>
    <row r="966" spans="1:1" s="173" customFormat="1" ht="12" hidden="1" customHeight="1">
      <c r="A966" s="172"/>
    </row>
    <row r="967" spans="1:1" s="173" customFormat="1" ht="12" hidden="1" customHeight="1">
      <c r="A967" s="172"/>
    </row>
    <row r="968" spans="1:1" s="173" customFormat="1" ht="12" hidden="1" customHeight="1">
      <c r="A968" s="172"/>
    </row>
    <row r="969" spans="1:1" s="173" customFormat="1" ht="12" hidden="1" customHeight="1">
      <c r="A969" s="172"/>
    </row>
    <row r="970" spans="1:1" s="173" customFormat="1" ht="12" hidden="1" customHeight="1">
      <c r="A970" s="172"/>
    </row>
    <row r="971" spans="1:1" s="173" customFormat="1" ht="12" hidden="1" customHeight="1">
      <c r="A971" s="172"/>
    </row>
    <row r="972" spans="1:1" s="173" customFormat="1" ht="12" hidden="1" customHeight="1">
      <c r="A972" s="172"/>
    </row>
    <row r="973" spans="1:1" s="173" customFormat="1" ht="12" hidden="1" customHeight="1">
      <c r="A973" s="172"/>
    </row>
    <row r="974" spans="1:1" s="173" customFormat="1" ht="12" hidden="1" customHeight="1">
      <c r="A974" s="172"/>
    </row>
    <row r="975" spans="1:1" s="173" customFormat="1" ht="12" hidden="1" customHeight="1">
      <c r="A975" s="172"/>
    </row>
    <row r="976" spans="1:1" s="173" customFormat="1" ht="12" hidden="1" customHeight="1">
      <c r="A976" s="172"/>
    </row>
    <row r="977" spans="1:1" s="173" customFormat="1" ht="12" hidden="1" customHeight="1">
      <c r="A977" s="172"/>
    </row>
    <row r="978" spans="1:1" s="173" customFormat="1" ht="12" hidden="1" customHeight="1">
      <c r="A978" s="172"/>
    </row>
    <row r="979" spans="1:1" s="173" customFormat="1" ht="12" hidden="1" customHeight="1">
      <c r="A979" s="172"/>
    </row>
    <row r="980" spans="1:1" s="173" customFormat="1" ht="12" hidden="1" customHeight="1">
      <c r="A980" s="172"/>
    </row>
    <row r="981" spans="1:1" s="173" customFormat="1" ht="12" hidden="1" customHeight="1">
      <c r="A981" s="172"/>
    </row>
    <row r="982" spans="1:1" s="173" customFormat="1" ht="12" hidden="1" customHeight="1">
      <c r="A982" s="172"/>
    </row>
    <row r="983" spans="1:1" s="173" customFormat="1" ht="12" hidden="1" customHeight="1">
      <c r="A983" s="172"/>
    </row>
    <row r="984" spans="1:1" s="173" customFormat="1" ht="12" hidden="1" customHeight="1">
      <c r="A984" s="172"/>
    </row>
    <row r="985" spans="1:1" s="173" customFormat="1" ht="12" hidden="1" customHeight="1">
      <c r="A985" s="172"/>
    </row>
    <row r="986" spans="1:1" s="173" customFormat="1" ht="12" hidden="1" customHeight="1">
      <c r="A986" s="172"/>
    </row>
    <row r="987" spans="1:1" s="173" customFormat="1" ht="12" hidden="1" customHeight="1">
      <c r="A987" s="172"/>
    </row>
    <row r="988" spans="1:1" s="173" customFormat="1" ht="12" hidden="1" customHeight="1">
      <c r="A988" s="172"/>
    </row>
    <row r="989" spans="1:1" s="173" customFormat="1" ht="12" hidden="1" customHeight="1">
      <c r="A989" s="172"/>
    </row>
    <row r="990" spans="1:1" s="173" customFormat="1" ht="12" hidden="1" customHeight="1">
      <c r="A990" s="172"/>
    </row>
    <row r="991" spans="1:1" s="173" customFormat="1" ht="12" hidden="1" customHeight="1">
      <c r="A991" s="172"/>
    </row>
    <row r="992" spans="1:1" s="173" customFormat="1" ht="12" hidden="1" customHeight="1">
      <c r="A992" s="172"/>
    </row>
    <row r="993" spans="1:1" s="173" customFormat="1" ht="12" hidden="1" customHeight="1">
      <c r="A993" s="172"/>
    </row>
    <row r="994" spans="1:1" s="173" customFormat="1" ht="12" hidden="1" customHeight="1">
      <c r="A994" s="172"/>
    </row>
    <row r="995" spans="1:1" s="173" customFormat="1" ht="12" hidden="1" customHeight="1">
      <c r="A995" s="172"/>
    </row>
    <row r="996" spans="1:1" s="173" customFormat="1" ht="12" hidden="1" customHeight="1">
      <c r="A996" s="172"/>
    </row>
    <row r="997" spans="1:1" s="173" customFormat="1" ht="12" hidden="1" customHeight="1">
      <c r="A997" s="172"/>
    </row>
    <row r="998" spans="1:1" s="173" customFormat="1" ht="12" hidden="1" customHeight="1">
      <c r="A998" s="172"/>
    </row>
    <row r="999" spans="1:1" s="173" customFormat="1" ht="12" hidden="1" customHeight="1">
      <c r="A999" s="172"/>
    </row>
    <row r="1000" spans="1:1" s="173" customFormat="1" ht="12" hidden="1" customHeight="1">
      <c r="A1000" s="172"/>
    </row>
    <row r="1001" spans="1:1" s="173" customFormat="1" ht="12" hidden="1" customHeight="1">
      <c r="A1001" s="172"/>
    </row>
    <row r="1002" spans="1:1" s="173" customFormat="1" ht="12" hidden="1" customHeight="1">
      <c r="A1002" s="172"/>
    </row>
    <row r="1003" spans="1:1" s="173" customFormat="1" ht="12" hidden="1" customHeight="1">
      <c r="A1003" s="172"/>
    </row>
    <row r="1004" spans="1:1" s="173" customFormat="1" ht="12" hidden="1" customHeight="1">
      <c r="A1004" s="172"/>
    </row>
    <row r="1005" spans="1:1" s="173" customFormat="1" ht="12" hidden="1" customHeight="1">
      <c r="A1005" s="172"/>
    </row>
    <row r="1006" spans="1:1" s="173" customFormat="1" ht="12" hidden="1" customHeight="1">
      <c r="A1006" s="172"/>
    </row>
    <row r="1007" spans="1:1" s="173" customFormat="1" ht="12" hidden="1" customHeight="1">
      <c r="A1007" s="172"/>
    </row>
    <row r="1008" spans="1:1" s="173" customFormat="1" ht="12" hidden="1" customHeight="1">
      <c r="A1008" s="172"/>
    </row>
    <row r="1009" spans="1:1" s="173" customFormat="1" ht="12" hidden="1" customHeight="1">
      <c r="A1009" s="172"/>
    </row>
    <row r="1010" spans="1:1" s="173" customFormat="1" ht="12" hidden="1" customHeight="1">
      <c r="A1010" s="172"/>
    </row>
    <row r="1011" spans="1:1" s="173" customFormat="1" ht="12" hidden="1" customHeight="1">
      <c r="A1011" s="172"/>
    </row>
    <row r="1012" spans="1:1" s="173" customFormat="1" ht="12" hidden="1" customHeight="1">
      <c r="A1012" s="172"/>
    </row>
    <row r="1013" spans="1:1" s="173" customFormat="1" ht="12" hidden="1" customHeight="1">
      <c r="A1013" s="172"/>
    </row>
    <row r="1014" spans="1:1" s="173" customFormat="1" ht="12" hidden="1" customHeight="1">
      <c r="A1014" s="172"/>
    </row>
    <row r="1015" spans="1:1" s="173" customFormat="1" ht="12" hidden="1" customHeight="1">
      <c r="A1015" s="172"/>
    </row>
    <row r="1016" spans="1:1" s="173" customFormat="1" ht="12" hidden="1" customHeight="1">
      <c r="A1016" s="172"/>
    </row>
    <row r="1017" spans="1:1" s="173" customFormat="1" ht="12" hidden="1" customHeight="1">
      <c r="A1017" s="172"/>
    </row>
    <row r="1018" spans="1:1" s="173" customFormat="1" ht="12" hidden="1" customHeight="1">
      <c r="A1018" s="172"/>
    </row>
    <row r="1019" spans="1:1" s="173" customFormat="1" ht="12" hidden="1" customHeight="1">
      <c r="A1019" s="172"/>
    </row>
    <row r="1020" spans="1:1" s="173" customFormat="1" ht="12" hidden="1" customHeight="1">
      <c r="A1020" s="172"/>
    </row>
    <row r="1021" spans="1:1" s="173" customFormat="1" ht="12" hidden="1" customHeight="1">
      <c r="A1021" s="172"/>
    </row>
    <row r="1022" spans="1:1" s="173" customFormat="1" ht="12" hidden="1" customHeight="1">
      <c r="A1022" s="172"/>
    </row>
    <row r="1023" spans="1:1" s="173" customFormat="1" ht="12" hidden="1" customHeight="1">
      <c r="A1023" s="172"/>
    </row>
    <row r="1024" spans="1:1" s="173" customFormat="1" ht="12" hidden="1" customHeight="1">
      <c r="A1024" s="172"/>
    </row>
    <row r="1025" spans="1:1" s="173" customFormat="1" ht="12" hidden="1" customHeight="1">
      <c r="A1025" s="172"/>
    </row>
    <row r="1026" spans="1:1" s="173" customFormat="1" ht="12" hidden="1" customHeight="1">
      <c r="A1026" s="172"/>
    </row>
    <row r="1027" spans="1:1" s="173" customFormat="1" ht="12" hidden="1" customHeight="1">
      <c r="A1027" s="172"/>
    </row>
    <row r="1028" spans="1:1" s="173" customFormat="1" ht="12" hidden="1" customHeight="1">
      <c r="A1028" s="172"/>
    </row>
    <row r="1029" spans="1:1" s="173" customFormat="1" ht="12" hidden="1" customHeight="1">
      <c r="A1029" s="172"/>
    </row>
    <row r="1030" spans="1:1" s="173" customFormat="1" ht="12" hidden="1" customHeight="1">
      <c r="A1030" s="172"/>
    </row>
    <row r="1031" spans="1:1" s="173" customFormat="1" ht="12" hidden="1" customHeight="1">
      <c r="A1031" s="172"/>
    </row>
    <row r="1032" spans="1:1" s="173" customFormat="1" ht="12" hidden="1" customHeight="1">
      <c r="A1032" s="172"/>
    </row>
    <row r="1033" spans="1:1" s="173" customFormat="1" ht="12" hidden="1" customHeight="1">
      <c r="A1033" s="172"/>
    </row>
    <row r="1034" spans="1:1" s="173" customFormat="1" ht="12" hidden="1" customHeight="1">
      <c r="A1034" s="172"/>
    </row>
    <row r="1035" spans="1:1" s="173" customFormat="1" ht="12" hidden="1" customHeight="1">
      <c r="A1035" s="172"/>
    </row>
    <row r="1036" spans="1:1" s="173" customFormat="1" ht="12" hidden="1" customHeight="1">
      <c r="A1036" s="172"/>
    </row>
    <row r="1037" spans="1:1" s="173" customFormat="1" ht="12" hidden="1" customHeight="1">
      <c r="A1037" s="172"/>
    </row>
    <row r="1038" spans="1:1" s="173" customFormat="1" ht="12" hidden="1" customHeight="1">
      <c r="A1038" s="172"/>
    </row>
    <row r="1039" spans="1:1" s="173" customFormat="1" ht="12" hidden="1" customHeight="1">
      <c r="A1039" s="172"/>
    </row>
    <row r="1040" spans="1:1" s="173" customFormat="1" ht="12" hidden="1" customHeight="1">
      <c r="A1040" s="172"/>
    </row>
    <row r="1041" spans="1:1" s="173" customFormat="1" ht="12" hidden="1" customHeight="1">
      <c r="A1041" s="172"/>
    </row>
    <row r="1042" spans="1:1" s="173" customFormat="1" ht="12" hidden="1" customHeight="1">
      <c r="A1042" s="172"/>
    </row>
    <row r="1043" spans="1:1" s="173" customFormat="1" ht="12" hidden="1" customHeight="1">
      <c r="A1043" s="172"/>
    </row>
    <row r="1044" spans="1:1" s="173" customFormat="1" ht="12" hidden="1" customHeight="1">
      <c r="A1044" s="172"/>
    </row>
    <row r="1045" spans="1:1" s="173" customFormat="1" ht="12" hidden="1" customHeight="1">
      <c r="A1045" s="172"/>
    </row>
    <row r="1046" spans="1:1" s="173" customFormat="1" ht="12" hidden="1" customHeight="1">
      <c r="A1046" s="172"/>
    </row>
    <row r="1047" spans="1:1" s="173" customFormat="1" ht="12" hidden="1" customHeight="1">
      <c r="A1047" s="172"/>
    </row>
    <row r="1048" spans="1:1" s="173" customFormat="1" ht="12" hidden="1" customHeight="1">
      <c r="A1048" s="172"/>
    </row>
    <row r="1049" spans="1:1" s="173" customFormat="1" ht="12" hidden="1" customHeight="1">
      <c r="A1049" s="172"/>
    </row>
    <row r="1050" spans="1:1" s="173" customFormat="1" ht="12" hidden="1" customHeight="1">
      <c r="A1050" s="172"/>
    </row>
    <row r="1051" spans="1:1" s="173" customFormat="1" ht="12" hidden="1" customHeight="1">
      <c r="A1051" s="172"/>
    </row>
    <row r="1052" spans="1:1" s="173" customFormat="1" ht="12" hidden="1" customHeight="1">
      <c r="A1052" s="172"/>
    </row>
    <row r="1053" spans="1:1" s="173" customFormat="1" ht="12" hidden="1" customHeight="1">
      <c r="A1053" s="172"/>
    </row>
    <row r="1054" spans="1:1" s="173" customFormat="1" ht="12" hidden="1" customHeight="1">
      <c r="A1054" s="172"/>
    </row>
    <row r="1055" spans="1:1" s="173" customFormat="1" ht="12" hidden="1" customHeight="1">
      <c r="A1055" s="172"/>
    </row>
    <row r="1056" spans="1:1" s="173" customFormat="1" ht="12" hidden="1" customHeight="1">
      <c r="A1056" s="172"/>
    </row>
    <row r="1057" spans="1:1" s="173" customFormat="1" ht="12" hidden="1" customHeight="1">
      <c r="A1057" s="172"/>
    </row>
    <row r="1058" spans="1:1" s="173" customFormat="1" ht="12" hidden="1" customHeight="1">
      <c r="A1058" s="172"/>
    </row>
    <row r="1059" spans="1:1" s="173" customFormat="1" ht="12" hidden="1" customHeight="1">
      <c r="A1059" s="172"/>
    </row>
    <row r="1060" spans="1:1" s="173" customFormat="1" ht="12" hidden="1" customHeight="1">
      <c r="A1060" s="172"/>
    </row>
    <row r="1061" spans="1:1" s="173" customFormat="1" ht="12" hidden="1" customHeight="1">
      <c r="A1061" s="172"/>
    </row>
    <row r="1062" spans="1:1" s="173" customFormat="1" ht="12" hidden="1" customHeight="1">
      <c r="A1062" s="172"/>
    </row>
    <row r="1063" spans="1:1" s="173" customFormat="1" ht="12" hidden="1" customHeight="1">
      <c r="A1063" s="172"/>
    </row>
    <row r="1064" spans="1:1" s="173" customFormat="1" ht="12" hidden="1" customHeight="1">
      <c r="A1064" s="172"/>
    </row>
    <row r="1065" spans="1:1" s="173" customFormat="1" ht="12" hidden="1" customHeight="1">
      <c r="A1065" s="172"/>
    </row>
    <row r="1066" spans="1:1" s="173" customFormat="1" ht="12" hidden="1" customHeight="1">
      <c r="A1066" s="172"/>
    </row>
    <row r="1067" spans="1:1" s="173" customFormat="1" ht="12" hidden="1" customHeight="1">
      <c r="A1067" s="172"/>
    </row>
    <row r="1068" spans="1:1" s="173" customFormat="1" ht="12" hidden="1" customHeight="1">
      <c r="A1068" s="172"/>
    </row>
    <row r="1069" spans="1:1" s="173" customFormat="1" ht="12" hidden="1" customHeight="1">
      <c r="A1069" s="172"/>
    </row>
    <row r="1070" spans="1:1" s="173" customFormat="1" ht="12" hidden="1" customHeight="1">
      <c r="A1070" s="172"/>
    </row>
    <row r="1071" spans="1:1" s="173" customFormat="1" ht="12" hidden="1" customHeight="1">
      <c r="A1071" s="172"/>
    </row>
    <row r="1072" spans="1:1" s="173" customFormat="1" ht="12" hidden="1" customHeight="1">
      <c r="A1072" s="172"/>
    </row>
    <row r="1073" spans="1:1" s="173" customFormat="1" ht="12" hidden="1" customHeight="1">
      <c r="A1073" s="172"/>
    </row>
    <row r="1074" spans="1:1" s="173" customFormat="1" ht="12" hidden="1" customHeight="1">
      <c r="A1074" s="172"/>
    </row>
    <row r="1075" spans="1:1" s="173" customFormat="1" ht="12" hidden="1" customHeight="1">
      <c r="A1075" s="172"/>
    </row>
    <row r="1076" spans="1:1" s="173" customFormat="1" ht="12" hidden="1" customHeight="1">
      <c r="A1076" s="172"/>
    </row>
    <row r="1077" spans="1:1" s="173" customFormat="1" ht="12" hidden="1" customHeight="1">
      <c r="A1077" s="172"/>
    </row>
    <row r="1078" spans="1:1" s="173" customFormat="1" ht="12" hidden="1" customHeight="1">
      <c r="A1078" s="172"/>
    </row>
    <row r="1079" spans="1:1" s="173" customFormat="1" ht="12" hidden="1" customHeight="1">
      <c r="A1079" s="172"/>
    </row>
    <row r="1080" spans="1:1" s="173" customFormat="1" ht="12" hidden="1" customHeight="1">
      <c r="A1080" s="172"/>
    </row>
    <row r="1081" spans="1:1" s="173" customFormat="1" ht="12" hidden="1" customHeight="1">
      <c r="A1081" s="172"/>
    </row>
    <row r="1082" spans="1:1" s="173" customFormat="1" ht="12" hidden="1" customHeight="1">
      <c r="A1082" s="172"/>
    </row>
    <row r="1083" spans="1:1" s="173" customFormat="1" ht="12" hidden="1" customHeight="1">
      <c r="A1083" s="172"/>
    </row>
    <row r="1084" spans="1:1" s="173" customFormat="1" ht="12" hidden="1" customHeight="1">
      <c r="A1084" s="172"/>
    </row>
    <row r="1085" spans="1:1" s="173" customFormat="1" ht="12" hidden="1" customHeight="1">
      <c r="A1085" s="172"/>
    </row>
    <row r="1086" spans="1:1" s="173" customFormat="1" ht="12" hidden="1" customHeight="1">
      <c r="A1086" s="172"/>
    </row>
    <row r="1087" spans="1:1" s="173" customFormat="1" ht="12" hidden="1" customHeight="1">
      <c r="A1087" s="172"/>
    </row>
    <row r="1088" spans="1:1" s="173" customFormat="1" ht="12" hidden="1" customHeight="1">
      <c r="A1088" s="172"/>
    </row>
    <row r="1089" spans="1:1" s="173" customFormat="1" ht="12" hidden="1" customHeight="1">
      <c r="A1089" s="172"/>
    </row>
    <row r="1090" spans="1:1" s="173" customFormat="1" ht="12" hidden="1" customHeight="1">
      <c r="A1090" s="172"/>
    </row>
    <row r="1091" spans="1:1" s="173" customFormat="1" ht="12" hidden="1" customHeight="1">
      <c r="A1091" s="172"/>
    </row>
    <row r="1092" spans="1:1" s="173" customFormat="1" ht="12" hidden="1" customHeight="1">
      <c r="A1092" s="172"/>
    </row>
    <row r="1093" spans="1:1" s="173" customFormat="1" ht="12" hidden="1" customHeight="1">
      <c r="A1093" s="172"/>
    </row>
    <row r="1094" spans="1:1" s="173" customFormat="1" ht="12" hidden="1" customHeight="1">
      <c r="A1094" s="172"/>
    </row>
    <row r="1095" spans="1:1" s="173" customFormat="1" ht="12" hidden="1" customHeight="1">
      <c r="A1095" s="172"/>
    </row>
    <row r="1096" spans="1:1" s="173" customFormat="1" ht="12" hidden="1" customHeight="1">
      <c r="A1096" s="172"/>
    </row>
    <row r="1097" spans="1:1" s="173" customFormat="1" ht="12" hidden="1" customHeight="1">
      <c r="A1097" s="172"/>
    </row>
    <row r="1098" spans="1:1" s="173" customFormat="1" ht="12" hidden="1" customHeight="1">
      <c r="A1098" s="172"/>
    </row>
    <row r="1099" spans="1:1" s="173" customFormat="1" ht="12" hidden="1" customHeight="1">
      <c r="A1099" s="172"/>
    </row>
    <row r="1100" spans="1:1" s="173" customFormat="1" ht="12" hidden="1" customHeight="1">
      <c r="A1100" s="172"/>
    </row>
    <row r="1101" spans="1:1" s="173" customFormat="1" ht="12" hidden="1" customHeight="1">
      <c r="A1101" s="172"/>
    </row>
    <row r="1102" spans="1:1" s="173" customFormat="1" ht="12" hidden="1" customHeight="1">
      <c r="A1102" s="172"/>
    </row>
    <row r="1103" spans="1:1" s="173" customFormat="1" ht="12" hidden="1" customHeight="1">
      <c r="A1103" s="172"/>
    </row>
    <row r="1104" spans="1:1" s="173" customFormat="1" ht="12" hidden="1" customHeight="1">
      <c r="A1104" s="172"/>
    </row>
    <row r="1105" spans="1:1" s="173" customFormat="1" ht="12" hidden="1" customHeight="1">
      <c r="A1105" s="172"/>
    </row>
    <row r="1106" spans="1:1" s="173" customFormat="1" ht="12" hidden="1" customHeight="1">
      <c r="A1106" s="172"/>
    </row>
    <row r="1107" spans="1:1" s="173" customFormat="1" ht="12" hidden="1" customHeight="1">
      <c r="A1107" s="172"/>
    </row>
    <row r="1108" spans="1:1" s="173" customFormat="1" ht="12" hidden="1" customHeight="1">
      <c r="A1108" s="172"/>
    </row>
    <row r="1109" spans="1:1" s="173" customFormat="1" ht="12" hidden="1" customHeight="1">
      <c r="A1109" s="172"/>
    </row>
    <row r="1110" spans="1:1" s="173" customFormat="1" ht="12" hidden="1" customHeight="1">
      <c r="A1110" s="172"/>
    </row>
    <row r="1111" spans="1:1" s="173" customFormat="1" ht="12" hidden="1" customHeight="1">
      <c r="A1111" s="172"/>
    </row>
    <row r="1112" spans="1:1" s="173" customFormat="1" ht="12" hidden="1" customHeight="1">
      <c r="A1112" s="172"/>
    </row>
    <row r="1113" spans="1:1" s="173" customFormat="1" ht="12" hidden="1" customHeight="1">
      <c r="A1113" s="172"/>
    </row>
    <row r="1114" spans="1:1" s="173" customFormat="1" ht="12" hidden="1" customHeight="1">
      <c r="A1114" s="172"/>
    </row>
    <row r="1115" spans="1:1" s="173" customFormat="1" ht="12" hidden="1" customHeight="1">
      <c r="A1115" s="172"/>
    </row>
    <row r="1116" spans="1:1" s="173" customFormat="1" ht="12" hidden="1" customHeight="1">
      <c r="A1116" s="172"/>
    </row>
    <row r="1117" spans="1:1" s="173" customFormat="1" ht="12" hidden="1" customHeight="1">
      <c r="A1117" s="172"/>
    </row>
    <row r="1118" spans="1:1" s="173" customFormat="1" ht="12" hidden="1" customHeight="1">
      <c r="A1118" s="172"/>
    </row>
    <row r="1119" spans="1:1" s="173" customFormat="1" ht="12" hidden="1" customHeight="1">
      <c r="A1119" s="172"/>
    </row>
    <row r="1120" spans="1:1" s="173" customFormat="1" ht="12" hidden="1" customHeight="1">
      <c r="A1120" s="172"/>
    </row>
    <row r="1121" spans="1:1" s="173" customFormat="1" ht="12" hidden="1" customHeight="1">
      <c r="A1121" s="172"/>
    </row>
    <row r="1122" spans="1:1" s="173" customFormat="1" ht="12" hidden="1" customHeight="1">
      <c r="A1122" s="172"/>
    </row>
    <row r="1123" spans="1:1" s="173" customFormat="1" ht="12" hidden="1" customHeight="1">
      <c r="A1123" s="172"/>
    </row>
    <row r="1124" spans="1:1" s="173" customFormat="1" ht="12" hidden="1" customHeight="1">
      <c r="A1124" s="172"/>
    </row>
    <row r="1125" spans="1:1" s="173" customFormat="1" ht="12" hidden="1" customHeight="1">
      <c r="A1125" s="172"/>
    </row>
    <row r="1126" spans="1:1" s="173" customFormat="1" ht="12" hidden="1" customHeight="1">
      <c r="A1126" s="172"/>
    </row>
    <row r="1127" spans="1:1" s="173" customFormat="1" ht="12" hidden="1" customHeight="1">
      <c r="A1127" s="172"/>
    </row>
    <row r="1128" spans="1:1" s="173" customFormat="1" ht="12" hidden="1" customHeight="1">
      <c r="A1128" s="172"/>
    </row>
    <row r="1129" spans="1:1" s="173" customFormat="1" ht="12" hidden="1" customHeight="1">
      <c r="A1129" s="172"/>
    </row>
    <row r="1130" spans="1:1" s="173" customFormat="1" ht="12" hidden="1" customHeight="1">
      <c r="A1130" s="172"/>
    </row>
    <row r="1131" spans="1:1" s="173" customFormat="1" ht="12" hidden="1" customHeight="1">
      <c r="A1131" s="172"/>
    </row>
    <row r="1132" spans="1:1" s="173" customFormat="1" ht="12" hidden="1" customHeight="1">
      <c r="A1132" s="172"/>
    </row>
    <row r="1133" spans="1:1" s="173" customFormat="1" ht="12" hidden="1" customHeight="1">
      <c r="A1133" s="172"/>
    </row>
    <row r="1134" spans="1:1" s="173" customFormat="1" ht="12" hidden="1" customHeight="1">
      <c r="A1134" s="172"/>
    </row>
    <row r="1135" spans="1:1" s="173" customFormat="1" ht="12" hidden="1" customHeight="1">
      <c r="A1135" s="172"/>
    </row>
    <row r="1136" spans="1:1" s="173" customFormat="1" ht="12" hidden="1" customHeight="1">
      <c r="A1136" s="172"/>
    </row>
    <row r="1137" spans="1:1" s="173" customFormat="1" ht="12" hidden="1" customHeight="1">
      <c r="A1137" s="172"/>
    </row>
    <row r="1138" spans="1:1" s="173" customFormat="1" ht="12" hidden="1" customHeight="1">
      <c r="A1138" s="172"/>
    </row>
    <row r="1139" spans="1:1" s="173" customFormat="1" ht="12" hidden="1" customHeight="1">
      <c r="A1139" s="172"/>
    </row>
    <row r="1140" spans="1:1" s="173" customFormat="1" ht="12" hidden="1" customHeight="1">
      <c r="A1140" s="172"/>
    </row>
    <row r="1141" spans="1:1" s="173" customFormat="1" ht="12" hidden="1" customHeight="1">
      <c r="A1141" s="172"/>
    </row>
    <row r="1142" spans="1:1" s="173" customFormat="1" ht="12" hidden="1" customHeight="1">
      <c r="A1142" s="172"/>
    </row>
    <row r="1143" spans="1:1" s="173" customFormat="1" ht="12" hidden="1" customHeight="1">
      <c r="A1143" s="172"/>
    </row>
    <row r="1144" spans="1:1" s="173" customFormat="1" ht="12" hidden="1" customHeight="1">
      <c r="A1144" s="172"/>
    </row>
    <row r="1145" spans="1:1" s="173" customFormat="1" ht="12" hidden="1" customHeight="1">
      <c r="A1145" s="172"/>
    </row>
    <row r="1146" spans="1:1" s="173" customFormat="1" ht="12" hidden="1" customHeight="1">
      <c r="A1146" s="172"/>
    </row>
    <row r="1147" spans="1:1" s="173" customFormat="1" ht="12" hidden="1" customHeight="1">
      <c r="A1147" s="172"/>
    </row>
    <row r="1148" spans="1:1" s="173" customFormat="1" ht="12" hidden="1" customHeight="1">
      <c r="A1148" s="172"/>
    </row>
    <row r="1149" spans="1:1" s="173" customFormat="1" ht="12" hidden="1" customHeight="1">
      <c r="A1149" s="172"/>
    </row>
    <row r="1150" spans="1:1" s="173" customFormat="1" ht="12" hidden="1" customHeight="1">
      <c r="A1150" s="172"/>
    </row>
    <row r="1151" spans="1:1" s="173" customFormat="1" ht="12" hidden="1" customHeight="1">
      <c r="A1151" s="172"/>
    </row>
    <row r="1152" spans="1:1" s="173" customFormat="1" ht="12" hidden="1" customHeight="1">
      <c r="A1152" s="172"/>
    </row>
    <row r="1153" spans="1:1" s="173" customFormat="1" ht="12" hidden="1" customHeight="1">
      <c r="A1153" s="172"/>
    </row>
    <row r="1154" spans="1:1" s="173" customFormat="1" ht="12" hidden="1" customHeight="1">
      <c r="A1154" s="172"/>
    </row>
    <row r="1155" spans="1:1" s="173" customFormat="1" ht="12" hidden="1" customHeight="1">
      <c r="A1155" s="172"/>
    </row>
    <row r="1156" spans="1:1" s="173" customFormat="1" ht="12" hidden="1" customHeight="1">
      <c r="A1156" s="172"/>
    </row>
    <row r="1157" spans="1:1" s="173" customFormat="1" ht="12" hidden="1" customHeight="1">
      <c r="A1157" s="172"/>
    </row>
    <row r="1158" spans="1:1" s="173" customFormat="1" ht="12" hidden="1" customHeight="1">
      <c r="A1158" s="172"/>
    </row>
    <row r="1159" spans="1:1" s="173" customFormat="1" ht="12" hidden="1" customHeight="1">
      <c r="A1159" s="172"/>
    </row>
    <row r="1160" spans="1:1" s="173" customFormat="1" ht="12" hidden="1" customHeight="1">
      <c r="A1160" s="172"/>
    </row>
    <row r="1161" spans="1:1" s="173" customFormat="1" ht="12" hidden="1" customHeight="1">
      <c r="A1161" s="172"/>
    </row>
    <row r="1162" spans="1:1" s="173" customFormat="1" ht="12" hidden="1" customHeight="1">
      <c r="A1162" s="172"/>
    </row>
    <row r="1163" spans="1:1" s="173" customFormat="1" ht="12" hidden="1" customHeight="1">
      <c r="A1163" s="172"/>
    </row>
    <row r="1164" spans="1:1" s="173" customFormat="1" ht="12" hidden="1" customHeight="1">
      <c r="A1164" s="172"/>
    </row>
    <row r="1165" spans="1:1" s="173" customFormat="1" ht="12" hidden="1" customHeight="1">
      <c r="A1165" s="172"/>
    </row>
    <row r="1166" spans="1:1" s="173" customFormat="1" ht="12" hidden="1" customHeight="1">
      <c r="A1166" s="172"/>
    </row>
    <row r="1167" spans="1:1" s="173" customFormat="1" ht="12" hidden="1" customHeight="1">
      <c r="A1167" s="172"/>
    </row>
    <row r="1168" spans="1:1" s="173" customFormat="1" ht="12" hidden="1" customHeight="1">
      <c r="A1168" s="172"/>
    </row>
    <row r="1169" spans="1:1" s="173" customFormat="1" ht="12" hidden="1" customHeight="1">
      <c r="A1169" s="172"/>
    </row>
    <row r="1170" spans="1:1" s="173" customFormat="1" ht="12" hidden="1" customHeight="1">
      <c r="A1170" s="172"/>
    </row>
    <row r="1171" spans="1:1" s="173" customFormat="1" ht="12" hidden="1" customHeight="1">
      <c r="A1171" s="172"/>
    </row>
    <row r="1172" spans="1:1" s="173" customFormat="1" ht="12" hidden="1" customHeight="1">
      <c r="A1172" s="172"/>
    </row>
    <row r="1173" spans="1:1" s="173" customFormat="1" ht="12" hidden="1" customHeight="1">
      <c r="A1173" s="172"/>
    </row>
    <row r="1174" spans="1:1" s="173" customFormat="1" ht="12" hidden="1" customHeight="1">
      <c r="A1174" s="172"/>
    </row>
    <row r="1175" spans="1:1" s="173" customFormat="1" ht="12" hidden="1" customHeight="1">
      <c r="A1175" s="172"/>
    </row>
    <row r="1176" spans="1:1" s="173" customFormat="1" ht="12" hidden="1" customHeight="1">
      <c r="A1176" s="172"/>
    </row>
    <row r="1177" spans="1:1" s="173" customFormat="1" ht="12" hidden="1" customHeight="1">
      <c r="A1177" s="172"/>
    </row>
    <row r="1178" spans="1:1" s="173" customFormat="1" ht="12" hidden="1" customHeight="1">
      <c r="A1178" s="172"/>
    </row>
    <row r="1179" spans="1:1" s="173" customFormat="1" ht="12" hidden="1" customHeight="1">
      <c r="A1179" s="172"/>
    </row>
    <row r="1180" spans="1:1" s="173" customFormat="1" ht="12" hidden="1" customHeight="1">
      <c r="A1180" s="172"/>
    </row>
    <row r="1181" spans="1:1" s="173" customFormat="1" ht="12" hidden="1" customHeight="1">
      <c r="A1181" s="172"/>
    </row>
    <row r="1182" spans="1:1" s="173" customFormat="1" ht="12" hidden="1" customHeight="1">
      <c r="A1182" s="172"/>
    </row>
    <row r="1183" spans="1:1" s="173" customFormat="1" ht="12" hidden="1" customHeight="1">
      <c r="A1183" s="172"/>
    </row>
    <row r="1184" spans="1:1" s="173" customFormat="1" ht="12" hidden="1" customHeight="1">
      <c r="A1184" s="172"/>
    </row>
    <row r="1185" spans="1:1" s="173" customFormat="1" ht="12" hidden="1" customHeight="1">
      <c r="A1185" s="172"/>
    </row>
    <row r="1186" spans="1:1" s="173" customFormat="1" ht="12" hidden="1" customHeight="1">
      <c r="A1186" s="172"/>
    </row>
    <row r="1187" spans="1:1" s="173" customFormat="1" ht="12" hidden="1" customHeight="1">
      <c r="A1187" s="172"/>
    </row>
    <row r="1188" spans="1:1" s="173" customFormat="1" ht="12" hidden="1" customHeight="1">
      <c r="A1188" s="172"/>
    </row>
    <row r="1189" spans="1:1" s="173" customFormat="1" ht="12" hidden="1" customHeight="1">
      <c r="A1189" s="172"/>
    </row>
    <row r="1190" spans="1:1" s="173" customFormat="1" ht="12" hidden="1" customHeight="1">
      <c r="A1190" s="172"/>
    </row>
    <row r="1191" spans="1:1" s="173" customFormat="1" ht="12" hidden="1" customHeight="1">
      <c r="A1191" s="172"/>
    </row>
    <row r="1192" spans="1:1" s="173" customFormat="1" ht="12" hidden="1" customHeight="1">
      <c r="A1192" s="172"/>
    </row>
    <row r="1193" spans="1:1" s="173" customFormat="1" ht="12" hidden="1" customHeight="1">
      <c r="A1193" s="172"/>
    </row>
    <row r="1194" spans="1:1" s="173" customFormat="1" ht="12" hidden="1" customHeight="1">
      <c r="A1194" s="172"/>
    </row>
    <row r="1195" spans="1:1" s="173" customFormat="1" ht="12" hidden="1" customHeight="1">
      <c r="A1195" s="172"/>
    </row>
    <row r="1196" spans="1:1" s="173" customFormat="1" ht="12" hidden="1" customHeight="1">
      <c r="A1196" s="172"/>
    </row>
    <row r="1197" spans="1:1" s="173" customFormat="1" ht="12" hidden="1" customHeight="1">
      <c r="A1197" s="172"/>
    </row>
    <row r="1198" spans="1:1" s="173" customFormat="1" ht="12" hidden="1" customHeight="1">
      <c r="A1198" s="172"/>
    </row>
    <row r="1199" spans="1:1" s="173" customFormat="1" ht="12" hidden="1" customHeight="1">
      <c r="A1199" s="172"/>
    </row>
    <row r="1200" spans="1:1" s="173" customFormat="1" ht="12" hidden="1" customHeight="1">
      <c r="A1200" s="172"/>
    </row>
    <row r="1201" spans="1:1" s="173" customFormat="1" ht="12" hidden="1" customHeight="1">
      <c r="A1201" s="172"/>
    </row>
    <row r="1202" spans="1:1" s="173" customFormat="1" ht="12" hidden="1" customHeight="1">
      <c r="A1202" s="172"/>
    </row>
    <row r="1203" spans="1:1" s="173" customFormat="1" ht="12" hidden="1" customHeight="1">
      <c r="A1203" s="172"/>
    </row>
    <row r="1204" spans="1:1" s="173" customFormat="1" ht="12" hidden="1" customHeight="1">
      <c r="A1204" s="172"/>
    </row>
    <row r="1205" spans="1:1" s="173" customFormat="1" ht="12" hidden="1" customHeight="1">
      <c r="A1205" s="172"/>
    </row>
    <row r="1206" spans="1:1" s="173" customFormat="1" ht="12" hidden="1" customHeight="1">
      <c r="A1206" s="172"/>
    </row>
    <row r="1207" spans="1:1" s="173" customFormat="1" ht="12" hidden="1" customHeight="1">
      <c r="A1207" s="172"/>
    </row>
    <row r="1208" spans="1:1" s="173" customFormat="1" ht="12" hidden="1" customHeight="1">
      <c r="A1208" s="172"/>
    </row>
    <row r="1209" spans="1:1" s="173" customFormat="1" ht="12" hidden="1" customHeight="1">
      <c r="A1209" s="172"/>
    </row>
    <row r="1210" spans="1:1" s="173" customFormat="1" ht="12" hidden="1" customHeight="1">
      <c r="A1210" s="172"/>
    </row>
    <row r="1211" spans="1:1" s="173" customFormat="1" ht="12" hidden="1" customHeight="1">
      <c r="A1211" s="172"/>
    </row>
    <row r="1212" spans="1:1" s="173" customFormat="1" ht="12" hidden="1" customHeight="1">
      <c r="A1212" s="172"/>
    </row>
    <row r="1213" spans="1:1" s="173" customFormat="1" ht="12" hidden="1" customHeight="1">
      <c r="A1213" s="172"/>
    </row>
    <row r="1214" spans="1:1" s="173" customFormat="1" ht="12" hidden="1" customHeight="1">
      <c r="A1214" s="172"/>
    </row>
    <row r="1215" spans="1:1" s="173" customFormat="1" ht="12" hidden="1" customHeight="1">
      <c r="A1215" s="172"/>
    </row>
    <row r="1216" spans="1:1" s="173" customFormat="1" ht="12" hidden="1" customHeight="1">
      <c r="A1216" s="172"/>
    </row>
    <row r="1217" spans="1:1" s="173" customFormat="1" ht="12" hidden="1" customHeight="1">
      <c r="A1217" s="172"/>
    </row>
    <row r="1218" spans="1:1" s="173" customFormat="1" ht="12" hidden="1" customHeight="1">
      <c r="A1218" s="172"/>
    </row>
    <row r="1219" spans="1:1" s="173" customFormat="1" ht="12" hidden="1" customHeight="1">
      <c r="A1219" s="172"/>
    </row>
    <row r="1220" spans="1:1" s="173" customFormat="1" ht="12" hidden="1" customHeight="1">
      <c r="A1220" s="172"/>
    </row>
    <row r="1221" spans="1:1" s="173" customFormat="1" ht="12" hidden="1" customHeight="1">
      <c r="A1221" s="172"/>
    </row>
    <row r="1222" spans="1:1" s="173" customFormat="1" ht="12" hidden="1" customHeight="1">
      <c r="A1222" s="172"/>
    </row>
    <row r="1223" spans="1:1" s="173" customFormat="1" ht="12" hidden="1" customHeight="1">
      <c r="A1223" s="172"/>
    </row>
    <row r="1224" spans="1:1" s="173" customFormat="1" ht="12" hidden="1" customHeight="1">
      <c r="A1224" s="172"/>
    </row>
    <row r="1225" spans="1:1" s="173" customFormat="1" ht="12" hidden="1" customHeight="1">
      <c r="A1225" s="172"/>
    </row>
    <row r="1226" spans="1:1" s="173" customFormat="1" ht="12" hidden="1" customHeight="1">
      <c r="A1226" s="172"/>
    </row>
    <row r="1227" spans="1:1" s="173" customFormat="1" ht="12" hidden="1" customHeight="1">
      <c r="A1227" s="172"/>
    </row>
    <row r="1228" spans="1:1" s="173" customFormat="1" ht="12" hidden="1" customHeight="1">
      <c r="A1228" s="172"/>
    </row>
    <row r="1229" spans="1:1" s="173" customFormat="1" ht="12" hidden="1" customHeight="1">
      <c r="A1229" s="172"/>
    </row>
    <row r="1230" spans="1:1" s="173" customFormat="1" ht="12" hidden="1" customHeight="1">
      <c r="A1230" s="172"/>
    </row>
    <row r="1231" spans="1:1" s="173" customFormat="1" ht="12" hidden="1" customHeight="1">
      <c r="A1231" s="172"/>
    </row>
    <row r="1232" spans="1:1" s="173" customFormat="1" ht="12" hidden="1" customHeight="1">
      <c r="A1232" s="172"/>
    </row>
    <row r="1233" spans="1:1" s="173" customFormat="1" ht="12" hidden="1" customHeight="1">
      <c r="A1233" s="172"/>
    </row>
    <row r="1234" spans="1:1" s="173" customFormat="1" ht="12" hidden="1" customHeight="1">
      <c r="A1234" s="172"/>
    </row>
    <row r="1235" spans="1:1" s="173" customFormat="1" ht="12" hidden="1" customHeight="1">
      <c r="A1235" s="172"/>
    </row>
    <row r="1236" spans="1:1" s="173" customFormat="1" ht="12" hidden="1" customHeight="1">
      <c r="A1236" s="172"/>
    </row>
    <row r="1237" spans="1:1" s="173" customFormat="1" ht="12" hidden="1" customHeight="1">
      <c r="A1237" s="172"/>
    </row>
    <row r="1238" spans="1:1" s="173" customFormat="1" ht="12" hidden="1" customHeight="1">
      <c r="A1238" s="172"/>
    </row>
    <row r="1239" spans="1:1" s="173" customFormat="1" ht="12" hidden="1" customHeight="1">
      <c r="A1239" s="172"/>
    </row>
    <row r="1240" spans="1:1" s="173" customFormat="1" ht="12" hidden="1" customHeight="1">
      <c r="A1240" s="172"/>
    </row>
    <row r="1241" spans="1:1" s="173" customFormat="1" ht="12" hidden="1" customHeight="1">
      <c r="A1241" s="172"/>
    </row>
    <row r="1242" spans="1:1" s="173" customFormat="1" ht="12" hidden="1" customHeight="1">
      <c r="A1242" s="172"/>
    </row>
    <row r="1243" spans="1:1" s="173" customFormat="1" ht="12" hidden="1" customHeight="1">
      <c r="A1243" s="172"/>
    </row>
    <row r="1244" spans="1:1" s="173" customFormat="1" ht="12" hidden="1" customHeight="1">
      <c r="A1244" s="172"/>
    </row>
    <row r="1245" spans="1:1" s="173" customFormat="1" ht="12" hidden="1" customHeight="1">
      <c r="A1245" s="172"/>
    </row>
    <row r="1246" spans="1:1" s="173" customFormat="1" ht="12" hidden="1" customHeight="1">
      <c r="A1246" s="172"/>
    </row>
    <row r="1247" spans="1:1" s="173" customFormat="1" ht="12" hidden="1" customHeight="1">
      <c r="A1247" s="172"/>
    </row>
    <row r="1248" spans="1:1" s="173" customFormat="1" ht="12" hidden="1" customHeight="1">
      <c r="A1248" s="172"/>
    </row>
    <row r="1249" spans="1:1" s="173" customFormat="1" ht="12" hidden="1" customHeight="1">
      <c r="A1249" s="172"/>
    </row>
    <row r="1250" spans="1:1" s="173" customFormat="1" ht="12" hidden="1" customHeight="1">
      <c r="A1250" s="172"/>
    </row>
    <row r="1251" spans="1:1" s="173" customFormat="1" ht="12" hidden="1" customHeight="1">
      <c r="A1251" s="172"/>
    </row>
    <row r="1252" spans="1:1" s="173" customFormat="1" ht="12" hidden="1" customHeight="1">
      <c r="A1252" s="172"/>
    </row>
    <row r="1253" spans="1:1" s="173" customFormat="1" ht="12" hidden="1" customHeight="1">
      <c r="A1253" s="172"/>
    </row>
    <row r="1254" spans="1:1" s="173" customFormat="1" ht="12" hidden="1" customHeight="1">
      <c r="A1254" s="172"/>
    </row>
    <row r="1255" spans="1:1" s="173" customFormat="1" ht="12" hidden="1" customHeight="1">
      <c r="A1255" s="172"/>
    </row>
    <row r="1256" spans="1:1" s="173" customFormat="1" ht="12" hidden="1" customHeight="1">
      <c r="A1256" s="172"/>
    </row>
    <row r="1257" spans="1:1" s="173" customFormat="1" ht="12" hidden="1" customHeight="1">
      <c r="A1257" s="172"/>
    </row>
    <row r="1258" spans="1:1" s="173" customFormat="1" ht="12" hidden="1" customHeight="1">
      <c r="A1258" s="172"/>
    </row>
    <row r="1259" spans="1:1" s="173" customFormat="1" ht="12" hidden="1" customHeight="1">
      <c r="A1259" s="172"/>
    </row>
    <row r="1260" spans="1:1" s="173" customFormat="1" ht="12" hidden="1" customHeight="1">
      <c r="A1260" s="172"/>
    </row>
    <row r="1261" spans="1:1" s="173" customFormat="1" ht="12" hidden="1" customHeight="1">
      <c r="A1261" s="172"/>
    </row>
    <row r="1262" spans="1:1" s="173" customFormat="1" ht="12" hidden="1" customHeight="1">
      <c r="A1262" s="172"/>
    </row>
    <row r="1263" spans="1:1" s="173" customFormat="1" ht="12" hidden="1" customHeight="1">
      <c r="A1263" s="172"/>
    </row>
    <row r="1264" spans="1:1" s="173" customFormat="1" ht="12" hidden="1" customHeight="1">
      <c r="A1264" s="172"/>
    </row>
    <row r="1265" spans="1:1" s="173" customFormat="1" ht="12" hidden="1" customHeight="1">
      <c r="A1265" s="172"/>
    </row>
    <row r="1266" spans="1:1" s="173" customFormat="1" ht="12" hidden="1" customHeight="1">
      <c r="A1266" s="172"/>
    </row>
    <row r="1267" spans="1:1" s="173" customFormat="1" ht="12" hidden="1" customHeight="1">
      <c r="A1267" s="172"/>
    </row>
    <row r="1268" spans="1:1" s="173" customFormat="1" ht="12" hidden="1" customHeight="1">
      <c r="A1268" s="172"/>
    </row>
    <row r="1269" spans="1:1" s="173" customFormat="1" ht="12" hidden="1" customHeight="1">
      <c r="A1269" s="172"/>
    </row>
    <row r="1270" spans="1:1" s="173" customFormat="1" ht="12" hidden="1" customHeight="1">
      <c r="A1270" s="172"/>
    </row>
    <row r="1271" spans="1:1" s="173" customFormat="1" ht="12" hidden="1" customHeight="1">
      <c r="A1271" s="172"/>
    </row>
    <row r="1272" spans="1:1" s="173" customFormat="1" ht="12" hidden="1" customHeight="1">
      <c r="A1272" s="172"/>
    </row>
    <row r="1273" spans="1:1" s="173" customFormat="1" ht="12" hidden="1" customHeight="1">
      <c r="A1273" s="172"/>
    </row>
    <row r="1274" spans="1:1" s="173" customFormat="1" ht="12" hidden="1" customHeight="1">
      <c r="A1274" s="172"/>
    </row>
    <row r="1275" spans="1:1" s="173" customFormat="1" ht="12" hidden="1" customHeight="1">
      <c r="A1275" s="172"/>
    </row>
    <row r="1276" spans="1:1" s="173" customFormat="1" ht="12" hidden="1" customHeight="1">
      <c r="A1276" s="172"/>
    </row>
    <row r="1277" spans="1:1" s="173" customFormat="1" ht="12" hidden="1" customHeight="1">
      <c r="A1277" s="172"/>
    </row>
    <row r="1278" spans="1:1" s="173" customFormat="1" ht="12" hidden="1" customHeight="1">
      <c r="A1278" s="172"/>
    </row>
    <row r="1279" spans="1:1" s="173" customFormat="1" ht="12" hidden="1" customHeight="1">
      <c r="A1279" s="172"/>
    </row>
    <row r="1280" spans="1:1" s="173" customFormat="1" ht="12" hidden="1" customHeight="1">
      <c r="A1280" s="172"/>
    </row>
    <row r="1281" spans="1:1" s="173" customFormat="1" ht="12" hidden="1" customHeight="1">
      <c r="A1281" s="172"/>
    </row>
    <row r="1282" spans="1:1" s="173" customFormat="1" ht="12" hidden="1" customHeight="1">
      <c r="A1282" s="172"/>
    </row>
    <row r="1283" spans="1:1" s="173" customFormat="1" ht="12" hidden="1" customHeight="1">
      <c r="A1283" s="172"/>
    </row>
    <row r="1284" spans="1:1" s="173" customFormat="1" ht="12" hidden="1" customHeight="1">
      <c r="A1284" s="172"/>
    </row>
    <row r="1285" spans="1:1" s="173" customFormat="1" ht="12" hidden="1" customHeight="1">
      <c r="A1285" s="172"/>
    </row>
    <row r="1286" spans="1:1" s="173" customFormat="1" ht="12" hidden="1" customHeight="1">
      <c r="A1286" s="172"/>
    </row>
    <row r="1287" spans="1:1" s="173" customFormat="1" ht="12" hidden="1" customHeight="1">
      <c r="A1287" s="172"/>
    </row>
    <row r="1288" spans="1:1" s="173" customFormat="1" ht="12" hidden="1" customHeight="1">
      <c r="A1288" s="172"/>
    </row>
    <row r="1289" spans="1:1" s="173" customFormat="1" ht="12" hidden="1" customHeight="1">
      <c r="A1289" s="172"/>
    </row>
    <row r="1290" spans="1:1" s="173" customFormat="1" ht="12" hidden="1" customHeight="1">
      <c r="A1290" s="172"/>
    </row>
    <row r="1291" spans="1:1" s="173" customFormat="1" ht="12" hidden="1" customHeight="1">
      <c r="A1291" s="172"/>
    </row>
    <row r="1292" spans="1:1" s="173" customFormat="1" ht="12" hidden="1" customHeight="1">
      <c r="A1292" s="172"/>
    </row>
    <row r="1293" spans="1:1" s="173" customFormat="1" ht="12" hidden="1" customHeight="1">
      <c r="A1293" s="172"/>
    </row>
    <row r="1294" spans="1:1" s="173" customFormat="1" ht="12" hidden="1" customHeight="1">
      <c r="A1294" s="172"/>
    </row>
    <row r="1295" spans="1:1" s="173" customFormat="1" ht="12" hidden="1" customHeight="1">
      <c r="A1295" s="172"/>
    </row>
    <row r="1296" spans="1:1" s="173" customFormat="1" ht="12" hidden="1" customHeight="1">
      <c r="A1296" s="172"/>
    </row>
    <row r="1297" spans="1:1" s="173" customFormat="1" ht="12" hidden="1" customHeight="1">
      <c r="A1297" s="172"/>
    </row>
    <row r="1298" spans="1:1" s="173" customFormat="1" ht="12" hidden="1" customHeight="1">
      <c r="A1298" s="172"/>
    </row>
    <row r="1299" spans="1:1" s="173" customFormat="1" ht="12" hidden="1" customHeight="1">
      <c r="A1299" s="172"/>
    </row>
    <row r="1300" spans="1:1" s="173" customFormat="1" ht="12" hidden="1" customHeight="1">
      <c r="A1300" s="172"/>
    </row>
    <row r="1301" spans="1:1" s="173" customFormat="1" ht="12" hidden="1" customHeight="1">
      <c r="A1301" s="172"/>
    </row>
    <row r="1302" spans="1:1" s="173" customFormat="1" ht="12" hidden="1" customHeight="1">
      <c r="A1302" s="172"/>
    </row>
    <row r="1303" spans="1:1" s="173" customFormat="1" ht="12" hidden="1" customHeight="1">
      <c r="A1303" s="172"/>
    </row>
    <row r="1304" spans="1:1" s="173" customFormat="1" ht="12" hidden="1" customHeight="1">
      <c r="A1304" s="172"/>
    </row>
    <row r="1305" spans="1:1" s="173" customFormat="1" ht="12" hidden="1" customHeight="1">
      <c r="A1305" s="172"/>
    </row>
    <row r="1306" spans="1:1" s="173" customFormat="1" ht="12" hidden="1" customHeight="1">
      <c r="A1306" s="172"/>
    </row>
    <row r="1307" spans="1:1" s="173" customFormat="1" ht="12" hidden="1" customHeight="1">
      <c r="A1307" s="172"/>
    </row>
    <row r="1308" spans="1:1" s="173" customFormat="1" ht="12" hidden="1" customHeight="1">
      <c r="A1308" s="172"/>
    </row>
    <row r="1309" spans="1:1" s="173" customFormat="1" ht="12" hidden="1" customHeight="1">
      <c r="A1309" s="172"/>
    </row>
    <row r="1310" spans="1:1" s="173" customFormat="1" ht="12" hidden="1" customHeight="1">
      <c r="A1310" s="172"/>
    </row>
    <row r="1311" spans="1:1" s="173" customFormat="1" ht="12" hidden="1" customHeight="1">
      <c r="A1311" s="172"/>
    </row>
    <row r="1312" spans="1:1" s="173" customFormat="1" ht="12" hidden="1" customHeight="1">
      <c r="A1312" s="172"/>
    </row>
    <row r="1313" spans="1:1" s="173" customFormat="1" ht="12" hidden="1" customHeight="1">
      <c r="A1313" s="172"/>
    </row>
    <row r="1314" spans="1:1" s="173" customFormat="1" ht="12" hidden="1" customHeight="1">
      <c r="A1314" s="172"/>
    </row>
    <row r="1315" spans="1:1" s="173" customFormat="1" ht="12" hidden="1" customHeight="1">
      <c r="A1315" s="172"/>
    </row>
    <row r="1316" spans="1:1" s="173" customFormat="1" ht="12" hidden="1" customHeight="1">
      <c r="A1316" s="172"/>
    </row>
    <row r="1317" spans="1:1" s="173" customFormat="1" ht="12" hidden="1" customHeight="1">
      <c r="A1317" s="172"/>
    </row>
    <row r="1318" spans="1:1" s="173" customFormat="1" ht="12" hidden="1" customHeight="1">
      <c r="A1318" s="172"/>
    </row>
    <row r="1319" spans="1:1" s="173" customFormat="1" ht="12" hidden="1" customHeight="1">
      <c r="A1319" s="172"/>
    </row>
    <row r="1320" spans="1:1" s="173" customFormat="1" ht="12" hidden="1" customHeight="1">
      <c r="A1320" s="172"/>
    </row>
    <row r="1321" spans="1:1" s="173" customFormat="1" ht="12" hidden="1" customHeight="1">
      <c r="A1321" s="172"/>
    </row>
    <row r="1322" spans="1:1" s="173" customFormat="1" ht="12" hidden="1" customHeight="1">
      <c r="A1322" s="172"/>
    </row>
    <row r="1323" spans="1:1" s="173" customFormat="1" ht="12" hidden="1" customHeight="1">
      <c r="A1323" s="172"/>
    </row>
    <row r="1324" spans="1:1" s="173" customFormat="1" ht="12" hidden="1" customHeight="1">
      <c r="A1324" s="172"/>
    </row>
    <row r="1325" spans="1:1" s="173" customFormat="1" ht="12" hidden="1" customHeight="1">
      <c r="A1325" s="172"/>
    </row>
    <row r="1326" spans="1:1" s="173" customFormat="1" ht="12" hidden="1" customHeight="1">
      <c r="A1326" s="172"/>
    </row>
    <row r="1327" spans="1:1" s="173" customFormat="1" ht="12" hidden="1" customHeight="1">
      <c r="A1327" s="172"/>
    </row>
    <row r="1328" spans="1:1" s="173" customFormat="1" ht="12" hidden="1" customHeight="1">
      <c r="A1328" s="172"/>
    </row>
    <row r="1329" spans="1:1" s="173" customFormat="1" ht="12" hidden="1" customHeight="1">
      <c r="A1329" s="172"/>
    </row>
    <row r="1330" spans="1:1" s="173" customFormat="1" ht="12" hidden="1" customHeight="1">
      <c r="A1330" s="172"/>
    </row>
    <row r="1331" spans="1:1" s="173" customFormat="1" ht="12" hidden="1" customHeight="1">
      <c r="A1331" s="172"/>
    </row>
    <row r="1332" spans="1:1" s="173" customFormat="1" ht="12" hidden="1" customHeight="1">
      <c r="A1332" s="172"/>
    </row>
    <row r="1333" spans="1:1" s="173" customFormat="1" ht="12" hidden="1" customHeight="1">
      <c r="A1333" s="172"/>
    </row>
    <row r="1334" spans="1:1" s="173" customFormat="1" ht="12" hidden="1" customHeight="1">
      <c r="A1334" s="172"/>
    </row>
    <row r="1335" spans="1:1" s="173" customFormat="1" ht="12" hidden="1" customHeight="1">
      <c r="A1335" s="172"/>
    </row>
    <row r="1336" spans="1:1" s="173" customFormat="1" ht="12" hidden="1" customHeight="1">
      <c r="A1336" s="172"/>
    </row>
    <row r="1337" spans="1:1" s="173" customFormat="1" ht="12" hidden="1" customHeight="1">
      <c r="A1337" s="172"/>
    </row>
    <row r="1338" spans="1:1" s="173" customFormat="1" ht="12" hidden="1" customHeight="1">
      <c r="A1338" s="172"/>
    </row>
    <row r="1339" spans="1:1" s="173" customFormat="1" ht="12" hidden="1" customHeight="1">
      <c r="A1339" s="172"/>
    </row>
    <row r="1340" spans="1:1" s="173" customFormat="1" ht="12" hidden="1" customHeight="1">
      <c r="A1340" s="172"/>
    </row>
    <row r="1341" spans="1:1" s="173" customFormat="1" ht="12" hidden="1" customHeight="1">
      <c r="A1341" s="172"/>
    </row>
    <row r="1342" spans="1:1" s="173" customFormat="1" ht="12" hidden="1" customHeight="1">
      <c r="A1342" s="172"/>
    </row>
    <row r="1343" spans="1:1" s="173" customFormat="1" ht="12" hidden="1" customHeight="1">
      <c r="A1343" s="172"/>
    </row>
    <row r="1344" spans="1:1" s="173" customFormat="1" ht="12" hidden="1" customHeight="1">
      <c r="A1344" s="172"/>
    </row>
    <row r="1345" spans="1:1" s="173" customFormat="1" ht="12" hidden="1" customHeight="1">
      <c r="A1345" s="172"/>
    </row>
    <row r="1346" spans="1:1" s="173" customFormat="1" ht="12" hidden="1" customHeight="1">
      <c r="A1346" s="172"/>
    </row>
    <row r="1347" spans="1:1" s="173" customFormat="1" ht="12" hidden="1" customHeight="1">
      <c r="A1347" s="172"/>
    </row>
    <row r="1348" spans="1:1" s="173" customFormat="1" ht="12" hidden="1" customHeight="1">
      <c r="A1348" s="172"/>
    </row>
    <row r="1349" spans="1:1" s="173" customFormat="1" ht="12" hidden="1" customHeight="1">
      <c r="A1349" s="172"/>
    </row>
    <row r="1350" spans="1:1" s="173" customFormat="1" ht="12" hidden="1" customHeight="1">
      <c r="A1350" s="172"/>
    </row>
    <row r="1351" spans="1:1" s="173" customFormat="1" ht="12" hidden="1" customHeight="1">
      <c r="A1351" s="172"/>
    </row>
    <row r="1352" spans="1:1" s="173" customFormat="1" ht="12" hidden="1" customHeight="1">
      <c r="A1352" s="172"/>
    </row>
    <row r="1353" spans="1:1" s="173" customFormat="1" ht="12" hidden="1" customHeight="1">
      <c r="A1353" s="172"/>
    </row>
    <row r="1354" spans="1:1" s="173" customFormat="1" ht="12" hidden="1" customHeight="1">
      <c r="A1354" s="172"/>
    </row>
    <row r="1355" spans="1:1" s="173" customFormat="1" ht="12" hidden="1" customHeight="1">
      <c r="A1355" s="172"/>
    </row>
    <row r="1356" spans="1:1" s="173" customFormat="1" ht="12" hidden="1" customHeight="1">
      <c r="A1356" s="172"/>
    </row>
    <row r="1357" spans="1:1" s="173" customFormat="1" ht="12" hidden="1" customHeight="1">
      <c r="A1357" s="172"/>
    </row>
    <row r="1358" spans="1:1" s="173" customFormat="1" ht="12" hidden="1" customHeight="1">
      <c r="A1358" s="172"/>
    </row>
    <row r="1359" spans="1:1" s="173" customFormat="1" ht="12" hidden="1" customHeight="1">
      <c r="A1359" s="172"/>
    </row>
    <row r="1360" spans="1:1" s="173" customFormat="1" ht="12" hidden="1" customHeight="1">
      <c r="A1360" s="172"/>
    </row>
    <row r="1361" spans="1:1" s="173" customFormat="1" ht="12" hidden="1" customHeight="1">
      <c r="A1361" s="172"/>
    </row>
    <row r="1362" spans="1:1" s="173" customFormat="1" ht="12" hidden="1" customHeight="1">
      <c r="A1362" s="172"/>
    </row>
    <row r="1363" spans="1:1" s="173" customFormat="1" ht="12" hidden="1" customHeight="1">
      <c r="A1363" s="172"/>
    </row>
    <row r="1364" spans="1:1" s="173" customFormat="1" ht="12" hidden="1" customHeight="1">
      <c r="A1364" s="172"/>
    </row>
    <row r="1365" spans="1:1" s="173" customFormat="1" ht="12" hidden="1" customHeight="1">
      <c r="A1365" s="172"/>
    </row>
    <row r="1366" spans="1:1" s="173" customFormat="1" ht="12" hidden="1" customHeight="1">
      <c r="A1366" s="172"/>
    </row>
    <row r="1367" spans="1:1" s="173" customFormat="1" ht="12" hidden="1" customHeight="1">
      <c r="A1367" s="172"/>
    </row>
    <row r="1368" spans="1:1" s="173" customFormat="1" ht="12" hidden="1" customHeight="1">
      <c r="A1368" s="172"/>
    </row>
    <row r="1369" spans="1:1" s="173" customFormat="1" ht="12" hidden="1" customHeight="1">
      <c r="A1369" s="172"/>
    </row>
    <row r="1370" spans="1:1" s="173" customFormat="1" ht="12" hidden="1" customHeight="1">
      <c r="A1370" s="172"/>
    </row>
    <row r="1371" spans="1:1" s="173" customFormat="1" ht="12" hidden="1" customHeight="1">
      <c r="A1371" s="172"/>
    </row>
    <row r="1372" spans="1:1" s="173" customFormat="1" ht="12" hidden="1" customHeight="1">
      <c r="A1372" s="172"/>
    </row>
    <row r="1373" spans="1:1" s="173" customFormat="1" ht="12" hidden="1" customHeight="1">
      <c r="A1373" s="172"/>
    </row>
    <row r="1374" spans="1:1" s="173" customFormat="1" ht="12" hidden="1" customHeight="1">
      <c r="A1374" s="172"/>
    </row>
    <row r="1375" spans="1:1" s="173" customFormat="1" ht="12" hidden="1" customHeight="1">
      <c r="A1375" s="172"/>
    </row>
    <row r="1376" spans="1:1" s="173" customFormat="1" ht="12" hidden="1" customHeight="1">
      <c r="A1376" s="172"/>
    </row>
    <row r="1377" spans="1:1" s="173" customFormat="1" ht="12" hidden="1" customHeight="1">
      <c r="A1377" s="172"/>
    </row>
    <row r="1378" spans="1:1" s="173" customFormat="1" ht="12" hidden="1" customHeight="1">
      <c r="A1378" s="172"/>
    </row>
    <row r="1379" spans="1:1" s="173" customFormat="1" ht="12" hidden="1" customHeight="1">
      <c r="A1379" s="172"/>
    </row>
    <row r="1380" spans="1:1" s="173" customFormat="1" ht="12" hidden="1" customHeight="1">
      <c r="A1380" s="172"/>
    </row>
    <row r="1381" spans="1:1" s="173" customFormat="1" ht="12" hidden="1" customHeight="1">
      <c r="A1381" s="172"/>
    </row>
    <row r="1382" spans="1:1" s="173" customFormat="1" ht="12" hidden="1" customHeight="1">
      <c r="A1382" s="172"/>
    </row>
    <row r="1383" spans="1:1" s="173" customFormat="1" ht="12" hidden="1" customHeight="1">
      <c r="A1383" s="172"/>
    </row>
    <row r="1384" spans="1:1" s="173" customFormat="1" ht="12" hidden="1" customHeight="1">
      <c r="A1384" s="172"/>
    </row>
    <row r="1385" spans="1:1" s="173" customFormat="1" ht="12" hidden="1" customHeight="1">
      <c r="A1385" s="172"/>
    </row>
    <row r="1386" spans="1:1" s="173" customFormat="1" ht="12" hidden="1" customHeight="1">
      <c r="A1386" s="172"/>
    </row>
    <row r="1387" spans="1:1" s="173" customFormat="1" ht="12" hidden="1" customHeight="1">
      <c r="A1387" s="172"/>
    </row>
    <row r="1388" spans="1:1" s="173" customFormat="1" ht="12" hidden="1" customHeight="1">
      <c r="A1388" s="172"/>
    </row>
    <row r="1389" spans="1:1" s="173" customFormat="1" ht="12" hidden="1" customHeight="1">
      <c r="A1389" s="172"/>
    </row>
    <row r="1390" spans="1:1" s="173" customFormat="1" ht="12" hidden="1" customHeight="1">
      <c r="A1390" s="172"/>
    </row>
    <row r="1391" spans="1:1" s="173" customFormat="1" ht="12" hidden="1" customHeight="1">
      <c r="A1391" s="172"/>
    </row>
    <row r="1392" spans="1:1" s="173" customFormat="1" ht="12" hidden="1" customHeight="1">
      <c r="A1392" s="172"/>
    </row>
    <row r="1393" spans="1:1" s="173" customFormat="1" ht="12" hidden="1" customHeight="1">
      <c r="A1393" s="172"/>
    </row>
    <row r="1394" spans="1:1" s="173" customFormat="1" ht="12" hidden="1" customHeight="1">
      <c r="A1394" s="172"/>
    </row>
    <row r="1395" spans="1:1" s="173" customFormat="1" ht="12" hidden="1" customHeight="1">
      <c r="A1395" s="172"/>
    </row>
    <row r="1396" spans="1:1" s="173" customFormat="1" ht="12" hidden="1" customHeight="1">
      <c r="A1396" s="172"/>
    </row>
    <row r="1397" spans="1:1" s="173" customFormat="1" ht="12" hidden="1" customHeight="1">
      <c r="A1397" s="172"/>
    </row>
    <row r="1398" spans="1:1" s="173" customFormat="1" ht="12" hidden="1" customHeight="1">
      <c r="A1398" s="172"/>
    </row>
    <row r="1399" spans="1:1" s="173" customFormat="1" ht="12" hidden="1" customHeight="1">
      <c r="A1399" s="172"/>
    </row>
    <row r="1400" spans="1:1" s="173" customFormat="1" ht="12" hidden="1" customHeight="1">
      <c r="A1400" s="172"/>
    </row>
    <row r="1401" spans="1:1" s="173" customFormat="1" ht="12" hidden="1" customHeight="1">
      <c r="A1401" s="172"/>
    </row>
    <row r="1402" spans="1:1" s="173" customFormat="1" ht="12" hidden="1" customHeight="1">
      <c r="A1402" s="172"/>
    </row>
    <row r="1403" spans="1:1" s="173" customFormat="1" ht="12" hidden="1" customHeight="1">
      <c r="A1403" s="172"/>
    </row>
    <row r="1404" spans="1:1" s="173" customFormat="1" ht="12" hidden="1" customHeight="1">
      <c r="A1404" s="172"/>
    </row>
    <row r="1405" spans="1:1" s="173" customFormat="1" ht="12" hidden="1" customHeight="1">
      <c r="A1405" s="172"/>
    </row>
    <row r="1406" spans="1:1" s="173" customFormat="1" ht="12" hidden="1" customHeight="1">
      <c r="A1406" s="172"/>
    </row>
    <row r="1407" spans="1:1" s="173" customFormat="1" ht="12" hidden="1" customHeight="1">
      <c r="A1407" s="172"/>
    </row>
    <row r="1408" spans="1:1" s="173" customFormat="1" ht="12" hidden="1" customHeight="1">
      <c r="A1408" s="172"/>
    </row>
    <row r="1409" spans="1:1" s="173" customFormat="1" ht="12" hidden="1" customHeight="1">
      <c r="A1409" s="172"/>
    </row>
    <row r="1410" spans="1:1" s="173" customFormat="1" ht="12" hidden="1" customHeight="1">
      <c r="A1410" s="172"/>
    </row>
    <row r="1411" spans="1:1" s="173" customFormat="1" ht="12" hidden="1" customHeight="1">
      <c r="A1411" s="172"/>
    </row>
    <row r="1412" spans="1:1" s="173" customFormat="1" ht="12" hidden="1" customHeight="1">
      <c r="A1412" s="172"/>
    </row>
    <row r="1413" spans="1:1" s="173" customFormat="1" ht="12" hidden="1" customHeight="1">
      <c r="A1413" s="172"/>
    </row>
    <row r="1414" spans="1:1" s="173" customFormat="1" ht="12" hidden="1" customHeight="1">
      <c r="A1414" s="172"/>
    </row>
    <row r="1415" spans="1:1" s="173" customFormat="1" ht="12" hidden="1" customHeight="1">
      <c r="A1415" s="172"/>
    </row>
    <row r="1416" spans="1:1" s="173" customFormat="1" ht="12" hidden="1" customHeight="1">
      <c r="A1416" s="172"/>
    </row>
    <row r="1417" spans="1:1" s="173" customFormat="1" ht="12" hidden="1" customHeight="1">
      <c r="A1417" s="172"/>
    </row>
    <row r="1418" spans="1:1" s="173" customFormat="1" ht="12" hidden="1" customHeight="1">
      <c r="A1418" s="172"/>
    </row>
    <row r="1419" spans="1:1" s="173" customFormat="1" ht="12" hidden="1" customHeight="1">
      <c r="A1419" s="172"/>
    </row>
    <row r="1420" spans="1:1" s="173" customFormat="1" ht="12" hidden="1" customHeight="1">
      <c r="A1420" s="172"/>
    </row>
    <row r="1421" spans="1:1" s="173" customFormat="1" ht="12" hidden="1" customHeight="1">
      <c r="A1421" s="172"/>
    </row>
    <row r="1422" spans="1:1" s="173" customFormat="1" ht="12" hidden="1" customHeight="1">
      <c r="A1422" s="172"/>
    </row>
    <row r="1423" spans="1:1" s="173" customFormat="1" ht="12" hidden="1" customHeight="1">
      <c r="A1423" s="172"/>
    </row>
    <row r="1424" spans="1:1" s="173" customFormat="1" ht="12" hidden="1" customHeight="1">
      <c r="A1424" s="172"/>
    </row>
    <row r="1425" spans="1:1" s="173" customFormat="1" ht="12" hidden="1" customHeight="1">
      <c r="A1425" s="172"/>
    </row>
    <row r="1426" spans="1:1" s="173" customFormat="1" ht="12" hidden="1" customHeight="1">
      <c r="A1426" s="172"/>
    </row>
    <row r="1427" spans="1:1" s="173" customFormat="1" ht="12" hidden="1" customHeight="1">
      <c r="A1427" s="172"/>
    </row>
    <row r="1428" spans="1:1" s="173" customFormat="1" ht="12" hidden="1" customHeight="1">
      <c r="A1428" s="172"/>
    </row>
    <row r="1429" spans="1:1" s="173" customFormat="1" ht="12" hidden="1" customHeight="1">
      <c r="A1429" s="172"/>
    </row>
    <row r="1430" spans="1:1" s="173" customFormat="1" ht="12" hidden="1" customHeight="1">
      <c r="A1430" s="172"/>
    </row>
    <row r="1431" spans="1:1" s="173" customFormat="1" ht="12" hidden="1" customHeight="1">
      <c r="A1431" s="172"/>
    </row>
    <row r="1432" spans="1:1" s="173" customFormat="1" ht="12" hidden="1" customHeight="1">
      <c r="A1432" s="172"/>
    </row>
    <row r="1433" spans="1:1" s="173" customFormat="1" ht="12" hidden="1" customHeight="1">
      <c r="A1433" s="172"/>
    </row>
    <row r="1434" spans="1:1" s="173" customFormat="1" ht="12" hidden="1" customHeight="1">
      <c r="A1434" s="172"/>
    </row>
    <row r="1435" spans="1:1" s="173" customFormat="1" ht="12" hidden="1" customHeight="1">
      <c r="A1435" s="172"/>
    </row>
    <row r="1436" spans="1:1" s="173" customFormat="1" ht="12" hidden="1" customHeight="1">
      <c r="A1436" s="172"/>
    </row>
    <row r="1437" spans="1:1" s="173" customFormat="1" ht="12" hidden="1" customHeight="1">
      <c r="A1437" s="172"/>
    </row>
    <row r="1438" spans="1:1" s="173" customFormat="1" ht="12" hidden="1" customHeight="1">
      <c r="A1438" s="172"/>
    </row>
    <row r="1439" spans="1:1" s="173" customFormat="1" ht="12" hidden="1" customHeight="1">
      <c r="A1439" s="172"/>
    </row>
    <row r="1440" spans="1:1" s="173" customFormat="1" ht="12" hidden="1" customHeight="1">
      <c r="A1440" s="172"/>
    </row>
    <row r="1441" spans="1:1" s="173" customFormat="1" ht="12" hidden="1" customHeight="1">
      <c r="A1441" s="172"/>
    </row>
    <row r="1442" spans="1:1" s="173" customFormat="1" ht="12" hidden="1" customHeight="1">
      <c r="A1442" s="172"/>
    </row>
    <row r="1443" spans="1:1" s="173" customFormat="1" ht="12" hidden="1" customHeight="1">
      <c r="A1443" s="172"/>
    </row>
    <row r="1444" spans="1:1" s="173" customFormat="1" ht="12" hidden="1" customHeight="1">
      <c r="A1444" s="172"/>
    </row>
    <row r="1445" spans="1:1" s="173" customFormat="1" ht="12" hidden="1" customHeight="1">
      <c r="A1445" s="172"/>
    </row>
    <row r="1446" spans="1:1" s="173" customFormat="1" ht="12" hidden="1" customHeight="1">
      <c r="A1446" s="172"/>
    </row>
    <row r="1447" spans="1:1" s="173" customFormat="1" ht="12" hidden="1" customHeight="1">
      <c r="A1447" s="172"/>
    </row>
    <row r="1448" spans="1:1" s="173" customFormat="1" ht="12" hidden="1" customHeight="1">
      <c r="A1448" s="172"/>
    </row>
    <row r="1449" spans="1:1" s="173" customFormat="1" ht="12" hidden="1" customHeight="1">
      <c r="A1449" s="172"/>
    </row>
    <row r="1450" spans="1:1" s="173" customFormat="1" ht="12" hidden="1" customHeight="1">
      <c r="A1450" s="172"/>
    </row>
    <row r="1451" spans="1:1" s="173" customFormat="1" ht="12" hidden="1" customHeight="1">
      <c r="A1451" s="172"/>
    </row>
    <row r="1452" spans="1:1" s="173" customFormat="1" ht="12" hidden="1" customHeight="1">
      <c r="A1452" s="172"/>
    </row>
    <row r="1453" spans="1:1" s="173" customFormat="1" ht="12" hidden="1" customHeight="1">
      <c r="A1453" s="172"/>
    </row>
    <row r="1454" spans="1:1" s="173" customFormat="1" ht="12" hidden="1" customHeight="1">
      <c r="A1454" s="172"/>
    </row>
    <row r="1455" spans="1:1" s="173" customFormat="1" ht="12" hidden="1" customHeight="1">
      <c r="A1455" s="172"/>
    </row>
    <row r="1456" spans="1:1" s="173" customFormat="1" ht="12" hidden="1" customHeight="1">
      <c r="A1456" s="172"/>
    </row>
    <row r="1457" spans="1:1" s="173" customFormat="1" ht="12" hidden="1" customHeight="1">
      <c r="A1457" s="172"/>
    </row>
    <row r="1458" spans="1:1" s="173" customFormat="1" ht="12" hidden="1" customHeight="1">
      <c r="A1458" s="172"/>
    </row>
    <row r="1459" spans="1:1" s="173" customFormat="1" ht="12" hidden="1" customHeight="1">
      <c r="A1459" s="172"/>
    </row>
    <row r="1460" spans="1:1" s="173" customFormat="1" ht="12" hidden="1" customHeight="1">
      <c r="A1460" s="172"/>
    </row>
    <row r="1461" spans="1:1" s="173" customFormat="1" ht="12" hidden="1" customHeight="1">
      <c r="A1461" s="172"/>
    </row>
    <row r="1462" spans="1:1" s="173" customFormat="1" ht="12" hidden="1" customHeight="1">
      <c r="A1462" s="172"/>
    </row>
    <row r="1463" spans="1:1" s="173" customFormat="1" ht="12" hidden="1" customHeight="1">
      <c r="A1463" s="172"/>
    </row>
    <row r="1464" spans="1:1" s="173" customFormat="1" ht="12" hidden="1" customHeight="1">
      <c r="A1464" s="172"/>
    </row>
    <row r="1465" spans="1:1" s="173" customFormat="1" ht="12" hidden="1" customHeight="1">
      <c r="A1465" s="172"/>
    </row>
    <row r="1466" spans="1:1" s="173" customFormat="1" ht="12" hidden="1" customHeight="1">
      <c r="A1466" s="172"/>
    </row>
    <row r="1467" spans="1:1" s="173" customFormat="1" ht="12" hidden="1" customHeight="1">
      <c r="A1467" s="172"/>
    </row>
    <row r="1468" spans="1:1" s="173" customFormat="1" ht="12" hidden="1" customHeight="1">
      <c r="A1468" s="172"/>
    </row>
    <row r="1469" spans="1:1" s="173" customFormat="1" ht="12" hidden="1" customHeight="1">
      <c r="A1469" s="172"/>
    </row>
    <row r="1470" spans="1:1" s="173" customFormat="1" ht="12" hidden="1" customHeight="1">
      <c r="A1470" s="172"/>
    </row>
    <row r="1471" spans="1:1" s="173" customFormat="1" ht="12" hidden="1" customHeight="1">
      <c r="A1471" s="172"/>
    </row>
    <row r="1472" spans="1:1" s="173" customFormat="1" ht="12" hidden="1" customHeight="1">
      <c r="A1472" s="172"/>
    </row>
    <row r="1473" spans="1:1" s="173" customFormat="1" ht="12" hidden="1" customHeight="1">
      <c r="A1473" s="172"/>
    </row>
    <row r="1474" spans="1:1" s="173" customFormat="1" ht="12" hidden="1" customHeight="1">
      <c r="A1474" s="172"/>
    </row>
    <row r="1475" spans="1:1" s="173" customFormat="1" ht="12" hidden="1" customHeight="1">
      <c r="A1475" s="172"/>
    </row>
    <row r="1476" spans="1:1" s="173" customFormat="1" ht="12" hidden="1" customHeight="1">
      <c r="A1476" s="172"/>
    </row>
    <row r="1477" spans="1:1" s="173" customFormat="1" ht="12" hidden="1" customHeight="1">
      <c r="A1477" s="172"/>
    </row>
    <row r="1478" spans="1:1" s="173" customFormat="1" ht="12" hidden="1" customHeight="1">
      <c r="A1478" s="172"/>
    </row>
    <row r="1479" spans="1:1" s="173" customFormat="1" ht="12" hidden="1" customHeight="1">
      <c r="A1479" s="172"/>
    </row>
    <row r="1480" spans="1:1" s="173" customFormat="1" ht="12" hidden="1" customHeight="1">
      <c r="A1480" s="172"/>
    </row>
    <row r="1481" spans="1:1" s="173" customFormat="1" ht="12" hidden="1" customHeight="1">
      <c r="A1481" s="172"/>
    </row>
    <row r="1482" spans="1:1" s="173" customFormat="1" ht="12" hidden="1" customHeight="1">
      <c r="A1482" s="172"/>
    </row>
    <row r="1483" spans="1:1" s="173" customFormat="1" ht="12" hidden="1" customHeight="1">
      <c r="A1483" s="172"/>
    </row>
    <row r="1484" spans="1:1" s="173" customFormat="1" ht="12" hidden="1" customHeight="1">
      <c r="A1484" s="172"/>
    </row>
    <row r="1485" spans="1:1" s="173" customFormat="1" ht="12" hidden="1" customHeight="1">
      <c r="A1485" s="172"/>
    </row>
    <row r="1486" spans="1:1" s="173" customFormat="1" ht="12" hidden="1" customHeight="1">
      <c r="A1486" s="172"/>
    </row>
    <row r="1487" spans="1:1" s="173" customFormat="1" ht="12" hidden="1" customHeight="1">
      <c r="A1487" s="172"/>
    </row>
    <row r="1488" spans="1:1" s="173" customFormat="1" ht="12" hidden="1" customHeight="1">
      <c r="A1488" s="172"/>
    </row>
    <row r="1489" spans="1:1" s="173" customFormat="1" ht="12" hidden="1" customHeight="1">
      <c r="A1489" s="172"/>
    </row>
    <row r="1490" spans="1:1" s="173" customFormat="1" ht="12" hidden="1" customHeight="1">
      <c r="A1490" s="172"/>
    </row>
    <row r="1491" spans="1:1" s="173" customFormat="1" ht="12" hidden="1" customHeight="1">
      <c r="A1491" s="172"/>
    </row>
    <row r="1492" spans="1:1" s="173" customFormat="1" ht="12" hidden="1" customHeight="1">
      <c r="A1492" s="172"/>
    </row>
    <row r="1493" spans="1:1" s="173" customFormat="1" ht="12" hidden="1" customHeight="1">
      <c r="A1493" s="172"/>
    </row>
    <row r="1494" spans="1:1" s="173" customFormat="1" ht="12" hidden="1" customHeight="1">
      <c r="A1494" s="172"/>
    </row>
    <row r="1495" spans="1:1" s="173" customFormat="1" ht="12" hidden="1" customHeight="1">
      <c r="A1495" s="172"/>
    </row>
    <row r="1496" spans="1:1" s="173" customFormat="1" ht="12" hidden="1" customHeight="1">
      <c r="A1496" s="172"/>
    </row>
    <row r="1497" spans="1:1" s="173" customFormat="1" ht="12" hidden="1" customHeight="1">
      <c r="A1497" s="172"/>
    </row>
    <row r="1498" spans="1:1" s="173" customFormat="1" ht="12" hidden="1" customHeight="1">
      <c r="A1498" s="172"/>
    </row>
    <row r="1499" spans="1:1" s="173" customFormat="1" ht="12" hidden="1" customHeight="1">
      <c r="A1499" s="172"/>
    </row>
    <row r="1500" spans="1:1" s="173" customFormat="1" ht="12" hidden="1" customHeight="1">
      <c r="A1500" s="172"/>
    </row>
    <row r="1501" spans="1:1" s="173" customFormat="1" ht="12" hidden="1" customHeight="1">
      <c r="A1501" s="172"/>
    </row>
    <row r="1502" spans="1:1" s="173" customFormat="1" ht="12" hidden="1" customHeight="1">
      <c r="A1502" s="172"/>
    </row>
    <row r="1503" spans="1:1" s="173" customFormat="1" ht="12" hidden="1" customHeight="1">
      <c r="A1503" s="172"/>
    </row>
    <row r="1504" spans="1:1" s="173" customFormat="1" ht="12" hidden="1" customHeight="1">
      <c r="A1504" s="172"/>
    </row>
    <row r="1505" spans="1:1" s="173" customFormat="1" ht="12" hidden="1" customHeight="1">
      <c r="A1505" s="172"/>
    </row>
    <row r="1506" spans="1:1" s="173" customFormat="1" ht="12" hidden="1" customHeight="1">
      <c r="A1506" s="172"/>
    </row>
    <row r="1507" spans="1:1" s="173" customFormat="1" ht="12" hidden="1" customHeight="1">
      <c r="A1507" s="172"/>
    </row>
    <row r="1508" spans="1:1" s="173" customFormat="1" ht="12" hidden="1" customHeight="1">
      <c r="A1508" s="172"/>
    </row>
    <row r="1509" spans="1:1" s="173" customFormat="1" ht="12" hidden="1" customHeight="1">
      <c r="A1509" s="172"/>
    </row>
    <row r="1510" spans="1:1" s="173" customFormat="1" ht="12" hidden="1" customHeight="1">
      <c r="A1510" s="172"/>
    </row>
    <row r="1511" spans="1:1" s="173" customFormat="1" ht="12" hidden="1" customHeight="1">
      <c r="A1511" s="172"/>
    </row>
    <row r="1512" spans="1:1" s="173" customFormat="1" ht="12" hidden="1" customHeight="1">
      <c r="A1512" s="172"/>
    </row>
    <row r="1513" spans="1:1" s="173" customFormat="1" ht="12" hidden="1" customHeight="1">
      <c r="A1513" s="172"/>
    </row>
    <row r="1514" spans="1:1" s="173" customFormat="1" ht="12" hidden="1" customHeight="1">
      <c r="A1514" s="172"/>
    </row>
    <row r="1515" spans="1:1" s="173" customFormat="1" ht="12" hidden="1" customHeight="1">
      <c r="A1515" s="172"/>
    </row>
    <row r="1516" spans="1:1" s="173" customFormat="1" ht="12" hidden="1" customHeight="1">
      <c r="A1516" s="172"/>
    </row>
    <row r="1517" spans="1:1" s="173" customFormat="1" ht="12" hidden="1" customHeight="1">
      <c r="A1517" s="172"/>
    </row>
    <row r="1518" spans="1:1" s="173" customFormat="1" ht="12" hidden="1" customHeight="1">
      <c r="A1518" s="172"/>
    </row>
    <row r="1519" spans="1:1" s="173" customFormat="1" ht="12" hidden="1" customHeight="1">
      <c r="A1519" s="172"/>
    </row>
    <row r="1520" spans="1:1" s="173" customFormat="1" ht="12" hidden="1" customHeight="1">
      <c r="A1520" s="172"/>
    </row>
    <row r="1521" spans="1:1" s="173" customFormat="1" ht="12" hidden="1" customHeight="1">
      <c r="A1521" s="172"/>
    </row>
    <row r="1522" spans="1:1" s="173" customFormat="1" ht="12" hidden="1" customHeight="1">
      <c r="A1522" s="172"/>
    </row>
    <row r="1523" spans="1:1" s="173" customFormat="1" ht="12" hidden="1" customHeight="1">
      <c r="A1523" s="172"/>
    </row>
    <row r="1524" spans="1:1" s="173" customFormat="1" ht="12" hidden="1" customHeight="1">
      <c r="A1524" s="172"/>
    </row>
    <row r="1525" spans="1:1" s="173" customFormat="1" ht="12" hidden="1" customHeight="1">
      <c r="A1525" s="172"/>
    </row>
    <row r="1526" spans="1:1" s="173" customFormat="1" ht="12" hidden="1" customHeight="1">
      <c r="A1526" s="172"/>
    </row>
    <row r="1527" spans="1:1" s="173" customFormat="1" ht="12" hidden="1" customHeight="1">
      <c r="A1527" s="172"/>
    </row>
    <row r="1528" spans="1:1" s="173" customFormat="1" ht="12" hidden="1" customHeight="1">
      <c r="A1528" s="172"/>
    </row>
    <row r="1529" spans="1:1" s="173" customFormat="1" ht="12" hidden="1" customHeight="1">
      <c r="A1529" s="172"/>
    </row>
    <row r="1530" spans="1:1" s="173" customFormat="1" ht="12" hidden="1" customHeight="1">
      <c r="A1530" s="172"/>
    </row>
    <row r="1531" spans="1:1" s="173" customFormat="1" ht="12" hidden="1" customHeight="1">
      <c r="A1531" s="172"/>
    </row>
    <row r="1532" spans="1:1" s="173" customFormat="1" ht="12" hidden="1" customHeight="1">
      <c r="A1532" s="172"/>
    </row>
    <row r="1533" spans="1:1" s="173" customFormat="1" ht="12" hidden="1" customHeight="1">
      <c r="A1533" s="172"/>
    </row>
    <row r="1534" spans="1:1" s="173" customFormat="1" ht="12" hidden="1" customHeight="1">
      <c r="A1534" s="172"/>
    </row>
    <row r="1535" spans="1:1" s="173" customFormat="1" ht="12" hidden="1" customHeight="1">
      <c r="A1535" s="172"/>
    </row>
    <row r="1536" spans="1:1" s="173" customFormat="1" ht="12" hidden="1" customHeight="1">
      <c r="A1536" s="172"/>
    </row>
    <row r="1537" spans="1:1" s="173" customFormat="1" ht="12" hidden="1" customHeight="1">
      <c r="A1537" s="172"/>
    </row>
    <row r="1538" spans="1:1" s="173" customFormat="1" ht="12" hidden="1" customHeight="1">
      <c r="A1538" s="172"/>
    </row>
    <row r="1539" spans="1:1" s="173" customFormat="1" ht="12" hidden="1" customHeight="1">
      <c r="A1539" s="172"/>
    </row>
    <row r="1540" spans="1:1" s="173" customFormat="1" ht="12" hidden="1" customHeight="1">
      <c r="A1540" s="172"/>
    </row>
    <row r="1541" spans="1:1" s="173" customFormat="1" ht="12" hidden="1" customHeight="1">
      <c r="A1541" s="172"/>
    </row>
    <row r="1542" spans="1:1" s="173" customFormat="1" ht="12" hidden="1" customHeight="1">
      <c r="A1542" s="172"/>
    </row>
    <row r="1543" spans="1:1" s="173" customFormat="1" ht="12" hidden="1" customHeight="1">
      <c r="A1543" s="172"/>
    </row>
    <row r="1544" spans="1:1" s="173" customFormat="1" ht="12" hidden="1" customHeight="1">
      <c r="A1544" s="172"/>
    </row>
    <row r="1545" spans="1:1" s="173" customFormat="1" ht="12" hidden="1" customHeight="1">
      <c r="A1545" s="172"/>
    </row>
    <row r="1546" spans="1:1" s="173" customFormat="1" ht="12" hidden="1" customHeight="1">
      <c r="A1546" s="172"/>
    </row>
    <row r="1547" spans="1:1" s="173" customFormat="1" ht="12" hidden="1" customHeight="1">
      <c r="A1547" s="172"/>
    </row>
    <row r="1548" spans="1:1" s="173" customFormat="1" ht="12" hidden="1" customHeight="1">
      <c r="A1548" s="172"/>
    </row>
    <row r="1549" spans="1:1" s="173" customFormat="1" ht="12" hidden="1" customHeight="1">
      <c r="A1549" s="172"/>
    </row>
    <row r="1550" spans="1:1" s="173" customFormat="1" ht="12" hidden="1" customHeight="1">
      <c r="A1550" s="172"/>
    </row>
    <row r="1551" spans="1:1" s="173" customFormat="1" ht="12" hidden="1" customHeight="1">
      <c r="A1551" s="172"/>
    </row>
    <row r="1552" spans="1:1" s="173" customFormat="1" ht="12" hidden="1" customHeight="1">
      <c r="A1552" s="172"/>
    </row>
    <row r="1553" spans="1:1" s="173" customFormat="1" ht="12" hidden="1" customHeight="1">
      <c r="A1553" s="172"/>
    </row>
    <row r="1554" spans="1:1" s="173" customFormat="1" ht="12" hidden="1" customHeight="1">
      <c r="A1554" s="172"/>
    </row>
    <row r="1555" spans="1:1" s="173" customFormat="1" ht="12" hidden="1" customHeight="1">
      <c r="A1555" s="172"/>
    </row>
    <row r="1556" spans="1:1" s="173" customFormat="1" ht="12" hidden="1" customHeight="1">
      <c r="A1556" s="172"/>
    </row>
    <row r="1557" spans="1:1" s="173" customFormat="1" ht="12" hidden="1" customHeight="1">
      <c r="A1557" s="172"/>
    </row>
    <row r="1558" spans="1:1" s="173" customFormat="1" ht="12" hidden="1" customHeight="1">
      <c r="A1558" s="172"/>
    </row>
    <row r="1559" spans="1:1" s="173" customFormat="1" ht="12" hidden="1" customHeight="1">
      <c r="A1559" s="172"/>
    </row>
    <row r="1560" spans="1:1" s="173" customFormat="1" ht="12" hidden="1" customHeight="1">
      <c r="A1560" s="172"/>
    </row>
    <row r="1561" spans="1:1" s="173" customFormat="1" ht="12" hidden="1" customHeight="1">
      <c r="A1561" s="172"/>
    </row>
    <row r="1562" spans="1:1" s="173" customFormat="1" ht="12" hidden="1" customHeight="1">
      <c r="A1562" s="172"/>
    </row>
    <row r="1563" spans="1:1" s="173" customFormat="1" ht="12" hidden="1" customHeight="1">
      <c r="A1563" s="172"/>
    </row>
    <row r="1564" spans="1:1" s="173" customFormat="1" ht="12" hidden="1" customHeight="1">
      <c r="A1564" s="172"/>
    </row>
    <row r="1565" spans="1:1" s="173" customFormat="1" ht="12" hidden="1" customHeight="1">
      <c r="A1565" s="172"/>
    </row>
    <row r="1566" spans="1:1" s="173" customFormat="1" ht="12" hidden="1" customHeight="1">
      <c r="A1566" s="172"/>
    </row>
    <row r="1567" spans="1:1" s="173" customFormat="1" ht="12" hidden="1" customHeight="1">
      <c r="A1567" s="172"/>
    </row>
    <row r="1568" spans="1:1" s="173" customFormat="1" ht="12" hidden="1" customHeight="1">
      <c r="A1568" s="172"/>
    </row>
    <row r="1569" spans="1:1" s="173" customFormat="1" ht="12" hidden="1" customHeight="1">
      <c r="A1569" s="172"/>
    </row>
    <row r="1570" spans="1:1" s="173" customFormat="1" ht="12" hidden="1" customHeight="1">
      <c r="A1570" s="172"/>
    </row>
    <row r="1571" spans="1:1" s="173" customFormat="1" ht="12" hidden="1" customHeight="1">
      <c r="A1571" s="172"/>
    </row>
    <row r="1572" spans="1:1" s="173" customFormat="1" ht="12" hidden="1" customHeight="1">
      <c r="A1572" s="172"/>
    </row>
    <row r="1573" spans="1:1" s="173" customFormat="1" ht="12" hidden="1" customHeight="1">
      <c r="A1573" s="172"/>
    </row>
    <row r="1574" spans="1:1" s="173" customFormat="1" ht="12" hidden="1" customHeight="1">
      <c r="A1574" s="172"/>
    </row>
    <row r="1575" spans="1:1" s="173" customFormat="1" ht="12" hidden="1" customHeight="1">
      <c r="A1575" s="172"/>
    </row>
    <row r="1576" spans="1:1" s="173" customFormat="1" ht="12" hidden="1" customHeight="1">
      <c r="A1576" s="172"/>
    </row>
    <row r="1577" spans="1:1" s="173" customFormat="1" ht="12" hidden="1" customHeight="1">
      <c r="A1577" s="172"/>
    </row>
    <row r="1578" spans="1:1" s="173" customFormat="1" ht="12" hidden="1" customHeight="1">
      <c r="A1578" s="172"/>
    </row>
    <row r="1579" spans="1:1" s="173" customFormat="1" ht="12" hidden="1" customHeight="1">
      <c r="A1579" s="172"/>
    </row>
    <row r="1580" spans="1:1" s="173" customFormat="1" ht="12" hidden="1" customHeight="1">
      <c r="A1580" s="172"/>
    </row>
    <row r="1581" spans="1:1" s="173" customFormat="1" ht="12" hidden="1" customHeight="1">
      <c r="A1581" s="172"/>
    </row>
    <row r="1582" spans="1:1" s="173" customFormat="1" ht="12" hidden="1" customHeight="1">
      <c r="A1582" s="172"/>
    </row>
    <row r="1583" spans="1:1" s="173" customFormat="1" ht="12" hidden="1" customHeight="1">
      <c r="A1583" s="172"/>
    </row>
    <row r="1584" spans="1:1" s="173" customFormat="1" ht="12" hidden="1" customHeight="1">
      <c r="A1584" s="172"/>
    </row>
    <row r="1585" spans="1:1" s="173" customFormat="1" ht="12" hidden="1" customHeight="1">
      <c r="A1585" s="172"/>
    </row>
    <row r="1586" spans="1:1" s="173" customFormat="1" ht="12" hidden="1" customHeight="1">
      <c r="A1586" s="172"/>
    </row>
    <row r="1587" spans="1:1" s="173" customFormat="1" ht="12" hidden="1" customHeight="1">
      <c r="A1587" s="172"/>
    </row>
    <row r="1588" spans="1:1" s="173" customFormat="1" ht="12" hidden="1" customHeight="1">
      <c r="A1588" s="172"/>
    </row>
    <row r="1589" spans="1:1" s="173" customFormat="1" ht="12" hidden="1" customHeight="1">
      <c r="A1589" s="172"/>
    </row>
    <row r="1590" spans="1:1" s="173" customFormat="1" ht="12" hidden="1" customHeight="1">
      <c r="A1590" s="172"/>
    </row>
    <row r="1591" spans="1:1" s="173" customFormat="1" ht="12" hidden="1" customHeight="1">
      <c r="A1591" s="172"/>
    </row>
    <row r="1592" spans="1:1" s="173" customFormat="1" ht="12" hidden="1" customHeight="1">
      <c r="A1592" s="172"/>
    </row>
    <row r="1593" spans="1:1" s="173" customFormat="1" ht="12" hidden="1" customHeight="1">
      <c r="A1593" s="172"/>
    </row>
    <row r="1594" spans="1:1" s="173" customFormat="1" ht="12" hidden="1" customHeight="1">
      <c r="A1594" s="172"/>
    </row>
    <row r="1595" spans="1:1" s="173" customFormat="1" ht="12" hidden="1" customHeight="1">
      <c r="A1595" s="172"/>
    </row>
    <row r="1596" spans="1:1" s="173" customFormat="1" ht="12" hidden="1" customHeight="1">
      <c r="A1596" s="172"/>
    </row>
    <row r="1597" spans="1:1" s="173" customFormat="1" ht="12" hidden="1" customHeight="1">
      <c r="A1597" s="172"/>
    </row>
    <row r="1598" spans="1:1" s="173" customFormat="1" ht="12" hidden="1" customHeight="1">
      <c r="A1598" s="172"/>
    </row>
    <row r="1599" spans="1:1" s="173" customFormat="1" ht="12" hidden="1" customHeight="1">
      <c r="A1599" s="172"/>
    </row>
    <row r="1600" spans="1:1" s="173" customFormat="1" ht="12" hidden="1" customHeight="1">
      <c r="A1600" s="172"/>
    </row>
    <row r="1601" spans="1:1" s="173" customFormat="1" ht="12" hidden="1" customHeight="1">
      <c r="A1601" s="172"/>
    </row>
    <row r="1602" spans="1:1" s="173" customFormat="1" ht="12" hidden="1" customHeight="1">
      <c r="A1602" s="172"/>
    </row>
    <row r="1603" spans="1:1" s="173" customFormat="1" ht="12" hidden="1" customHeight="1">
      <c r="A1603" s="172"/>
    </row>
    <row r="1604" spans="1:1" s="173" customFormat="1" ht="12" hidden="1" customHeight="1">
      <c r="A1604" s="172"/>
    </row>
    <row r="1605" spans="1:1" s="173" customFormat="1" ht="12" hidden="1" customHeight="1">
      <c r="A1605" s="172"/>
    </row>
    <row r="1606" spans="1:1" s="173" customFormat="1" ht="12" hidden="1" customHeight="1">
      <c r="A1606" s="172"/>
    </row>
    <row r="1607" spans="1:1" s="173" customFormat="1" ht="12" hidden="1" customHeight="1">
      <c r="A1607" s="172"/>
    </row>
    <row r="1608" spans="1:1" s="173" customFormat="1" ht="12" hidden="1" customHeight="1">
      <c r="A1608" s="172"/>
    </row>
    <row r="1609" spans="1:1" s="173" customFormat="1" ht="12" hidden="1" customHeight="1">
      <c r="A1609" s="172"/>
    </row>
    <row r="1610" spans="1:1" s="173" customFormat="1" ht="12" hidden="1" customHeight="1">
      <c r="A1610" s="172"/>
    </row>
    <row r="1611" spans="1:1" s="173" customFormat="1" ht="12" hidden="1" customHeight="1">
      <c r="A1611" s="172"/>
    </row>
    <row r="1612" spans="1:1" s="173" customFormat="1" ht="12" hidden="1" customHeight="1">
      <c r="A1612" s="172"/>
    </row>
    <row r="1613" spans="1:1" s="173" customFormat="1" ht="12" hidden="1" customHeight="1">
      <c r="A1613" s="172"/>
    </row>
    <row r="1614" spans="1:1" s="173" customFormat="1" ht="12" hidden="1" customHeight="1">
      <c r="A1614" s="172"/>
    </row>
    <row r="1615" spans="1:1" s="173" customFormat="1" ht="12" hidden="1" customHeight="1">
      <c r="A1615" s="172"/>
    </row>
    <row r="1616" spans="1:1" s="173" customFormat="1" ht="12" hidden="1" customHeight="1">
      <c r="A1616" s="172"/>
    </row>
    <row r="1617" spans="1:1" s="173" customFormat="1" ht="12" hidden="1" customHeight="1">
      <c r="A1617" s="172"/>
    </row>
    <row r="1618" spans="1:1" s="173" customFormat="1" ht="12" hidden="1" customHeight="1">
      <c r="A1618" s="172"/>
    </row>
    <row r="1619" spans="1:1" s="173" customFormat="1" ht="12" hidden="1" customHeight="1">
      <c r="A1619" s="172"/>
    </row>
    <row r="1620" spans="1:1" s="173" customFormat="1" ht="12" hidden="1" customHeight="1">
      <c r="A1620" s="172"/>
    </row>
    <row r="1621" spans="1:1" s="173" customFormat="1" ht="12" hidden="1" customHeight="1">
      <c r="A1621" s="172"/>
    </row>
    <row r="1622" spans="1:1" s="173" customFormat="1" ht="12" hidden="1" customHeight="1">
      <c r="A1622" s="172"/>
    </row>
    <row r="1623" spans="1:1" s="173" customFormat="1" ht="12" hidden="1" customHeight="1">
      <c r="A1623" s="172"/>
    </row>
    <row r="1624" spans="1:1" s="173" customFormat="1" ht="12" hidden="1" customHeight="1">
      <c r="A1624" s="172"/>
    </row>
    <row r="1625" spans="1:1" s="173" customFormat="1" ht="12" hidden="1" customHeight="1">
      <c r="A1625" s="172"/>
    </row>
    <row r="1626" spans="1:1" s="173" customFormat="1" ht="12" hidden="1" customHeight="1">
      <c r="A1626" s="172"/>
    </row>
    <row r="1627" spans="1:1" s="173" customFormat="1" ht="12" hidden="1" customHeight="1">
      <c r="A1627" s="172"/>
    </row>
    <row r="1628" spans="1:1" s="173" customFormat="1" ht="12" hidden="1" customHeight="1">
      <c r="A1628" s="172"/>
    </row>
    <row r="1629" spans="1:1" s="173" customFormat="1" ht="12" hidden="1" customHeight="1">
      <c r="A1629" s="172"/>
    </row>
    <row r="1630" spans="1:1" s="173" customFormat="1" ht="12" hidden="1" customHeight="1">
      <c r="A1630" s="172"/>
    </row>
    <row r="1631" spans="1:1" s="173" customFormat="1" ht="12" hidden="1" customHeight="1">
      <c r="A1631" s="172"/>
    </row>
    <row r="1632" spans="1:1" s="173" customFormat="1" ht="12" hidden="1" customHeight="1">
      <c r="A1632" s="172"/>
    </row>
    <row r="1633" spans="1:1" s="173" customFormat="1" ht="12" hidden="1" customHeight="1">
      <c r="A1633" s="172"/>
    </row>
    <row r="1634" spans="1:1" s="173" customFormat="1" ht="12" hidden="1" customHeight="1">
      <c r="A1634" s="172"/>
    </row>
    <row r="1635" spans="1:1" s="173" customFormat="1" ht="12" hidden="1" customHeight="1">
      <c r="A1635" s="172"/>
    </row>
    <row r="1636" spans="1:1" s="173" customFormat="1" ht="12" hidden="1" customHeight="1">
      <c r="A1636" s="172"/>
    </row>
    <row r="1637" spans="1:1" s="173" customFormat="1" ht="12" hidden="1" customHeight="1">
      <c r="A1637" s="172"/>
    </row>
    <row r="1638" spans="1:1" s="173" customFormat="1" ht="12" hidden="1" customHeight="1">
      <c r="A1638" s="172"/>
    </row>
    <row r="1639" spans="1:1" s="173" customFormat="1" ht="12" hidden="1" customHeight="1">
      <c r="A1639" s="172"/>
    </row>
    <row r="1640" spans="1:1" s="173" customFormat="1" ht="12" hidden="1" customHeight="1">
      <c r="A1640" s="172"/>
    </row>
    <row r="1641" spans="1:1" s="173" customFormat="1" ht="12" hidden="1" customHeight="1">
      <c r="A1641" s="172"/>
    </row>
    <row r="1642" spans="1:1" s="173" customFormat="1" ht="12" hidden="1" customHeight="1">
      <c r="A1642" s="172"/>
    </row>
    <row r="1643" spans="1:1" s="173" customFormat="1" ht="12" hidden="1" customHeight="1">
      <c r="A1643" s="172"/>
    </row>
    <row r="1644" spans="1:1" s="173" customFormat="1" ht="12" hidden="1" customHeight="1">
      <c r="A1644" s="172"/>
    </row>
    <row r="1645" spans="1:1" s="173" customFormat="1" ht="12" hidden="1" customHeight="1">
      <c r="A1645" s="172"/>
    </row>
    <row r="1646" spans="1:1" s="173" customFormat="1" ht="12" hidden="1" customHeight="1">
      <c r="A1646" s="172"/>
    </row>
    <row r="1647" spans="1:1" s="173" customFormat="1" ht="12" hidden="1" customHeight="1">
      <c r="A1647" s="172"/>
    </row>
    <row r="1648" spans="1:1" s="173" customFormat="1" ht="12" hidden="1" customHeight="1">
      <c r="A1648" s="172"/>
    </row>
    <row r="1649" spans="1:1" s="173" customFormat="1" ht="12" hidden="1" customHeight="1">
      <c r="A1649" s="172"/>
    </row>
    <row r="1650" spans="1:1" s="173" customFormat="1" ht="12" hidden="1" customHeight="1">
      <c r="A1650" s="172"/>
    </row>
    <row r="1651" spans="1:1" s="173" customFormat="1" ht="12" hidden="1" customHeight="1">
      <c r="A1651" s="172"/>
    </row>
    <row r="1652" spans="1:1" s="173" customFormat="1" ht="12" hidden="1" customHeight="1">
      <c r="A1652" s="172"/>
    </row>
    <row r="1653" spans="1:1" s="173" customFormat="1" ht="12" hidden="1" customHeight="1">
      <c r="A1653" s="172"/>
    </row>
    <row r="1654" spans="1:1" s="173" customFormat="1" ht="12" hidden="1" customHeight="1">
      <c r="A1654" s="172"/>
    </row>
    <row r="1655" spans="1:1" s="173" customFormat="1" ht="12" hidden="1" customHeight="1">
      <c r="A1655" s="172"/>
    </row>
    <row r="1656" spans="1:1" s="173" customFormat="1" ht="12" hidden="1" customHeight="1">
      <c r="A1656" s="172"/>
    </row>
    <row r="1657" spans="1:1" s="173" customFormat="1" ht="12" hidden="1" customHeight="1">
      <c r="A1657" s="172"/>
    </row>
    <row r="1658" spans="1:1" s="173" customFormat="1" ht="12" hidden="1" customHeight="1">
      <c r="A1658" s="172"/>
    </row>
    <row r="1659" spans="1:1" s="173" customFormat="1" ht="12" hidden="1" customHeight="1">
      <c r="A1659" s="172"/>
    </row>
    <row r="1660" spans="1:1" s="173" customFormat="1" ht="12" hidden="1" customHeight="1">
      <c r="A1660" s="172"/>
    </row>
    <row r="1661" spans="1:1" s="173" customFormat="1" ht="12" hidden="1" customHeight="1">
      <c r="A1661" s="172"/>
    </row>
    <row r="1662" spans="1:1" s="173" customFormat="1" ht="12" hidden="1" customHeight="1">
      <c r="A1662" s="172"/>
    </row>
    <row r="1663" spans="1:1" s="173" customFormat="1" ht="12" hidden="1" customHeight="1">
      <c r="A1663" s="172"/>
    </row>
    <row r="1664" spans="1:1" s="173" customFormat="1" ht="12" hidden="1" customHeight="1">
      <c r="A1664" s="172"/>
    </row>
    <row r="1665" spans="1:1" s="173" customFormat="1" ht="12" hidden="1" customHeight="1">
      <c r="A1665" s="172"/>
    </row>
    <row r="1666" spans="1:1" s="173" customFormat="1" ht="12" hidden="1" customHeight="1">
      <c r="A1666" s="172"/>
    </row>
    <row r="1667" spans="1:1" s="173" customFormat="1" ht="12" hidden="1" customHeight="1">
      <c r="A1667" s="172"/>
    </row>
    <row r="1668" spans="1:1" s="173" customFormat="1" ht="12" hidden="1" customHeight="1">
      <c r="A1668" s="172"/>
    </row>
    <row r="1669" spans="1:1" s="173" customFormat="1" ht="12" hidden="1" customHeight="1">
      <c r="A1669" s="172"/>
    </row>
    <row r="1670" spans="1:1" s="173" customFormat="1" ht="12" hidden="1" customHeight="1">
      <c r="A1670" s="172"/>
    </row>
    <row r="1671" spans="1:1" s="173" customFormat="1" ht="12" hidden="1" customHeight="1">
      <c r="A1671" s="172"/>
    </row>
    <row r="1672" spans="1:1" s="173" customFormat="1" ht="12" hidden="1" customHeight="1">
      <c r="A1672" s="172"/>
    </row>
    <row r="1673" spans="1:1" s="173" customFormat="1" ht="12" hidden="1" customHeight="1">
      <c r="A1673" s="172"/>
    </row>
    <row r="1674" spans="1:1" s="173" customFormat="1" ht="12" hidden="1" customHeight="1">
      <c r="A1674" s="172"/>
    </row>
    <row r="1675" spans="1:1" s="173" customFormat="1" ht="12" hidden="1" customHeight="1">
      <c r="A1675" s="172"/>
    </row>
    <row r="1676" spans="1:1" s="173" customFormat="1" ht="12" hidden="1" customHeight="1">
      <c r="A1676" s="172"/>
    </row>
    <row r="1677" spans="1:1" s="173" customFormat="1" ht="12" hidden="1" customHeight="1">
      <c r="A1677" s="172"/>
    </row>
    <row r="1678" spans="1:1" s="173" customFormat="1" ht="12" hidden="1" customHeight="1">
      <c r="A1678" s="172"/>
    </row>
    <row r="1679" spans="1:1" s="173" customFormat="1" ht="12" hidden="1" customHeight="1">
      <c r="A1679" s="172"/>
    </row>
    <row r="1680" spans="1:1" s="173" customFormat="1" ht="12" hidden="1" customHeight="1">
      <c r="A1680" s="172"/>
    </row>
    <row r="1681" spans="1:1" s="173" customFormat="1" ht="12" hidden="1" customHeight="1">
      <c r="A1681" s="172"/>
    </row>
    <row r="1682" spans="1:1" s="173" customFormat="1" ht="12" hidden="1" customHeight="1">
      <c r="A1682" s="172"/>
    </row>
    <row r="1683" spans="1:1" s="173" customFormat="1" ht="12" hidden="1" customHeight="1">
      <c r="A1683" s="172"/>
    </row>
    <row r="1684" spans="1:1" s="173" customFormat="1" ht="12" hidden="1" customHeight="1">
      <c r="A1684" s="172"/>
    </row>
    <row r="1685" spans="1:1" s="173" customFormat="1" ht="12" hidden="1" customHeight="1">
      <c r="A1685" s="172"/>
    </row>
    <row r="1686" spans="1:1" s="173" customFormat="1" ht="12" hidden="1" customHeight="1">
      <c r="A1686" s="172"/>
    </row>
    <row r="1687" spans="1:1" s="173" customFormat="1" ht="12" hidden="1" customHeight="1">
      <c r="A1687" s="172"/>
    </row>
    <row r="1688" spans="1:1" s="173" customFormat="1" ht="12" hidden="1" customHeight="1">
      <c r="A1688" s="172"/>
    </row>
    <row r="1689" spans="1:1" s="173" customFormat="1" ht="12" hidden="1" customHeight="1">
      <c r="A1689" s="172"/>
    </row>
    <row r="1690" spans="1:1" s="173" customFormat="1" ht="12" hidden="1" customHeight="1">
      <c r="A1690" s="172"/>
    </row>
    <row r="1691" spans="1:1" s="173" customFormat="1" ht="12" hidden="1" customHeight="1">
      <c r="A1691" s="172"/>
    </row>
    <row r="1692" spans="1:1" s="173" customFormat="1" ht="12" hidden="1" customHeight="1">
      <c r="A1692" s="172"/>
    </row>
    <row r="1693" spans="1:1" s="173" customFormat="1" ht="12" hidden="1" customHeight="1">
      <c r="A1693" s="172"/>
    </row>
    <row r="1694" spans="1:1" s="173" customFormat="1" ht="12" hidden="1" customHeight="1">
      <c r="A1694" s="172"/>
    </row>
    <row r="1695" spans="1:1" s="173" customFormat="1" ht="12" hidden="1" customHeight="1">
      <c r="A1695" s="172"/>
    </row>
    <row r="1696" spans="1:1" s="173" customFormat="1" ht="12" hidden="1" customHeight="1">
      <c r="A1696" s="172"/>
    </row>
    <row r="1697" spans="1:1" s="173" customFormat="1" ht="12" hidden="1" customHeight="1">
      <c r="A1697" s="172"/>
    </row>
    <row r="1698" spans="1:1" s="173" customFormat="1" ht="12" hidden="1" customHeight="1">
      <c r="A1698" s="172"/>
    </row>
    <row r="1699" spans="1:1" s="173" customFormat="1" ht="12" hidden="1" customHeight="1">
      <c r="A1699" s="172"/>
    </row>
    <row r="1700" spans="1:1" s="173" customFormat="1" ht="12" hidden="1" customHeight="1">
      <c r="A1700" s="172"/>
    </row>
    <row r="1701" spans="1:1" s="173" customFormat="1" ht="12" hidden="1" customHeight="1">
      <c r="A1701" s="172"/>
    </row>
    <row r="1702" spans="1:1" s="173" customFormat="1" ht="12" hidden="1" customHeight="1">
      <c r="A1702" s="172"/>
    </row>
    <row r="1703" spans="1:1" s="173" customFormat="1" ht="12" hidden="1" customHeight="1">
      <c r="A1703" s="172"/>
    </row>
    <row r="1704" spans="1:1" s="173" customFormat="1" ht="12" hidden="1" customHeight="1">
      <c r="A1704" s="172"/>
    </row>
    <row r="1705" spans="1:1" s="173" customFormat="1" ht="12" hidden="1" customHeight="1">
      <c r="A1705" s="172"/>
    </row>
    <row r="1706" spans="1:1" s="173" customFormat="1" ht="12" hidden="1" customHeight="1">
      <c r="A1706" s="172"/>
    </row>
    <row r="1707" spans="1:1" s="173" customFormat="1" ht="12" hidden="1" customHeight="1">
      <c r="A1707" s="172"/>
    </row>
    <row r="1708" spans="1:1" s="173" customFormat="1" ht="12" hidden="1" customHeight="1">
      <c r="A1708" s="172"/>
    </row>
    <row r="1709" spans="1:1" s="173" customFormat="1" ht="12" hidden="1" customHeight="1">
      <c r="A1709" s="172"/>
    </row>
    <row r="1710" spans="1:1" s="173" customFormat="1" ht="12" hidden="1" customHeight="1">
      <c r="A1710" s="172"/>
    </row>
    <row r="1711" spans="1:1" s="173" customFormat="1" ht="12" hidden="1" customHeight="1">
      <c r="A1711" s="172"/>
    </row>
    <row r="1712" spans="1:1" s="173" customFormat="1" ht="12" hidden="1" customHeight="1">
      <c r="A1712" s="172"/>
    </row>
    <row r="1713" spans="1:1" s="173" customFormat="1" ht="12" hidden="1" customHeight="1">
      <c r="A1713" s="172"/>
    </row>
    <row r="1714" spans="1:1" s="173" customFormat="1" ht="12" hidden="1" customHeight="1">
      <c r="A1714" s="172"/>
    </row>
    <row r="1715" spans="1:1" s="173" customFormat="1" ht="12" hidden="1" customHeight="1">
      <c r="A1715" s="172"/>
    </row>
    <row r="1716" spans="1:1" s="173" customFormat="1" ht="12" hidden="1" customHeight="1">
      <c r="A1716" s="172"/>
    </row>
    <row r="1717" spans="1:1" s="173" customFormat="1" ht="12" hidden="1" customHeight="1">
      <c r="A1717" s="172"/>
    </row>
    <row r="1718" spans="1:1" s="173" customFormat="1" ht="12" hidden="1" customHeight="1">
      <c r="A1718" s="172"/>
    </row>
    <row r="1719" spans="1:1" s="173" customFormat="1" ht="12" hidden="1" customHeight="1">
      <c r="A1719" s="172"/>
    </row>
    <row r="1720" spans="1:1" s="173" customFormat="1" ht="12" hidden="1" customHeight="1">
      <c r="A1720" s="172"/>
    </row>
    <row r="1721" spans="1:1" s="173" customFormat="1" ht="12" hidden="1" customHeight="1">
      <c r="A1721" s="172"/>
    </row>
    <row r="1722" spans="1:1" s="173" customFormat="1" ht="12" hidden="1" customHeight="1">
      <c r="A1722" s="172"/>
    </row>
    <row r="1723" spans="1:1" s="173" customFormat="1" ht="12" hidden="1" customHeight="1">
      <c r="A1723" s="172"/>
    </row>
    <row r="1724" spans="1:1" s="173" customFormat="1" ht="12" hidden="1" customHeight="1">
      <c r="A1724" s="172"/>
    </row>
    <row r="1725" spans="1:1" s="173" customFormat="1" ht="12" hidden="1" customHeight="1">
      <c r="A1725" s="172"/>
    </row>
    <row r="1726" spans="1:1" s="173" customFormat="1" ht="12" hidden="1" customHeight="1">
      <c r="A1726" s="172"/>
    </row>
    <row r="1727" spans="1:1" s="173" customFormat="1" ht="12" hidden="1" customHeight="1">
      <c r="A1727" s="172"/>
    </row>
    <row r="1728" spans="1:1" s="173" customFormat="1" ht="12" hidden="1" customHeight="1">
      <c r="A1728" s="172"/>
    </row>
    <row r="1729" spans="1:1" s="173" customFormat="1" ht="12" hidden="1" customHeight="1">
      <c r="A1729" s="172"/>
    </row>
    <row r="1730" spans="1:1" s="173" customFormat="1" ht="12" hidden="1" customHeight="1">
      <c r="A1730" s="172"/>
    </row>
    <row r="1731" spans="1:1" s="173" customFormat="1" ht="12" hidden="1" customHeight="1">
      <c r="A1731" s="172"/>
    </row>
    <row r="1732" spans="1:1" s="173" customFormat="1" ht="12" hidden="1" customHeight="1">
      <c r="A1732" s="172"/>
    </row>
    <row r="1733" spans="1:1" s="173" customFormat="1" ht="12" hidden="1" customHeight="1">
      <c r="A1733" s="172"/>
    </row>
    <row r="1734" spans="1:1" s="173" customFormat="1" ht="12" hidden="1" customHeight="1">
      <c r="A1734" s="172"/>
    </row>
    <row r="1735" spans="1:1" s="173" customFormat="1" ht="12" hidden="1" customHeight="1">
      <c r="A1735" s="172"/>
    </row>
    <row r="1736" spans="1:1" s="173" customFormat="1" ht="12" hidden="1" customHeight="1">
      <c r="A1736" s="172"/>
    </row>
    <row r="1737" spans="1:1" s="173" customFormat="1" ht="12" hidden="1" customHeight="1">
      <c r="A1737" s="172"/>
    </row>
    <row r="1738" spans="1:1" s="173" customFormat="1" ht="12" hidden="1" customHeight="1">
      <c r="A1738" s="172"/>
    </row>
    <row r="1739" spans="1:1" s="173" customFormat="1" ht="12" hidden="1" customHeight="1">
      <c r="A1739" s="172"/>
    </row>
    <row r="1740" spans="1:1" s="173" customFormat="1" ht="12" hidden="1" customHeight="1">
      <c r="A1740" s="172"/>
    </row>
    <row r="1741" spans="1:1" s="173" customFormat="1" ht="12" hidden="1" customHeight="1">
      <c r="A1741" s="172"/>
    </row>
    <row r="1742" spans="1:1" s="173" customFormat="1" ht="12" hidden="1" customHeight="1">
      <c r="A1742" s="172"/>
    </row>
    <row r="1743" spans="1:1" s="173" customFormat="1" ht="12" hidden="1" customHeight="1">
      <c r="A1743" s="172"/>
    </row>
    <row r="1744" spans="1:1" s="173" customFormat="1" ht="12" hidden="1" customHeight="1">
      <c r="A1744" s="172"/>
    </row>
    <row r="1745" spans="1:1" s="173" customFormat="1" ht="12" hidden="1" customHeight="1">
      <c r="A1745" s="172"/>
    </row>
    <row r="1746" spans="1:1" s="173" customFormat="1" ht="12" hidden="1" customHeight="1">
      <c r="A1746" s="172"/>
    </row>
    <row r="1747" spans="1:1" s="173" customFormat="1" ht="12" hidden="1" customHeight="1">
      <c r="A1747" s="172"/>
    </row>
    <row r="1748" spans="1:1" s="173" customFormat="1" ht="12" hidden="1" customHeight="1">
      <c r="A1748" s="172"/>
    </row>
    <row r="1749" spans="1:1" s="173" customFormat="1" ht="12" hidden="1" customHeight="1">
      <c r="A1749" s="172"/>
    </row>
    <row r="1750" spans="1:1" s="173" customFormat="1" ht="12" hidden="1" customHeight="1">
      <c r="A1750" s="172"/>
    </row>
    <row r="1751" spans="1:1" s="173" customFormat="1" ht="12" hidden="1" customHeight="1">
      <c r="A1751" s="172"/>
    </row>
    <row r="1752" spans="1:1" s="173" customFormat="1" ht="12" hidden="1" customHeight="1">
      <c r="A1752" s="172"/>
    </row>
    <row r="1753" spans="1:1" s="173" customFormat="1" ht="12" hidden="1" customHeight="1">
      <c r="A1753" s="172"/>
    </row>
    <row r="1754" spans="1:1" s="173" customFormat="1" ht="12" hidden="1" customHeight="1">
      <c r="A1754" s="172"/>
    </row>
    <row r="1755" spans="1:1" s="173" customFormat="1" ht="12" hidden="1" customHeight="1">
      <c r="A1755" s="172"/>
    </row>
    <row r="1756" spans="1:1" s="173" customFormat="1" ht="12" hidden="1" customHeight="1">
      <c r="A1756" s="172"/>
    </row>
    <row r="1757" spans="1:1" s="173" customFormat="1" ht="12" hidden="1" customHeight="1">
      <c r="A1757" s="172"/>
    </row>
    <row r="1758" spans="1:1" s="173" customFormat="1" ht="12" hidden="1" customHeight="1">
      <c r="A1758" s="172"/>
    </row>
    <row r="1759" spans="1:1" s="173" customFormat="1" ht="12" hidden="1" customHeight="1">
      <c r="A1759" s="172"/>
    </row>
    <row r="1760" spans="1:1" s="173" customFormat="1" ht="12" hidden="1" customHeight="1">
      <c r="A1760" s="172"/>
    </row>
    <row r="1761" spans="1:1" s="173" customFormat="1" ht="12" hidden="1" customHeight="1">
      <c r="A1761" s="172"/>
    </row>
    <row r="1762" spans="1:1" s="173" customFormat="1" ht="12" hidden="1" customHeight="1">
      <c r="A1762" s="172"/>
    </row>
    <row r="1763" spans="1:1" s="173" customFormat="1" ht="12" hidden="1" customHeight="1">
      <c r="A1763" s="172"/>
    </row>
    <row r="1764" spans="1:1" s="173" customFormat="1" ht="12" hidden="1" customHeight="1">
      <c r="A1764" s="172"/>
    </row>
    <row r="1765" spans="1:1" s="173" customFormat="1" ht="12" hidden="1" customHeight="1">
      <c r="A1765" s="172"/>
    </row>
    <row r="1766" spans="1:1" s="173" customFormat="1" ht="12" hidden="1" customHeight="1">
      <c r="A1766" s="172"/>
    </row>
    <row r="1767" spans="1:1" s="173" customFormat="1" ht="12" hidden="1" customHeight="1">
      <c r="A1767" s="172"/>
    </row>
    <row r="1768" spans="1:1" s="173" customFormat="1" ht="12" hidden="1" customHeight="1">
      <c r="A1768" s="172"/>
    </row>
    <row r="1769" spans="1:1" s="173" customFormat="1" ht="12" hidden="1" customHeight="1">
      <c r="A1769" s="172"/>
    </row>
    <row r="1770" spans="1:1" s="173" customFormat="1" ht="12" hidden="1" customHeight="1">
      <c r="A1770" s="172"/>
    </row>
    <row r="1771" spans="1:1" s="173" customFormat="1" ht="12" hidden="1" customHeight="1">
      <c r="A1771" s="172"/>
    </row>
    <row r="1772" spans="1:1" s="173" customFormat="1" ht="12" hidden="1" customHeight="1">
      <c r="A1772" s="172"/>
    </row>
    <row r="1773" spans="1:1" s="173" customFormat="1" ht="12" hidden="1" customHeight="1">
      <c r="A1773" s="172"/>
    </row>
    <row r="1774" spans="1:1" s="173" customFormat="1" ht="12" hidden="1" customHeight="1">
      <c r="A1774" s="172"/>
    </row>
    <row r="1775" spans="1:1" s="173" customFormat="1" ht="12" hidden="1" customHeight="1">
      <c r="A1775" s="172"/>
    </row>
    <row r="1776" spans="1:1" s="173" customFormat="1" ht="12" hidden="1" customHeight="1">
      <c r="A1776" s="172"/>
    </row>
    <row r="1777" spans="1:1" s="173" customFormat="1" ht="12" hidden="1" customHeight="1">
      <c r="A1777" s="172"/>
    </row>
    <row r="1778" spans="1:1" s="173" customFormat="1" ht="12" hidden="1" customHeight="1">
      <c r="A1778" s="172"/>
    </row>
    <row r="1779" spans="1:1" s="173" customFormat="1" ht="12" hidden="1" customHeight="1">
      <c r="A1779" s="172"/>
    </row>
    <row r="1780" spans="1:1" s="173" customFormat="1" ht="12" hidden="1" customHeight="1">
      <c r="A1780" s="172"/>
    </row>
    <row r="1781" spans="1:1" s="173" customFormat="1" ht="12" hidden="1" customHeight="1">
      <c r="A1781" s="172"/>
    </row>
    <row r="1782" spans="1:1" s="173" customFormat="1" ht="12" hidden="1" customHeight="1">
      <c r="A1782" s="172"/>
    </row>
    <row r="1783" spans="1:1" s="173" customFormat="1" ht="12" hidden="1" customHeight="1">
      <c r="A1783" s="172"/>
    </row>
    <row r="1784" spans="1:1" s="173" customFormat="1" ht="12" hidden="1" customHeight="1">
      <c r="A1784" s="172"/>
    </row>
    <row r="1785" spans="1:1" s="173" customFormat="1" ht="12" hidden="1" customHeight="1">
      <c r="A1785" s="172"/>
    </row>
    <row r="1786" spans="1:1" s="173" customFormat="1" ht="12" hidden="1" customHeight="1">
      <c r="A1786" s="172"/>
    </row>
    <row r="1787" spans="1:1" s="173" customFormat="1" ht="12" hidden="1" customHeight="1">
      <c r="A1787" s="172"/>
    </row>
    <row r="1788" spans="1:1" s="173" customFormat="1" ht="12" hidden="1" customHeight="1">
      <c r="A1788" s="172"/>
    </row>
    <row r="1789" spans="1:1" s="173" customFormat="1" ht="12" hidden="1" customHeight="1">
      <c r="A1789" s="172"/>
    </row>
    <row r="1790" spans="1:1" s="173" customFormat="1" ht="12" hidden="1" customHeight="1">
      <c r="A1790" s="172"/>
    </row>
    <row r="1791" spans="1:1" s="173" customFormat="1" ht="12" hidden="1" customHeight="1">
      <c r="A1791" s="172"/>
    </row>
    <row r="1792" spans="1:1" s="173" customFormat="1" ht="12" hidden="1" customHeight="1">
      <c r="A1792" s="172"/>
    </row>
    <row r="1793" spans="1:1" s="173" customFormat="1" ht="12" hidden="1" customHeight="1">
      <c r="A1793" s="172"/>
    </row>
    <row r="1794" spans="1:1" s="173" customFormat="1" ht="12" hidden="1" customHeight="1">
      <c r="A1794" s="172"/>
    </row>
    <row r="1795" spans="1:1" s="173" customFormat="1" ht="12" hidden="1" customHeight="1">
      <c r="A1795" s="172"/>
    </row>
    <row r="1796" spans="1:1" s="173" customFormat="1" ht="12" hidden="1" customHeight="1">
      <c r="A1796" s="172"/>
    </row>
    <row r="1797" spans="1:1" s="173" customFormat="1" ht="12" hidden="1" customHeight="1">
      <c r="A1797" s="172"/>
    </row>
    <row r="1798" spans="1:1" s="173" customFormat="1" ht="12" hidden="1" customHeight="1">
      <c r="A1798" s="172"/>
    </row>
    <row r="1799" spans="1:1" s="173" customFormat="1" ht="12" hidden="1" customHeight="1">
      <c r="A1799" s="172"/>
    </row>
    <row r="1800" spans="1:1" s="173" customFormat="1" ht="12" hidden="1" customHeight="1">
      <c r="A1800" s="172"/>
    </row>
    <row r="1801" spans="1:1" s="173" customFormat="1" ht="12" hidden="1" customHeight="1">
      <c r="A1801" s="172"/>
    </row>
    <row r="1802" spans="1:1" s="173" customFormat="1" ht="12" hidden="1" customHeight="1">
      <c r="A1802" s="172"/>
    </row>
    <row r="1803" spans="1:1" s="173" customFormat="1" ht="12" hidden="1" customHeight="1">
      <c r="A1803" s="172"/>
    </row>
    <row r="1804" spans="1:1" s="173" customFormat="1" ht="12" hidden="1" customHeight="1">
      <c r="A1804" s="172"/>
    </row>
    <row r="1805" spans="1:1" s="173" customFormat="1" ht="12" hidden="1" customHeight="1">
      <c r="A1805" s="172"/>
    </row>
    <row r="1806" spans="1:1" s="173" customFormat="1" ht="12" hidden="1" customHeight="1">
      <c r="A1806" s="172"/>
    </row>
    <row r="1807" spans="1:1" s="173" customFormat="1" ht="12" hidden="1" customHeight="1">
      <c r="A1807" s="172"/>
    </row>
    <row r="1808" spans="1:1" s="173" customFormat="1" ht="12" hidden="1" customHeight="1">
      <c r="A1808" s="172"/>
    </row>
    <row r="1809" spans="1:1" s="173" customFormat="1" ht="12" hidden="1" customHeight="1">
      <c r="A1809" s="172"/>
    </row>
    <row r="1810" spans="1:1" s="173" customFormat="1" ht="12" hidden="1" customHeight="1">
      <c r="A1810" s="172"/>
    </row>
    <row r="1811" spans="1:1" s="173" customFormat="1" ht="12" hidden="1" customHeight="1">
      <c r="A1811" s="172"/>
    </row>
    <row r="1812" spans="1:1" s="173" customFormat="1" ht="12" hidden="1" customHeight="1">
      <c r="A1812" s="172"/>
    </row>
    <row r="1813" spans="1:1" s="173" customFormat="1" ht="12" hidden="1" customHeight="1">
      <c r="A1813" s="172"/>
    </row>
    <row r="1814" spans="1:1" s="173" customFormat="1" ht="12" hidden="1" customHeight="1">
      <c r="A1814" s="172"/>
    </row>
    <row r="1815" spans="1:1" s="173" customFormat="1" ht="12" hidden="1" customHeight="1">
      <c r="A1815" s="172"/>
    </row>
    <row r="1816" spans="1:1" s="173" customFormat="1" ht="12" hidden="1" customHeight="1">
      <c r="A1816" s="172"/>
    </row>
    <row r="1817" spans="1:1" s="173" customFormat="1" ht="12" hidden="1" customHeight="1">
      <c r="A1817" s="172"/>
    </row>
    <row r="1818" spans="1:1" s="173" customFormat="1" ht="12" hidden="1" customHeight="1">
      <c r="A1818" s="172"/>
    </row>
    <row r="1819" spans="1:1" s="173" customFormat="1" ht="12" hidden="1" customHeight="1">
      <c r="A1819" s="172"/>
    </row>
    <row r="1820" spans="1:1" s="173" customFormat="1" ht="12" hidden="1" customHeight="1">
      <c r="A1820" s="172"/>
    </row>
    <row r="1821" spans="1:1" s="173" customFormat="1" ht="12" hidden="1" customHeight="1">
      <c r="A1821" s="172"/>
    </row>
    <row r="1822" spans="1:1" s="173" customFormat="1" ht="12" hidden="1" customHeight="1">
      <c r="A1822" s="172"/>
    </row>
    <row r="1823" spans="1:1" s="173" customFormat="1" ht="12" hidden="1" customHeight="1">
      <c r="A1823" s="172"/>
    </row>
    <row r="1824" spans="1:1" s="173" customFormat="1" ht="12" hidden="1" customHeight="1">
      <c r="A1824" s="172"/>
    </row>
    <row r="1825" spans="1:1" s="173" customFormat="1" ht="12" hidden="1" customHeight="1">
      <c r="A1825" s="172"/>
    </row>
    <row r="1826" spans="1:1" s="173" customFormat="1" ht="12" hidden="1" customHeight="1">
      <c r="A1826" s="172"/>
    </row>
    <row r="1827" spans="1:1" s="173" customFormat="1" ht="12" hidden="1" customHeight="1">
      <c r="A1827" s="172"/>
    </row>
    <row r="1828" spans="1:1" s="173" customFormat="1" ht="12" hidden="1" customHeight="1">
      <c r="A1828" s="172"/>
    </row>
    <row r="1829" spans="1:1" s="173" customFormat="1" ht="12" hidden="1" customHeight="1">
      <c r="A1829" s="172"/>
    </row>
    <row r="1830" spans="1:1" s="173" customFormat="1" ht="12" hidden="1" customHeight="1">
      <c r="A1830" s="172"/>
    </row>
    <row r="1831" spans="1:1" s="173" customFormat="1" ht="12" hidden="1" customHeight="1">
      <c r="A1831" s="172"/>
    </row>
    <row r="1832" spans="1:1" s="173" customFormat="1" ht="12" hidden="1" customHeight="1">
      <c r="A1832" s="172"/>
    </row>
    <row r="1833" spans="1:1" s="173" customFormat="1" ht="12" hidden="1" customHeight="1">
      <c r="A1833" s="172"/>
    </row>
    <row r="1834" spans="1:1" s="173" customFormat="1" ht="12" hidden="1" customHeight="1">
      <c r="A1834" s="172"/>
    </row>
    <row r="1835" spans="1:1" s="173" customFormat="1" ht="12" hidden="1" customHeight="1">
      <c r="A1835" s="172"/>
    </row>
    <row r="1836" spans="1:1" s="173" customFormat="1" ht="12" hidden="1" customHeight="1">
      <c r="A1836" s="172"/>
    </row>
    <row r="1837" spans="1:1" s="173" customFormat="1" ht="12" hidden="1" customHeight="1">
      <c r="A1837" s="172"/>
    </row>
    <row r="1838" spans="1:1" s="173" customFormat="1" ht="12" hidden="1" customHeight="1">
      <c r="A1838" s="172"/>
    </row>
    <row r="1839" spans="1:1" s="173" customFormat="1" ht="12" hidden="1" customHeight="1">
      <c r="A1839" s="172"/>
    </row>
    <row r="1840" spans="1:1" s="173" customFormat="1" ht="12" hidden="1" customHeight="1">
      <c r="A1840" s="172"/>
    </row>
    <row r="1841" spans="1:1" s="173" customFormat="1" ht="12" hidden="1" customHeight="1">
      <c r="A1841" s="172"/>
    </row>
    <row r="1842" spans="1:1" s="173" customFormat="1" ht="12" hidden="1" customHeight="1">
      <c r="A1842" s="172"/>
    </row>
    <row r="1843" spans="1:1" s="173" customFormat="1" ht="12" hidden="1" customHeight="1">
      <c r="A1843" s="172"/>
    </row>
    <row r="1844" spans="1:1" s="173" customFormat="1" ht="12" hidden="1" customHeight="1">
      <c r="A1844" s="172"/>
    </row>
    <row r="1845" spans="1:1" s="173" customFormat="1" ht="12" hidden="1" customHeight="1">
      <c r="A1845" s="172"/>
    </row>
    <row r="1846" spans="1:1" s="173" customFormat="1" ht="12" hidden="1" customHeight="1">
      <c r="A1846" s="172"/>
    </row>
    <row r="1847" spans="1:1" s="173" customFormat="1" ht="12" hidden="1" customHeight="1">
      <c r="A1847" s="172"/>
    </row>
    <row r="1848" spans="1:1" s="173" customFormat="1" ht="12" hidden="1" customHeight="1">
      <c r="A1848" s="172"/>
    </row>
    <row r="1849" spans="1:1" s="173" customFormat="1" ht="12" hidden="1" customHeight="1">
      <c r="A1849" s="172"/>
    </row>
    <row r="1850" spans="1:1" s="173" customFormat="1" ht="12" hidden="1" customHeight="1">
      <c r="A1850" s="172"/>
    </row>
    <row r="1851" spans="1:1" s="173" customFormat="1" ht="12" hidden="1" customHeight="1">
      <c r="A1851" s="172"/>
    </row>
    <row r="1852" spans="1:1" s="173" customFormat="1" ht="12" hidden="1" customHeight="1">
      <c r="A1852" s="172"/>
    </row>
    <row r="1853" spans="1:1" s="173" customFormat="1" ht="12" hidden="1" customHeight="1">
      <c r="A1853" s="172"/>
    </row>
    <row r="1854" spans="1:1" s="173" customFormat="1" ht="12" hidden="1" customHeight="1">
      <c r="A1854" s="172"/>
    </row>
    <row r="1855" spans="1:1" s="173" customFormat="1" ht="12" hidden="1" customHeight="1">
      <c r="A1855" s="172"/>
    </row>
    <row r="1856" spans="1:1" s="173" customFormat="1" ht="12" hidden="1" customHeight="1">
      <c r="A1856" s="172"/>
    </row>
    <row r="1857" spans="1:1" s="173" customFormat="1" ht="12" hidden="1" customHeight="1">
      <c r="A1857" s="172"/>
    </row>
    <row r="1858" spans="1:1" s="173" customFormat="1" ht="12" hidden="1" customHeight="1">
      <c r="A1858" s="172"/>
    </row>
    <row r="1859" spans="1:1" s="173" customFormat="1" ht="12" hidden="1" customHeight="1">
      <c r="A1859" s="172"/>
    </row>
    <row r="1860" spans="1:1" s="173" customFormat="1" ht="12" hidden="1" customHeight="1">
      <c r="A1860" s="172"/>
    </row>
    <row r="1861" spans="1:1" s="173" customFormat="1" ht="12" hidden="1" customHeight="1">
      <c r="A1861" s="172"/>
    </row>
    <row r="1862" spans="1:1" s="173" customFormat="1" ht="12" hidden="1" customHeight="1">
      <c r="A1862" s="172"/>
    </row>
    <row r="1863" spans="1:1" s="173" customFormat="1" ht="12" hidden="1" customHeight="1">
      <c r="A1863" s="172"/>
    </row>
    <row r="1864" spans="1:1" s="173" customFormat="1" ht="12" hidden="1" customHeight="1">
      <c r="A1864" s="172"/>
    </row>
    <row r="1865" spans="1:1" s="173" customFormat="1" ht="12" hidden="1" customHeight="1">
      <c r="A1865" s="172"/>
    </row>
    <row r="1866" spans="1:1" s="173" customFormat="1" ht="12" hidden="1" customHeight="1">
      <c r="A1866" s="172"/>
    </row>
    <row r="1867" spans="1:1" s="173" customFormat="1" ht="12" hidden="1" customHeight="1">
      <c r="A1867" s="172"/>
    </row>
    <row r="1868" spans="1:1" s="173" customFormat="1" ht="12" hidden="1" customHeight="1">
      <c r="A1868" s="172"/>
    </row>
    <row r="1869" spans="1:1" s="173" customFormat="1" ht="12" hidden="1" customHeight="1">
      <c r="A1869" s="172"/>
    </row>
    <row r="1870" spans="1:1" s="173" customFormat="1" ht="12" hidden="1" customHeight="1">
      <c r="A1870" s="172"/>
    </row>
    <row r="1871" spans="1:1" s="173" customFormat="1" ht="12" hidden="1" customHeight="1">
      <c r="A1871" s="172"/>
    </row>
    <row r="1872" spans="1:1" s="173" customFormat="1" ht="12" hidden="1" customHeight="1">
      <c r="A1872" s="172"/>
    </row>
    <row r="1873" spans="1:1" s="173" customFormat="1" ht="12" hidden="1" customHeight="1">
      <c r="A1873" s="172"/>
    </row>
    <row r="1874" spans="1:1" s="173" customFormat="1" ht="12" hidden="1" customHeight="1">
      <c r="A1874" s="172"/>
    </row>
    <row r="1875" spans="1:1" s="173" customFormat="1" ht="12" hidden="1" customHeight="1">
      <c r="A1875" s="172"/>
    </row>
    <row r="1876" spans="1:1" s="173" customFormat="1" ht="12" hidden="1" customHeight="1">
      <c r="A1876" s="172"/>
    </row>
    <row r="1877" spans="1:1" s="173" customFormat="1" ht="12" hidden="1" customHeight="1">
      <c r="A1877" s="172"/>
    </row>
    <row r="1878" spans="1:1" s="173" customFormat="1" ht="12" hidden="1" customHeight="1">
      <c r="A1878" s="172"/>
    </row>
    <row r="1879" spans="1:1" s="173" customFormat="1" ht="12" hidden="1" customHeight="1">
      <c r="A1879" s="172"/>
    </row>
    <row r="1880" spans="1:1" s="173" customFormat="1" ht="12" hidden="1" customHeight="1">
      <c r="A1880" s="172"/>
    </row>
    <row r="1881" spans="1:1" s="173" customFormat="1" ht="12" hidden="1" customHeight="1">
      <c r="A1881" s="172"/>
    </row>
    <row r="1882" spans="1:1" s="173" customFormat="1" ht="12" hidden="1" customHeight="1">
      <c r="A1882" s="172"/>
    </row>
    <row r="1883" spans="1:1" s="173" customFormat="1" ht="12" hidden="1" customHeight="1">
      <c r="A1883" s="172"/>
    </row>
    <row r="1884" spans="1:1" s="173" customFormat="1" ht="12" hidden="1" customHeight="1">
      <c r="A1884" s="172"/>
    </row>
    <row r="1885" spans="1:1" s="173" customFormat="1" ht="12" hidden="1" customHeight="1">
      <c r="A1885" s="172"/>
    </row>
    <row r="1886" spans="1:1" s="173" customFormat="1" ht="12" hidden="1" customHeight="1">
      <c r="A1886" s="172"/>
    </row>
    <row r="1887" spans="1:1" s="173" customFormat="1" ht="12" hidden="1" customHeight="1">
      <c r="A1887" s="172"/>
    </row>
    <row r="1888" spans="1:1" s="173" customFormat="1" ht="12" hidden="1" customHeight="1">
      <c r="A1888" s="172"/>
    </row>
    <row r="1889" spans="1:1" s="173" customFormat="1" ht="12" hidden="1" customHeight="1">
      <c r="A1889" s="172"/>
    </row>
    <row r="1890" spans="1:1" s="173" customFormat="1" ht="12" hidden="1" customHeight="1">
      <c r="A1890" s="172"/>
    </row>
    <row r="1891" spans="1:1" s="173" customFormat="1" ht="12" hidden="1" customHeight="1">
      <c r="A1891" s="172"/>
    </row>
    <row r="1892" spans="1:1" s="173" customFormat="1" ht="12" hidden="1" customHeight="1">
      <c r="A1892" s="172"/>
    </row>
    <row r="1893" spans="1:1" s="173" customFormat="1" ht="12" hidden="1" customHeight="1">
      <c r="A1893" s="172"/>
    </row>
    <row r="1894" spans="1:1" s="173" customFormat="1" ht="12" hidden="1" customHeight="1">
      <c r="A1894" s="172"/>
    </row>
    <row r="1895" spans="1:1" s="173" customFormat="1" ht="12" hidden="1" customHeight="1">
      <c r="A1895" s="172"/>
    </row>
    <row r="1896" spans="1:1" s="173" customFormat="1" ht="12" hidden="1" customHeight="1">
      <c r="A1896" s="172"/>
    </row>
    <row r="1897" spans="1:1" s="173" customFormat="1" ht="12" hidden="1" customHeight="1">
      <c r="A1897" s="172"/>
    </row>
    <row r="1898" spans="1:1" s="173" customFormat="1" ht="12" hidden="1" customHeight="1">
      <c r="A1898" s="172"/>
    </row>
    <row r="1899" spans="1:1" s="173" customFormat="1" ht="12" hidden="1" customHeight="1">
      <c r="A1899" s="172"/>
    </row>
    <row r="1900" spans="1:1" s="173" customFormat="1" ht="12" hidden="1" customHeight="1">
      <c r="A1900" s="172"/>
    </row>
    <row r="1901" spans="1:1" s="173" customFormat="1" ht="12" hidden="1" customHeight="1">
      <c r="A1901" s="172"/>
    </row>
    <row r="1902" spans="1:1" s="173" customFormat="1" ht="12" hidden="1" customHeight="1">
      <c r="A1902" s="172"/>
    </row>
    <row r="1903" spans="1:1" s="173" customFormat="1" ht="12" hidden="1" customHeight="1">
      <c r="A1903" s="172"/>
    </row>
    <row r="1904" spans="1:1" s="173" customFormat="1" ht="12" hidden="1" customHeight="1">
      <c r="A1904" s="172"/>
    </row>
    <row r="1905" spans="1:1" s="173" customFormat="1" ht="12" hidden="1" customHeight="1">
      <c r="A1905" s="172"/>
    </row>
    <row r="1906" spans="1:1" s="173" customFormat="1" ht="12" hidden="1" customHeight="1">
      <c r="A1906" s="172"/>
    </row>
    <row r="1907" spans="1:1" s="173" customFormat="1" ht="12" hidden="1" customHeight="1">
      <c r="A1907" s="172"/>
    </row>
    <row r="1908" spans="1:1" s="173" customFormat="1" ht="12" hidden="1" customHeight="1">
      <c r="A1908" s="172"/>
    </row>
    <row r="1909" spans="1:1" s="173" customFormat="1" ht="12" hidden="1" customHeight="1">
      <c r="A1909" s="172"/>
    </row>
    <row r="1910" spans="1:1" s="173" customFormat="1" ht="12" hidden="1" customHeight="1">
      <c r="A1910" s="172"/>
    </row>
    <row r="1911" spans="1:1" s="173" customFormat="1" ht="12" hidden="1" customHeight="1">
      <c r="A1911" s="172"/>
    </row>
    <row r="1912" spans="1:1" s="173" customFormat="1" ht="12" hidden="1" customHeight="1">
      <c r="A1912" s="172"/>
    </row>
    <row r="1913" spans="1:1" s="173" customFormat="1" ht="12" hidden="1" customHeight="1">
      <c r="A1913" s="172"/>
    </row>
    <row r="1914" spans="1:1" s="173" customFormat="1" ht="12" hidden="1" customHeight="1">
      <c r="A1914" s="172"/>
    </row>
    <row r="1915" spans="1:1" s="173" customFormat="1" ht="12" hidden="1" customHeight="1">
      <c r="A1915" s="172"/>
    </row>
    <row r="1916" spans="1:1" s="173" customFormat="1" ht="12" hidden="1" customHeight="1">
      <c r="A1916" s="172"/>
    </row>
    <row r="1917" spans="1:1" s="173" customFormat="1" ht="12" hidden="1" customHeight="1">
      <c r="A1917" s="172"/>
    </row>
    <row r="1918" spans="1:1" s="173" customFormat="1" ht="12" hidden="1" customHeight="1">
      <c r="A1918" s="172"/>
    </row>
    <row r="1919" spans="1:1" s="173" customFormat="1" ht="12" hidden="1" customHeight="1">
      <c r="A1919" s="172"/>
    </row>
    <row r="1920" spans="1:1" s="173" customFormat="1" ht="12" hidden="1" customHeight="1">
      <c r="A1920" s="172"/>
    </row>
    <row r="1921" spans="1:1" s="173" customFormat="1" ht="12" hidden="1" customHeight="1">
      <c r="A1921" s="172"/>
    </row>
    <row r="1922" spans="1:1" s="173" customFormat="1" ht="12" hidden="1" customHeight="1">
      <c r="A1922" s="172"/>
    </row>
    <row r="1923" spans="1:1" s="173" customFormat="1" ht="12" hidden="1" customHeight="1">
      <c r="A1923" s="172"/>
    </row>
    <row r="1924" spans="1:1" s="173" customFormat="1" ht="12" hidden="1" customHeight="1">
      <c r="A1924" s="172"/>
    </row>
    <row r="1925" spans="1:1" s="173" customFormat="1" ht="12" hidden="1" customHeight="1">
      <c r="A1925" s="172"/>
    </row>
    <row r="1926" spans="1:1" s="173" customFormat="1" ht="12" hidden="1" customHeight="1">
      <c r="A1926" s="172"/>
    </row>
    <row r="1927" spans="1:1" s="173" customFormat="1" ht="12" hidden="1" customHeight="1">
      <c r="A1927" s="172"/>
    </row>
    <row r="1928" spans="1:1" s="173" customFormat="1" ht="12" hidden="1" customHeight="1">
      <c r="A1928" s="172"/>
    </row>
    <row r="1929" spans="1:1" s="173" customFormat="1" ht="12" hidden="1" customHeight="1">
      <c r="A1929" s="172"/>
    </row>
    <row r="1930" spans="1:1" s="173" customFormat="1" ht="12" hidden="1" customHeight="1">
      <c r="A1930" s="172"/>
    </row>
    <row r="1931" spans="1:1" s="173" customFormat="1" ht="12" hidden="1" customHeight="1">
      <c r="A1931" s="172"/>
    </row>
    <row r="1932" spans="1:1" s="173" customFormat="1" ht="12" hidden="1" customHeight="1">
      <c r="A1932" s="172"/>
    </row>
    <row r="1933" spans="1:1" s="173" customFormat="1" ht="12" hidden="1" customHeight="1">
      <c r="A1933" s="172"/>
    </row>
    <row r="1934" spans="1:1" s="173" customFormat="1" ht="12" hidden="1" customHeight="1">
      <c r="A1934" s="172"/>
    </row>
    <row r="1935" spans="1:1" s="173" customFormat="1" ht="12" hidden="1" customHeight="1">
      <c r="A1935" s="172"/>
    </row>
    <row r="1936" spans="1:1" s="173" customFormat="1" ht="12" hidden="1" customHeight="1">
      <c r="A1936" s="172"/>
    </row>
    <row r="1937" spans="1:1" s="173" customFormat="1" ht="12" hidden="1" customHeight="1">
      <c r="A1937" s="172"/>
    </row>
    <row r="1938" spans="1:1" s="173" customFormat="1" ht="12" hidden="1" customHeight="1">
      <c r="A1938" s="172"/>
    </row>
    <row r="1939" spans="1:1" s="173" customFormat="1" ht="12" hidden="1" customHeight="1">
      <c r="A1939" s="172"/>
    </row>
    <row r="1940" spans="1:1" s="173" customFormat="1" ht="12" hidden="1" customHeight="1">
      <c r="A1940" s="172"/>
    </row>
    <row r="1941" spans="1:1" s="173" customFormat="1" ht="12" hidden="1" customHeight="1">
      <c r="A1941" s="172"/>
    </row>
    <row r="1942" spans="1:1" s="173" customFormat="1" ht="12" hidden="1" customHeight="1">
      <c r="A1942" s="172"/>
    </row>
    <row r="1943" spans="1:1" s="173" customFormat="1" ht="12" hidden="1" customHeight="1">
      <c r="A1943" s="172"/>
    </row>
    <row r="1944" spans="1:1" s="173" customFormat="1" ht="12" hidden="1" customHeight="1">
      <c r="A1944" s="172"/>
    </row>
    <row r="1945" spans="1:1" s="173" customFormat="1" ht="12" hidden="1" customHeight="1">
      <c r="A1945" s="172"/>
    </row>
    <row r="1946" spans="1:1" s="173" customFormat="1" ht="12" hidden="1" customHeight="1">
      <c r="A1946" s="172"/>
    </row>
    <row r="1947" spans="1:1" s="173" customFormat="1" ht="12" hidden="1" customHeight="1">
      <c r="A1947" s="172"/>
    </row>
    <row r="1948" spans="1:1" s="173" customFormat="1" ht="12" hidden="1" customHeight="1">
      <c r="A1948" s="172"/>
    </row>
    <row r="1949" spans="1:1" s="173" customFormat="1" ht="12" hidden="1" customHeight="1">
      <c r="A1949" s="172"/>
    </row>
    <row r="1950" spans="1:1" s="173" customFormat="1" ht="12" hidden="1" customHeight="1">
      <c r="A1950" s="172"/>
    </row>
    <row r="1951" spans="1:1" s="173" customFormat="1" ht="12" hidden="1" customHeight="1">
      <c r="A1951" s="172"/>
    </row>
    <row r="1952" spans="1:1" s="173" customFormat="1" ht="12" hidden="1" customHeight="1">
      <c r="A1952" s="172"/>
    </row>
    <row r="1953" spans="1:1" s="173" customFormat="1" ht="12" hidden="1" customHeight="1">
      <c r="A1953" s="172"/>
    </row>
    <row r="1954" spans="1:1" s="173" customFormat="1" ht="12" hidden="1" customHeight="1">
      <c r="A1954" s="172"/>
    </row>
    <row r="1955" spans="1:1" s="173" customFormat="1" ht="12" hidden="1" customHeight="1">
      <c r="A1955" s="172"/>
    </row>
    <row r="1956" spans="1:1" s="173" customFormat="1" ht="12" hidden="1" customHeight="1">
      <c r="A1956" s="172"/>
    </row>
    <row r="1957" spans="1:1" s="173" customFormat="1" ht="12" hidden="1" customHeight="1">
      <c r="A1957" s="172"/>
    </row>
    <row r="1958" spans="1:1" s="173" customFormat="1" ht="12" hidden="1" customHeight="1">
      <c r="A1958" s="172"/>
    </row>
    <row r="1959" spans="1:1" s="173" customFormat="1" ht="12" hidden="1" customHeight="1">
      <c r="A1959" s="172"/>
    </row>
    <row r="1960" spans="1:1" s="173" customFormat="1" ht="12" hidden="1" customHeight="1">
      <c r="A1960" s="172"/>
    </row>
    <row r="1961" spans="1:1" s="173" customFormat="1" ht="12" hidden="1" customHeight="1">
      <c r="A1961" s="172"/>
    </row>
    <row r="1962" spans="1:1" s="173" customFormat="1" ht="12" hidden="1" customHeight="1">
      <c r="A1962" s="172"/>
    </row>
    <row r="1963" spans="1:1" s="173" customFormat="1" ht="12" hidden="1" customHeight="1">
      <c r="A1963" s="172"/>
    </row>
    <row r="1964" spans="1:1" s="173" customFormat="1" ht="12" hidden="1" customHeight="1">
      <c r="A1964" s="172"/>
    </row>
    <row r="1965" spans="1:1" s="173" customFormat="1" ht="12" hidden="1" customHeight="1">
      <c r="A1965" s="172"/>
    </row>
    <row r="1966" spans="1:1" s="173" customFormat="1" ht="12" hidden="1" customHeight="1">
      <c r="A1966" s="172"/>
    </row>
    <row r="1967" spans="1:1" s="173" customFormat="1" ht="12" hidden="1" customHeight="1">
      <c r="A1967" s="172"/>
    </row>
    <row r="1968" spans="1:1" s="173" customFormat="1" ht="12" hidden="1" customHeight="1">
      <c r="A1968" s="172"/>
    </row>
    <row r="1969" spans="1:1" s="173" customFormat="1" ht="12" hidden="1" customHeight="1">
      <c r="A1969" s="172"/>
    </row>
    <row r="1970" spans="1:1" s="173" customFormat="1" ht="12" hidden="1" customHeight="1">
      <c r="A1970" s="172"/>
    </row>
    <row r="1971" spans="1:1" s="173" customFormat="1" ht="12" hidden="1" customHeight="1">
      <c r="A1971" s="172"/>
    </row>
    <row r="1972" spans="1:1" s="173" customFormat="1" ht="12" hidden="1" customHeight="1">
      <c r="A1972" s="172"/>
    </row>
    <row r="1973" spans="1:1" s="173" customFormat="1" ht="12" hidden="1" customHeight="1">
      <c r="A1973" s="172"/>
    </row>
    <row r="1974" spans="1:1" s="173" customFormat="1" ht="12" hidden="1" customHeight="1">
      <c r="A1974" s="172"/>
    </row>
    <row r="1975" spans="1:1" s="173" customFormat="1" ht="12" hidden="1" customHeight="1">
      <c r="A1975" s="172"/>
    </row>
    <row r="1976" spans="1:1" s="173" customFormat="1" ht="12" hidden="1" customHeight="1">
      <c r="A1976" s="172"/>
    </row>
    <row r="1977" spans="1:1" s="173" customFormat="1" ht="12" hidden="1" customHeight="1">
      <c r="A1977" s="172"/>
    </row>
    <row r="1978" spans="1:1" s="173" customFormat="1" ht="12" hidden="1" customHeight="1">
      <c r="A1978" s="172"/>
    </row>
    <row r="1979" spans="1:1" s="173" customFormat="1" ht="12" hidden="1" customHeight="1">
      <c r="A1979" s="172"/>
    </row>
    <row r="1980" spans="1:1" s="173" customFormat="1" ht="12" hidden="1" customHeight="1">
      <c r="A1980" s="172"/>
    </row>
    <row r="1981" spans="1:1" s="173" customFormat="1" ht="12" hidden="1" customHeight="1">
      <c r="A1981" s="172"/>
    </row>
    <row r="1982" spans="1:1" s="173" customFormat="1" ht="12" hidden="1" customHeight="1">
      <c r="A1982" s="172"/>
    </row>
    <row r="1983" spans="1:1" s="173" customFormat="1" ht="12" hidden="1" customHeight="1">
      <c r="A1983" s="172"/>
    </row>
    <row r="1984" spans="1:1" s="173" customFormat="1" ht="12" hidden="1" customHeight="1">
      <c r="A1984" s="172"/>
    </row>
    <row r="1985" spans="1:1" s="173" customFormat="1" ht="12" hidden="1" customHeight="1">
      <c r="A1985" s="172"/>
    </row>
    <row r="1986" spans="1:1" s="173" customFormat="1" ht="12" hidden="1" customHeight="1">
      <c r="A1986" s="172"/>
    </row>
    <row r="1987" spans="1:1" s="173" customFormat="1" ht="12" hidden="1" customHeight="1">
      <c r="A1987" s="172"/>
    </row>
    <row r="1988" spans="1:1" s="173" customFormat="1" ht="12" hidden="1" customHeight="1">
      <c r="A1988" s="172"/>
    </row>
    <row r="1989" spans="1:1" s="173" customFormat="1" ht="12" hidden="1" customHeight="1">
      <c r="A1989" s="172"/>
    </row>
    <row r="1990" spans="1:1" s="173" customFormat="1" ht="12" hidden="1" customHeight="1">
      <c r="A1990" s="172"/>
    </row>
    <row r="1991" spans="1:1" s="173" customFormat="1" ht="12" hidden="1" customHeight="1">
      <c r="A1991" s="172"/>
    </row>
    <row r="1992" spans="1:1" s="173" customFormat="1" ht="12" hidden="1" customHeight="1">
      <c r="A1992" s="172"/>
    </row>
    <row r="1993" spans="1:1" s="173" customFormat="1" ht="12" hidden="1" customHeight="1">
      <c r="A1993" s="172"/>
    </row>
    <row r="1994" spans="1:1" s="173" customFormat="1" ht="12" hidden="1" customHeight="1">
      <c r="A1994" s="172"/>
    </row>
    <row r="1995" spans="1:1" s="173" customFormat="1" ht="12" hidden="1" customHeight="1">
      <c r="A1995" s="172"/>
    </row>
    <row r="1996" spans="1:1" s="173" customFormat="1" ht="12" hidden="1" customHeight="1">
      <c r="A1996" s="172"/>
    </row>
    <row r="1997" spans="1:1" s="173" customFormat="1" ht="12" hidden="1" customHeight="1">
      <c r="A1997" s="172"/>
    </row>
    <row r="1998" spans="1:1" s="173" customFormat="1" ht="12" hidden="1" customHeight="1">
      <c r="A1998" s="172"/>
    </row>
    <row r="1999" spans="1:1" s="173" customFormat="1" ht="12" hidden="1" customHeight="1">
      <c r="A1999" s="172"/>
    </row>
    <row r="2000" spans="1:1" s="173" customFormat="1" ht="12" hidden="1" customHeight="1">
      <c r="A2000" s="172"/>
    </row>
    <row r="2001" spans="1:1" s="173" customFormat="1" ht="12" hidden="1" customHeight="1">
      <c r="A2001" s="172"/>
    </row>
    <row r="2002" spans="1:1" s="173" customFormat="1" ht="12" hidden="1" customHeight="1">
      <c r="A2002" s="172"/>
    </row>
    <row r="2003" spans="1:1" s="173" customFormat="1" ht="12" hidden="1" customHeight="1">
      <c r="A2003" s="172"/>
    </row>
    <row r="2004" spans="1:1" s="173" customFormat="1" ht="12" hidden="1" customHeight="1">
      <c r="A2004" s="172"/>
    </row>
    <row r="2005" spans="1:1" s="173" customFormat="1" ht="12" hidden="1" customHeight="1">
      <c r="A2005" s="172"/>
    </row>
    <row r="2006" spans="1:1" s="173" customFormat="1" ht="12" hidden="1" customHeight="1">
      <c r="A2006" s="172"/>
    </row>
    <row r="2007" spans="1:1" s="173" customFormat="1" ht="12" hidden="1" customHeight="1">
      <c r="A2007" s="172"/>
    </row>
    <row r="2008" spans="1:1" s="173" customFormat="1" ht="12" hidden="1" customHeight="1">
      <c r="A2008" s="172"/>
    </row>
    <row r="2009" spans="1:1" s="173" customFormat="1" ht="12" hidden="1" customHeight="1">
      <c r="A2009" s="172"/>
    </row>
    <row r="2010" spans="1:1" s="173" customFormat="1" ht="12" hidden="1" customHeight="1">
      <c r="A2010" s="172"/>
    </row>
    <row r="2011" spans="1:1" s="173" customFormat="1" ht="12" hidden="1" customHeight="1">
      <c r="A2011" s="172"/>
    </row>
    <row r="2012" spans="1:1" s="173" customFormat="1" ht="12" hidden="1" customHeight="1">
      <c r="A2012" s="172"/>
    </row>
    <row r="2013" spans="1:1" s="173" customFormat="1" ht="12" hidden="1" customHeight="1">
      <c r="A2013" s="172"/>
    </row>
    <row r="2014" spans="1:1" s="173" customFormat="1" ht="12" hidden="1" customHeight="1">
      <c r="A2014" s="172"/>
    </row>
    <row r="2015" spans="1:1" s="173" customFormat="1" ht="12" hidden="1" customHeight="1">
      <c r="A2015" s="172"/>
    </row>
    <row r="2016" spans="1:1" s="173" customFormat="1" ht="12" hidden="1" customHeight="1">
      <c r="A2016" s="172"/>
    </row>
    <row r="2017" spans="1:1" s="173" customFormat="1" ht="12" hidden="1" customHeight="1">
      <c r="A2017" s="172"/>
    </row>
    <row r="2018" spans="1:1" s="173" customFormat="1" ht="12" hidden="1" customHeight="1">
      <c r="A2018" s="172"/>
    </row>
    <row r="2019" spans="1:1" s="173" customFormat="1" ht="12" hidden="1" customHeight="1">
      <c r="A2019" s="172"/>
    </row>
    <row r="2020" spans="1:1" s="173" customFormat="1" ht="12" hidden="1" customHeight="1">
      <c r="A2020" s="172"/>
    </row>
    <row r="2021" spans="1:1" s="173" customFormat="1" ht="12" hidden="1" customHeight="1">
      <c r="A2021" s="172"/>
    </row>
    <row r="2022" spans="1:1" s="173" customFormat="1" ht="12" hidden="1" customHeight="1">
      <c r="A2022" s="172"/>
    </row>
    <row r="2023" spans="1:1" s="173" customFormat="1" ht="12" hidden="1" customHeight="1">
      <c r="A2023" s="172"/>
    </row>
    <row r="2024" spans="1:1" s="173" customFormat="1" ht="12" hidden="1" customHeight="1">
      <c r="A2024" s="172"/>
    </row>
    <row r="2025" spans="1:1" s="173" customFormat="1" ht="12" hidden="1" customHeight="1">
      <c r="A2025" s="172"/>
    </row>
    <row r="2026" spans="1:1" s="173" customFormat="1" ht="12" hidden="1" customHeight="1">
      <c r="A2026" s="172"/>
    </row>
    <row r="2027" spans="1:1" s="173" customFormat="1" ht="12" hidden="1" customHeight="1">
      <c r="A2027" s="172"/>
    </row>
    <row r="2028" spans="1:1" s="173" customFormat="1" ht="12" hidden="1" customHeight="1">
      <c r="A2028" s="172"/>
    </row>
    <row r="2029" spans="1:1" s="173" customFormat="1" ht="12" hidden="1" customHeight="1">
      <c r="A2029" s="172"/>
    </row>
    <row r="2030" spans="1:1" s="173" customFormat="1" ht="12" hidden="1" customHeight="1">
      <c r="A2030" s="172"/>
    </row>
    <row r="2031" spans="1:1" s="173" customFormat="1" ht="12" hidden="1" customHeight="1">
      <c r="A2031" s="172"/>
    </row>
    <row r="2032" spans="1:1" s="173" customFormat="1" ht="12" hidden="1" customHeight="1">
      <c r="A2032" s="172"/>
    </row>
    <row r="2033" spans="1:1" s="173" customFormat="1" ht="12" hidden="1" customHeight="1">
      <c r="A2033" s="172"/>
    </row>
    <row r="2034" spans="1:1" s="173" customFormat="1" ht="12" hidden="1" customHeight="1">
      <c r="A2034" s="172"/>
    </row>
    <row r="2035" spans="1:1" s="173" customFormat="1" ht="12" hidden="1" customHeight="1">
      <c r="A2035" s="172"/>
    </row>
    <row r="2036" spans="1:1" s="173" customFormat="1" ht="12" hidden="1" customHeight="1">
      <c r="A2036" s="172"/>
    </row>
    <row r="2037" spans="1:1" s="173" customFormat="1" ht="12" hidden="1" customHeight="1">
      <c r="A2037" s="172"/>
    </row>
    <row r="2038" spans="1:1" s="173" customFormat="1" ht="12" hidden="1" customHeight="1">
      <c r="A2038" s="172"/>
    </row>
    <row r="2039" spans="1:1" s="173" customFormat="1" ht="12" hidden="1" customHeight="1">
      <c r="A2039" s="172"/>
    </row>
    <row r="2040" spans="1:1" s="173" customFormat="1" ht="12" hidden="1" customHeight="1">
      <c r="A2040" s="172"/>
    </row>
    <row r="2041" spans="1:1" s="173" customFormat="1" ht="12" hidden="1" customHeight="1">
      <c r="A2041" s="172"/>
    </row>
    <row r="2042" spans="1:1" s="173" customFormat="1" ht="12" hidden="1" customHeight="1">
      <c r="A2042" s="172"/>
    </row>
    <row r="2043" spans="1:1" s="173" customFormat="1" ht="12" hidden="1" customHeight="1">
      <c r="A2043" s="172"/>
    </row>
    <row r="2044" spans="1:1" s="173" customFormat="1" ht="12" hidden="1" customHeight="1">
      <c r="A2044" s="172"/>
    </row>
    <row r="2045" spans="1:1" s="173" customFormat="1" ht="12" hidden="1" customHeight="1">
      <c r="A2045" s="172"/>
    </row>
    <row r="2046" spans="1:1" s="173" customFormat="1" ht="12" hidden="1" customHeight="1">
      <c r="A2046" s="172"/>
    </row>
    <row r="2047" spans="1:1" s="173" customFormat="1" ht="12" hidden="1" customHeight="1">
      <c r="A2047" s="172"/>
    </row>
    <row r="2048" spans="1:1" s="173" customFormat="1" ht="12" hidden="1" customHeight="1">
      <c r="A2048" s="172"/>
    </row>
    <row r="2049" spans="1:1" s="173" customFormat="1" ht="12" hidden="1" customHeight="1">
      <c r="A2049" s="172"/>
    </row>
    <row r="2050" spans="1:1" s="173" customFormat="1" ht="12" hidden="1" customHeight="1">
      <c r="A2050" s="172"/>
    </row>
    <row r="2051" spans="1:1" s="173" customFormat="1" ht="12" hidden="1" customHeight="1">
      <c r="A2051" s="172"/>
    </row>
    <row r="2052" spans="1:1" s="173" customFormat="1" ht="12" hidden="1" customHeight="1">
      <c r="A2052" s="172"/>
    </row>
    <row r="2053" spans="1:1" s="173" customFormat="1" ht="12" hidden="1" customHeight="1">
      <c r="A2053" s="172"/>
    </row>
    <row r="2054" spans="1:1" s="173" customFormat="1" ht="12" hidden="1" customHeight="1">
      <c r="A2054" s="172"/>
    </row>
    <row r="2055" spans="1:1" s="173" customFormat="1" ht="12" hidden="1" customHeight="1">
      <c r="A2055" s="172"/>
    </row>
    <row r="2056" spans="1:1" s="173" customFormat="1" ht="12" hidden="1" customHeight="1">
      <c r="A2056" s="172"/>
    </row>
    <row r="2057" spans="1:1" s="173" customFormat="1" ht="12" hidden="1" customHeight="1">
      <c r="A2057" s="172"/>
    </row>
    <row r="2058" spans="1:1" s="173" customFormat="1" ht="12" hidden="1" customHeight="1">
      <c r="A2058" s="172"/>
    </row>
    <row r="2059" spans="1:1" s="173" customFormat="1" ht="12" hidden="1" customHeight="1">
      <c r="A2059" s="172"/>
    </row>
    <row r="2060" spans="1:1" s="173" customFormat="1" ht="12" hidden="1" customHeight="1">
      <c r="A2060" s="172"/>
    </row>
    <row r="2061" spans="1:1" s="173" customFormat="1" ht="12" hidden="1" customHeight="1">
      <c r="A2061" s="172"/>
    </row>
    <row r="2062" spans="1:1" s="173" customFormat="1" ht="12" hidden="1" customHeight="1">
      <c r="A2062" s="172"/>
    </row>
    <row r="2063" spans="1:1" s="173" customFormat="1" ht="12" hidden="1" customHeight="1">
      <c r="A2063" s="172"/>
    </row>
    <row r="2064" spans="1:1" s="173" customFormat="1" ht="12" hidden="1" customHeight="1">
      <c r="A2064" s="172"/>
    </row>
    <row r="2065" spans="1:1" s="173" customFormat="1" ht="12" hidden="1" customHeight="1">
      <c r="A2065" s="172"/>
    </row>
    <row r="2066" spans="1:1" s="173" customFormat="1" ht="12" hidden="1" customHeight="1">
      <c r="A2066" s="172"/>
    </row>
    <row r="2067" spans="1:1" s="173" customFormat="1" ht="12" hidden="1" customHeight="1">
      <c r="A2067" s="172"/>
    </row>
    <row r="2068" spans="1:1" s="173" customFormat="1" ht="12" hidden="1" customHeight="1">
      <c r="A2068" s="172"/>
    </row>
    <row r="2069" spans="1:1" s="173" customFormat="1" ht="12" hidden="1" customHeight="1">
      <c r="A2069" s="172"/>
    </row>
    <row r="2070" spans="1:1" s="173" customFormat="1" ht="12" hidden="1" customHeight="1">
      <c r="A2070" s="172"/>
    </row>
    <row r="2071" spans="1:1" s="173" customFormat="1" ht="12" hidden="1" customHeight="1">
      <c r="A2071" s="172"/>
    </row>
    <row r="2072" spans="1:1" s="173" customFormat="1" ht="12" hidden="1" customHeight="1">
      <c r="A2072" s="172"/>
    </row>
    <row r="2073" spans="1:1" s="173" customFormat="1" ht="12" hidden="1" customHeight="1">
      <c r="A2073" s="172"/>
    </row>
    <row r="2074" spans="1:1" s="173" customFormat="1" ht="12" hidden="1" customHeight="1">
      <c r="A2074" s="172"/>
    </row>
    <row r="2075" spans="1:1" s="173" customFormat="1" ht="12" hidden="1" customHeight="1">
      <c r="A2075" s="172"/>
    </row>
    <row r="2076" spans="1:1" s="173" customFormat="1" ht="12" hidden="1" customHeight="1">
      <c r="A2076" s="172"/>
    </row>
    <row r="2077" spans="1:1" s="173" customFormat="1" ht="12" hidden="1" customHeight="1">
      <c r="A2077" s="172"/>
    </row>
    <row r="2078" spans="1:1" s="173" customFormat="1" ht="12" hidden="1" customHeight="1">
      <c r="A2078" s="172"/>
    </row>
    <row r="2079" spans="1:1" s="173" customFormat="1" ht="12" hidden="1" customHeight="1">
      <c r="A2079" s="172"/>
    </row>
    <row r="2080" spans="1:1" s="173" customFormat="1" ht="12" hidden="1" customHeight="1">
      <c r="A2080" s="172"/>
    </row>
    <row r="2081" spans="1:1" s="173" customFormat="1" ht="12" hidden="1" customHeight="1">
      <c r="A2081" s="172"/>
    </row>
    <row r="2082" spans="1:1" s="173" customFormat="1" ht="12" hidden="1" customHeight="1">
      <c r="A2082" s="172"/>
    </row>
    <row r="2083" spans="1:1" s="173" customFormat="1" ht="12" hidden="1" customHeight="1">
      <c r="A2083" s="172"/>
    </row>
    <row r="2084" spans="1:1" s="173" customFormat="1" ht="12" hidden="1" customHeight="1">
      <c r="A2084" s="172"/>
    </row>
    <row r="2085" spans="1:1" s="173" customFormat="1" ht="12" hidden="1" customHeight="1">
      <c r="A2085" s="172"/>
    </row>
    <row r="2086" spans="1:1" s="173" customFormat="1" ht="12" hidden="1" customHeight="1">
      <c r="A2086" s="172"/>
    </row>
    <row r="2087" spans="1:1" s="173" customFormat="1" ht="12" hidden="1" customHeight="1">
      <c r="A2087" s="172"/>
    </row>
    <row r="2088" spans="1:1" s="173" customFormat="1" ht="12" hidden="1" customHeight="1">
      <c r="A2088" s="172"/>
    </row>
    <row r="2089" spans="1:1" s="173" customFormat="1" ht="12" hidden="1" customHeight="1">
      <c r="A2089" s="172"/>
    </row>
    <row r="2090" spans="1:1" s="173" customFormat="1" ht="12" hidden="1" customHeight="1">
      <c r="A2090" s="172"/>
    </row>
    <row r="2091" spans="1:1" s="173" customFormat="1" ht="12" hidden="1" customHeight="1">
      <c r="A2091" s="172"/>
    </row>
    <row r="2092" spans="1:1" s="173" customFormat="1" ht="12" hidden="1" customHeight="1">
      <c r="A2092" s="172"/>
    </row>
    <row r="2093" spans="1:1" s="173" customFormat="1" ht="12" hidden="1" customHeight="1">
      <c r="A2093" s="172"/>
    </row>
    <row r="2094" spans="1:1" s="173" customFormat="1" ht="12" hidden="1" customHeight="1">
      <c r="A2094" s="172"/>
    </row>
    <row r="2095" spans="1:1" s="173" customFormat="1" ht="12" hidden="1" customHeight="1">
      <c r="A2095" s="172"/>
    </row>
    <row r="2096" spans="1:1" s="173" customFormat="1" ht="12" hidden="1" customHeight="1">
      <c r="A2096" s="172"/>
    </row>
    <row r="2097" spans="1:1" s="173" customFormat="1" ht="12" hidden="1" customHeight="1">
      <c r="A2097" s="172"/>
    </row>
    <row r="2098" spans="1:1" s="173" customFormat="1" ht="12" hidden="1" customHeight="1">
      <c r="A2098" s="172"/>
    </row>
    <row r="2099" spans="1:1" s="173" customFormat="1" ht="12" hidden="1" customHeight="1">
      <c r="A2099" s="172"/>
    </row>
    <row r="2100" spans="1:1" s="173" customFormat="1" ht="12" hidden="1" customHeight="1">
      <c r="A2100" s="172"/>
    </row>
    <row r="2101" spans="1:1" s="173" customFormat="1" ht="12" hidden="1" customHeight="1">
      <c r="A2101" s="172"/>
    </row>
    <row r="2102" spans="1:1" s="173" customFormat="1" ht="12" hidden="1" customHeight="1">
      <c r="A2102" s="172"/>
    </row>
    <row r="2103" spans="1:1" s="173" customFormat="1" ht="12" hidden="1" customHeight="1">
      <c r="A2103" s="172"/>
    </row>
    <row r="2104" spans="1:1" s="173" customFormat="1" ht="12" hidden="1" customHeight="1">
      <c r="A2104" s="172"/>
    </row>
    <row r="2105" spans="1:1" s="173" customFormat="1" ht="12" hidden="1" customHeight="1">
      <c r="A2105" s="172"/>
    </row>
    <row r="2106" spans="1:1" s="173" customFormat="1" ht="12" hidden="1" customHeight="1">
      <c r="A2106" s="172"/>
    </row>
    <row r="2107" spans="1:1" s="173" customFormat="1" ht="12" hidden="1" customHeight="1">
      <c r="A2107" s="172"/>
    </row>
    <row r="2108" spans="1:1" s="173" customFormat="1" ht="12" hidden="1" customHeight="1">
      <c r="A2108" s="172"/>
    </row>
    <row r="2109" spans="1:1" s="173" customFormat="1" ht="12" hidden="1" customHeight="1">
      <c r="A2109" s="172"/>
    </row>
    <row r="2110" spans="1:1" s="173" customFormat="1" ht="12" hidden="1" customHeight="1">
      <c r="A2110" s="172"/>
    </row>
    <row r="2111" spans="1:1" s="173" customFormat="1" ht="12" hidden="1" customHeight="1">
      <c r="A2111" s="172"/>
    </row>
    <row r="2112" spans="1:1" s="173" customFormat="1" ht="12" hidden="1" customHeight="1">
      <c r="A2112" s="172"/>
    </row>
    <row r="2113" spans="1:1" s="173" customFormat="1" ht="12" hidden="1" customHeight="1">
      <c r="A2113" s="172"/>
    </row>
    <row r="2114" spans="1:1" s="173" customFormat="1" ht="12" hidden="1" customHeight="1">
      <c r="A2114" s="172"/>
    </row>
    <row r="2115" spans="1:1" s="173" customFormat="1" ht="12" hidden="1" customHeight="1">
      <c r="A2115" s="172"/>
    </row>
    <row r="2116" spans="1:1" s="173" customFormat="1" ht="12" hidden="1" customHeight="1">
      <c r="A2116" s="172"/>
    </row>
    <row r="2117" spans="1:1" s="173" customFormat="1" ht="12" hidden="1" customHeight="1">
      <c r="A2117" s="172"/>
    </row>
    <row r="2118" spans="1:1" s="173" customFormat="1" ht="12" hidden="1" customHeight="1">
      <c r="A2118" s="172"/>
    </row>
    <row r="2119" spans="1:1" s="173" customFormat="1" ht="12" hidden="1" customHeight="1">
      <c r="A2119" s="172"/>
    </row>
    <row r="2120" spans="1:1" s="173" customFormat="1" ht="12" hidden="1" customHeight="1">
      <c r="A2120" s="172"/>
    </row>
    <row r="2121" spans="1:1" s="173" customFormat="1" ht="12" hidden="1" customHeight="1">
      <c r="A2121" s="172"/>
    </row>
    <row r="2122" spans="1:1" s="173" customFormat="1" ht="12" hidden="1" customHeight="1">
      <c r="A2122" s="172"/>
    </row>
    <row r="2123" spans="1:1" s="173" customFormat="1" ht="12" hidden="1" customHeight="1">
      <c r="A2123" s="172"/>
    </row>
    <row r="2124" spans="1:1" s="173" customFormat="1" ht="12" hidden="1" customHeight="1">
      <c r="A2124" s="172"/>
    </row>
    <row r="2125" spans="1:1" s="173" customFormat="1" ht="12" hidden="1" customHeight="1">
      <c r="A2125" s="172"/>
    </row>
    <row r="2126" spans="1:1" s="173" customFormat="1" ht="12" hidden="1" customHeight="1">
      <c r="A2126" s="172"/>
    </row>
    <row r="2127" spans="1:1" s="173" customFormat="1" ht="12" hidden="1" customHeight="1">
      <c r="A2127" s="172"/>
    </row>
    <row r="2128" spans="1:1" s="173" customFormat="1" ht="12" hidden="1" customHeight="1">
      <c r="A2128" s="172"/>
    </row>
    <row r="2129" spans="1:1" s="173" customFormat="1" ht="12" hidden="1" customHeight="1">
      <c r="A2129" s="172"/>
    </row>
    <row r="2130" spans="1:1" s="173" customFormat="1" ht="12" hidden="1" customHeight="1">
      <c r="A2130" s="172"/>
    </row>
    <row r="2131" spans="1:1" s="173" customFormat="1" ht="12" hidden="1" customHeight="1">
      <c r="A2131" s="172"/>
    </row>
    <row r="2132" spans="1:1" s="173" customFormat="1" ht="12" hidden="1" customHeight="1">
      <c r="A2132" s="172"/>
    </row>
    <row r="2133" spans="1:1" s="173" customFormat="1" ht="12" hidden="1" customHeight="1">
      <c r="A2133" s="172"/>
    </row>
    <row r="2134" spans="1:1" s="173" customFormat="1" ht="12" hidden="1" customHeight="1">
      <c r="A2134" s="172"/>
    </row>
    <row r="2135" spans="1:1" s="173" customFormat="1" ht="12" hidden="1" customHeight="1">
      <c r="A2135" s="172"/>
    </row>
    <row r="2136" spans="1:1" s="173" customFormat="1" ht="12" hidden="1" customHeight="1">
      <c r="A2136" s="172"/>
    </row>
    <row r="2137" spans="1:1" s="173" customFormat="1" ht="12" hidden="1" customHeight="1">
      <c r="A2137" s="172"/>
    </row>
    <row r="2138" spans="1:1" s="173" customFormat="1" ht="12" hidden="1" customHeight="1">
      <c r="A2138" s="172"/>
    </row>
    <row r="2139" spans="1:1" s="173" customFormat="1" ht="12" hidden="1" customHeight="1">
      <c r="A2139" s="172"/>
    </row>
    <row r="2140" spans="1:1" s="173" customFormat="1" ht="12" hidden="1" customHeight="1">
      <c r="A2140" s="172"/>
    </row>
    <row r="2141" spans="1:1" s="173" customFormat="1" ht="12" hidden="1" customHeight="1">
      <c r="A2141" s="172"/>
    </row>
    <row r="2142" spans="1:1" s="173" customFormat="1" ht="12" hidden="1" customHeight="1">
      <c r="A2142" s="172"/>
    </row>
    <row r="2143" spans="1:1" s="173" customFormat="1" ht="12" hidden="1" customHeight="1">
      <c r="A2143" s="172"/>
    </row>
    <row r="2144" spans="1:1" s="173" customFormat="1" ht="12" hidden="1" customHeight="1">
      <c r="A2144" s="172"/>
    </row>
    <row r="2145" spans="1:1" s="173" customFormat="1" ht="12" hidden="1" customHeight="1">
      <c r="A2145" s="172"/>
    </row>
    <row r="2146" spans="1:1" s="173" customFormat="1" ht="12" hidden="1" customHeight="1">
      <c r="A2146" s="172"/>
    </row>
    <row r="2147" spans="1:1" s="173" customFormat="1" ht="12" hidden="1" customHeight="1">
      <c r="A2147" s="172"/>
    </row>
    <row r="2148" spans="1:1" s="173" customFormat="1" ht="12" hidden="1" customHeight="1">
      <c r="A2148" s="172"/>
    </row>
    <row r="2149" spans="1:1" s="173" customFormat="1" ht="12" hidden="1" customHeight="1">
      <c r="A2149" s="172"/>
    </row>
    <row r="2150" spans="1:1" s="173" customFormat="1" ht="12" hidden="1" customHeight="1">
      <c r="A2150" s="172"/>
    </row>
    <row r="2151" spans="1:1" s="173" customFormat="1" ht="12" hidden="1" customHeight="1">
      <c r="A2151" s="172"/>
    </row>
    <row r="2152" spans="1:1" s="173" customFormat="1" ht="12" hidden="1" customHeight="1">
      <c r="A2152" s="172"/>
    </row>
    <row r="2153" spans="1:1" s="173" customFormat="1" ht="12" hidden="1" customHeight="1">
      <c r="A2153" s="172"/>
    </row>
    <row r="2154" spans="1:1" s="173" customFormat="1" ht="12" hidden="1" customHeight="1">
      <c r="A2154" s="172"/>
    </row>
    <row r="2155" spans="1:1" s="173" customFormat="1" ht="12" hidden="1" customHeight="1">
      <c r="A2155" s="172"/>
    </row>
    <row r="2156" spans="1:1" s="173" customFormat="1" ht="12" hidden="1" customHeight="1">
      <c r="A2156" s="172"/>
    </row>
    <row r="2157" spans="1:1" s="173" customFormat="1" ht="12" hidden="1" customHeight="1">
      <c r="A2157" s="172"/>
    </row>
    <row r="2158" spans="1:1" s="173" customFormat="1" ht="12" hidden="1" customHeight="1">
      <c r="A2158" s="172"/>
    </row>
    <row r="2159" spans="1:1" s="173" customFormat="1" ht="12" hidden="1" customHeight="1">
      <c r="A2159" s="172"/>
    </row>
    <row r="2160" spans="1:1" s="173" customFormat="1" ht="12" hidden="1" customHeight="1">
      <c r="A2160" s="172"/>
    </row>
    <row r="2161" spans="1:1" s="173" customFormat="1" ht="12" hidden="1" customHeight="1">
      <c r="A2161" s="172"/>
    </row>
    <row r="2162" spans="1:1" s="173" customFormat="1" ht="12" hidden="1" customHeight="1">
      <c r="A2162" s="172"/>
    </row>
    <row r="2163" spans="1:1" s="173" customFormat="1" ht="12" hidden="1" customHeight="1">
      <c r="A2163" s="172"/>
    </row>
    <row r="2164" spans="1:1" s="173" customFormat="1" ht="12" hidden="1" customHeight="1">
      <c r="A2164" s="172"/>
    </row>
    <row r="2165" spans="1:1" s="173" customFormat="1" ht="12" hidden="1" customHeight="1">
      <c r="A2165" s="172"/>
    </row>
    <row r="2166" spans="1:1" s="173" customFormat="1" ht="12" hidden="1" customHeight="1">
      <c r="A2166" s="172"/>
    </row>
    <row r="2167" spans="1:1" s="173" customFormat="1" ht="12" hidden="1" customHeight="1">
      <c r="A2167" s="172"/>
    </row>
    <row r="2168" spans="1:1" s="173" customFormat="1" ht="12" hidden="1" customHeight="1">
      <c r="A2168" s="172"/>
    </row>
    <row r="2169" spans="1:1" s="173" customFormat="1" ht="12" hidden="1" customHeight="1">
      <c r="A2169" s="172"/>
    </row>
    <row r="2170" spans="1:1" s="173" customFormat="1" ht="12" hidden="1" customHeight="1">
      <c r="A2170" s="172"/>
    </row>
    <row r="2171" spans="1:1" s="173" customFormat="1" ht="12" hidden="1" customHeight="1">
      <c r="A2171" s="172"/>
    </row>
    <row r="2172" spans="1:1" s="173" customFormat="1" ht="12" hidden="1" customHeight="1">
      <c r="A2172" s="172"/>
    </row>
    <row r="2173" spans="1:1" s="173" customFormat="1" ht="12" hidden="1" customHeight="1">
      <c r="A2173" s="172"/>
    </row>
    <row r="2174" spans="1:1" s="173" customFormat="1" ht="12" hidden="1" customHeight="1">
      <c r="A2174" s="172"/>
    </row>
    <row r="2175" spans="1:1" s="173" customFormat="1" ht="12" hidden="1" customHeight="1">
      <c r="A2175" s="172"/>
    </row>
    <row r="2176" spans="1:1" s="173" customFormat="1" ht="12" hidden="1" customHeight="1">
      <c r="A2176" s="172"/>
    </row>
    <row r="2177" spans="1:1" s="173" customFormat="1" ht="12" hidden="1" customHeight="1">
      <c r="A2177" s="172"/>
    </row>
    <row r="2178" spans="1:1" s="173" customFormat="1" ht="12" hidden="1" customHeight="1">
      <c r="A2178" s="172"/>
    </row>
    <row r="2179" spans="1:1" s="173" customFormat="1" ht="12" hidden="1" customHeight="1">
      <c r="A2179" s="172"/>
    </row>
    <row r="2180" spans="1:1" s="173" customFormat="1" ht="12" hidden="1" customHeight="1">
      <c r="A2180" s="172"/>
    </row>
    <row r="2181" spans="1:1" s="173" customFormat="1" ht="12" hidden="1" customHeight="1">
      <c r="A2181" s="172"/>
    </row>
    <row r="2182" spans="1:1" s="173" customFormat="1" ht="12" hidden="1" customHeight="1">
      <c r="A2182" s="172"/>
    </row>
    <row r="2183" spans="1:1" s="173" customFormat="1" ht="12" hidden="1" customHeight="1">
      <c r="A2183" s="172"/>
    </row>
    <row r="2184" spans="1:1" s="173" customFormat="1" ht="12" hidden="1" customHeight="1">
      <c r="A2184" s="172"/>
    </row>
    <row r="2185" spans="1:1" s="173" customFormat="1" ht="12" hidden="1" customHeight="1">
      <c r="A2185" s="172"/>
    </row>
    <row r="2186" spans="1:1" s="173" customFormat="1" ht="12" hidden="1" customHeight="1">
      <c r="A2186" s="172"/>
    </row>
    <row r="2187" spans="1:1" s="173" customFormat="1" ht="12" hidden="1" customHeight="1">
      <c r="A2187" s="172"/>
    </row>
    <row r="2188" spans="1:1" s="173" customFormat="1" ht="12" hidden="1" customHeight="1">
      <c r="A2188" s="172"/>
    </row>
    <row r="2189" spans="1:1" s="173" customFormat="1" ht="12" hidden="1" customHeight="1">
      <c r="A2189" s="172"/>
    </row>
    <row r="2190" spans="1:1" s="173" customFormat="1" ht="12" hidden="1" customHeight="1">
      <c r="A2190" s="172"/>
    </row>
    <row r="2191" spans="1:1" s="173" customFormat="1" ht="12" hidden="1" customHeight="1">
      <c r="A2191" s="172"/>
    </row>
    <row r="2192" spans="1:1" s="173" customFormat="1" ht="12" hidden="1" customHeight="1">
      <c r="A2192" s="172"/>
    </row>
    <row r="2193" spans="1:1" s="173" customFormat="1" ht="12" hidden="1" customHeight="1">
      <c r="A2193" s="172"/>
    </row>
    <row r="2194" spans="1:1" s="173" customFormat="1" ht="12" hidden="1" customHeight="1">
      <c r="A2194" s="172"/>
    </row>
    <row r="2195" spans="1:1" s="173" customFormat="1" ht="12" hidden="1" customHeight="1">
      <c r="A2195" s="172"/>
    </row>
    <row r="2196" spans="1:1" s="173" customFormat="1" ht="12" hidden="1" customHeight="1">
      <c r="A2196" s="172"/>
    </row>
    <row r="2197" spans="1:1" s="173" customFormat="1" ht="12" hidden="1" customHeight="1">
      <c r="A2197" s="172"/>
    </row>
    <row r="2198" spans="1:1" s="173" customFormat="1" ht="12" hidden="1" customHeight="1">
      <c r="A2198" s="172"/>
    </row>
    <row r="2199" spans="1:1" s="173" customFormat="1" ht="12" hidden="1" customHeight="1">
      <c r="A2199" s="172"/>
    </row>
    <row r="2200" spans="1:1" s="173" customFormat="1" ht="12" hidden="1" customHeight="1">
      <c r="A2200" s="172"/>
    </row>
    <row r="2201" spans="1:1" s="173" customFormat="1" ht="12" hidden="1" customHeight="1">
      <c r="A2201" s="172"/>
    </row>
    <row r="2202" spans="1:1" s="173" customFormat="1" ht="12" hidden="1" customHeight="1">
      <c r="A2202" s="172"/>
    </row>
    <row r="2203" spans="1:1" s="173" customFormat="1" ht="12" hidden="1" customHeight="1">
      <c r="A2203" s="172"/>
    </row>
    <row r="2204" spans="1:1" s="173" customFormat="1" ht="12" hidden="1" customHeight="1">
      <c r="A2204" s="172"/>
    </row>
    <row r="2205" spans="1:1" s="173" customFormat="1" ht="12" hidden="1" customHeight="1">
      <c r="A2205" s="172"/>
    </row>
    <row r="2206" spans="1:1" s="173" customFormat="1" ht="12" hidden="1" customHeight="1">
      <c r="A2206" s="172"/>
    </row>
    <row r="2207" spans="1:1" s="173" customFormat="1" ht="12" hidden="1" customHeight="1">
      <c r="A2207" s="172"/>
    </row>
    <row r="2208" spans="1:1" s="173" customFormat="1" ht="12" hidden="1" customHeight="1">
      <c r="A2208" s="172"/>
    </row>
    <row r="2209" spans="1:1" s="173" customFormat="1" ht="12" hidden="1" customHeight="1">
      <c r="A2209" s="172"/>
    </row>
    <row r="2210" spans="1:1" s="173" customFormat="1" ht="12" hidden="1" customHeight="1">
      <c r="A2210" s="172"/>
    </row>
    <row r="2211" spans="1:1" s="173" customFormat="1" ht="12" hidden="1" customHeight="1">
      <c r="A2211" s="172"/>
    </row>
    <row r="2212" spans="1:1" s="173" customFormat="1" ht="12" hidden="1" customHeight="1">
      <c r="A2212" s="172"/>
    </row>
    <row r="2213" spans="1:1" s="173" customFormat="1" ht="12" hidden="1" customHeight="1">
      <c r="A2213" s="172"/>
    </row>
    <row r="2214" spans="1:1" s="173" customFormat="1" ht="12" hidden="1" customHeight="1">
      <c r="A2214" s="172"/>
    </row>
    <row r="2215" spans="1:1" s="173" customFormat="1" ht="12" hidden="1" customHeight="1">
      <c r="A2215" s="172"/>
    </row>
    <row r="2216" spans="1:1" s="173" customFormat="1" ht="12" hidden="1" customHeight="1">
      <c r="A2216" s="172"/>
    </row>
    <row r="2217" spans="1:1" s="173" customFormat="1" ht="12" hidden="1" customHeight="1">
      <c r="A2217" s="172"/>
    </row>
    <row r="2218" spans="1:1" s="173" customFormat="1" ht="12" hidden="1" customHeight="1">
      <c r="A2218" s="172"/>
    </row>
    <row r="2219" spans="1:1" s="173" customFormat="1" ht="12" hidden="1" customHeight="1">
      <c r="A2219" s="172"/>
    </row>
    <row r="2220" spans="1:1" s="173" customFormat="1" ht="12" hidden="1" customHeight="1">
      <c r="A2220" s="172"/>
    </row>
    <row r="2221" spans="1:1" s="173" customFormat="1" ht="12" hidden="1" customHeight="1">
      <c r="A2221" s="172"/>
    </row>
    <row r="2222" spans="1:1" s="173" customFormat="1" ht="12" hidden="1" customHeight="1">
      <c r="A2222" s="172"/>
    </row>
    <row r="2223" spans="1:1" s="173" customFormat="1" ht="12" hidden="1" customHeight="1">
      <c r="A2223" s="172"/>
    </row>
    <row r="2224" spans="1:1" s="173" customFormat="1" ht="12" hidden="1" customHeight="1">
      <c r="A2224" s="172"/>
    </row>
    <row r="2225" spans="1:1" s="173" customFormat="1" ht="12" hidden="1" customHeight="1">
      <c r="A2225" s="172"/>
    </row>
    <row r="2226" spans="1:1" s="173" customFormat="1" ht="12" hidden="1" customHeight="1">
      <c r="A2226" s="172"/>
    </row>
    <row r="2227" spans="1:1" s="173" customFormat="1" ht="12" hidden="1" customHeight="1">
      <c r="A2227" s="172"/>
    </row>
    <row r="2228" spans="1:1" s="173" customFormat="1" ht="12" hidden="1" customHeight="1">
      <c r="A2228" s="172"/>
    </row>
    <row r="2229" spans="1:1" s="173" customFormat="1" ht="12" hidden="1" customHeight="1">
      <c r="A2229" s="172"/>
    </row>
    <row r="2230" spans="1:1" s="173" customFormat="1" ht="12" hidden="1" customHeight="1">
      <c r="A2230" s="172"/>
    </row>
    <row r="2231" spans="1:1" s="173" customFormat="1" ht="12" hidden="1" customHeight="1">
      <c r="A2231" s="172"/>
    </row>
    <row r="2232" spans="1:1" s="173" customFormat="1" ht="12" hidden="1" customHeight="1">
      <c r="A2232" s="172"/>
    </row>
    <row r="2233" spans="1:1" s="173" customFormat="1" ht="12" hidden="1" customHeight="1">
      <c r="A2233" s="172"/>
    </row>
    <row r="2234" spans="1:1" s="173" customFormat="1" ht="12" hidden="1" customHeight="1">
      <c r="A2234" s="172"/>
    </row>
    <row r="2235" spans="1:1" s="173" customFormat="1" ht="12" hidden="1" customHeight="1">
      <c r="A2235" s="172"/>
    </row>
    <row r="2236" spans="1:1" s="173" customFormat="1" ht="12" hidden="1" customHeight="1">
      <c r="A2236" s="172"/>
    </row>
    <row r="2237" spans="1:1" s="173" customFormat="1" ht="12" hidden="1" customHeight="1">
      <c r="A2237" s="172"/>
    </row>
    <row r="2238" spans="1:1" s="173" customFormat="1" ht="12" hidden="1" customHeight="1">
      <c r="A2238" s="172"/>
    </row>
    <row r="2239" spans="1:1" s="173" customFormat="1" ht="12" hidden="1" customHeight="1">
      <c r="A2239" s="172"/>
    </row>
    <row r="2240" spans="1:1" s="173" customFormat="1" ht="12" hidden="1" customHeight="1">
      <c r="A2240" s="172"/>
    </row>
    <row r="2241" spans="1:1" s="173" customFormat="1" ht="12" hidden="1" customHeight="1">
      <c r="A2241" s="172"/>
    </row>
    <row r="2242" spans="1:1" s="173" customFormat="1" ht="12" hidden="1" customHeight="1">
      <c r="A2242" s="172"/>
    </row>
    <row r="2243" spans="1:1" s="173" customFormat="1" ht="12" hidden="1" customHeight="1">
      <c r="A2243" s="172"/>
    </row>
    <row r="2244" spans="1:1" s="173" customFormat="1" ht="12" hidden="1" customHeight="1">
      <c r="A2244" s="172"/>
    </row>
    <row r="2245" spans="1:1" s="173" customFormat="1" ht="12" hidden="1" customHeight="1">
      <c r="A2245" s="172"/>
    </row>
    <row r="2246" spans="1:1" s="173" customFormat="1" ht="12" hidden="1" customHeight="1">
      <c r="A2246" s="172"/>
    </row>
    <row r="2247" spans="1:1" s="173" customFormat="1" ht="12" hidden="1" customHeight="1">
      <c r="A2247" s="172"/>
    </row>
    <row r="2248" spans="1:1" s="173" customFormat="1" ht="12" hidden="1" customHeight="1">
      <c r="A2248" s="172"/>
    </row>
    <row r="2249" spans="1:1" s="173" customFormat="1" ht="12" hidden="1" customHeight="1">
      <c r="A2249" s="172"/>
    </row>
    <row r="2250" spans="1:1" s="173" customFormat="1" ht="12" hidden="1" customHeight="1">
      <c r="A2250" s="172"/>
    </row>
    <row r="2251" spans="1:1" s="173" customFormat="1" ht="12" hidden="1" customHeight="1">
      <c r="A2251" s="172"/>
    </row>
    <row r="2252" spans="1:1" s="173" customFormat="1" ht="12" hidden="1" customHeight="1">
      <c r="A2252" s="172"/>
    </row>
    <row r="2253" spans="1:1" s="173" customFormat="1" ht="12" hidden="1" customHeight="1">
      <c r="A2253" s="172"/>
    </row>
    <row r="2254" spans="1:1" s="173" customFormat="1" ht="12" hidden="1" customHeight="1">
      <c r="A2254" s="172"/>
    </row>
    <row r="2255" spans="1:1" s="173" customFormat="1" ht="12" hidden="1" customHeight="1">
      <c r="A2255" s="172"/>
    </row>
    <row r="2256" spans="1:1" s="173" customFormat="1" ht="12" hidden="1" customHeight="1">
      <c r="A2256" s="172"/>
    </row>
    <row r="2257" spans="1:1" s="173" customFormat="1" ht="12" hidden="1" customHeight="1">
      <c r="A2257" s="172"/>
    </row>
    <row r="2258" spans="1:1" s="173" customFormat="1" ht="12" hidden="1" customHeight="1">
      <c r="A2258" s="172"/>
    </row>
    <row r="2259" spans="1:1" s="173" customFormat="1" ht="12" hidden="1" customHeight="1">
      <c r="A2259" s="172"/>
    </row>
    <row r="2260" spans="1:1" s="173" customFormat="1" ht="12" hidden="1" customHeight="1">
      <c r="A2260" s="172"/>
    </row>
    <row r="2261" spans="1:1" s="173" customFormat="1" ht="12" hidden="1" customHeight="1">
      <c r="A2261" s="172"/>
    </row>
    <row r="2262" spans="1:1" s="173" customFormat="1" ht="12" hidden="1" customHeight="1">
      <c r="A2262" s="172"/>
    </row>
    <row r="2263" spans="1:1" s="173" customFormat="1" ht="12" hidden="1" customHeight="1">
      <c r="A2263" s="172"/>
    </row>
    <row r="2264" spans="1:1" s="173" customFormat="1" ht="12" hidden="1" customHeight="1">
      <c r="A2264" s="172"/>
    </row>
    <row r="2265" spans="1:1" s="173" customFormat="1" ht="12" hidden="1" customHeight="1">
      <c r="A2265" s="172"/>
    </row>
    <row r="2266" spans="1:1" s="173" customFormat="1" ht="12" hidden="1" customHeight="1">
      <c r="A2266" s="172"/>
    </row>
    <row r="2267" spans="1:1" s="173" customFormat="1" ht="12" hidden="1" customHeight="1">
      <c r="A2267" s="172"/>
    </row>
    <row r="2268" spans="1:1" s="173" customFormat="1" ht="12" hidden="1" customHeight="1">
      <c r="A2268" s="172"/>
    </row>
    <row r="2269" spans="1:1" s="173" customFormat="1" ht="12" hidden="1" customHeight="1">
      <c r="A2269" s="172"/>
    </row>
    <row r="2270" spans="1:1" s="173" customFormat="1" ht="12" hidden="1" customHeight="1">
      <c r="A2270" s="172"/>
    </row>
    <row r="2271" spans="1:1" s="173" customFormat="1" ht="12" hidden="1" customHeight="1">
      <c r="A2271" s="172"/>
    </row>
    <row r="2272" spans="1:1" s="173" customFormat="1" ht="12" hidden="1" customHeight="1">
      <c r="A2272" s="172"/>
    </row>
    <row r="2273" spans="1:1" s="173" customFormat="1" ht="12" hidden="1" customHeight="1">
      <c r="A2273" s="172"/>
    </row>
    <row r="2274" spans="1:1" s="173" customFormat="1" ht="12" hidden="1" customHeight="1">
      <c r="A2274" s="172"/>
    </row>
    <row r="2275" spans="1:1" s="173" customFormat="1" ht="12" hidden="1" customHeight="1">
      <c r="A2275" s="172"/>
    </row>
    <row r="2276" spans="1:1" s="173" customFormat="1" ht="12" hidden="1" customHeight="1">
      <c r="A2276" s="172"/>
    </row>
    <row r="2277" spans="1:1" s="173" customFormat="1" ht="12" hidden="1" customHeight="1">
      <c r="A2277" s="172"/>
    </row>
    <row r="2278" spans="1:1" s="173" customFormat="1" ht="12" hidden="1" customHeight="1">
      <c r="A2278" s="172"/>
    </row>
    <row r="2279" spans="1:1" s="173" customFormat="1" ht="12" hidden="1" customHeight="1">
      <c r="A2279" s="172"/>
    </row>
    <row r="2280" spans="1:1" s="173" customFormat="1" ht="12" hidden="1" customHeight="1">
      <c r="A2280" s="172"/>
    </row>
    <row r="2281" spans="1:1" s="173" customFormat="1" ht="12" hidden="1" customHeight="1">
      <c r="A2281" s="172"/>
    </row>
    <row r="2282" spans="1:1" s="173" customFormat="1" ht="12" hidden="1" customHeight="1">
      <c r="A2282" s="172"/>
    </row>
    <row r="2283" spans="1:1" s="173" customFormat="1" ht="12" hidden="1" customHeight="1">
      <c r="A2283" s="172"/>
    </row>
    <row r="2284" spans="1:1" s="173" customFormat="1" ht="12" hidden="1" customHeight="1">
      <c r="A2284" s="172"/>
    </row>
    <row r="2285" spans="1:1" s="173" customFormat="1" ht="12" hidden="1" customHeight="1">
      <c r="A2285" s="172"/>
    </row>
    <row r="2286" spans="1:1" s="173" customFormat="1" ht="12" hidden="1" customHeight="1">
      <c r="A2286" s="172"/>
    </row>
    <row r="2287" spans="1:1" s="173" customFormat="1" ht="12" hidden="1" customHeight="1">
      <c r="A2287" s="172"/>
    </row>
    <row r="2288" spans="1:1" s="173" customFormat="1" ht="12" hidden="1" customHeight="1">
      <c r="A2288" s="172"/>
    </row>
    <row r="2289" spans="1:1" s="173" customFormat="1" ht="12" hidden="1" customHeight="1">
      <c r="A2289" s="172"/>
    </row>
    <row r="2290" spans="1:1" s="173" customFormat="1" ht="12" hidden="1" customHeight="1">
      <c r="A2290" s="172"/>
    </row>
    <row r="2291" spans="1:1" s="173" customFormat="1" ht="12" hidden="1" customHeight="1">
      <c r="A2291" s="172"/>
    </row>
    <row r="2292" spans="1:1" s="173" customFormat="1" ht="12" hidden="1" customHeight="1">
      <c r="A2292" s="172"/>
    </row>
    <row r="2293" spans="1:1" s="173" customFormat="1" ht="12" hidden="1" customHeight="1">
      <c r="A2293" s="172"/>
    </row>
    <row r="2294" spans="1:1" s="173" customFormat="1" ht="12" hidden="1" customHeight="1">
      <c r="A2294" s="172"/>
    </row>
    <row r="2295" spans="1:1" s="173" customFormat="1" ht="12" hidden="1" customHeight="1">
      <c r="A2295" s="172"/>
    </row>
    <row r="2296" spans="1:1" s="173" customFormat="1" ht="12" hidden="1" customHeight="1">
      <c r="A2296" s="172"/>
    </row>
    <row r="2297" spans="1:1" s="173" customFormat="1" ht="12" hidden="1" customHeight="1">
      <c r="A2297" s="172"/>
    </row>
    <row r="2298" spans="1:1" s="173" customFormat="1" ht="12" hidden="1" customHeight="1">
      <c r="A2298" s="172"/>
    </row>
    <row r="2299" spans="1:1" s="173" customFormat="1" ht="12" hidden="1" customHeight="1">
      <c r="A2299" s="172"/>
    </row>
    <row r="2300" spans="1:1" s="173" customFormat="1" ht="12" hidden="1" customHeight="1">
      <c r="A2300" s="172"/>
    </row>
    <row r="2301" spans="1:1" s="173" customFormat="1" ht="12" hidden="1" customHeight="1">
      <c r="A2301" s="172"/>
    </row>
    <row r="2302" spans="1:1" s="173" customFormat="1" ht="12" hidden="1" customHeight="1">
      <c r="A2302" s="172"/>
    </row>
    <row r="2303" spans="1:1" s="173" customFormat="1" ht="12" hidden="1" customHeight="1">
      <c r="A2303" s="172"/>
    </row>
    <row r="2304" spans="1:1" s="173" customFormat="1" ht="12" hidden="1" customHeight="1">
      <c r="A2304" s="172"/>
    </row>
    <row r="2305" spans="1:1" s="173" customFormat="1" ht="12" hidden="1" customHeight="1">
      <c r="A2305" s="172"/>
    </row>
    <row r="2306" spans="1:1" s="173" customFormat="1" ht="12" hidden="1" customHeight="1">
      <c r="A2306" s="172"/>
    </row>
    <row r="2307" spans="1:1" s="173" customFormat="1" ht="12" hidden="1" customHeight="1">
      <c r="A2307" s="172"/>
    </row>
    <row r="2308" spans="1:1" s="173" customFormat="1" ht="12" hidden="1" customHeight="1">
      <c r="A2308" s="172"/>
    </row>
    <row r="2309" spans="1:1" s="173" customFormat="1" ht="12" hidden="1" customHeight="1">
      <c r="A2309" s="172"/>
    </row>
    <row r="2310" spans="1:1" s="173" customFormat="1" ht="12" hidden="1" customHeight="1">
      <c r="A2310" s="172"/>
    </row>
    <row r="2311" spans="1:1" s="173" customFormat="1" ht="12" hidden="1" customHeight="1">
      <c r="A2311" s="172"/>
    </row>
    <row r="2312" spans="1:1" s="173" customFormat="1" ht="12" hidden="1" customHeight="1">
      <c r="A2312" s="172"/>
    </row>
    <row r="2313" spans="1:1" s="173" customFormat="1" ht="12" hidden="1" customHeight="1">
      <c r="A2313" s="172"/>
    </row>
    <row r="2314" spans="1:1" s="173" customFormat="1" ht="12" hidden="1" customHeight="1">
      <c r="A2314" s="172"/>
    </row>
    <row r="2315" spans="1:1" s="173" customFormat="1" ht="12" hidden="1" customHeight="1">
      <c r="A2315" s="172"/>
    </row>
    <row r="2316" spans="1:1" s="173" customFormat="1" ht="12" hidden="1" customHeight="1">
      <c r="A2316" s="172"/>
    </row>
    <row r="2317" spans="1:1" s="173" customFormat="1" ht="12" hidden="1" customHeight="1">
      <c r="A2317" s="172"/>
    </row>
    <row r="2318" spans="1:1" s="173" customFormat="1" ht="12" hidden="1" customHeight="1">
      <c r="A2318" s="172"/>
    </row>
    <row r="2319" spans="1:1" s="173" customFormat="1" ht="12" hidden="1" customHeight="1">
      <c r="A2319" s="172"/>
    </row>
    <row r="2320" spans="1:1" s="173" customFormat="1" ht="12" hidden="1" customHeight="1">
      <c r="A2320" s="172"/>
    </row>
    <row r="2321" spans="1:1" s="173" customFormat="1" ht="12" hidden="1" customHeight="1">
      <c r="A2321" s="172"/>
    </row>
    <row r="2322" spans="1:1" s="173" customFormat="1" ht="12" hidden="1" customHeight="1">
      <c r="A2322" s="172"/>
    </row>
    <row r="2323" spans="1:1" s="173" customFormat="1" ht="12" hidden="1" customHeight="1">
      <c r="A2323" s="172"/>
    </row>
    <row r="2324" spans="1:1" s="173" customFormat="1" ht="12" hidden="1" customHeight="1">
      <c r="A2324" s="172"/>
    </row>
    <row r="2325" spans="1:1" s="173" customFormat="1" ht="12" hidden="1" customHeight="1">
      <c r="A2325" s="172"/>
    </row>
    <row r="2326" spans="1:1" s="173" customFormat="1" ht="12" hidden="1" customHeight="1">
      <c r="A2326" s="172"/>
    </row>
    <row r="2327" spans="1:1" s="173" customFormat="1" ht="12" hidden="1" customHeight="1">
      <c r="A2327" s="172"/>
    </row>
    <row r="2328" spans="1:1" s="173" customFormat="1" ht="12" hidden="1" customHeight="1">
      <c r="A2328" s="172"/>
    </row>
    <row r="2329" spans="1:1" s="173" customFormat="1" ht="12" hidden="1" customHeight="1">
      <c r="A2329" s="172"/>
    </row>
    <row r="2330" spans="1:1" s="173" customFormat="1" ht="12" hidden="1" customHeight="1">
      <c r="A2330" s="172"/>
    </row>
    <row r="2331" spans="1:1" s="173" customFormat="1" ht="12" hidden="1" customHeight="1">
      <c r="A2331" s="172"/>
    </row>
    <row r="2332" spans="1:1" s="173" customFormat="1" ht="12" hidden="1" customHeight="1">
      <c r="A2332" s="172"/>
    </row>
    <row r="2333" spans="1:1" s="173" customFormat="1" ht="12" hidden="1" customHeight="1">
      <c r="A2333" s="172"/>
    </row>
    <row r="2334" spans="1:1" s="173" customFormat="1" ht="12" hidden="1" customHeight="1">
      <c r="A2334" s="172"/>
    </row>
    <row r="2335" spans="1:1" s="173" customFormat="1" ht="12" hidden="1" customHeight="1">
      <c r="A2335" s="172"/>
    </row>
    <row r="2336" spans="1:1" s="173" customFormat="1" ht="12" hidden="1" customHeight="1">
      <c r="A2336" s="172"/>
    </row>
    <row r="2337" spans="1:1" s="173" customFormat="1" ht="12" hidden="1" customHeight="1">
      <c r="A2337" s="172"/>
    </row>
    <row r="2338" spans="1:1" s="173" customFormat="1" ht="12" hidden="1" customHeight="1">
      <c r="A2338" s="172"/>
    </row>
    <row r="2339" spans="1:1" s="173" customFormat="1" ht="12" hidden="1" customHeight="1">
      <c r="A2339" s="172"/>
    </row>
    <row r="2340" spans="1:1" s="173" customFormat="1" ht="12" hidden="1" customHeight="1">
      <c r="A2340" s="172"/>
    </row>
    <row r="2341" spans="1:1" s="173" customFormat="1" ht="12" hidden="1" customHeight="1">
      <c r="A2341" s="172"/>
    </row>
    <row r="2342" spans="1:1" s="173" customFormat="1" ht="12" hidden="1" customHeight="1">
      <c r="A2342" s="172"/>
    </row>
    <row r="2343" spans="1:1" s="173" customFormat="1" ht="12" hidden="1" customHeight="1">
      <c r="A2343" s="172"/>
    </row>
    <row r="2344" spans="1:1" s="173" customFormat="1" ht="12" hidden="1" customHeight="1">
      <c r="A2344" s="172"/>
    </row>
    <row r="2345" spans="1:1" s="173" customFormat="1" ht="12" hidden="1" customHeight="1">
      <c r="A2345" s="172"/>
    </row>
    <row r="2346" spans="1:1" s="173" customFormat="1" ht="12" hidden="1" customHeight="1">
      <c r="A2346" s="172"/>
    </row>
    <row r="2347" spans="1:1" s="173" customFormat="1" ht="12" hidden="1" customHeight="1">
      <c r="A2347" s="172"/>
    </row>
    <row r="2348" spans="1:1" s="173" customFormat="1" ht="12" hidden="1" customHeight="1">
      <c r="A2348" s="172"/>
    </row>
    <row r="2349" spans="1:1" s="173" customFormat="1" ht="12" hidden="1" customHeight="1">
      <c r="A2349" s="172"/>
    </row>
    <row r="2350" spans="1:1" s="173" customFormat="1" ht="12" hidden="1" customHeight="1">
      <c r="A2350" s="172"/>
    </row>
    <row r="2351" spans="1:1" s="173" customFormat="1" ht="12" hidden="1" customHeight="1">
      <c r="A2351" s="172"/>
    </row>
    <row r="2352" spans="1:1" s="173" customFormat="1" ht="12" hidden="1" customHeight="1">
      <c r="A2352" s="172"/>
    </row>
    <row r="2353" spans="1:1" s="173" customFormat="1" ht="12" hidden="1" customHeight="1">
      <c r="A2353" s="172"/>
    </row>
    <row r="2354" spans="1:1" s="173" customFormat="1" ht="12" hidden="1" customHeight="1">
      <c r="A2354" s="172"/>
    </row>
    <row r="2355" spans="1:1" s="173" customFormat="1" ht="12" hidden="1" customHeight="1">
      <c r="A2355" s="172"/>
    </row>
    <row r="2356" spans="1:1" s="173" customFormat="1" ht="12" hidden="1" customHeight="1">
      <c r="A2356" s="172"/>
    </row>
    <row r="2357" spans="1:1" s="173" customFormat="1" ht="12" hidden="1" customHeight="1">
      <c r="A2357" s="172"/>
    </row>
    <row r="2358" spans="1:1" s="173" customFormat="1" ht="12" hidden="1" customHeight="1">
      <c r="A2358" s="172"/>
    </row>
    <row r="2359" spans="1:1" s="173" customFormat="1" ht="12" hidden="1" customHeight="1">
      <c r="A2359" s="172"/>
    </row>
    <row r="2360" spans="1:1" s="173" customFormat="1" ht="12" hidden="1" customHeight="1">
      <c r="A2360" s="172"/>
    </row>
    <row r="2361" spans="1:1" s="173" customFormat="1" ht="12" hidden="1" customHeight="1">
      <c r="A2361" s="172"/>
    </row>
    <row r="2362" spans="1:1" s="173" customFormat="1" ht="12" hidden="1" customHeight="1">
      <c r="A2362" s="172"/>
    </row>
    <row r="2363" spans="1:1" s="173" customFormat="1" ht="12" hidden="1" customHeight="1">
      <c r="A2363" s="172"/>
    </row>
    <row r="2364" spans="1:1" s="173" customFormat="1" ht="12" hidden="1" customHeight="1">
      <c r="A2364" s="172"/>
    </row>
    <row r="2365" spans="1:1" s="173" customFormat="1" ht="12" hidden="1" customHeight="1">
      <c r="A2365" s="172"/>
    </row>
    <row r="2366" spans="1:1" s="173" customFormat="1" ht="12" hidden="1" customHeight="1">
      <c r="A2366" s="172"/>
    </row>
    <row r="2367" spans="1:1" s="173" customFormat="1" ht="12" hidden="1" customHeight="1">
      <c r="A2367" s="172"/>
    </row>
    <row r="2368" spans="1:1" s="173" customFormat="1" ht="12" hidden="1" customHeight="1">
      <c r="A2368" s="172"/>
    </row>
    <row r="2369" spans="1:1" s="173" customFormat="1" ht="12" hidden="1" customHeight="1">
      <c r="A2369" s="172"/>
    </row>
    <row r="2370" spans="1:1" s="173" customFormat="1" ht="12" hidden="1" customHeight="1">
      <c r="A2370" s="172"/>
    </row>
    <row r="2371" spans="1:1" s="173" customFormat="1" ht="12" hidden="1" customHeight="1">
      <c r="A2371" s="172"/>
    </row>
    <row r="2372" spans="1:1" s="173" customFormat="1" ht="12" hidden="1" customHeight="1">
      <c r="A2372" s="172"/>
    </row>
    <row r="2373" spans="1:1" s="173" customFormat="1" ht="12" hidden="1" customHeight="1">
      <c r="A2373" s="172"/>
    </row>
    <row r="2374" spans="1:1" s="173" customFormat="1" ht="12" hidden="1" customHeight="1">
      <c r="A2374" s="172"/>
    </row>
    <row r="2375" spans="1:1" s="173" customFormat="1" ht="12" hidden="1" customHeight="1">
      <c r="A2375" s="172"/>
    </row>
    <row r="2376" spans="1:1" s="173" customFormat="1" ht="12" hidden="1" customHeight="1">
      <c r="A2376" s="172"/>
    </row>
    <row r="2377" spans="1:1" s="173" customFormat="1" ht="12" hidden="1" customHeight="1">
      <c r="A2377" s="172"/>
    </row>
    <row r="2378" spans="1:1" s="173" customFormat="1" ht="12" hidden="1" customHeight="1">
      <c r="A2378" s="172"/>
    </row>
    <row r="2379" spans="1:1" s="173" customFormat="1" ht="12" hidden="1" customHeight="1">
      <c r="A2379" s="172"/>
    </row>
    <row r="2380" spans="1:1" s="173" customFormat="1" ht="12" hidden="1" customHeight="1">
      <c r="A2380" s="172"/>
    </row>
    <row r="2381" spans="1:1" s="173" customFormat="1" ht="12" hidden="1" customHeight="1">
      <c r="A2381" s="172"/>
    </row>
    <row r="2382" spans="1:1" s="173" customFormat="1" ht="12" hidden="1" customHeight="1">
      <c r="A2382" s="172"/>
    </row>
    <row r="2383" spans="1:1" s="173" customFormat="1" ht="12" hidden="1" customHeight="1">
      <c r="A2383" s="172"/>
    </row>
    <row r="2384" spans="1:1" s="173" customFormat="1" ht="12" hidden="1" customHeight="1">
      <c r="A2384" s="172"/>
    </row>
    <row r="2385" spans="1:1" s="173" customFormat="1" ht="12" hidden="1" customHeight="1">
      <c r="A2385" s="172"/>
    </row>
    <row r="2386" spans="1:1" s="173" customFormat="1" ht="12" hidden="1" customHeight="1">
      <c r="A2386" s="172"/>
    </row>
    <row r="2387" spans="1:1" s="173" customFormat="1" ht="12" hidden="1" customHeight="1">
      <c r="A2387" s="172"/>
    </row>
    <row r="2388" spans="1:1" s="173" customFormat="1" ht="12" hidden="1" customHeight="1">
      <c r="A2388" s="172"/>
    </row>
    <row r="2389" spans="1:1" s="173" customFormat="1" ht="12" hidden="1" customHeight="1">
      <c r="A2389" s="172"/>
    </row>
    <row r="2390" spans="1:1" s="173" customFormat="1" ht="12" hidden="1" customHeight="1">
      <c r="A2390" s="172"/>
    </row>
    <row r="2391" spans="1:1" s="173" customFormat="1" ht="12" hidden="1" customHeight="1">
      <c r="A2391" s="172"/>
    </row>
    <row r="2392" spans="1:1" s="173" customFormat="1" ht="12" hidden="1" customHeight="1">
      <c r="A2392" s="172"/>
    </row>
    <row r="2393" spans="1:1" s="173" customFormat="1" ht="12" hidden="1" customHeight="1">
      <c r="A2393" s="172"/>
    </row>
    <row r="2394" spans="1:1" s="173" customFormat="1" ht="12" hidden="1" customHeight="1">
      <c r="A2394" s="172"/>
    </row>
    <row r="2395" spans="1:1" s="173" customFormat="1" ht="12" hidden="1" customHeight="1">
      <c r="A2395" s="172"/>
    </row>
    <row r="2396" spans="1:1" s="173" customFormat="1" ht="12" hidden="1" customHeight="1">
      <c r="A2396" s="172"/>
    </row>
    <row r="2397" spans="1:1" s="173" customFormat="1" ht="12" hidden="1" customHeight="1">
      <c r="A2397" s="172"/>
    </row>
    <row r="2398" spans="1:1" s="173" customFormat="1" ht="12" hidden="1" customHeight="1">
      <c r="A2398" s="172"/>
    </row>
    <row r="2399" spans="1:1" s="173" customFormat="1" ht="12" hidden="1" customHeight="1">
      <c r="A2399" s="172"/>
    </row>
    <row r="2400" spans="1:1" s="173" customFormat="1" ht="12" hidden="1" customHeight="1">
      <c r="A2400" s="172"/>
    </row>
    <row r="2401" spans="1:1" s="173" customFormat="1" ht="12" hidden="1" customHeight="1">
      <c r="A2401" s="172"/>
    </row>
    <row r="2402" spans="1:1" s="173" customFormat="1" ht="12" hidden="1" customHeight="1">
      <c r="A2402" s="172"/>
    </row>
    <row r="2403" spans="1:1" s="173" customFormat="1" ht="12" hidden="1" customHeight="1">
      <c r="A2403" s="172"/>
    </row>
    <row r="2404" spans="1:1" s="173" customFormat="1" ht="12" hidden="1" customHeight="1">
      <c r="A2404" s="172"/>
    </row>
    <row r="2405" spans="1:1" s="173" customFormat="1" ht="12" hidden="1" customHeight="1">
      <c r="A2405" s="172"/>
    </row>
    <row r="2406" spans="1:1" s="173" customFormat="1" ht="12" hidden="1" customHeight="1">
      <c r="A2406" s="172"/>
    </row>
    <row r="2407" spans="1:1" s="173" customFormat="1" ht="12" hidden="1" customHeight="1">
      <c r="A2407" s="172"/>
    </row>
    <row r="2408" spans="1:1" s="173" customFormat="1" ht="12" hidden="1" customHeight="1">
      <c r="A2408" s="172"/>
    </row>
    <row r="2409" spans="1:1" s="173" customFormat="1" ht="12" hidden="1" customHeight="1">
      <c r="A2409" s="172"/>
    </row>
    <row r="2410" spans="1:1" s="173" customFormat="1" ht="12" hidden="1" customHeight="1">
      <c r="A2410" s="172"/>
    </row>
    <row r="2411" spans="1:1" s="173" customFormat="1" ht="12" hidden="1" customHeight="1">
      <c r="A2411" s="172"/>
    </row>
    <row r="2412" spans="1:1" s="173" customFormat="1" ht="12" hidden="1" customHeight="1">
      <c r="A2412" s="172"/>
    </row>
    <row r="2413" spans="1:1" s="173" customFormat="1" ht="12" hidden="1" customHeight="1">
      <c r="A2413" s="172"/>
    </row>
    <row r="2414" spans="1:1" s="173" customFormat="1" ht="12" hidden="1" customHeight="1">
      <c r="A2414" s="172"/>
    </row>
    <row r="2415" spans="1:1" s="173" customFormat="1" ht="12" hidden="1" customHeight="1">
      <c r="A2415" s="172"/>
    </row>
    <row r="2416" spans="1:1" s="173" customFormat="1" ht="12" hidden="1" customHeight="1">
      <c r="A2416" s="172"/>
    </row>
    <row r="2417" spans="1:1" s="173" customFormat="1" ht="12" hidden="1" customHeight="1">
      <c r="A2417" s="172"/>
    </row>
    <row r="2418" spans="1:1" s="173" customFormat="1" ht="12" hidden="1" customHeight="1">
      <c r="A2418" s="172"/>
    </row>
    <row r="2419" spans="1:1" s="173" customFormat="1" ht="12" hidden="1" customHeight="1">
      <c r="A2419" s="172"/>
    </row>
    <row r="2420" spans="1:1" s="173" customFormat="1" ht="12" hidden="1" customHeight="1">
      <c r="A2420" s="172"/>
    </row>
    <row r="2421" spans="1:1" s="173" customFormat="1" ht="12" hidden="1" customHeight="1">
      <c r="A2421" s="172"/>
    </row>
    <row r="2422" spans="1:1" s="173" customFormat="1" ht="12" hidden="1" customHeight="1">
      <c r="A2422" s="172"/>
    </row>
    <row r="2423" spans="1:1" s="173" customFormat="1" ht="12" hidden="1" customHeight="1">
      <c r="A2423" s="172"/>
    </row>
    <row r="2424" spans="1:1" s="173" customFormat="1" ht="12" hidden="1" customHeight="1">
      <c r="A2424" s="172"/>
    </row>
    <row r="2425" spans="1:1" s="173" customFormat="1" ht="12" hidden="1" customHeight="1">
      <c r="A2425" s="172"/>
    </row>
    <row r="2426" spans="1:1" s="173" customFormat="1" ht="12" hidden="1" customHeight="1">
      <c r="A2426" s="172"/>
    </row>
    <row r="2427" spans="1:1" s="173" customFormat="1" ht="12" hidden="1" customHeight="1">
      <c r="A2427" s="172"/>
    </row>
    <row r="2428" spans="1:1" s="173" customFormat="1" ht="12" hidden="1" customHeight="1">
      <c r="A2428" s="172"/>
    </row>
    <row r="2429" spans="1:1" s="173" customFormat="1" ht="12" hidden="1" customHeight="1">
      <c r="A2429" s="172"/>
    </row>
    <row r="2430" spans="1:1" s="173" customFormat="1" ht="12" hidden="1" customHeight="1">
      <c r="A2430" s="172"/>
    </row>
    <row r="2431" spans="1:1" s="173" customFormat="1" ht="12" hidden="1" customHeight="1">
      <c r="A2431" s="172"/>
    </row>
    <row r="2432" spans="1:1" s="173" customFormat="1" ht="12" hidden="1" customHeight="1">
      <c r="A2432" s="172"/>
    </row>
    <row r="2433" spans="1:1" s="173" customFormat="1" ht="12" hidden="1" customHeight="1">
      <c r="A2433" s="172"/>
    </row>
    <row r="2434" spans="1:1" s="173" customFormat="1" ht="12" hidden="1" customHeight="1">
      <c r="A2434" s="172"/>
    </row>
    <row r="2435" spans="1:1" s="173" customFormat="1" ht="12" hidden="1" customHeight="1">
      <c r="A2435" s="172"/>
    </row>
    <row r="2436" spans="1:1" s="173" customFormat="1" ht="12" hidden="1" customHeight="1">
      <c r="A2436" s="172"/>
    </row>
    <row r="2437" spans="1:1" s="173" customFormat="1" ht="12" hidden="1" customHeight="1">
      <c r="A2437" s="172"/>
    </row>
    <row r="2438" spans="1:1" s="173" customFormat="1" ht="12" hidden="1" customHeight="1">
      <c r="A2438" s="172"/>
    </row>
    <row r="2439" spans="1:1" s="173" customFormat="1" ht="12" hidden="1" customHeight="1">
      <c r="A2439" s="172"/>
    </row>
    <row r="2440" spans="1:1" s="173" customFormat="1" ht="12" hidden="1" customHeight="1">
      <c r="A2440" s="172"/>
    </row>
    <row r="2441" spans="1:1" s="173" customFormat="1" ht="12" hidden="1" customHeight="1">
      <c r="A2441" s="172"/>
    </row>
    <row r="2442" spans="1:1" s="173" customFormat="1" ht="12" hidden="1" customHeight="1">
      <c r="A2442" s="172"/>
    </row>
    <row r="2443" spans="1:1" s="173" customFormat="1" ht="12" hidden="1" customHeight="1">
      <c r="A2443" s="172"/>
    </row>
    <row r="2444" spans="1:1" s="173" customFormat="1" ht="12" hidden="1" customHeight="1">
      <c r="A2444" s="172"/>
    </row>
    <row r="2445" spans="1:1" s="173" customFormat="1" ht="12" hidden="1" customHeight="1">
      <c r="A2445" s="172"/>
    </row>
    <row r="2446" spans="1:1" s="173" customFormat="1" ht="12" hidden="1" customHeight="1">
      <c r="A2446" s="172"/>
    </row>
    <row r="2447" spans="1:1" s="173" customFormat="1" ht="12" hidden="1" customHeight="1">
      <c r="A2447" s="172"/>
    </row>
    <row r="2448" spans="1:1" s="173" customFormat="1" ht="12" hidden="1" customHeight="1">
      <c r="A2448" s="172"/>
    </row>
    <row r="2449" spans="1:1" s="173" customFormat="1" ht="12" hidden="1" customHeight="1">
      <c r="A2449" s="172"/>
    </row>
    <row r="2450" spans="1:1" s="173" customFormat="1" ht="12" hidden="1" customHeight="1">
      <c r="A2450" s="172"/>
    </row>
    <row r="2451" spans="1:1" s="173" customFormat="1" ht="12" hidden="1" customHeight="1">
      <c r="A2451" s="172"/>
    </row>
    <row r="2452" spans="1:1" s="173" customFormat="1" ht="12" hidden="1" customHeight="1">
      <c r="A2452" s="172"/>
    </row>
    <row r="2453" spans="1:1" s="173" customFormat="1" ht="12" hidden="1" customHeight="1">
      <c r="A2453" s="172"/>
    </row>
    <row r="2454" spans="1:1" s="173" customFormat="1" ht="12" hidden="1" customHeight="1">
      <c r="A2454" s="172"/>
    </row>
    <row r="2455" spans="1:1" s="173" customFormat="1" ht="12" hidden="1" customHeight="1">
      <c r="A2455" s="172"/>
    </row>
    <row r="2456" spans="1:1" s="173" customFormat="1" ht="12" hidden="1" customHeight="1">
      <c r="A2456" s="172"/>
    </row>
    <row r="2457" spans="1:1" s="173" customFormat="1" ht="12" hidden="1" customHeight="1">
      <c r="A2457" s="172"/>
    </row>
    <row r="2458" spans="1:1" s="173" customFormat="1" ht="12" hidden="1" customHeight="1">
      <c r="A2458" s="172"/>
    </row>
    <row r="2459" spans="1:1" s="173" customFormat="1" ht="12" hidden="1" customHeight="1">
      <c r="A2459" s="172"/>
    </row>
    <row r="2460" spans="1:1" s="173" customFormat="1" ht="12" hidden="1" customHeight="1">
      <c r="A2460" s="172"/>
    </row>
    <row r="2461" spans="1:1" s="173" customFormat="1" ht="12" hidden="1" customHeight="1">
      <c r="A2461" s="172"/>
    </row>
    <row r="2462" spans="1:1" s="173" customFormat="1" ht="12" hidden="1" customHeight="1">
      <c r="A2462" s="172"/>
    </row>
    <row r="2463" spans="1:1" s="173" customFormat="1" ht="12" hidden="1" customHeight="1">
      <c r="A2463" s="172"/>
    </row>
    <row r="2464" spans="1:1" s="173" customFormat="1" ht="12" hidden="1" customHeight="1">
      <c r="A2464" s="172"/>
    </row>
    <row r="2465" spans="1:1" s="173" customFormat="1" ht="12" hidden="1" customHeight="1">
      <c r="A2465" s="172"/>
    </row>
    <row r="2466" spans="1:1" s="173" customFormat="1" ht="12" hidden="1" customHeight="1">
      <c r="A2466" s="172"/>
    </row>
    <row r="2467" spans="1:1" s="173" customFormat="1" ht="12" hidden="1" customHeight="1">
      <c r="A2467" s="172"/>
    </row>
    <row r="2468" spans="1:1" s="173" customFormat="1" ht="12" hidden="1" customHeight="1">
      <c r="A2468" s="172"/>
    </row>
    <row r="2469" spans="1:1" s="173" customFormat="1" ht="12" hidden="1" customHeight="1">
      <c r="A2469" s="172"/>
    </row>
    <row r="2470" spans="1:1" s="173" customFormat="1" ht="12" hidden="1" customHeight="1">
      <c r="A2470" s="172"/>
    </row>
    <row r="2471" spans="1:1" s="173" customFormat="1" ht="12" hidden="1" customHeight="1">
      <c r="A2471" s="172"/>
    </row>
    <row r="2472" spans="1:1" s="173" customFormat="1" ht="12" hidden="1" customHeight="1">
      <c r="A2472" s="172"/>
    </row>
    <row r="2473" spans="1:1" s="173" customFormat="1" ht="12" hidden="1" customHeight="1">
      <c r="A2473" s="172"/>
    </row>
    <row r="2474" spans="1:1" s="173" customFormat="1" ht="12" hidden="1" customHeight="1">
      <c r="A2474" s="172"/>
    </row>
    <row r="2475" spans="1:1" s="173" customFormat="1" ht="12" hidden="1" customHeight="1">
      <c r="A2475" s="172"/>
    </row>
    <row r="2476" spans="1:1" s="173" customFormat="1" ht="12" hidden="1" customHeight="1">
      <c r="A2476" s="172"/>
    </row>
    <row r="2477" spans="1:1" s="173" customFormat="1" ht="12" hidden="1" customHeight="1">
      <c r="A2477" s="172"/>
    </row>
    <row r="2478" spans="1:1" s="173" customFormat="1" ht="12" hidden="1" customHeight="1">
      <c r="A2478" s="172"/>
    </row>
    <row r="2479" spans="1:1" s="173" customFormat="1" ht="12" hidden="1" customHeight="1">
      <c r="A2479" s="172"/>
    </row>
    <row r="2480" spans="1:1" s="173" customFormat="1" ht="12" hidden="1" customHeight="1">
      <c r="A2480" s="172"/>
    </row>
    <row r="2481" spans="1:1" s="173" customFormat="1" ht="12" hidden="1" customHeight="1">
      <c r="A2481" s="172"/>
    </row>
    <row r="2482" spans="1:1" s="173" customFormat="1" ht="12" hidden="1" customHeight="1">
      <c r="A2482" s="172"/>
    </row>
    <row r="2483" spans="1:1" s="173" customFormat="1" ht="12" hidden="1" customHeight="1">
      <c r="A2483" s="172"/>
    </row>
    <row r="2484" spans="1:1" s="173" customFormat="1" ht="12" hidden="1" customHeight="1">
      <c r="A2484" s="172"/>
    </row>
    <row r="2485" spans="1:1" s="173" customFormat="1" ht="12" hidden="1" customHeight="1">
      <c r="A2485" s="172"/>
    </row>
    <row r="2486" spans="1:1" s="173" customFormat="1" ht="12" hidden="1" customHeight="1">
      <c r="A2486" s="172"/>
    </row>
    <row r="2487" spans="1:1" s="173" customFormat="1" ht="12" hidden="1" customHeight="1">
      <c r="A2487" s="172"/>
    </row>
    <row r="2488" spans="1:1" s="173" customFormat="1" ht="12" hidden="1" customHeight="1">
      <c r="A2488" s="172"/>
    </row>
    <row r="2489" spans="1:1" s="173" customFormat="1" ht="12" hidden="1" customHeight="1">
      <c r="A2489" s="172"/>
    </row>
    <row r="2490" spans="1:1" s="173" customFormat="1" ht="12" hidden="1" customHeight="1">
      <c r="A2490" s="172"/>
    </row>
    <row r="2491" spans="1:1" s="173" customFormat="1" ht="12" hidden="1" customHeight="1">
      <c r="A2491" s="172"/>
    </row>
    <row r="2492" spans="1:1" s="173" customFormat="1" ht="12" hidden="1" customHeight="1">
      <c r="A2492" s="172"/>
    </row>
    <row r="2493" spans="1:1" s="173" customFormat="1" ht="12" hidden="1" customHeight="1">
      <c r="A2493" s="172"/>
    </row>
    <row r="2494" spans="1:1" s="173" customFormat="1" ht="12" hidden="1" customHeight="1">
      <c r="A2494" s="172"/>
    </row>
    <row r="2495" spans="1:1" s="173" customFormat="1" ht="12" hidden="1" customHeight="1">
      <c r="A2495" s="172"/>
    </row>
    <row r="2496" spans="1:1" s="173" customFormat="1" ht="12" hidden="1" customHeight="1">
      <c r="A2496" s="172"/>
    </row>
    <row r="2497" spans="1:1" s="173" customFormat="1" ht="12" hidden="1" customHeight="1">
      <c r="A2497" s="172"/>
    </row>
    <row r="2498" spans="1:1" s="173" customFormat="1" ht="12" hidden="1" customHeight="1">
      <c r="A2498" s="172"/>
    </row>
    <row r="2499" spans="1:1" s="173" customFormat="1" ht="12" hidden="1" customHeight="1">
      <c r="A2499" s="172"/>
    </row>
    <row r="2500" spans="1:1" s="173" customFormat="1" ht="12" hidden="1" customHeight="1">
      <c r="A2500" s="172"/>
    </row>
    <row r="2501" spans="1:1" s="173" customFormat="1" ht="12" hidden="1" customHeight="1">
      <c r="A2501" s="172"/>
    </row>
    <row r="2502" spans="1:1" s="173" customFormat="1" ht="12" hidden="1" customHeight="1">
      <c r="A2502" s="172"/>
    </row>
    <row r="2503" spans="1:1" s="173" customFormat="1" ht="12" hidden="1" customHeight="1">
      <c r="A2503" s="172"/>
    </row>
    <row r="2504" spans="1:1" s="173" customFormat="1" ht="12" hidden="1" customHeight="1">
      <c r="A2504" s="172"/>
    </row>
    <row r="2505" spans="1:1" s="173" customFormat="1" ht="12" hidden="1" customHeight="1">
      <c r="A2505" s="172"/>
    </row>
    <row r="2506" spans="1:1" s="173" customFormat="1" ht="12" hidden="1" customHeight="1">
      <c r="A2506" s="172"/>
    </row>
    <row r="2507" spans="1:1" s="173" customFormat="1" ht="12" hidden="1" customHeight="1">
      <c r="A2507" s="172"/>
    </row>
    <row r="2508" spans="1:1" s="173" customFormat="1" ht="12" hidden="1" customHeight="1">
      <c r="A2508" s="172"/>
    </row>
    <row r="2509" spans="1:1" s="173" customFormat="1" ht="12" hidden="1" customHeight="1">
      <c r="A2509" s="172"/>
    </row>
    <row r="2510" spans="1:1" s="173" customFormat="1" ht="12" hidden="1" customHeight="1">
      <c r="A2510" s="172"/>
    </row>
    <row r="2511" spans="1:1" s="173" customFormat="1" ht="12" hidden="1" customHeight="1">
      <c r="A2511" s="172"/>
    </row>
    <row r="2512" spans="1:1" s="173" customFormat="1" ht="12" hidden="1" customHeight="1">
      <c r="A2512" s="172"/>
    </row>
    <row r="2513" spans="1:1" s="173" customFormat="1" ht="12" hidden="1" customHeight="1">
      <c r="A2513" s="172"/>
    </row>
    <row r="2514" spans="1:1" s="173" customFormat="1" ht="12" hidden="1" customHeight="1">
      <c r="A2514" s="172"/>
    </row>
    <row r="2515" spans="1:1" s="173" customFormat="1" ht="12" hidden="1" customHeight="1">
      <c r="A2515" s="172"/>
    </row>
    <row r="2516" spans="1:1" s="173" customFormat="1" ht="12" hidden="1" customHeight="1">
      <c r="A2516" s="172"/>
    </row>
    <row r="2517" spans="1:1" s="173" customFormat="1" ht="12" hidden="1" customHeight="1">
      <c r="A2517" s="172"/>
    </row>
    <row r="2518" spans="1:1" s="173" customFormat="1" ht="12" hidden="1" customHeight="1">
      <c r="A2518" s="172"/>
    </row>
    <row r="2519" spans="1:1" s="173" customFormat="1" ht="12" hidden="1" customHeight="1">
      <c r="A2519" s="172"/>
    </row>
    <row r="2520" spans="1:1" s="173" customFormat="1" ht="12" hidden="1" customHeight="1">
      <c r="A2520" s="172"/>
    </row>
    <row r="2521" spans="1:1" s="173" customFormat="1" ht="12" hidden="1" customHeight="1">
      <c r="A2521" s="172"/>
    </row>
    <row r="2522" spans="1:1" s="173" customFormat="1" ht="12" hidden="1" customHeight="1">
      <c r="A2522" s="172"/>
    </row>
    <row r="2523" spans="1:1" s="173" customFormat="1" ht="12" hidden="1" customHeight="1">
      <c r="A2523" s="172"/>
    </row>
    <row r="2524" spans="1:1" s="173" customFormat="1" ht="12" hidden="1" customHeight="1">
      <c r="A2524" s="172"/>
    </row>
    <row r="2525" spans="1:1" s="173" customFormat="1" ht="12" hidden="1" customHeight="1">
      <c r="A2525" s="172"/>
    </row>
    <row r="2526" spans="1:1" s="173" customFormat="1" ht="12" hidden="1" customHeight="1">
      <c r="A2526" s="172"/>
    </row>
    <row r="2527" spans="1:1" s="173" customFormat="1" ht="12" hidden="1" customHeight="1">
      <c r="A2527" s="172"/>
    </row>
    <row r="2528" spans="1:1" s="173" customFormat="1" ht="12" hidden="1" customHeight="1">
      <c r="A2528" s="172"/>
    </row>
    <row r="2529" spans="1:1" s="173" customFormat="1" ht="12" hidden="1" customHeight="1">
      <c r="A2529" s="172"/>
    </row>
    <row r="2530" spans="1:1" s="173" customFormat="1" ht="12" hidden="1" customHeight="1">
      <c r="A2530" s="172"/>
    </row>
    <row r="2531" spans="1:1" s="173" customFormat="1" ht="12" hidden="1" customHeight="1">
      <c r="A2531" s="172"/>
    </row>
    <row r="2532" spans="1:1" s="173" customFormat="1" ht="12" hidden="1" customHeight="1">
      <c r="A2532" s="172"/>
    </row>
    <row r="2533" spans="1:1" s="173" customFormat="1" ht="12" hidden="1" customHeight="1">
      <c r="A2533" s="172"/>
    </row>
    <row r="2534" spans="1:1" s="173" customFormat="1" ht="12" hidden="1" customHeight="1">
      <c r="A2534" s="172"/>
    </row>
    <row r="2535" spans="1:1" s="173" customFormat="1" ht="12" hidden="1" customHeight="1">
      <c r="A2535" s="172"/>
    </row>
    <row r="2536" spans="1:1" s="173" customFormat="1" ht="12" hidden="1" customHeight="1">
      <c r="A2536" s="172"/>
    </row>
    <row r="2537" spans="1:1" s="173" customFormat="1" ht="12" hidden="1" customHeight="1">
      <c r="A2537" s="172"/>
    </row>
    <row r="2538" spans="1:1" s="173" customFormat="1" ht="12" hidden="1" customHeight="1">
      <c r="A2538" s="172"/>
    </row>
    <row r="2539" spans="1:1" s="173" customFormat="1" ht="12" hidden="1" customHeight="1">
      <c r="A2539" s="172"/>
    </row>
    <row r="2540" spans="1:1" s="173" customFormat="1" ht="12" hidden="1" customHeight="1">
      <c r="A2540" s="172"/>
    </row>
    <row r="2541" spans="1:1" s="173" customFormat="1" ht="12" hidden="1" customHeight="1">
      <c r="A2541" s="172"/>
    </row>
    <row r="2542" spans="1:1" s="173" customFormat="1" ht="12" hidden="1" customHeight="1">
      <c r="A2542" s="172"/>
    </row>
    <row r="2543" spans="1:1" s="173" customFormat="1" ht="12" hidden="1" customHeight="1">
      <c r="A2543" s="172"/>
    </row>
    <row r="2544" spans="1:1" s="173" customFormat="1" ht="12" hidden="1" customHeight="1">
      <c r="A2544" s="172"/>
    </row>
    <row r="2545" spans="1:1" s="173" customFormat="1" ht="12" hidden="1" customHeight="1">
      <c r="A2545" s="172"/>
    </row>
    <row r="2546" spans="1:1" s="173" customFormat="1" ht="12" hidden="1" customHeight="1">
      <c r="A2546" s="172"/>
    </row>
    <row r="2547" spans="1:1" s="173" customFormat="1" ht="12" hidden="1" customHeight="1">
      <c r="A2547" s="172"/>
    </row>
    <row r="2548" spans="1:1" s="173" customFormat="1" ht="12" hidden="1" customHeight="1">
      <c r="A2548" s="172"/>
    </row>
    <row r="2549" spans="1:1" s="173" customFormat="1" ht="12" hidden="1" customHeight="1">
      <c r="A2549" s="172"/>
    </row>
    <row r="2550" spans="1:1" s="173" customFormat="1" ht="12" hidden="1" customHeight="1">
      <c r="A2550" s="172"/>
    </row>
    <row r="2551" spans="1:1" s="173" customFormat="1" ht="12" hidden="1" customHeight="1">
      <c r="A2551" s="172"/>
    </row>
    <row r="2552" spans="1:1" s="173" customFormat="1" ht="12" hidden="1" customHeight="1">
      <c r="A2552" s="172"/>
    </row>
    <row r="2553" spans="1:1" s="173" customFormat="1" ht="12" hidden="1" customHeight="1">
      <c r="A2553" s="172"/>
    </row>
    <row r="2554" spans="1:1" s="173" customFormat="1" ht="12" hidden="1" customHeight="1">
      <c r="A2554" s="172"/>
    </row>
    <row r="2555" spans="1:1" s="173" customFormat="1" ht="12" hidden="1" customHeight="1">
      <c r="A2555" s="172"/>
    </row>
    <row r="2556" spans="1:1" s="173" customFormat="1" ht="12" hidden="1" customHeight="1">
      <c r="A2556" s="172"/>
    </row>
    <row r="2557" spans="1:1" s="173" customFormat="1" ht="12" hidden="1" customHeight="1">
      <c r="A2557" s="172"/>
    </row>
    <row r="2558" spans="1:1" s="173" customFormat="1" ht="12" hidden="1" customHeight="1">
      <c r="A2558" s="172"/>
    </row>
    <row r="2559" spans="1:1" s="173" customFormat="1" ht="12" hidden="1" customHeight="1">
      <c r="A2559" s="172"/>
    </row>
    <row r="2560" spans="1:1" s="173" customFormat="1" ht="12" hidden="1" customHeight="1">
      <c r="A2560" s="172"/>
    </row>
    <row r="2561" spans="1:1" s="173" customFormat="1" ht="12" hidden="1" customHeight="1">
      <c r="A2561" s="172"/>
    </row>
    <row r="2562" spans="1:1" s="173" customFormat="1" ht="12" hidden="1" customHeight="1">
      <c r="A2562" s="172"/>
    </row>
    <row r="2563" spans="1:1" s="173" customFormat="1" ht="12" hidden="1" customHeight="1">
      <c r="A2563" s="172"/>
    </row>
    <row r="2564" spans="1:1" s="173" customFormat="1" ht="12" hidden="1" customHeight="1">
      <c r="A2564" s="172"/>
    </row>
    <row r="2565" spans="1:1" s="173" customFormat="1" ht="12" hidden="1" customHeight="1">
      <c r="A2565" s="172"/>
    </row>
    <row r="2566" spans="1:1" s="173" customFormat="1" ht="12" hidden="1" customHeight="1">
      <c r="A2566" s="172"/>
    </row>
    <row r="2567" spans="1:1" s="173" customFormat="1" ht="12" hidden="1" customHeight="1">
      <c r="A2567" s="172"/>
    </row>
    <row r="2568" spans="1:1" s="173" customFormat="1" ht="12" hidden="1" customHeight="1">
      <c r="A2568" s="172"/>
    </row>
    <row r="2569" spans="1:1" s="173" customFormat="1" ht="12" hidden="1" customHeight="1">
      <c r="A2569" s="172"/>
    </row>
    <row r="2570" spans="1:1" s="173" customFormat="1" ht="12" hidden="1" customHeight="1">
      <c r="A2570" s="172"/>
    </row>
    <row r="2571" spans="1:1" s="173" customFormat="1" ht="12" hidden="1" customHeight="1">
      <c r="A2571" s="172"/>
    </row>
    <row r="2572" spans="1:1" s="173" customFormat="1" ht="12" hidden="1" customHeight="1">
      <c r="A2572" s="172"/>
    </row>
    <row r="2573" spans="1:1" s="173" customFormat="1" ht="12" hidden="1" customHeight="1">
      <c r="A2573" s="172"/>
    </row>
    <row r="2574" spans="1:1" s="173" customFormat="1" ht="12" hidden="1" customHeight="1">
      <c r="A2574" s="172"/>
    </row>
    <row r="2575" spans="1:1" s="173" customFormat="1" ht="12" hidden="1" customHeight="1">
      <c r="A2575" s="172"/>
    </row>
    <row r="2576" spans="1:1" s="173" customFormat="1" ht="12" hidden="1" customHeight="1">
      <c r="A2576" s="172"/>
    </row>
    <row r="2577" spans="1:1" s="173" customFormat="1" ht="12" hidden="1" customHeight="1">
      <c r="A2577" s="172"/>
    </row>
    <row r="2578" spans="1:1" s="173" customFormat="1" ht="12" hidden="1" customHeight="1">
      <c r="A2578" s="172"/>
    </row>
    <row r="2579" spans="1:1" s="173" customFormat="1" ht="12" hidden="1" customHeight="1">
      <c r="A2579" s="172"/>
    </row>
    <row r="2580" spans="1:1" s="173" customFormat="1" ht="12" hidden="1" customHeight="1">
      <c r="A2580" s="172"/>
    </row>
    <row r="2581" spans="1:1" s="173" customFormat="1" ht="12" hidden="1" customHeight="1">
      <c r="A2581" s="172"/>
    </row>
    <row r="2582" spans="1:1" s="173" customFormat="1" ht="12" hidden="1" customHeight="1">
      <c r="A2582" s="172"/>
    </row>
    <row r="2583" spans="1:1" s="173" customFormat="1" ht="12" hidden="1" customHeight="1">
      <c r="A2583" s="172"/>
    </row>
    <row r="2584" spans="1:1" s="173" customFormat="1" ht="12" hidden="1" customHeight="1">
      <c r="A2584" s="172"/>
    </row>
    <row r="2585" spans="1:1" s="173" customFormat="1" ht="12" hidden="1" customHeight="1">
      <c r="A2585" s="172"/>
    </row>
    <row r="2586" spans="1:1" s="173" customFormat="1" ht="12" hidden="1" customHeight="1">
      <c r="A2586" s="172"/>
    </row>
    <row r="2587" spans="1:1" s="173" customFormat="1" ht="12" hidden="1" customHeight="1">
      <c r="A2587" s="172"/>
    </row>
    <row r="2588" spans="1:1" s="173" customFormat="1" ht="12" hidden="1" customHeight="1">
      <c r="A2588" s="172"/>
    </row>
    <row r="2589" spans="1:1" s="173" customFormat="1" ht="12" hidden="1" customHeight="1">
      <c r="A2589" s="172"/>
    </row>
    <row r="2590" spans="1:1" s="173" customFormat="1" ht="12" hidden="1" customHeight="1">
      <c r="A2590" s="172"/>
    </row>
    <row r="2591" spans="1:1" s="173" customFormat="1" ht="12" hidden="1" customHeight="1">
      <c r="A2591" s="172"/>
    </row>
    <row r="2592" spans="1:1" s="173" customFormat="1" ht="12" hidden="1" customHeight="1">
      <c r="A2592" s="172"/>
    </row>
    <row r="2593" spans="1:1" s="173" customFormat="1" ht="12" hidden="1" customHeight="1">
      <c r="A2593" s="172"/>
    </row>
    <row r="2594" spans="1:1" s="173" customFormat="1" ht="12" hidden="1" customHeight="1">
      <c r="A2594" s="172"/>
    </row>
    <row r="2595" spans="1:1" s="173" customFormat="1" ht="12" hidden="1" customHeight="1">
      <c r="A2595" s="172"/>
    </row>
    <row r="2596" spans="1:1" s="173" customFormat="1" ht="12" hidden="1" customHeight="1">
      <c r="A2596" s="172"/>
    </row>
    <row r="2597" spans="1:1" s="173" customFormat="1" ht="12" hidden="1" customHeight="1">
      <c r="A2597" s="172"/>
    </row>
    <row r="2598" spans="1:1" s="173" customFormat="1" ht="12" hidden="1" customHeight="1">
      <c r="A2598" s="172"/>
    </row>
    <row r="2599" spans="1:1" s="173" customFormat="1" ht="12" hidden="1" customHeight="1">
      <c r="A2599" s="172"/>
    </row>
    <row r="2600" spans="1:1" s="173" customFormat="1" ht="12" hidden="1" customHeight="1">
      <c r="A2600" s="172"/>
    </row>
    <row r="2601" spans="1:1" s="173" customFormat="1" ht="12" hidden="1" customHeight="1">
      <c r="A2601" s="172"/>
    </row>
    <row r="2602" spans="1:1" s="173" customFormat="1" ht="12" hidden="1" customHeight="1">
      <c r="A2602" s="172"/>
    </row>
    <row r="2603" spans="1:1" s="173" customFormat="1" ht="12" hidden="1" customHeight="1">
      <c r="A2603" s="172"/>
    </row>
    <row r="2604" spans="1:1" s="173" customFormat="1" ht="12" hidden="1" customHeight="1">
      <c r="A2604" s="172"/>
    </row>
    <row r="2605" spans="1:1" s="173" customFormat="1" ht="12" hidden="1" customHeight="1">
      <c r="A2605" s="172"/>
    </row>
    <row r="2606" spans="1:1" s="173" customFormat="1" ht="12" hidden="1" customHeight="1">
      <c r="A2606" s="172"/>
    </row>
    <row r="2607" spans="1:1" s="173" customFormat="1" ht="12" hidden="1" customHeight="1">
      <c r="A2607" s="172"/>
    </row>
    <row r="2608" spans="1:1" s="173" customFormat="1" ht="12" hidden="1" customHeight="1">
      <c r="A2608" s="172"/>
    </row>
    <row r="2609" spans="1:1" s="173" customFormat="1" ht="12" hidden="1" customHeight="1">
      <c r="A2609" s="172"/>
    </row>
    <row r="2610" spans="1:1" s="173" customFormat="1" ht="12" hidden="1" customHeight="1">
      <c r="A2610" s="172"/>
    </row>
    <row r="2611" spans="1:1" s="173" customFormat="1" ht="12" hidden="1" customHeight="1">
      <c r="A2611" s="172"/>
    </row>
    <row r="2612" spans="1:1" s="173" customFormat="1" ht="12" hidden="1" customHeight="1">
      <c r="A2612" s="172"/>
    </row>
    <row r="2613" spans="1:1" s="173" customFormat="1" ht="12" hidden="1" customHeight="1">
      <c r="A2613" s="172"/>
    </row>
    <row r="2614" spans="1:1" s="173" customFormat="1" ht="12" hidden="1" customHeight="1">
      <c r="A2614" s="172"/>
    </row>
    <row r="2615" spans="1:1" s="173" customFormat="1" ht="12" hidden="1" customHeight="1">
      <c r="A2615" s="172"/>
    </row>
    <row r="2616" spans="1:1" s="173" customFormat="1" ht="12" hidden="1" customHeight="1">
      <c r="A2616" s="172"/>
    </row>
    <row r="2617" spans="1:1" s="173" customFormat="1" ht="12" hidden="1" customHeight="1">
      <c r="A2617" s="172"/>
    </row>
    <row r="2618" spans="1:1" s="173" customFormat="1" ht="12" hidden="1" customHeight="1">
      <c r="A2618" s="172"/>
    </row>
    <row r="2619" spans="1:1" s="173" customFormat="1" ht="12" hidden="1" customHeight="1">
      <c r="A2619" s="172"/>
    </row>
    <row r="2620" spans="1:1" s="173" customFormat="1" ht="12" hidden="1" customHeight="1">
      <c r="A2620" s="172"/>
    </row>
    <row r="2621" spans="1:1" s="173" customFormat="1" ht="12" hidden="1" customHeight="1">
      <c r="A2621" s="172"/>
    </row>
    <row r="2622" spans="1:1" s="173" customFormat="1" ht="12" hidden="1" customHeight="1">
      <c r="A2622" s="172"/>
    </row>
    <row r="2623" spans="1:1" s="173" customFormat="1" ht="12" hidden="1" customHeight="1">
      <c r="A2623" s="172"/>
    </row>
    <row r="2624" spans="1:1" s="173" customFormat="1" ht="12" hidden="1" customHeight="1">
      <c r="A2624" s="172"/>
    </row>
    <row r="2625" spans="1:1" s="173" customFormat="1" ht="12" hidden="1" customHeight="1">
      <c r="A2625" s="172"/>
    </row>
    <row r="2626" spans="1:1" s="173" customFormat="1" ht="12" hidden="1" customHeight="1">
      <c r="A2626" s="172"/>
    </row>
    <row r="2627" spans="1:1" s="173" customFormat="1" ht="12" hidden="1" customHeight="1">
      <c r="A2627" s="172"/>
    </row>
    <row r="2628" spans="1:1" s="173" customFormat="1" ht="12" hidden="1" customHeight="1">
      <c r="A2628" s="172"/>
    </row>
    <row r="2629" spans="1:1" s="173" customFormat="1" ht="12" hidden="1" customHeight="1">
      <c r="A2629" s="172"/>
    </row>
    <row r="2630" spans="1:1" s="173" customFormat="1" ht="12" hidden="1" customHeight="1">
      <c r="A2630" s="172"/>
    </row>
    <row r="2631" spans="1:1" s="173" customFormat="1" ht="12" hidden="1" customHeight="1">
      <c r="A2631" s="172"/>
    </row>
    <row r="2632" spans="1:1" s="173" customFormat="1" ht="12" hidden="1" customHeight="1">
      <c r="A2632" s="172"/>
    </row>
    <row r="2633" spans="1:1" s="173" customFormat="1" ht="12" hidden="1" customHeight="1">
      <c r="A2633" s="172"/>
    </row>
    <row r="2634" spans="1:1" s="173" customFormat="1" ht="12" hidden="1" customHeight="1">
      <c r="A2634" s="172"/>
    </row>
    <row r="2635" spans="1:1" s="173" customFormat="1" ht="12" hidden="1" customHeight="1">
      <c r="A2635" s="172"/>
    </row>
    <row r="2636" spans="1:1" s="173" customFormat="1" ht="12" hidden="1" customHeight="1">
      <c r="A2636" s="172"/>
    </row>
    <row r="2637" spans="1:1" s="173" customFormat="1" ht="12" hidden="1" customHeight="1">
      <c r="A2637" s="172"/>
    </row>
    <row r="2638" spans="1:1" s="173" customFormat="1" ht="12" hidden="1" customHeight="1">
      <c r="A2638" s="172"/>
    </row>
    <row r="2639" spans="1:1" s="173" customFormat="1" ht="12" hidden="1" customHeight="1">
      <c r="A2639" s="172"/>
    </row>
    <row r="2640" spans="1:1" s="173" customFormat="1" ht="12" hidden="1" customHeight="1">
      <c r="A2640" s="172"/>
    </row>
    <row r="2641" spans="1:1" s="173" customFormat="1" ht="12" hidden="1" customHeight="1">
      <c r="A2641" s="172"/>
    </row>
    <row r="2642" spans="1:1" s="173" customFormat="1" ht="12" hidden="1" customHeight="1">
      <c r="A2642" s="172"/>
    </row>
    <row r="2643" spans="1:1" s="173" customFormat="1" ht="12" hidden="1" customHeight="1">
      <c r="A2643" s="172"/>
    </row>
    <row r="2644" spans="1:1" s="173" customFormat="1" ht="12" hidden="1" customHeight="1">
      <c r="A2644" s="172"/>
    </row>
    <row r="2645" spans="1:1" s="173" customFormat="1" ht="12" hidden="1" customHeight="1">
      <c r="A2645" s="172"/>
    </row>
    <row r="2646" spans="1:1" s="173" customFormat="1" ht="12" hidden="1" customHeight="1">
      <c r="A2646" s="172"/>
    </row>
    <row r="2647" spans="1:1" s="173" customFormat="1" ht="12" hidden="1" customHeight="1">
      <c r="A2647" s="172"/>
    </row>
    <row r="2648" spans="1:1" s="173" customFormat="1" ht="12" hidden="1" customHeight="1">
      <c r="A2648" s="172"/>
    </row>
    <row r="2649" spans="1:1" s="173" customFormat="1" ht="12" hidden="1" customHeight="1">
      <c r="A2649" s="172"/>
    </row>
    <row r="2650" spans="1:1" s="173" customFormat="1" ht="12" hidden="1" customHeight="1">
      <c r="A2650" s="172"/>
    </row>
    <row r="2651" spans="1:1" s="173" customFormat="1" ht="12" hidden="1" customHeight="1">
      <c r="A2651" s="172"/>
    </row>
    <row r="2652" spans="1:1" s="173" customFormat="1" ht="12" hidden="1" customHeight="1">
      <c r="A2652" s="172"/>
    </row>
    <row r="2653" spans="1:1" s="173" customFormat="1" ht="12" hidden="1" customHeight="1">
      <c r="A2653" s="172"/>
    </row>
    <row r="2654" spans="1:1" s="173" customFormat="1" ht="12" hidden="1" customHeight="1">
      <c r="A2654" s="172"/>
    </row>
    <row r="2655" spans="1:1" s="173" customFormat="1" ht="12" hidden="1" customHeight="1">
      <c r="A2655" s="172"/>
    </row>
    <row r="2656" spans="1:1" s="173" customFormat="1" ht="12" hidden="1" customHeight="1">
      <c r="A2656" s="172"/>
    </row>
    <row r="2657" spans="1:1" s="173" customFormat="1" ht="12" hidden="1" customHeight="1">
      <c r="A2657" s="172"/>
    </row>
    <row r="2658" spans="1:1" s="173" customFormat="1" ht="12" hidden="1" customHeight="1">
      <c r="A2658" s="172"/>
    </row>
    <row r="2659" spans="1:1" s="173" customFormat="1" ht="12" hidden="1" customHeight="1">
      <c r="A2659" s="172"/>
    </row>
    <row r="2660" spans="1:1" s="173" customFormat="1" ht="12" hidden="1" customHeight="1">
      <c r="A2660" s="172"/>
    </row>
    <row r="2661" spans="1:1" s="173" customFormat="1" ht="12" hidden="1" customHeight="1">
      <c r="A2661" s="172"/>
    </row>
    <row r="2662" spans="1:1" s="173" customFormat="1" ht="12" hidden="1" customHeight="1">
      <c r="A2662" s="172"/>
    </row>
    <row r="2663" spans="1:1" s="173" customFormat="1" ht="12" hidden="1" customHeight="1">
      <c r="A2663" s="172"/>
    </row>
    <row r="2664" spans="1:1" s="173" customFormat="1" ht="12" hidden="1" customHeight="1">
      <c r="A2664" s="172"/>
    </row>
    <row r="2665" spans="1:1" s="173" customFormat="1" ht="12" hidden="1" customHeight="1">
      <c r="A2665" s="172"/>
    </row>
    <row r="2666" spans="1:1" s="173" customFormat="1" ht="12" hidden="1" customHeight="1">
      <c r="A2666" s="172"/>
    </row>
    <row r="2667" spans="1:1" s="173" customFormat="1" ht="12" hidden="1" customHeight="1">
      <c r="A2667" s="172"/>
    </row>
    <row r="2668" spans="1:1" s="173" customFormat="1" ht="12" hidden="1" customHeight="1">
      <c r="A2668" s="172"/>
    </row>
    <row r="2669" spans="1:1" s="173" customFormat="1" ht="12" hidden="1" customHeight="1">
      <c r="A2669" s="172"/>
    </row>
    <row r="2670" spans="1:1" s="173" customFormat="1" ht="12" hidden="1" customHeight="1">
      <c r="A2670" s="172"/>
    </row>
    <row r="2671" spans="1:1" s="173" customFormat="1" ht="12" hidden="1" customHeight="1">
      <c r="A2671" s="172"/>
    </row>
    <row r="2672" spans="1:1" s="173" customFormat="1" ht="12" hidden="1" customHeight="1">
      <c r="A2672" s="172"/>
    </row>
    <row r="2673" spans="1:1" s="173" customFormat="1" ht="12" hidden="1" customHeight="1">
      <c r="A2673" s="172"/>
    </row>
    <row r="2674" spans="1:1" s="173" customFormat="1" ht="12" hidden="1" customHeight="1">
      <c r="A2674" s="172"/>
    </row>
    <row r="2675" spans="1:1" s="173" customFormat="1" ht="12" hidden="1" customHeight="1">
      <c r="A2675" s="172"/>
    </row>
    <row r="2676" spans="1:1" s="173" customFormat="1" ht="12" hidden="1" customHeight="1">
      <c r="A2676" s="172"/>
    </row>
    <row r="2677" spans="1:1" s="173" customFormat="1" ht="12" hidden="1" customHeight="1">
      <c r="A2677" s="172"/>
    </row>
    <row r="2678" spans="1:1" s="173" customFormat="1" ht="12" hidden="1" customHeight="1">
      <c r="A2678" s="172"/>
    </row>
    <row r="2679" spans="1:1" s="173" customFormat="1" ht="12" hidden="1" customHeight="1">
      <c r="A2679" s="172"/>
    </row>
    <row r="2680" spans="1:1" s="173" customFormat="1" ht="12" hidden="1" customHeight="1">
      <c r="A2680" s="172"/>
    </row>
    <row r="2681" spans="1:1" s="173" customFormat="1" ht="12" hidden="1" customHeight="1">
      <c r="A2681" s="172"/>
    </row>
    <row r="2682" spans="1:1" s="173" customFormat="1" ht="12" hidden="1" customHeight="1">
      <c r="A2682" s="172"/>
    </row>
    <row r="2683" spans="1:1" s="173" customFormat="1" ht="12" hidden="1" customHeight="1">
      <c r="A2683" s="172"/>
    </row>
    <row r="2684" spans="1:1" s="173" customFormat="1" ht="12" hidden="1" customHeight="1">
      <c r="A2684" s="172"/>
    </row>
    <row r="2685" spans="1:1" s="173" customFormat="1" ht="12" hidden="1" customHeight="1">
      <c r="A2685" s="172"/>
    </row>
    <row r="2686" spans="1:1" s="173" customFormat="1" ht="12" hidden="1" customHeight="1">
      <c r="A2686" s="172"/>
    </row>
    <row r="2687" spans="1:1" s="173" customFormat="1" ht="12" hidden="1" customHeight="1">
      <c r="A2687" s="172"/>
    </row>
    <row r="2688" spans="1:1" s="173" customFormat="1" ht="12" hidden="1" customHeight="1">
      <c r="A2688" s="172"/>
    </row>
    <row r="2689" spans="1:1" s="173" customFormat="1" ht="12" hidden="1" customHeight="1">
      <c r="A2689" s="172"/>
    </row>
    <row r="2690" spans="1:1" s="173" customFormat="1" ht="12" hidden="1" customHeight="1">
      <c r="A2690" s="172"/>
    </row>
    <row r="2691" spans="1:1" s="173" customFormat="1" ht="12" hidden="1" customHeight="1">
      <c r="A2691" s="172"/>
    </row>
    <row r="2692" spans="1:1" s="173" customFormat="1" ht="12" hidden="1" customHeight="1">
      <c r="A2692" s="172"/>
    </row>
    <row r="2693" spans="1:1" s="173" customFormat="1" ht="12" hidden="1" customHeight="1">
      <c r="A2693" s="172"/>
    </row>
    <row r="2694" spans="1:1" s="173" customFormat="1" ht="12" hidden="1" customHeight="1">
      <c r="A2694" s="172"/>
    </row>
    <row r="2695" spans="1:1" s="173" customFormat="1" ht="12" hidden="1" customHeight="1">
      <c r="A2695" s="172"/>
    </row>
    <row r="2696" spans="1:1" s="173" customFormat="1" ht="12" hidden="1" customHeight="1">
      <c r="A2696" s="172"/>
    </row>
    <row r="2697" spans="1:1" s="173" customFormat="1" ht="12" hidden="1" customHeight="1">
      <c r="A2697" s="172"/>
    </row>
    <row r="2698" spans="1:1" s="173" customFormat="1" ht="12" hidden="1" customHeight="1">
      <c r="A2698" s="172"/>
    </row>
    <row r="2699" spans="1:1" s="173" customFormat="1" ht="12" hidden="1" customHeight="1">
      <c r="A2699" s="172"/>
    </row>
    <row r="2700" spans="1:1" s="173" customFormat="1" ht="12" hidden="1" customHeight="1">
      <c r="A2700" s="172"/>
    </row>
    <row r="2701" spans="1:1" s="173" customFormat="1" ht="12" hidden="1" customHeight="1">
      <c r="A2701" s="172"/>
    </row>
    <row r="2702" spans="1:1" s="173" customFormat="1" ht="12" hidden="1" customHeight="1">
      <c r="A2702" s="172"/>
    </row>
    <row r="2703" spans="1:1" s="173" customFormat="1" ht="12" hidden="1" customHeight="1">
      <c r="A2703" s="172"/>
    </row>
    <row r="2704" spans="1:1" s="173" customFormat="1" ht="12" hidden="1" customHeight="1">
      <c r="A2704" s="172"/>
    </row>
    <row r="2705" spans="1:1" s="173" customFormat="1" ht="12" hidden="1" customHeight="1">
      <c r="A2705" s="172"/>
    </row>
    <row r="2706" spans="1:1" s="173" customFormat="1" ht="12" hidden="1" customHeight="1">
      <c r="A2706" s="172"/>
    </row>
    <row r="2707" spans="1:1" s="173" customFormat="1" ht="12" hidden="1" customHeight="1">
      <c r="A2707" s="172"/>
    </row>
    <row r="2708" spans="1:1" s="173" customFormat="1" ht="12" hidden="1" customHeight="1">
      <c r="A2708" s="172"/>
    </row>
    <row r="2709" spans="1:1" s="173" customFormat="1" ht="12" hidden="1" customHeight="1">
      <c r="A2709" s="172"/>
    </row>
    <row r="2710" spans="1:1" s="173" customFormat="1" ht="12" hidden="1" customHeight="1">
      <c r="A2710" s="172"/>
    </row>
    <row r="2711" spans="1:1" s="173" customFormat="1" ht="12" hidden="1" customHeight="1">
      <c r="A2711" s="172"/>
    </row>
    <row r="2712" spans="1:1" s="173" customFormat="1" ht="12" hidden="1" customHeight="1">
      <c r="A2712" s="172"/>
    </row>
    <row r="2713" spans="1:1" s="173" customFormat="1" ht="12" hidden="1" customHeight="1">
      <c r="A2713" s="172"/>
    </row>
    <row r="2714" spans="1:1" s="173" customFormat="1" ht="12" hidden="1" customHeight="1">
      <c r="A2714" s="172"/>
    </row>
    <row r="2715" spans="1:1" s="173" customFormat="1" ht="12" hidden="1" customHeight="1">
      <c r="A2715" s="172"/>
    </row>
    <row r="2716" spans="1:1" s="173" customFormat="1" ht="12" hidden="1" customHeight="1">
      <c r="A2716" s="172"/>
    </row>
    <row r="2717" spans="1:1" s="173" customFormat="1" ht="12" hidden="1" customHeight="1">
      <c r="A2717" s="172"/>
    </row>
    <row r="2718" spans="1:1" s="173" customFormat="1" ht="12" hidden="1" customHeight="1">
      <c r="A2718" s="172"/>
    </row>
    <row r="2719" spans="1:1" s="173" customFormat="1" ht="12" hidden="1" customHeight="1">
      <c r="A2719" s="172"/>
    </row>
    <row r="2720" spans="1:1" s="173" customFormat="1" ht="12" hidden="1" customHeight="1">
      <c r="A2720" s="172"/>
    </row>
    <row r="2721" spans="1:1" s="173" customFormat="1" ht="12" hidden="1" customHeight="1">
      <c r="A2721" s="172"/>
    </row>
    <row r="2722" spans="1:1" s="173" customFormat="1" ht="12" hidden="1" customHeight="1">
      <c r="A2722" s="172"/>
    </row>
    <row r="2723" spans="1:1" s="173" customFormat="1" ht="12" hidden="1" customHeight="1">
      <c r="A2723" s="172"/>
    </row>
    <row r="2724" spans="1:1" s="173" customFormat="1" ht="12" hidden="1" customHeight="1">
      <c r="A2724" s="172"/>
    </row>
    <row r="2725" spans="1:1" s="173" customFormat="1" ht="12" hidden="1" customHeight="1">
      <c r="A2725" s="172"/>
    </row>
    <row r="2726" spans="1:1" s="173" customFormat="1" ht="12" hidden="1" customHeight="1">
      <c r="A2726" s="172"/>
    </row>
    <row r="2727" spans="1:1" s="173" customFormat="1" ht="12" hidden="1" customHeight="1">
      <c r="A2727" s="172"/>
    </row>
    <row r="2728" spans="1:1" s="173" customFormat="1" ht="12" hidden="1" customHeight="1">
      <c r="A2728" s="172"/>
    </row>
    <row r="2729" spans="1:1" s="173" customFormat="1" ht="12" hidden="1" customHeight="1">
      <c r="A2729" s="172"/>
    </row>
    <row r="2730" spans="1:1" s="173" customFormat="1" ht="12" hidden="1" customHeight="1">
      <c r="A2730" s="172"/>
    </row>
    <row r="2731" spans="1:1" s="173" customFormat="1" ht="12" hidden="1" customHeight="1">
      <c r="A2731" s="172"/>
    </row>
    <row r="2732" spans="1:1" s="173" customFormat="1" ht="12" hidden="1" customHeight="1">
      <c r="A2732" s="172"/>
    </row>
    <row r="2733" spans="1:1" s="173" customFormat="1" ht="12" hidden="1" customHeight="1">
      <c r="A2733" s="172"/>
    </row>
    <row r="2734" spans="1:1" s="173" customFormat="1" ht="12" hidden="1" customHeight="1">
      <c r="A2734" s="172"/>
    </row>
    <row r="2735" spans="1:1" s="173" customFormat="1" ht="12" hidden="1" customHeight="1">
      <c r="A2735" s="172"/>
    </row>
    <row r="2736" spans="1:1" s="173" customFormat="1" ht="12" hidden="1" customHeight="1">
      <c r="A2736" s="172"/>
    </row>
    <row r="2737" spans="1:1" s="173" customFormat="1" ht="12" hidden="1" customHeight="1">
      <c r="A2737" s="172"/>
    </row>
    <row r="2738" spans="1:1" s="173" customFormat="1" ht="12" hidden="1" customHeight="1">
      <c r="A2738" s="172"/>
    </row>
    <row r="2739" spans="1:1" s="173" customFormat="1" ht="12" hidden="1" customHeight="1">
      <c r="A2739" s="172"/>
    </row>
    <row r="2740" spans="1:1" s="173" customFormat="1" ht="12" hidden="1" customHeight="1">
      <c r="A2740" s="172"/>
    </row>
    <row r="2741" spans="1:1" s="173" customFormat="1" ht="12" hidden="1" customHeight="1">
      <c r="A2741" s="172"/>
    </row>
    <row r="2742" spans="1:1" s="173" customFormat="1" ht="12" hidden="1" customHeight="1">
      <c r="A2742" s="172"/>
    </row>
    <row r="2743" spans="1:1" s="173" customFormat="1" ht="12" hidden="1" customHeight="1">
      <c r="A2743" s="172"/>
    </row>
    <row r="2744" spans="1:1" s="173" customFormat="1" ht="12" hidden="1" customHeight="1">
      <c r="A2744" s="172"/>
    </row>
    <row r="2745" spans="1:1" s="173" customFormat="1" ht="12" hidden="1" customHeight="1">
      <c r="A2745" s="172"/>
    </row>
    <row r="2746" spans="1:1" s="173" customFormat="1" ht="12" hidden="1" customHeight="1">
      <c r="A2746" s="172"/>
    </row>
    <row r="2747" spans="1:1" s="173" customFormat="1" ht="12" hidden="1" customHeight="1">
      <c r="A2747" s="172"/>
    </row>
    <row r="2748" spans="1:1" s="173" customFormat="1" ht="12" hidden="1" customHeight="1">
      <c r="A2748" s="172"/>
    </row>
    <row r="2749" spans="1:1" s="173" customFormat="1" ht="12" hidden="1" customHeight="1">
      <c r="A2749" s="172"/>
    </row>
    <row r="2750" spans="1:1" s="173" customFormat="1" ht="12" hidden="1" customHeight="1">
      <c r="A2750" s="172"/>
    </row>
    <row r="2751" spans="1:1" s="173" customFormat="1" ht="12" hidden="1" customHeight="1">
      <c r="A2751" s="172"/>
    </row>
    <row r="2752" spans="1:1" s="173" customFormat="1" ht="12" hidden="1" customHeight="1">
      <c r="A2752" s="172"/>
    </row>
    <row r="2753" spans="1:1" s="173" customFormat="1" ht="12" hidden="1" customHeight="1">
      <c r="A2753" s="172"/>
    </row>
    <row r="2754" spans="1:1" s="173" customFormat="1" ht="12" hidden="1" customHeight="1">
      <c r="A2754" s="172"/>
    </row>
    <row r="2755" spans="1:1" s="173" customFormat="1" ht="12" hidden="1" customHeight="1">
      <c r="A2755" s="172"/>
    </row>
    <row r="2756" spans="1:1" s="173" customFormat="1" ht="12" hidden="1" customHeight="1">
      <c r="A2756" s="172"/>
    </row>
    <row r="2757" spans="1:1" s="173" customFormat="1" ht="12" hidden="1" customHeight="1">
      <c r="A2757" s="172"/>
    </row>
    <row r="2758" spans="1:1" s="173" customFormat="1" ht="12" hidden="1" customHeight="1">
      <c r="A2758" s="172"/>
    </row>
    <row r="2759" spans="1:1" s="173" customFormat="1" ht="12" hidden="1" customHeight="1">
      <c r="A2759" s="172"/>
    </row>
    <row r="2760" spans="1:1" s="173" customFormat="1" ht="12" hidden="1" customHeight="1">
      <c r="A2760" s="172"/>
    </row>
    <row r="2761" spans="1:1" s="173" customFormat="1" ht="12" hidden="1" customHeight="1">
      <c r="A2761" s="172"/>
    </row>
    <row r="2762" spans="1:1" s="173" customFormat="1" ht="12" hidden="1" customHeight="1">
      <c r="A2762" s="172"/>
    </row>
    <row r="2763" spans="1:1" s="173" customFormat="1" ht="12" hidden="1" customHeight="1">
      <c r="A2763" s="172"/>
    </row>
    <row r="2764" spans="1:1" s="173" customFormat="1" ht="12" hidden="1" customHeight="1">
      <c r="A2764" s="172"/>
    </row>
    <row r="2765" spans="1:1" s="173" customFormat="1" ht="12" hidden="1" customHeight="1">
      <c r="A2765" s="172"/>
    </row>
    <row r="2766" spans="1:1" s="173" customFormat="1" ht="12" hidden="1" customHeight="1">
      <c r="A2766" s="172"/>
    </row>
    <row r="2767" spans="1:1" s="173" customFormat="1" ht="12" hidden="1" customHeight="1">
      <c r="A2767" s="172"/>
    </row>
    <row r="2768" spans="1:1" s="173" customFormat="1" ht="12" hidden="1" customHeight="1">
      <c r="A2768" s="172"/>
    </row>
    <row r="2769" spans="1:1" s="173" customFormat="1" ht="12" hidden="1" customHeight="1">
      <c r="A2769" s="172"/>
    </row>
    <row r="2770" spans="1:1" s="173" customFormat="1" ht="12" hidden="1" customHeight="1">
      <c r="A2770" s="172"/>
    </row>
    <row r="2771" spans="1:1" s="173" customFormat="1" ht="12" hidden="1" customHeight="1">
      <c r="A2771" s="172"/>
    </row>
    <row r="2772" spans="1:1" s="173" customFormat="1" ht="12" hidden="1" customHeight="1">
      <c r="A2772" s="172"/>
    </row>
    <row r="2773" spans="1:1" s="173" customFormat="1" ht="12" hidden="1" customHeight="1">
      <c r="A2773" s="172"/>
    </row>
    <row r="2774" spans="1:1" s="173" customFormat="1" ht="12" hidden="1" customHeight="1">
      <c r="A2774" s="172"/>
    </row>
    <row r="2775" spans="1:1" s="173" customFormat="1" ht="12" hidden="1" customHeight="1">
      <c r="A2775" s="172"/>
    </row>
    <row r="2776" spans="1:1" s="173" customFormat="1" ht="12" hidden="1" customHeight="1">
      <c r="A2776" s="172"/>
    </row>
    <row r="2777" spans="1:1" s="173" customFormat="1" ht="12" hidden="1" customHeight="1">
      <c r="A2777" s="172"/>
    </row>
    <row r="2778" spans="1:1" s="173" customFormat="1" ht="12" hidden="1" customHeight="1">
      <c r="A2778" s="172"/>
    </row>
    <row r="2779" spans="1:1" s="173" customFormat="1" ht="12" hidden="1" customHeight="1">
      <c r="A2779" s="172"/>
    </row>
    <row r="2780" spans="1:1" s="173" customFormat="1" ht="12" hidden="1" customHeight="1">
      <c r="A2780" s="172"/>
    </row>
    <row r="2781" spans="1:1" s="173" customFormat="1" ht="12" hidden="1" customHeight="1">
      <c r="A2781" s="172"/>
    </row>
    <row r="2782" spans="1:1" s="173" customFormat="1" ht="12" hidden="1" customHeight="1">
      <c r="A2782" s="172"/>
    </row>
    <row r="2783" spans="1:1" s="173" customFormat="1" ht="12" hidden="1" customHeight="1">
      <c r="A2783" s="172"/>
    </row>
    <row r="2784" spans="1:1" s="173" customFormat="1" ht="12" hidden="1" customHeight="1">
      <c r="A2784" s="172"/>
    </row>
    <row r="2785" spans="1:1" s="173" customFormat="1" ht="12" hidden="1" customHeight="1">
      <c r="A2785" s="172"/>
    </row>
    <row r="2786" spans="1:1" s="173" customFormat="1" ht="12" hidden="1" customHeight="1">
      <c r="A2786" s="172"/>
    </row>
    <row r="2787" spans="1:1" s="173" customFormat="1" ht="12" hidden="1" customHeight="1">
      <c r="A2787" s="172"/>
    </row>
    <row r="2788" spans="1:1" s="173" customFormat="1" ht="12" hidden="1" customHeight="1">
      <c r="A2788" s="172"/>
    </row>
    <row r="2789" spans="1:1" s="173" customFormat="1" ht="12" hidden="1" customHeight="1">
      <c r="A2789" s="172"/>
    </row>
    <row r="2790" spans="1:1" s="173" customFormat="1" ht="12" hidden="1" customHeight="1">
      <c r="A2790" s="172"/>
    </row>
    <row r="2791" spans="1:1" s="173" customFormat="1" ht="12" hidden="1" customHeight="1">
      <c r="A2791" s="172"/>
    </row>
    <row r="2792" spans="1:1" s="173" customFormat="1" ht="12" hidden="1" customHeight="1">
      <c r="A2792" s="172"/>
    </row>
    <row r="2793" spans="1:1" s="173" customFormat="1" ht="12" hidden="1" customHeight="1">
      <c r="A2793" s="172"/>
    </row>
    <row r="2794" spans="1:1" s="173" customFormat="1" ht="12" hidden="1" customHeight="1">
      <c r="A2794" s="172"/>
    </row>
    <row r="2795" spans="1:1" s="173" customFormat="1" ht="12" hidden="1" customHeight="1">
      <c r="A2795" s="172"/>
    </row>
    <row r="2796" spans="1:1" s="173" customFormat="1" ht="12" hidden="1" customHeight="1">
      <c r="A2796" s="172"/>
    </row>
    <row r="2797" spans="1:1" s="173" customFormat="1" ht="12" hidden="1" customHeight="1">
      <c r="A2797" s="172"/>
    </row>
    <row r="2798" spans="1:1" s="173" customFormat="1" ht="12" hidden="1" customHeight="1">
      <c r="A2798" s="172"/>
    </row>
    <row r="2799" spans="1:1" s="173" customFormat="1" ht="12" hidden="1" customHeight="1">
      <c r="A2799" s="172"/>
    </row>
    <row r="2800" spans="1:1" s="173" customFormat="1" ht="12" hidden="1" customHeight="1">
      <c r="A2800" s="172"/>
    </row>
    <row r="2801" spans="1:1" s="173" customFormat="1" ht="12" hidden="1" customHeight="1">
      <c r="A2801" s="172"/>
    </row>
    <row r="2802" spans="1:1" s="173" customFormat="1" ht="12" hidden="1" customHeight="1">
      <c r="A2802" s="172"/>
    </row>
    <row r="2803" spans="1:1" s="173" customFormat="1" ht="12" hidden="1" customHeight="1">
      <c r="A2803" s="172"/>
    </row>
    <row r="2804" spans="1:1" s="173" customFormat="1" ht="12" hidden="1" customHeight="1">
      <c r="A2804" s="172"/>
    </row>
    <row r="2805" spans="1:1" s="173" customFormat="1" ht="12" hidden="1" customHeight="1">
      <c r="A2805" s="172"/>
    </row>
    <row r="2806" spans="1:1" s="173" customFormat="1" ht="12" hidden="1" customHeight="1">
      <c r="A2806" s="172"/>
    </row>
    <row r="2807" spans="1:1" s="173" customFormat="1" ht="12" hidden="1" customHeight="1">
      <c r="A2807" s="172"/>
    </row>
    <row r="2808" spans="1:1" s="173" customFormat="1" ht="12" hidden="1" customHeight="1">
      <c r="A2808" s="172"/>
    </row>
    <row r="2809" spans="1:1" s="173" customFormat="1" ht="12" hidden="1" customHeight="1">
      <c r="A2809" s="172"/>
    </row>
    <row r="2810" spans="1:1" s="173" customFormat="1" ht="12" hidden="1" customHeight="1">
      <c r="A2810" s="172"/>
    </row>
    <row r="2811" spans="1:1" s="173" customFormat="1" ht="12" hidden="1" customHeight="1">
      <c r="A2811" s="172"/>
    </row>
    <row r="2812" spans="1:1" s="173" customFormat="1" ht="12" hidden="1" customHeight="1">
      <c r="A2812" s="172"/>
    </row>
    <row r="2813" spans="1:1" s="173" customFormat="1" ht="12" hidden="1" customHeight="1">
      <c r="A2813" s="172"/>
    </row>
    <row r="2814" spans="1:1" s="173" customFormat="1" ht="12" hidden="1" customHeight="1">
      <c r="A2814" s="172"/>
    </row>
    <row r="2815" spans="1:1" s="173" customFormat="1" ht="12" hidden="1" customHeight="1">
      <c r="A2815" s="172"/>
    </row>
    <row r="2816" spans="1:1" s="173" customFormat="1" ht="12" hidden="1" customHeight="1">
      <c r="A2816" s="172"/>
    </row>
    <row r="2817" spans="1:1" s="173" customFormat="1" ht="12" hidden="1" customHeight="1">
      <c r="A2817" s="172"/>
    </row>
    <row r="2818" spans="1:1" s="173" customFormat="1" ht="12" hidden="1" customHeight="1">
      <c r="A2818" s="172"/>
    </row>
    <row r="2819" spans="1:1" s="173" customFormat="1" ht="12" hidden="1" customHeight="1">
      <c r="A2819" s="172"/>
    </row>
    <row r="2820" spans="1:1" s="173" customFormat="1" ht="12" hidden="1" customHeight="1">
      <c r="A2820" s="172"/>
    </row>
    <row r="2821" spans="1:1" s="173" customFormat="1" ht="12" hidden="1" customHeight="1">
      <c r="A2821" s="172"/>
    </row>
    <row r="2822" spans="1:1" s="173" customFormat="1" ht="12" hidden="1" customHeight="1">
      <c r="A2822" s="172"/>
    </row>
    <row r="2823" spans="1:1" s="173" customFormat="1" ht="12" hidden="1" customHeight="1">
      <c r="A2823" s="172"/>
    </row>
    <row r="2824" spans="1:1" s="173" customFormat="1" ht="12" hidden="1" customHeight="1">
      <c r="A2824" s="172"/>
    </row>
    <row r="2825" spans="1:1" s="173" customFormat="1" ht="12" hidden="1" customHeight="1">
      <c r="A2825" s="172"/>
    </row>
    <row r="2826" spans="1:1" s="173" customFormat="1" ht="12" hidden="1" customHeight="1">
      <c r="A2826" s="172"/>
    </row>
    <row r="2827" spans="1:1" s="173" customFormat="1" ht="12" hidden="1" customHeight="1">
      <c r="A2827" s="172"/>
    </row>
    <row r="2828" spans="1:1" s="173" customFormat="1" ht="12" hidden="1" customHeight="1">
      <c r="A2828" s="172"/>
    </row>
    <row r="2829" spans="1:1" s="173" customFormat="1" ht="12" hidden="1" customHeight="1">
      <c r="A2829" s="172"/>
    </row>
    <row r="2830" spans="1:1" s="173" customFormat="1" ht="12" hidden="1" customHeight="1">
      <c r="A2830" s="172"/>
    </row>
    <row r="2831" spans="1:1" s="173" customFormat="1" ht="12" hidden="1" customHeight="1">
      <c r="A2831" s="172"/>
    </row>
    <row r="2832" spans="1:1" s="173" customFormat="1" ht="12" hidden="1" customHeight="1">
      <c r="A2832" s="172"/>
    </row>
    <row r="2833" spans="1:1" s="173" customFormat="1" ht="12" hidden="1" customHeight="1">
      <c r="A2833" s="172"/>
    </row>
    <row r="2834" spans="1:1" s="173" customFormat="1" ht="12" hidden="1" customHeight="1">
      <c r="A2834" s="172"/>
    </row>
    <row r="2835" spans="1:1" s="173" customFormat="1" ht="12" hidden="1" customHeight="1">
      <c r="A2835" s="172"/>
    </row>
    <row r="2836" spans="1:1" s="173" customFormat="1" ht="12" hidden="1" customHeight="1">
      <c r="A2836" s="172"/>
    </row>
    <row r="2837" spans="1:1" s="173" customFormat="1" ht="12" hidden="1" customHeight="1">
      <c r="A2837" s="172"/>
    </row>
    <row r="2838" spans="1:1" s="173" customFormat="1" ht="12" hidden="1" customHeight="1">
      <c r="A2838" s="172"/>
    </row>
    <row r="2839" spans="1:1" s="173" customFormat="1" ht="12" hidden="1" customHeight="1">
      <c r="A2839" s="172"/>
    </row>
    <row r="2840" spans="1:1" s="173" customFormat="1" ht="12" hidden="1" customHeight="1">
      <c r="A2840" s="172"/>
    </row>
    <row r="2841" spans="1:1" s="173" customFormat="1" ht="12" hidden="1" customHeight="1">
      <c r="A2841" s="172"/>
    </row>
    <row r="2842" spans="1:1" s="173" customFormat="1" ht="12" hidden="1" customHeight="1">
      <c r="A2842" s="172"/>
    </row>
    <row r="2843" spans="1:1" s="173" customFormat="1" ht="12" hidden="1" customHeight="1">
      <c r="A2843" s="172"/>
    </row>
    <row r="2844" spans="1:1" s="173" customFormat="1" ht="12" hidden="1" customHeight="1">
      <c r="A2844" s="172"/>
    </row>
    <row r="2845" spans="1:1" s="173" customFormat="1" ht="12" hidden="1" customHeight="1">
      <c r="A2845" s="172"/>
    </row>
    <row r="2846" spans="1:1" s="173" customFormat="1" ht="12" hidden="1" customHeight="1">
      <c r="A2846" s="172"/>
    </row>
    <row r="2847" spans="1:1" s="173" customFormat="1" ht="12" hidden="1" customHeight="1">
      <c r="A2847" s="172"/>
    </row>
    <row r="2848" spans="1:1" s="173" customFormat="1" ht="12" hidden="1" customHeight="1">
      <c r="A2848" s="172"/>
    </row>
    <row r="2849" spans="1:1" s="173" customFormat="1" ht="12" hidden="1" customHeight="1">
      <c r="A2849" s="172"/>
    </row>
    <row r="2850" spans="1:1" s="173" customFormat="1" ht="12" hidden="1" customHeight="1">
      <c r="A2850" s="172"/>
    </row>
    <row r="2851" spans="1:1" s="173" customFormat="1" ht="12" hidden="1" customHeight="1">
      <c r="A2851" s="172"/>
    </row>
    <row r="2852" spans="1:1" s="173" customFormat="1" ht="12" hidden="1" customHeight="1">
      <c r="A2852" s="172"/>
    </row>
    <row r="2853" spans="1:1" s="173" customFormat="1" ht="12" hidden="1" customHeight="1">
      <c r="A2853" s="172"/>
    </row>
    <row r="2854" spans="1:1" s="173" customFormat="1" ht="12" hidden="1" customHeight="1">
      <c r="A2854" s="172"/>
    </row>
    <row r="2855" spans="1:1" s="173" customFormat="1" ht="12" hidden="1" customHeight="1">
      <c r="A2855" s="172"/>
    </row>
    <row r="2856" spans="1:1" s="173" customFormat="1" ht="12" hidden="1" customHeight="1">
      <c r="A2856" s="172"/>
    </row>
    <row r="2857" spans="1:1" s="173" customFormat="1" ht="12" hidden="1" customHeight="1">
      <c r="A2857" s="172"/>
    </row>
    <row r="2858" spans="1:1" s="173" customFormat="1" ht="12" hidden="1" customHeight="1">
      <c r="A2858" s="172"/>
    </row>
    <row r="2859" spans="1:1" s="173" customFormat="1" ht="12" hidden="1" customHeight="1">
      <c r="A2859" s="172"/>
    </row>
    <row r="2860" spans="1:1" s="173" customFormat="1" ht="12" hidden="1" customHeight="1">
      <c r="A2860" s="172"/>
    </row>
    <row r="2861" spans="1:1" s="173" customFormat="1" ht="12" hidden="1" customHeight="1">
      <c r="A2861" s="172"/>
    </row>
    <row r="2862" spans="1:1" s="173" customFormat="1" ht="12" hidden="1" customHeight="1">
      <c r="A2862" s="172"/>
    </row>
    <row r="2863" spans="1:1" s="173" customFormat="1" ht="12" hidden="1" customHeight="1">
      <c r="A2863" s="172"/>
    </row>
    <row r="2864" spans="1:1" s="173" customFormat="1" ht="12" hidden="1" customHeight="1">
      <c r="A2864" s="172"/>
    </row>
    <row r="2865" spans="1:1" s="173" customFormat="1" ht="12" hidden="1" customHeight="1">
      <c r="A2865" s="172"/>
    </row>
    <row r="2866" spans="1:1" s="173" customFormat="1" ht="12" hidden="1" customHeight="1">
      <c r="A2866" s="172"/>
    </row>
    <row r="2867" spans="1:1" s="173" customFormat="1" ht="12" hidden="1" customHeight="1">
      <c r="A2867" s="172"/>
    </row>
    <row r="2868" spans="1:1" s="173" customFormat="1" ht="12" hidden="1" customHeight="1">
      <c r="A2868" s="172"/>
    </row>
    <row r="2869" spans="1:1" s="173" customFormat="1" ht="12" hidden="1" customHeight="1">
      <c r="A2869" s="172"/>
    </row>
    <row r="2870" spans="1:1" s="173" customFormat="1" ht="12" hidden="1" customHeight="1">
      <c r="A2870" s="172"/>
    </row>
    <row r="2871" spans="1:1" s="173" customFormat="1" ht="12" hidden="1" customHeight="1">
      <c r="A2871" s="172"/>
    </row>
    <row r="2872" spans="1:1" s="173" customFormat="1" ht="12" hidden="1" customHeight="1">
      <c r="A2872" s="172"/>
    </row>
    <row r="2873" spans="1:1" s="173" customFormat="1" ht="12" hidden="1" customHeight="1">
      <c r="A2873" s="172"/>
    </row>
    <row r="2874" spans="1:1" s="173" customFormat="1" ht="12" hidden="1" customHeight="1">
      <c r="A2874" s="172"/>
    </row>
    <row r="2875" spans="1:1" s="173" customFormat="1" ht="12" hidden="1" customHeight="1">
      <c r="A2875" s="172"/>
    </row>
    <row r="2876" spans="1:1" s="173" customFormat="1" ht="12" hidden="1" customHeight="1">
      <c r="A2876" s="172"/>
    </row>
    <row r="2877" spans="1:1" s="173" customFormat="1" ht="12" hidden="1" customHeight="1">
      <c r="A2877" s="172"/>
    </row>
    <row r="2878" spans="1:1" s="173" customFormat="1" ht="12" hidden="1" customHeight="1">
      <c r="A2878" s="172"/>
    </row>
    <row r="2879" spans="1:1" s="173" customFormat="1" ht="12" hidden="1" customHeight="1">
      <c r="A2879" s="172"/>
    </row>
    <row r="2880" spans="1:1" s="173" customFormat="1" ht="12" hidden="1" customHeight="1">
      <c r="A2880" s="172"/>
    </row>
    <row r="2881" spans="1:1" s="173" customFormat="1" ht="12" hidden="1" customHeight="1">
      <c r="A2881" s="172"/>
    </row>
    <row r="2882" spans="1:1" s="173" customFormat="1" ht="12" hidden="1" customHeight="1">
      <c r="A2882" s="172"/>
    </row>
    <row r="2883" spans="1:1" s="173" customFormat="1" ht="12" hidden="1" customHeight="1">
      <c r="A2883" s="172"/>
    </row>
    <row r="2884" spans="1:1" s="173" customFormat="1" ht="12" hidden="1" customHeight="1">
      <c r="A2884" s="172"/>
    </row>
    <row r="2885" spans="1:1" s="173" customFormat="1" ht="12" hidden="1" customHeight="1">
      <c r="A2885" s="172"/>
    </row>
    <row r="2886" spans="1:1" s="173" customFormat="1" ht="12" hidden="1" customHeight="1">
      <c r="A2886" s="172"/>
    </row>
    <row r="2887" spans="1:1" s="173" customFormat="1" ht="12" hidden="1" customHeight="1">
      <c r="A2887" s="172"/>
    </row>
    <row r="2888" spans="1:1" s="173" customFormat="1" ht="12" hidden="1" customHeight="1">
      <c r="A2888" s="172"/>
    </row>
    <row r="2889" spans="1:1" s="173" customFormat="1" ht="12" hidden="1" customHeight="1">
      <c r="A2889" s="172"/>
    </row>
    <row r="2890" spans="1:1" s="173" customFormat="1" ht="12" hidden="1" customHeight="1">
      <c r="A2890" s="172"/>
    </row>
    <row r="2891" spans="1:1" s="173" customFormat="1" ht="12" hidden="1" customHeight="1">
      <c r="A2891" s="172"/>
    </row>
    <row r="2892" spans="1:1" s="173" customFormat="1" ht="12" hidden="1" customHeight="1">
      <c r="A2892" s="172"/>
    </row>
    <row r="2893" spans="1:1" s="173" customFormat="1" ht="12" hidden="1" customHeight="1">
      <c r="A2893" s="172"/>
    </row>
    <row r="2894" spans="1:1" s="173" customFormat="1" ht="12" hidden="1" customHeight="1">
      <c r="A2894" s="172"/>
    </row>
    <row r="2895" spans="1:1" s="173" customFormat="1" ht="12" hidden="1" customHeight="1">
      <c r="A2895" s="172"/>
    </row>
    <row r="2896" spans="1:1" s="173" customFormat="1" ht="12" hidden="1" customHeight="1">
      <c r="A2896" s="172"/>
    </row>
    <row r="2897" spans="1:1" s="173" customFormat="1" ht="12" hidden="1" customHeight="1">
      <c r="A2897" s="172"/>
    </row>
    <row r="2898" spans="1:1" s="173" customFormat="1" ht="12" hidden="1" customHeight="1">
      <c r="A2898" s="172"/>
    </row>
    <row r="2899" spans="1:1" s="173" customFormat="1" ht="12" hidden="1" customHeight="1">
      <c r="A2899" s="172"/>
    </row>
    <row r="2900" spans="1:1" s="173" customFormat="1" ht="12" hidden="1" customHeight="1">
      <c r="A2900" s="172"/>
    </row>
    <row r="2901" spans="1:1" s="173" customFormat="1" ht="12" hidden="1" customHeight="1">
      <c r="A2901" s="172"/>
    </row>
    <row r="2902" spans="1:1" s="173" customFormat="1" ht="12" hidden="1" customHeight="1">
      <c r="A2902" s="172"/>
    </row>
    <row r="2903" spans="1:1" s="173" customFormat="1" ht="12" hidden="1" customHeight="1">
      <c r="A2903" s="172"/>
    </row>
    <row r="2904" spans="1:1" s="173" customFormat="1" ht="12" hidden="1" customHeight="1">
      <c r="A2904" s="172"/>
    </row>
    <row r="2905" spans="1:1" s="173" customFormat="1" ht="12" hidden="1" customHeight="1">
      <c r="A2905" s="172"/>
    </row>
    <row r="2906" spans="1:1" s="173" customFormat="1" ht="12" hidden="1" customHeight="1">
      <c r="A2906" s="172"/>
    </row>
    <row r="2907" spans="1:1" s="173" customFormat="1" ht="12" hidden="1" customHeight="1">
      <c r="A2907" s="172"/>
    </row>
    <row r="2908" spans="1:1" s="173" customFormat="1" ht="12" hidden="1" customHeight="1">
      <c r="A2908" s="172"/>
    </row>
    <row r="2909" spans="1:1" s="173" customFormat="1" ht="12" hidden="1" customHeight="1">
      <c r="A2909" s="172"/>
    </row>
    <row r="2910" spans="1:1" s="173" customFormat="1" ht="12" hidden="1" customHeight="1">
      <c r="A2910" s="172"/>
    </row>
    <row r="2911" spans="1:1" s="173" customFormat="1" ht="12" hidden="1" customHeight="1">
      <c r="A2911" s="172"/>
    </row>
    <row r="2912" spans="1:1" s="173" customFormat="1" ht="12" hidden="1" customHeight="1">
      <c r="A2912" s="172"/>
    </row>
    <row r="2913" spans="1:1" s="173" customFormat="1" ht="12" hidden="1" customHeight="1">
      <c r="A2913" s="172"/>
    </row>
    <row r="2914" spans="1:1" s="173" customFormat="1" ht="12" hidden="1" customHeight="1">
      <c r="A2914" s="172"/>
    </row>
    <row r="2915" spans="1:1" s="173" customFormat="1" ht="12" hidden="1" customHeight="1">
      <c r="A2915" s="172"/>
    </row>
    <row r="2916" spans="1:1" s="173" customFormat="1" ht="12" hidden="1" customHeight="1">
      <c r="A2916" s="172"/>
    </row>
    <row r="2917" spans="1:1" s="173" customFormat="1" ht="12" hidden="1" customHeight="1">
      <c r="A2917" s="172"/>
    </row>
    <row r="2918" spans="1:1" s="173" customFormat="1" ht="12" hidden="1" customHeight="1">
      <c r="A2918" s="172"/>
    </row>
    <row r="2919" spans="1:1" s="173" customFormat="1" ht="12" hidden="1" customHeight="1">
      <c r="A2919" s="172"/>
    </row>
    <row r="2920" spans="1:1" s="173" customFormat="1" ht="12" hidden="1" customHeight="1">
      <c r="A2920" s="172"/>
    </row>
    <row r="2921" spans="1:1" s="173" customFormat="1" ht="12" hidden="1" customHeight="1">
      <c r="A2921" s="172"/>
    </row>
    <row r="2922" spans="1:1" s="173" customFormat="1" ht="12" hidden="1" customHeight="1">
      <c r="A2922" s="172"/>
    </row>
    <row r="2923" spans="1:1" s="173" customFormat="1" ht="12" hidden="1" customHeight="1">
      <c r="A2923" s="172"/>
    </row>
    <row r="2924" spans="1:1" s="173" customFormat="1" ht="12" hidden="1" customHeight="1">
      <c r="A2924" s="172"/>
    </row>
    <row r="2925" spans="1:1" s="173" customFormat="1" ht="12" hidden="1" customHeight="1">
      <c r="A2925" s="172"/>
    </row>
    <row r="2926" spans="1:1" s="173" customFormat="1" ht="12" hidden="1" customHeight="1">
      <c r="A2926" s="172"/>
    </row>
    <row r="2927" spans="1:1" s="173" customFormat="1" ht="12" hidden="1" customHeight="1">
      <c r="A2927" s="172"/>
    </row>
    <row r="2928" spans="1:1" s="173" customFormat="1" ht="12" hidden="1" customHeight="1">
      <c r="A2928" s="172"/>
    </row>
    <row r="2929" spans="1:1" s="173" customFormat="1" ht="12" hidden="1" customHeight="1">
      <c r="A2929" s="172"/>
    </row>
    <row r="2930" spans="1:1" s="173" customFormat="1" ht="12" hidden="1" customHeight="1">
      <c r="A2930" s="172"/>
    </row>
    <row r="2931" spans="1:1" s="173" customFormat="1" ht="12" hidden="1" customHeight="1">
      <c r="A2931" s="172"/>
    </row>
    <row r="2932" spans="1:1" s="173" customFormat="1" ht="12" hidden="1" customHeight="1">
      <c r="A2932" s="172"/>
    </row>
    <row r="2933" spans="1:1" s="173" customFormat="1" ht="12" hidden="1" customHeight="1">
      <c r="A2933" s="172"/>
    </row>
    <row r="2934" spans="1:1" s="173" customFormat="1" ht="12" hidden="1" customHeight="1">
      <c r="A2934" s="172"/>
    </row>
    <row r="2935" spans="1:1" s="173" customFormat="1" ht="12" hidden="1" customHeight="1">
      <c r="A2935" s="172"/>
    </row>
    <row r="2936" spans="1:1" s="173" customFormat="1" ht="12" hidden="1" customHeight="1">
      <c r="A2936" s="172"/>
    </row>
    <row r="2937" spans="1:1" s="173" customFormat="1" ht="12" hidden="1" customHeight="1">
      <c r="A2937" s="172"/>
    </row>
    <row r="2938" spans="1:1" s="173" customFormat="1" ht="12" hidden="1" customHeight="1">
      <c r="A2938" s="172"/>
    </row>
    <row r="2939" spans="1:1" s="173" customFormat="1" ht="12" hidden="1" customHeight="1">
      <c r="A2939" s="172"/>
    </row>
    <row r="2940" spans="1:1" s="173" customFormat="1" ht="12" hidden="1" customHeight="1">
      <c r="A2940" s="172"/>
    </row>
    <row r="2941" spans="1:1" s="173" customFormat="1" ht="12" hidden="1" customHeight="1">
      <c r="A2941" s="172"/>
    </row>
    <row r="2942" spans="1:1" s="173" customFormat="1" ht="12" hidden="1" customHeight="1">
      <c r="A2942" s="172"/>
    </row>
    <row r="2943" spans="1:1" s="173" customFormat="1" ht="12" hidden="1" customHeight="1">
      <c r="A2943" s="172"/>
    </row>
    <row r="2944" spans="1:1" s="173" customFormat="1" ht="12" hidden="1" customHeight="1">
      <c r="A2944" s="172"/>
    </row>
    <row r="2945" spans="1:1" s="173" customFormat="1" ht="12" hidden="1" customHeight="1">
      <c r="A2945" s="172"/>
    </row>
    <row r="2946" spans="1:1" s="173" customFormat="1" ht="12" hidden="1" customHeight="1">
      <c r="A2946" s="172"/>
    </row>
    <row r="2947" spans="1:1" s="173" customFormat="1" ht="12" hidden="1" customHeight="1">
      <c r="A2947" s="172"/>
    </row>
    <row r="2948" spans="1:1" s="173" customFormat="1" ht="12" hidden="1" customHeight="1">
      <c r="A2948" s="172"/>
    </row>
    <row r="2949" spans="1:1" s="173" customFormat="1" ht="12" hidden="1" customHeight="1">
      <c r="A2949" s="172"/>
    </row>
    <row r="2950" spans="1:1" s="173" customFormat="1" ht="12" hidden="1" customHeight="1">
      <c r="A2950" s="172"/>
    </row>
    <row r="2951" spans="1:1" s="173" customFormat="1" ht="12" hidden="1" customHeight="1">
      <c r="A2951" s="172"/>
    </row>
    <row r="2952" spans="1:1" s="173" customFormat="1" ht="12" hidden="1" customHeight="1">
      <c r="A2952" s="172"/>
    </row>
    <row r="2953" spans="1:1" s="173" customFormat="1" ht="12" hidden="1" customHeight="1">
      <c r="A2953" s="172"/>
    </row>
    <row r="2954" spans="1:1" s="173" customFormat="1" ht="12" hidden="1" customHeight="1">
      <c r="A2954" s="172"/>
    </row>
    <row r="2955" spans="1:1" s="173" customFormat="1" ht="12" hidden="1" customHeight="1">
      <c r="A2955" s="172"/>
    </row>
    <row r="2956" spans="1:1" s="173" customFormat="1" ht="12" hidden="1" customHeight="1">
      <c r="A2956" s="172"/>
    </row>
    <row r="2957" spans="1:1" s="173" customFormat="1" ht="12" hidden="1" customHeight="1">
      <c r="A2957" s="172"/>
    </row>
    <row r="2958" spans="1:1" s="173" customFormat="1" ht="12" hidden="1" customHeight="1">
      <c r="A2958" s="172"/>
    </row>
    <row r="2959" spans="1:1" s="173" customFormat="1" ht="12" hidden="1" customHeight="1">
      <c r="A2959" s="172"/>
    </row>
    <row r="2960" spans="1:1" s="173" customFormat="1" ht="12" hidden="1" customHeight="1">
      <c r="A2960" s="172"/>
    </row>
    <row r="2961" spans="1:1" s="173" customFormat="1" ht="12" hidden="1" customHeight="1">
      <c r="A2961" s="172"/>
    </row>
    <row r="2962" spans="1:1" s="173" customFormat="1" ht="12" hidden="1" customHeight="1">
      <c r="A2962" s="172"/>
    </row>
    <row r="2963" spans="1:1" s="173" customFormat="1" ht="12" hidden="1" customHeight="1">
      <c r="A2963" s="172"/>
    </row>
    <row r="2964" spans="1:1" s="173" customFormat="1" ht="12" hidden="1" customHeight="1">
      <c r="A2964" s="172"/>
    </row>
    <row r="2965" spans="1:1" s="173" customFormat="1" ht="12" hidden="1" customHeight="1">
      <c r="A2965" s="172"/>
    </row>
    <row r="2966" spans="1:1" s="173" customFormat="1" ht="12" hidden="1" customHeight="1">
      <c r="A2966" s="172"/>
    </row>
    <row r="2967" spans="1:1" s="173" customFormat="1" ht="12" hidden="1" customHeight="1">
      <c r="A2967" s="172"/>
    </row>
    <row r="2968" spans="1:1" s="173" customFormat="1" ht="12" hidden="1" customHeight="1">
      <c r="A2968" s="172"/>
    </row>
    <row r="2969" spans="1:1" s="173" customFormat="1" ht="12" hidden="1" customHeight="1">
      <c r="A2969" s="172"/>
    </row>
    <row r="2970" spans="1:1" s="173" customFormat="1" ht="12" hidden="1" customHeight="1">
      <c r="A2970" s="172"/>
    </row>
    <row r="2971" spans="1:1" s="173" customFormat="1" ht="12" hidden="1" customHeight="1">
      <c r="A2971" s="172"/>
    </row>
    <row r="2972" spans="1:1" s="173" customFormat="1" ht="12" hidden="1" customHeight="1">
      <c r="A2972" s="172"/>
    </row>
    <row r="2973" spans="1:1" s="173" customFormat="1" ht="12" hidden="1" customHeight="1">
      <c r="A2973" s="172"/>
    </row>
    <row r="2974" spans="1:1" s="173" customFormat="1" ht="12" hidden="1" customHeight="1">
      <c r="A2974" s="172"/>
    </row>
    <row r="2975" spans="1:1" s="173" customFormat="1" ht="12" hidden="1" customHeight="1">
      <c r="A2975" s="172"/>
    </row>
    <row r="2976" spans="1:1" s="173" customFormat="1" ht="12" hidden="1" customHeight="1">
      <c r="A2976" s="172"/>
    </row>
    <row r="2977" spans="1:1" s="173" customFormat="1" ht="12" hidden="1" customHeight="1">
      <c r="A2977" s="172"/>
    </row>
    <row r="2978" spans="1:1" s="173" customFormat="1" ht="12" hidden="1" customHeight="1">
      <c r="A2978" s="172"/>
    </row>
    <row r="2979" spans="1:1" s="173" customFormat="1" ht="12" hidden="1" customHeight="1">
      <c r="A2979" s="172"/>
    </row>
    <row r="2980" spans="1:1" s="173" customFormat="1" ht="12" hidden="1" customHeight="1">
      <c r="A2980" s="172"/>
    </row>
    <row r="2981" spans="1:1" s="173" customFormat="1" ht="12" hidden="1" customHeight="1">
      <c r="A2981" s="172"/>
    </row>
    <row r="2982" spans="1:1" s="173" customFormat="1" ht="12" hidden="1" customHeight="1">
      <c r="A2982" s="172"/>
    </row>
    <row r="2983" spans="1:1" s="173" customFormat="1" ht="12" hidden="1" customHeight="1">
      <c r="A2983" s="172"/>
    </row>
    <row r="2984" spans="1:1" s="173" customFormat="1" ht="12" hidden="1" customHeight="1">
      <c r="A2984" s="172"/>
    </row>
    <row r="2985" spans="1:1" s="173" customFormat="1" ht="12" hidden="1" customHeight="1">
      <c r="A2985" s="172"/>
    </row>
    <row r="2986" spans="1:1" s="173" customFormat="1" ht="12" hidden="1" customHeight="1">
      <c r="A2986" s="172"/>
    </row>
    <row r="2987" spans="1:1" s="173" customFormat="1" ht="12" hidden="1" customHeight="1">
      <c r="A2987" s="172"/>
    </row>
    <row r="2988" spans="1:1" s="173" customFormat="1" ht="12" hidden="1" customHeight="1">
      <c r="A2988" s="172"/>
    </row>
    <row r="2989" spans="1:1" s="173" customFormat="1" ht="12" hidden="1" customHeight="1">
      <c r="A2989" s="172"/>
    </row>
    <row r="2990" spans="1:1" s="173" customFormat="1" ht="12" hidden="1" customHeight="1">
      <c r="A2990" s="172"/>
    </row>
    <row r="2991" spans="1:1" s="173" customFormat="1" ht="12" hidden="1" customHeight="1">
      <c r="A2991" s="172"/>
    </row>
    <row r="2992" spans="1:1" s="173" customFormat="1" ht="12" hidden="1" customHeight="1">
      <c r="A2992" s="172"/>
    </row>
    <row r="2993" spans="1:1" s="173" customFormat="1" ht="12" hidden="1" customHeight="1">
      <c r="A2993" s="172"/>
    </row>
    <row r="2994" spans="1:1" s="173" customFormat="1" ht="12" hidden="1" customHeight="1">
      <c r="A2994" s="172"/>
    </row>
    <row r="2995" spans="1:1" s="173" customFormat="1" ht="12" hidden="1" customHeight="1">
      <c r="A2995" s="172"/>
    </row>
    <row r="2996" spans="1:1" s="173" customFormat="1" ht="12" hidden="1" customHeight="1">
      <c r="A2996" s="172"/>
    </row>
    <row r="2997" spans="1:1" s="173" customFormat="1" ht="12" hidden="1" customHeight="1">
      <c r="A2997" s="172"/>
    </row>
    <row r="2998" spans="1:1" s="173" customFormat="1" ht="12" hidden="1" customHeight="1">
      <c r="A2998" s="172"/>
    </row>
    <row r="2999" spans="1:1" s="173" customFormat="1" ht="12" hidden="1" customHeight="1">
      <c r="A2999" s="172"/>
    </row>
    <row r="3000" spans="1:1" s="173" customFormat="1" ht="12" hidden="1" customHeight="1">
      <c r="A3000" s="172"/>
    </row>
    <row r="3001" spans="1:1" s="173" customFormat="1" ht="12" hidden="1" customHeight="1">
      <c r="A3001" s="172"/>
    </row>
    <row r="3002" spans="1:1" s="173" customFormat="1" ht="12" hidden="1" customHeight="1">
      <c r="A3002" s="172"/>
    </row>
    <row r="3003" spans="1:1" s="173" customFormat="1" ht="12" hidden="1" customHeight="1">
      <c r="A3003" s="172"/>
    </row>
    <row r="3004" spans="1:1" s="173" customFormat="1" ht="12" hidden="1" customHeight="1">
      <c r="A3004" s="172"/>
    </row>
    <row r="3005" spans="1:1" s="173" customFormat="1" ht="12" hidden="1" customHeight="1">
      <c r="A3005" s="172"/>
    </row>
    <row r="3006" spans="1:1" s="173" customFormat="1" ht="12" hidden="1" customHeight="1">
      <c r="A3006" s="172"/>
    </row>
    <row r="3007" spans="1:1" s="173" customFormat="1" ht="12" hidden="1" customHeight="1">
      <c r="A3007" s="172"/>
    </row>
    <row r="3008" spans="1:1" s="173" customFormat="1" ht="12" hidden="1" customHeight="1">
      <c r="A3008" s="172"/>
    </row>
    <row r="3009" spans="1:1" s="173" customFormat="1" ht="12" hidden="1" customHeight="1">
      <c r="A3009" s="172"/>
    </row>
    <row r="3010" spans="1:1" s="173" customFormat="1" ht="12" hidden="1" customHeight="1">
      <c r="A3010" s="172"/>
    </row>
    <row r="3011" spans="1:1" s="173" customFormat="1" ht="12" hidden="1" customHeight="1">
      <c r="A3011" s="172"/>
    </row>
    <row r="3012" spans="1:1" s="173" customFormat="1" ht="12" hidden="1" customHeight="1">
      <c r="A3012" s="172"/>
    </row>
    <row r="3013" spans="1:1" s="173" customFormat="1" ht="12" hidden="1" customHeight="1">
      <c r="A3013" s="172"/>
    </row>
    <row r="3014" spans="1:1" s="173" customFormat="1" ht="12" hidden="1" customHeight="1">
      <c r="A3014" s="172"/>
    </row>
    <row r="3015" spans="1:1" s="173" customFormat="1" ht="12" hidden="1" customHeight="1">
      <c r="A3015" s="172"/>
    </row>
    <row r="3016" spans="1:1" s="173" customFormat="1" ht="12" hidden="1" customHeight="1">
      <c r="A3016" s="172"/>
    </row>
    <row r="3017" spans="1:1" s="173" customFormat="1" ht="12" hidden="1" customHeight="1">
      <c r="A3017" s="172"/>
    </row>
    <row r="3018" spans="1:1" s="173" customFormat="1" ht="12" hidden="1" customHeight="1">
      <c r="A3018" s="172"/>
    </row>
    <row r="3019" spans="1:1" s="173" customFormat="1" ht="12" hidden="1" customHeight="1">
      <c r="A3019" s="172"/>
    </row>
    <row r="3020" spans="1:1" s="173" customFormat="1" ht="12" hidden="1" customHeight="1">
      <c r="A3020" s="172"/>
    </row>
    <row r="3021" spans="1:1" s="173" customFormat="1" ht="12" hidden="1" customHeight="1">
      <c r="A3021" s="172"/>
    </row>
    <row r="3022" spans="1:1" s="173" customFormat="1" ht="12" hidden="1" customHeight="1">
      <c r="A3022" s="172"/>
    </row>
    <row r="3023" spans="1:1" s="173" customFormat="1" ht="12" hidden="1" customHeight="1">
      <c r="A3023" s="172"/>
    </row>
    <row r="3024" spans="1:1" s="173" customFormat="1" ht="12" hidden="1" customHeight="1">
      <c r="A3024" s="172"/>
    </row>
    <row r="3025" spans="1:1" s="173" customFormat="1" ht="12" hidden="1" customHeight="1">
      <c r="A3025" s="172"/>
    </row>
    <row r="3026" spans="1:1" s="173" customFormat="1" ht="12" hidden="1" customHeight="1">
      <c r="A3026" s="172"/>
    </row>
    <row r="3027" spans="1:1" s="173" customFormat="1" ht="12" hidden="1" customHeight="1">
      <c r="A3027" s="172"/>
    </row>
    <row r="3028" spans="1:1" s="173" customFormat="1" ht="12" hidden="1" customHeight="1">
      <c r="A3028" s="172"/>
    </row>
    <row r="3029" spans="1:1" s="173" customFormat="1" ht="12" hidden="1" customHeight="1">
      <c r="A3029" s="172"/>
    </row>
    <row r="3030" spans="1:1" s="173" customFormat="1" ht="12" hidden="1" customHeight="1">
      <c r="A3030" s="172"/>
    </row>
    <row r="3031" spans="1:1" s="173" customFormat="1" ht="12" hidden="1" customHeight="1">
      <c r="A3031" s="172"/>
    </row>
    <row r="3032" spans="1:1" s="173" customFormat="1" ht="12" hidden="1" customHeight="1">
      <c r="A3032" s="172"/>
    </row>
    <row r="3033" spans="1:1" s="173" customFormat="1" ht="12" hidden="1" customHeight="1">
      <c r="A3033" s="172"/>
    </row>
    <row r="3034" spans="1:1" s="173" customFormat="1" ht="12" hidden="1" customHeight="1">
      <c r="A3034" s="172"/>
    </row>
    <row r="3035" spans="1:1" s="173" customFormat="1" ht="12" hidden="1" customHeight="1">
      <c r="A3035" s="172"/>
    </row>
    <row r="3036" spans="1:1" s="173" customFormat="1" ht="12" hidden="1" customHeight="1">
      <c r="A3036" s="172"/>
    </row>
    <row r="3037" spans="1:1" s="173" customFormat="1" ht="12" hidden="1" customHeight="1">
      <c r="A3037" s="172"/>
    </row>
    <row r="3038" spans="1:1" s="173" customFormat="1" ht="12" hidden="1" customHeight="1">
      <c r="A3038" s="172"/>
    </row>
    <row r="3039" spans="1:1" s="173" customFormat="1" ht="12" hidden="1" customHeight="1">
      <c r="A3039" s="172"/>
    </row>
    <row r="3040" spans="1:1" s="173" customFormat="1" ht="12" hidden="1" customHeight="1">
      <c r="A3040" s="172"/>
    </row>
    <row r="3041" spans="1:1" s="173" customFormat="1" ht="12" hidden="1" customHeight="1">
      <c r="A3041" s="172"/>
    </row>
    <row r="3042" spans="1:1" s="173" customFormat="1" ht="12" hidden="1" customHeight="1">
      <c r="A3042" s="172"/>
    </row>
    <row r="3043" spans="1:1" s="173" customFormat="1" ht="12" hidden="1" customHeight="1">
      <c r="A3043" s="172"/>
    </row>
    <row r="3044" spans="1:1" s="173" customFormat="1" ht="12" hidden="1" customHeight="1">
      <c r="A3044" s="172"/>
    </row>
    <row r="3045" spans="1:1" s="173" customFormat="1" ht="12" hidden="1" customHeight="1">
      <c r="A3045" s="172"/>
    </row>
    <row r="3046" spans="1:1" s="173" customFormat="1" ht="12" hidden="1" customHeight="1">
      <c r="A3046" s="172"/>
    </row>
    <row r="3047" spans="1:1" s="173" customFormat="1" ht="12" hidden="1" customHeight="1">
      <c r="A3047" s="172"/>
    </row>
    <row r="3048" spans="1:1" s="173" customFormat="1" ht="12" hidden="1" customHeight="1">
      <c r="A3048" s="172"/>
    </row>
    <row r="3049" spans="1:1" s="173" customFormat="1" ht="12" hidden="1" customHeight="1">
      <c r="A3049" s="172"/>
    </row>
    <row r="3050" spans="1:1" s="173" customFormat="1" ht="12" hidden="1" customHeight="1">
      <c r="A3050" s="172"/>
    </row>
    <row r="3051" spans="1:1" s="173" customFormat="1" ht="12" hidden="1" customHeight="1">
      <c r="A3051" s="172"/>
    </row>
    <row r="3052" spans="1:1" s="173" customFormat="1" ht="12" hidden="1" customHeight="1">
      <c r="A3052" s="172"/>
    </row>
    <row r="3053" spans="1:1" s="173" customFormat="1" ht="12" hidden="1" customHeight="1">
      <c r="A3053" s="172"/>
    </row>
    <row r="3054" spans="1:1" s="173" customFormat="1" ht="12" hidden="1" customHeight="1">
      <c r="A3054" s="172"/>
    </row>
    <row r="3055" spans="1:1" s="173" customFormat="1" ht="12" hidden="1" customHeight="1">
      <c r="A3055" s="172"/>
    </row>
    <row r="3056" spans="1:1" s="173" customFormat="1" ht="12" hidden="1" customHeight="1">
      <c r="A3056" s="172"/>
    </row>
    <row r="3057" spans="1:1" s="173" customFormat="1" ht="12" hidden="1" customHeight="1">
      <c r="A3057" s="172"/>
    </row>
    <row r="3058" spans="1:1" s="173" customFormat="1" ht="12" hidden="1" customHeight="1">
      <c r="A3058" s="172"/>
    </row>
    <row r="3059" spans="1:1" s="173" customFormat="1" ht="12" hidden="1" customHeight="1">
      <c r="A3059" s="172"/>
    </row>
    <row r="3060" spans="1:1" s="173" customFormat="1" ht="12" hidden="1" customHeight="1">
      <c r="A3060" s="172"/>
    </row>
    <row r="3061" spans="1:1" s="173" customFormat="1" ht="12" hidden="1" customHeight="1">
      <c r="A3061" s="172"/>
    </row>
    <row r="3062" spans="1:1" s="173" customFormat="1" ht="12" hidden="1" customHeight="1">
      <c r="A3062" s="172"/>
    </row>
    <row r="3063" spans="1:1" s="173" customFormat="1" ht="12" hidden="1" customHeight="1">
      <c r="A3063" s="172"/>
    </row>
    <row r="3064" spans="1:1" s="173" customFormat="1" ht="12" hidden="1" customHeight="1">
      <c r="A3064" s="172"/>
    </row>
    <row r="3065" spans="1:1" s="173" customFormat="1" ht="12" hidden="1" customHeight="1">
      <c r="A3065" s="172"/>
    </row>
    <row r="3066" spans="1:1" s="173" customFormat="1" ht="12" hidden="1" customHeight="1">
      <c r="A3066" s="172"/>
    </row>
    <row r="3067" spans="1:1" s="173" customFormat="1" ht="12" hidden="1" customHeight="1">
      <c r="A3067" s="172"/>
    </row>
    <row r="3068" spans="1:1" s="173" customFormat="1" ht="12" hidden="1" customHeight="1">
      <c r="A3068" s="172"/>
    </row>
    <row r="3069" spans="1:1" s="173" customFormat="1" ht="12" hidden="1" customHeight="1">
      <c r="A3069" s="172"/>
    </row>
    <row r="3070" spans="1:1" s="173" customFormat="1" ht="12" hidden="1" customHeight="1">
      <c r="A3070" s="172"/>
    </row>
    <row r="3071" spans="1:1" s="173" customFormat="1" ht="12" hidden="1" customHeight="1">
      <c r="A3071" s="172"/>
    </row>
    <row r="3072" spans="1:1" s="173" customFormat="1" ht="12" hidden="1" customHeight="1">
      <c r="A3072" s="172"/>
    </row>
    <row r="3073" spans="1:1" s="173" customFormat="1" ht="12" hidden="1" customHeight="1">
      <c r="A3073" s="172"/>
    </row>
    <row r="3074" spans="1:1" s="173" customFormat="1" ht="12" hidden="1" customHeight="1">
      <c r="A3074" s="172"/>
    </row>
    <row r="3075" spans="1:1" s="173" customFormat="1" ht="12" hidden="1" customHeight="1">
      <c r="A3075" s="172"/>
    </row>
    <row r="3076" spans="1:1" s="173" customFormat="1" ht="12" hidden="1" customHeight="1">
      <c r="A3076" s="172"/>
    </row>
    <row r="3077" spans="1:1" s="173" customFormat="1" ht="12" hidden="1" customHeight="1">
      <c r="A3077" s="172"/>
    </row>
    <row r="3078" spans="1:1" s="173" customFormat="1" ht="12" hidden="1" customHeight="1">
      <c r="A3078" s="172"/>
    </row>
    <row r="3079" spans="1:1" s="173" customFormat="1" ht="12" hidden="1" customHeight="1">
      <c r="A3079" s="172"/>
    </row>
    <row r="3080" spans="1:1" s="173" customFormat="1" ht="12" hidden="1" customHeight="1">
      <c r="A3080" s="172"/>
    </row>
    <row r="3081" spans="1:1" s="173" customFormat="1" ht="12" hidden="1" customHeight="1">
      <c r="A3081" s="172"/>
    </row>
    <row r="3082" spans="1:1" s="173" customFormat="1" ht="12" hidden="1" customHeight="1">
      <c r="A3082" s="172"/>
    </row>
    <row r="3083" spans="1:1" s="173" customFormat="1" ht="12" hidden="1" customHeight="1">
      <c r="A3083" s="172"/>
    </row>
    <row r="3084" spans="1:1" s="173" customFormat="1" ht="12" hidden="1" customHeight="1">
      <c r="A3084" s="172"/>
    </row>
    <row r="3085" spans="1:1" s="173" customFormat="1" ht="12" hidden="1" customHeight="1">
      <c r="A3085" s="172"/>
    </row>
    <row r="3086" spans="1:1" s="173" customFormat="1" ht="12" hidden="1" customHeight="1">
      <c r="A3086" s="172"/>
    </row>
    <row r="3087" spans="1:1" s="173" customFormat="1" ht="12" hidden="1" customHeight="1">
      <c r="A3087" s="172"/>
    </row>
    <row r="3088" spans="1:1" s="173" customFormat="1" ht="12" hidden="1" customHeight="1">
      <c r="A3088" s="172"/>
    </row>
    <row r="3089" spans="1:1" s="173" customFormat="1" ht="12" hidden="1" customHeight="1">
      <c r="A3089" s="172"/>
    </row>
    <row r="3090" spans="1:1" s="173" customFormat="1" ht="12" hidden="1" customHeight="1">
      <c r="A3090" s="172"/>
    </row>
    <row r="3091" spans="1:1" s="173" customFormat="1" ht="12" hidden="1" customHeight="1">
      <c r="A3091" s="172"/>
    </row>
    <row r="3092" spans="1:1" s="173" customFormat="1" ht="12" hidden="1" customHeight="1">
      <c r="A3092" s="172"/>
    </row>
    <row r="3093" spans="1:1" s="173" customFormat="1" ht="12" hidden="1" customHeight="1">
      <c r="A3093" s="172"/>
    </row>
    <row r="3094" spans="1:1" s="173" customFormat="1" ht="12" hidden="1" customHeight="1">
      <c r="A3094" s="172"/>
    </row>
    <row r="3095" spans="1:1" s="173" customFormat="1" ht="12" hidden="1" customHeight="1">
      <c r="A3095" s="172"/>
    </row>
    <row r="3096" spans="1:1" s="173" customFormat="1" ht="12" hidden="1" customHeight="1">
      <c r="A3096" s="172"/>
    </row>
    <row r="3097" spans="1:1" s="173" customFormat="1" ht="12" hidden="1" customHeight="1">
      <c r="A3097" s="172"/>
    </row>
    <row r="3098" spans="1:1" s="173" customFormat="1" ht="12" hidden="1" customHeight="1">
      <c r="A3098" s="172"/>
    </row>
    <row r="3099" spans="1:1" s="173" customFormat="1" ht="12" hidden="1" customHeight="1">
      <c r="A3099" s="172"/>
    </row>
    <row r="3100" spans="1:1" s="173" customFormat="1" ht="12" hidden="1" customHeight="1">
      <c r="A3100" s="172"/>
    </row>
    <row r="3101" spans="1:1" s="173" customFormat="1" ht="12" hidden="1" customHeight="1">
      <c r="A3101" s="172"/>
    </row>
    <row r="3102" spans="1:1" s="173" customFormat="1" ht="12" hidden="1" customHeight="1">
      <c r="A3102" s="172"/>
    </row>
    <row r="3103" spans="1:1" s="173" customFormat="1" ht="12" hidden="1" customHeight="1">
      <c r="A3103" s="172"/>
    </row>
    <row r="3104" spans="1:1" s="173" customFormat="1" ht="12" hidden="1" customHeight="1">
      <c r="A3104" s="172"/>
    </row>
    <row r="3105" spans="1:1" s="173" customFormat="1" ht="12" hidden="1" customHeight="1">
      <c r="A3105" s="172"/>
    </row>
    <row r="3106" spans="1:1" s="173" customFormat="1" ht="12" hidden="1" customHeight="1">
      <c r="A3106" s="172"/>
    </row>
    <row r="3107" spans="1:1" s="173" customFormat="1" ht="12" hidden="1" customHeight="1">
      <c r="A3107" s="172"/>
    </row>
    <row r="3108" spans="1:1" s="173" customFormat="1" ht="12" hidden="1" customHeight="1">
      <c r="A3108" s="172"/>
    </row>
    <row r="3109" spans="1:1" s="173" customFormat="1" ht="12" hidden="1" customHeight="1">
      <c r="A3109" s="172"/>
    </row>
    <row r="3110" spans="1:1" s="173" customFormat="1" ht="12" hidden="1" customHeight="1">
      <c r="A3110" s="172"/>
    </row>
    <row r="3111" spans="1:1" s="173" customFormat="1" ht="12" hidden="1" customHeight="1">
      <c r="A3111" s="172"/>
    </row>
    <row r="3112" spans="1:1" s="173" customFormat="1" ht="12" hidden="1" customHeight="1">
      <c r="A3112" s="172"/>
    </row>
    <row r="3113" spans="1:1" s="173" customFormat="1" ht="12" hidden="1" customHeight="1">
      <c r="A3113" s="172"/>
    </row>
    <row r="3114" spans="1:1" s="173" customFormat="1" ht="12" hidden="1" customHeight="1">
      <c r="A3114" s="172"/>
    </row>
    <row r="3115" spans="1:1" s="173" customFormat="1" ht="12" hidden="1" customHeight="1">
      <c r="A3115" s="172"/>
    </row>
    <row r="3116" spans="1:1" s="173" customFormat="1" ht="12" hidden="1" customHeight="1">
      <c r="A3116" s="172"/>
    </row>
    <row r="3117" spans="1:1" s="173" customFormat="1" ht="12" hidden="1" customHeight="1">
      <c r="A3117" s="172"/>
    </row>
    <row r="3118" spans="1:1" s="173" customFormat="1" ht="12" hidden="1" customHeight="1">
      <c r="A3118" s="172"/>
    </row>
    <row r="3119" spans="1:1" s="173" customFormat="1" ht="12" hidden="1" customHeight="1">
      <c r="A3119" s="172"/>
    </row>
    <row r="3120" spans="1:1" s="173" customFormat="1" ht="12" hidden="1" customHeight="1">
      <c r="A3120" s="172"/>
    </row>
    <row r="3121" spans="1:1" s="173" customFormat="1" ht="12" hidden="1" customHeight="1">
      <c r="A3121" s="172"/>
    </row>
    <row r="3122" spans="1:1" s="173" customFormat="1" ht="12" hidden="1" customHeight="1">
      <c r="A3122" s="172"/>
    </row>
    <row r="3123" spans="1:1" s="173" customFormat="1" ht="12" hidden="1" customHeight="1">
      <c r="A3123" s="172"/>
    </row>
    <row r="3124" spans="1:1" s="173" customFormat="1" ht="12" hidden="1" customHeight="1">
      <c r="A3124" s="172"/>
    </row>
    <row r="3125" spans="1:1" s="173" customFormat="1" ht="12" hidden="1" customHeight="1">
      <c r="A3125" s="172"/>
    </row>
    <row r="3126" spans="1:1" s="173" customFormat="1" ht="12" hidden="1" customHeight="1">
      <c r="A3126" s="172"/>
    </row>
    <row r="3127" spans="1:1" s="173" customFormat="1" ht="12" hidden="1" customHeight="1">
      <c r="A3127" s="172"/>
    </row>
    <row r="3128" spans="1:1" s="173" customFormat="1" ht="12" hidden="1" customHeight="1">
      <c r="A3128" s="172"/>
    </row>
    <row r="3129" spans="1:1" s="173" customFormat="1" ht="12" hidden="1" customHeight="1">
      <c r="A3129" s="172"/>
    </row>
    <row r="3130" spans="1:1" s="173" customFormat="1" ht="12" hidden="1" customHeight="1">
      <c r="A3130" s="172"/>
    </row>
    <row r="3131" spans="1:1" s="173" customFormat="1" ht="12" hidden="1" customHeight="1">
      <c r="A3131" s="172"/>
    </row>
    <row r="3132" spans="1:1" s="173" customFormat="1" ht="12" hidden="1" customHeight="1">
      <c r="A3132" s="172"/>
    </row>
    <row r="3133" spans="1:1" s="173" customFormat="1" ht="12" hidden="1" customHeight="1">
      <c r="A3133" s="172"/>
    </row>
    <row r="3134" spans="1:1" s="173" customFormat="1" ht="12" hidden="1" customHeight="1">
      <c r="A3134" s="172"/>
    </row>
    <row r="3135" spans="1:1" s="173" customFormat="1" ht="12" hidden="1" customHeight="1">
      <c r="A3135" s="172"/>
    </row>
    <row r="3136" spans="1:1" s="173" customFormat="1" ht="12" hidden="1" customHeight="1">
      <c r="A3136" s="172"/>
    </row>
    <row r="3137" spans="1:1" s="173" customFormat="1" ht="12" hidden="1" customHeight="1">
      <c r="A3137" s="172"/>
    </row>
    <row r="3138" spans="1:1" s="173" customFormat="1" ht="12" hidden="1" customHeight="1">
      <c r="A3138" s="172"/>
    </row>
    <row r="3139" spans="1:1" s="173" customFormat="1" ht="12" hidden="1" customHeight="1">
      <c r="A3139" s="172"/>
    </row>
    <row r="3140" spans="1:1" s="173" customFormat="1" ht="12" hidden="1" customHeight="1">
      <c r="A3140" s="172"/>
    </row>
    <row r="3141" spans="1:1" s="173" customFormat="1" ht="12" hidden="1" customHeight="1">
      <c r="A3141" s="172"/>
    </row>
    <row r="3142" spans="1:1" s="173" customFormat="1" ht="12" hidden="1" customHeight="1">
      <c r="A3142" s="172"/>
    </row>
    <row r="3143" spans="1:1" s="173" customFormat="1" ht="12" hidden="1" customHeight="1">
      <c r="A3143" s="172"/>
    </row>
    <row r="3144" spans="1:1" s="173" customFormat="1" ht="12" hidden="1" customHeight="1">
      <c r="A3144" s="172"/>
    </row>
    <row r="3145" spans="1:1" s="173" customFormat="1" ht="12" hidden="1" customHeight="1">
      <c r="A3145" s="172"/>
    </row>
    <row r="3146" spans="1:1" s="173" customFormat="1" ht="12" hidden="1" customHeight="1">
      <c r="A3146" s="172"/>
    </row>
    <row r="3147" spans="1:1" s="173" customFormat="1" ht="12" hidden="1" customHeight="1">
      <c r="A3147" s="172"/>
    </row>
    <row r="3148" spans="1:1" s="173" customFormat="1" ht="12" hidden="1" customHeight="1">
      <c r="A3148" s="172"/>
    </row>
    <row r="3149" spans="1:1" s="173" customFormat="1" ht="12" hidden="1" customHeight="1">
      <c r="A3149" s="172"/>
    </row>
    <row r="3150" spans="1:1" s="173" customFormat="1" ht="12" hidden="1" customHeight="1">
      <c r="A3150" s="172"/>
    </row>
    <row r="3151" spans="1:1" s="173" customFormat="1" ht="12" hidden="1" customHeight="1">
      <c r="A3151" s="172"/>
    </row>
    <row r="3152" spans="1:1" s="173" customFormat="1" ht="12" hidden="1" customHeight="1">
      <c r="A3152" s="172"/>
    </row>
    <row r="3153" spans="1:1" s="173" customFormat="1" ht="12" hidden="1" customHeight="1">
      <c r="A3153" s="172"/>
    </row>
    <row r="3154" spans="1:1" s="173" customFormat="1" ht="12" hidden="1" customHeight="1">
      <c r="A3154" s="172"/>
    </row>
    <row r="3155" spans="1:1" s="173" customFormat="1" ht="12" hidden="1" customHeight="1">
      <c r="A3155" s="172"/>
    </row>
    <row r="3156" spans="1:1" s="173" customFormat="1" ht="12" hidden="1" customHeight="1">
      <c r="A3156" s="172"/>
    </row>
    <row r="3157" spans="1:1" s="173" customFormat="1" ht="12" hidden="1" customHeight="1">
      <c r="A3157" s="172"/>
    </row>
    <row r="3158" spans="1:1" s="173" customFormat="1" ht="12" hidden="1" customHeight="1">
      <c r="A3158" s="172"/>
    </row>
    <row r="3159" spans="1:1" s="173" customFormat="1" ht="12" hidden="1" customHeight="1">
      <c r="A3159" s="172"/>
    </row>
    <row r="3160" spans="1:1" s="173" customFormat="1" ht="12" hidden="1" customHeight="1">
      <c r="A3160" s="172"/>
    </row>
    <row r="3161" spans="1:1" s="173" customFormat="1" ht="12" hidden="1" customHeight="1">
      <c r="A3161" s="172"/>
    </row>
    <row r="3162" spans="1:1" s="173" customFormat="1" ht="12" hidden="1" customHeight="1">
      <c r="A3162" s="172"/>
    </row>
    <row r="3163" spans="1:1" s="173" customFormat="1" ht="12" hidden="1" customHeight="1">
      <c r="A3163" s="172"/>
    </row>
    <row r="3164" spans="1:1" s="173" customFormat="1" ht="12" hidden="1" customHeight="1">
      <c r="A3164" s="172"/>
    </row>
    <row r="3165" spans="1:1" s="173" customFormat="1" ht="12" hidden="1" customHeight="1">
      <c r="A3165" s="172"/>
    </row>
    <row r="3166" spans="1:1" s="173" customFormat="1" ht="12" hidden="1" customHeight="1">
      <c r="A3166" s="172"/>
    </row>
    <row r="3167" spans="1:1" s="173" customFormat="1" ht="12" hidden="1" customHeight="1">
      <c r="A3167" s="172"/>
    </row>
    <row r="3168" spans="1:1" s="173" customFormat="1" ht="12" hidden="1" customHeight="1">
      <c r="A3168" s="172"/>
    </row>
    <row r="3169" spans="1:1" s="173" customFormat="1" ht="12" hidden="1" customHeight="1">
      <c r="A3169" s="172"/>
    </row>
    <row r="3170" spans="1:1" s="173" customFormat="1" ht="12" hidden="1" customHeight="1">
      <c r="A3170" s="172"/>
    </row>
    <row r="3171" spans="1:1" s="173" customFormat="1" ht="12" hidden="1" customHeight="1">
      <c r="A3171" s="172"/>
    </row>
    <row r="3172" spans="1:1" s="173" customFormat="1" ht="12" hidden="1" customHeight="1">
      <c r="A3172" s="172"/>
    </row>
    <row r="3173" spans="1:1" s="173" customFormat="1" ht="12" hidden="1" customHeight="1">
      <c r="A3173" s="172"/>
    </row>
    <row r="3174" spans="1:1" s="173" customFormat="1" ht="12" hidden="1" customHeight="1">
      <c r="A3174" s="172"/>
    </row>
    <row r="3175" spans="1:1" s="173" customFormat="1" ht="12" hidden="1" customHeight="1">
      <c r="A3175" s="172"/>
    </row>
    <row r="3176" spans="1:1" s="173" customFormat="1" ht="12" hidden="1" customHeight="1">
      <c r="A3176" s="172"/>
    </row>
    <row r="3177" spans="1:1" s="173" customFormat="1" ht="12" hidden="1" customHeight="1">
      <c r="A3177" s="172"/>
    </row>
    <row r="3178" spans="1:1" s="173" customFormat="1" ht="12" hidden="1" customHeight="1">
      <c r="A3178" s="172"/>
    </row>
    <row r="3179" spans="1:1" s="173" customFormat="1" ht="12" hidden="1" customHeight="1">
      <c r="A3179" s="172"/>
    </row>
    <row r="3180" spans="1:1" s="173" customFormat="1" ht="12" hidden="1" customHeight="1">
      <c r="A3180" s="172"/>
    </row>
    <row r="3181" spans="1:1" s="173" customFormat="1" ht="12" hidden="1" customHeight="1">
      <c r="A3181" s="172"/>
    </row>
    <row r="3182" spans="1:1" s="173" customFormat="1" ht="12" hidden="1" customHeight="1">
      <c r="A3182" s="172"/>
    </row>
    <row r="3183" spans="1:1" s="173" customFormat="1" ht="12" hidden="1" customHeight="1">
      <c r="A3183" s="172"/>
    </row>
    <row r="3184" spans="1:1" s="173" customFormat="1" ht="12" hidden="1" customHeight="1">
      <c r="A3184" s="172"/>
    </row>
    <row r="3185" spans="1:1" s="173" customFormat="1" ht="12" hidden="1" customHeight="1">
      <c r="A3185" s="172"/>
    </row>
    <row r="3186" spans="1:1" s="173" customFormat="1" ht="12" hidden="1" customHeight="1">
      <c r="A3186" s="172"/>
    </row>
    <row r="3187" spans="1:1" s="173" customFormat="1" ht="12" hidden="1" customHeight="1">
      <c r="A3187" s="172"/>
    </row>
    <row r="3188" spans="1:1" s="173" customFormat="1" ht="12" hidden="1" customHeight="1">
      <c r="A3188" s="172"/>
    </row>
    <row r="3189" spans="1:1" s="173" customFormat="1" ht="12" hidden="1" customHeight="1">
      <c r="A3189" s="172"/>
    </row>
    <row r="3190" spans="1:1" s="173" customFormat="1" ht="12" hidden="1" customHeight="1">
      <c r="A3190" s="172"/>
    </row>
    <row r="3191" spans="1:1" s="173" customFormat="1" ht="12" hidden="1" customHeight="1">
      <c r="A3191" s="172"/>
    </row>
    <row r="3192" spans="1:1" s="173" customFormat="1" ht="12" hidden="1" customHeight="1">
      <c r="A3192" s="172"/>
    </row>
    <row r="3193" spans="1:1" s="173" customFormat="1" ht="12" hidden="1" customHeight="1">
      <c r="A3193" s="172"/>
    </row>
    <row r="3194" spans="1:1" s="173" customFormat="1" ht="12" hidden="1" customHeight="1">
      <c r="A3194" s="172"/>
    </row>
    <row r="3195" spans="1:1" s="173" customFormat="1" ht="12" hidden="1" customHeight="1">
      <c r="A3195" s="172"/>
    </row>
    <row r="3196" spans="1:1" s="173" customFormat="1" ht="12" hidden="1" customHeight="1">
      <c r="A3196" s="172"/>
    </row>
    <row r="3197" spans="1:1" s="173" customFormat="1" ht="12" hidden="1" customHeight="1">
      <c r="A3197" s="172"/>
    </row>
    <row r="3198" spans="1:1" s="173" customFormat="1" ht="12" hidden="1" customHeight="1">
      <c r="A3198" s="172"/>
    </row>
    <row r="3199" spans="1:1" s="173" customFormat="1" ht="12" hidden="1" customHeight="1">
      <c r="A3199" s="172"/>
    </row>
    <row r="3200" spans="1:1" s="173" customFormat="1" ht="12" hidden="1" customHeight="1">
      <c r="A3200" s="172"/>
    </row>
    <row r="3201" spans="1:1" s="173" customFormat="1" ht="12" hidden="1" customHeight="1">
      <c r="A3201" s="172"/>
    </row>
    <row r="3202" spans="1:1" s="173" customFormat="1" ht="12" hidden="1" customHeight="1">
      <c r="A3202" s="172"/>
    </row>
    <row r="3203" spans="1:1" s="173" customFormat="1" ht="12" hidden="1" customHeight="1">
      <c r="A3203" s="172"/>
    </row>
    <row r="3204" spans="1:1" s="173" customFormat="1" ht="12" hidden="1" customHeight="1">
      <c r="A3204" s="172"/>
    </row>
    <row r="3205" spans="1:1" s="173" customFormat="1" ht="12" hidden="1" customHeight="1">
      <c r="A3205" s="172"/>
    </row>
    <row r="3206" spans="1:1" s="173" customFormat="1" ht="12" hidden="1" customHeight="1">
      <c r="A3206" s="172"/>
    </row>
    <row r="3207" spans="1:1" s="173" customFormat="1" ht="12" hidden="1" customHeight="1">
      <c r="A3207" s="172"/>
    </row>
    <row r="3208" spans="1:1" s="173" customFormat="1" ht="12" hidden="1" customHeight="1">
      <c r="A3208" s="172"/>
    </row>
    <row r="3209" spans="1:1" s="173" customFormat="1" ht="12" hidden="1" customHeight="1">
      <c r="A3209" s="172"/>
    </row>
    <row r="3210" spans="1:1" s="173" customFormat="1" ht="12" hidden="1" customHeight="1">
      <c r="A3210" s="172"/>
    </row>
    <row r="3211" spans="1:1" s="173" customFormat="1" ht="12" hidden="1" customHeight="1">
      <c r="A3211" s="172"/>
    </row>
    <row r="3212" spans="1:1" s="173" customFormat="1" ht="12" hidden="1" customHeight="1">
      <c r="A3212" s="172"/>
    </row>
    <row r="3213" spans="1:1" s="173" customFormat="1" ht="12" hidden="1" customHeight="1">
      <c r="A3213" s="172"/>
    </row>
    <row r="3214" spans="1:1" s="173" customFormat="1" ht="12" hidden="1" customHeight="1">
      <c r="A3214" s="172"/>
    </row>
    <row r="3215" spans="1:1" s="173" customFormat="1" ht="12" hidden="1" customHeight="1">
      <c r="A3215" s="172"/>
    </row>
    <row r="3216" spans="1:1" s="173" customFormat="1" ht="12" hidden="1" customHeight="1">
      <c r="A3216" s="172"/>
    </row>
    <row r="3217" spans="1:1" s="173" customFormat="1" ht="12" hidden="1" customHeight="1">
      <c r="A3217" s="172"/>
    </row>
    <row r="3218" spans="1:1" s="173" customFormat="1" ht="12" hidden="1" customHeight="1">
      <c r="A3218" s="172"/>
    </row>
    <row r="3219" spans="1:1" s="173" customFormat="1" ht="12" hidden="1" customHeight="1">
      <c r="A3219" s="172"/>
    </row>
    <row r="3220" spans="1:1" s="173" customFormat="1" ht="12" hidden="1" customHeight="1">
      <c r="A3220" s="172"/>
    </row>
    <row r="3221" spans="1:1" s="173" customFormat="1" ht="12" hidden="1" customHeight="1">
      <c r="A3221" s="172"/>
    </row>
    <row r="3222" spans="1:1" s="173" customFormat="1" ht="12" hidden="1" customHeight="1">
      <c r="A3222" s="172"/>
    </row>
    <row r="3223" spans="1:1" s="173" customFormat="1" ht="12" hidden="1" customHeight="1">
      <c r="A3223" s="172"/>
    </row>
    <row r="3224" spans="1:1" s="173" customFormat="1" ht="12" hidden="1" customHeight="1">
      <c r="A3224" s="172"/>
    </row>
    <row r="3225" spans="1:1" s="173" customFormat="1" ht="12" hidden="1" customHeight="1">
      <c r="A3225" s="172"/>
    </row>
    <row r="3226" spans="1:1" s="173" customFormat="1" ht="12" hidden="1" customHeight="1">
      <c r="A3226" s="172"/>
    </row>
    <row r="3227" spans="1:1" s="173" customFormat="1" ht="12" hidden="1" customHeight="1">
      <c r="A3227" s="172"/>
    </row>
    <row r="3228" spans="1:1" s="173" customFormat="1" ht="12" hidden="1" customHeight="1">
      <c r="A3228" s="172"/>
    </row>
    <row r="3229" spans="1:1" s="173" customFormat="1" ht="12" hidden="1" customHeight="1">
      <c r="A3229" s="172"/>
    </row>
    <row r="3230" spans="1:1" s="173" customFormat="1" ht="12" hidden="1" customHeight="1">
      <c r="A3230" s="172"/>
    </row>
    <row r="3231" spans="1:1" s="173" customFormat="1" ht="12" hidden="1" customHeight="1">
      <c r="A3231" s="172"/>
    </row>
    <row r="3232" spans="1:1" s="173" customFormat="1" ht="12" hidden="1" customHeight="1">
      <c r="A3232" s="172"/>
    </row>
    <row r="3233" spans="1:1" s="173" customFormat="1" ht="12" hidden="1" customHeight="1">
      <c r="A3233" s="172"/>
    </row>
    <row r="3234" spans="1:1" s="173" customFormat="1" ht="12" hidden="1" customHeight="1">
      <c r="A3234" s="172"/>
    </row>
    <row r="3235" spans="1:1" s="173" customFormat="1" ht="12" hidden="1" customHeight="1">
      <c r="A3235" s="172"/>
    </row>
    <row r="3236" spans="1:1" s="173" customFormat="1" ht="12" hidden="1" customHeight="1">
      <c r="A3236" s="172"/>
    </row>
    <row r="3237" spans="1:1" s="173" customFormat="1" ht="12" hidden="1" customHeight="1">
      <c r="A3237" s="172"/>
    </row>
    <row r="3238" spans="1:1" s="173" customFormat="1" ht="12" hidden="1" customHeight="1">
      <c r="A3238" s="172"/>
    </row>
    <row r="3239" spans="1:1" s="173" customFormat="1" ht="12" hidden="1" customHeight="1">
      <c r="A3239" s="172"/>
    </row>
    <row r="3240" spans="1:1" s="173" customFormat="1" ht="12" hidden="1" customHeight="1">
      <c r="A3240" s="172"/>
    </row>
    <row r="3241" spans="1:1" s="173" customFormat="1" ht="12" hidden="1" customHeight="1">
      <c r="A3241" s="172"/>
    </row>
    <row r="3242" spans="1:1" s="173" customFormat="1" ht="12" hidden="1" customHeight="1">
      <c r="A3242" s="172"/>
    </row>
    <row r="3243" spans="1:1" s="173" customFormat="1" ht="12" hidden="1" customHeight="1">
      <c r="A3243" s="172"/>
    </row>
    <row r="3244" spans="1:1" s="173" customFormat="1" ht="12" hidden="1" customHeight="1">
      <c r="A3244" s="172"/>
    </row>
    <row r="3245" spans="1:1" s="173" customFormat="1" ht="12" hidden="1" customHeight="1">
      <c r="A3245" s="172"/>
    </row>
    <row r="3246" spans="1:1" s="173" customFormat="1" ht="12" hidden="1" customHeight="1">
      <c r="A3246" s="172"/>
    </row>
    <row r="3247" spans="1:1" s="173" customFormat="1" ht="12" hidden="1" customHeight="1">
      <c r="A3247" s="172"/>
    </row>
    <row r="3248" spans="1:1" s="173" customFormat="1" ht="12" hidden="1" customHeight="1">
      <c r="A3248" s="172"/>
    </row>
    <row r="3249" spans="1:1" s="173" customFormat="1" ht="12" hidden="1" customHeight="1">
      <c r="A3249" s="172"/>
    </row>
    <row r="3250" spans="1:1" s="173" customFormat="1" ht="12" hidden="1" customHeight="1">
      <c r="A3250" s="172"/>
    </row>
    <row r="3251" spans="1:1" s="173" customFormat="1" ht="12" hidden="1" customHeight="1">
      <c r="A3251" s="172"/>
    </row>
    <row r="3252" spans="1:1" s="173" customFormat="1" ht="12" hidden="1" customHeight="1">
      <c r="A3252" s="172"/>
    </row>
    <row r="3253" spans="1:1" s="173" customFormat="1" ht="12" hidden="1" customHeight="1">
      <c r="A3253" s="172"/>
    </row>
    <row r="3254" spans="1:1" s="173" customFormat="1" ht="12" hidden="1" customHeight="1">
      <c r="A3254" s="172"/>
    </row>
    <row r="3255" spans="1:1" s="173" customFormat="1" ht="12" hidden="1" customHeight="1">
      <c r="A3255" s="172"/>
    </row>
    <row r="3256" spans="1:1" s="173" customFormat="1" ht="12" hidden="1" customHeight="1">
      <c r="A3256" s="172"/>
    </row>
    <row r="3257" spans="1:1" s="173" customFormat="1" ht="12" hidden="1" customHeight="1">
      <c r="A3257" s="172"/>
    </row>
    <row r="3258" spans="1:1" s="173" customFormat="1" ht="12" hidden="1" customHeight="1">
      <c r="A3258" s="172"/>
    </row>
    <row r="3259" spans="1:1" s="173" customFormat="1" ht="12" hidden="1" customHeight="1">
      <c r="A3259" s="172"/>
    </row>
    <row r="3260" spans="1:1" s="173" customFormat="1" ht="12" hidden="1" customHeight="1">
      <c r="A3260" s="172"/>
    </row>
    <row r="3261" spans="1:1" s="173" customFormat="1" ht="12" hidden="1" customHeight="1">
      <c r="A3261" s="172"/>
    </row>
    <row r="3262" spans="1:1" s="173" customFormat="1" ht="12" hidden="1" customHeight="1">
      <c r="A3262" s="172"/>
    </row>
    <row r="3263" spans="1:1" s="173" customFormat="1" ht="12" hidden="1" customHeight="1">
      <c r="A3263" s="172"/>
    </row>
    <row r="3264" spans="1:1" s="173" customFormat="1" ht="12" hidden="1" customHeight="1">
      <c r="A3264" s="172"/>
    </row>
    <row r="3265" spans="1:1" s="173" customFormat="1" ht="12" hidden="1" customHeight="1">
      <c r="A3265" s="172"/>
    </row>
    <row r="3266" spans="1:1" s="173" customFormat="1" ht="12" hidden="1" customHeight="1">
      <c r="A3266" s="172"/>
    </row>
    <row r="3267" spans="1:1" s="173" customFormat="1" ht="12" hidden="1" customHeight="1">
      <c r="A3267" s="172"/>
    </row>
    <row r="3268" spans="1:1" s="173" customFormat="1" ht="12" hidden="1" customHeight="1">
      <c r="A3268" s="172"/>
    </row>
    <row r="3269" spans="1:1" s="173" customFormat="1" ht="12" hidden="1" customHeight="1">
      <c r="A3269" s="172"/>
    </row>
    <row r="3270" spans="1:1" s="173" customFormat="1" ht="12" hidden="1" customHeight="1">
      <c r="A3270" s="172"/>
    </row>
    <row r="3271" spans="1:1" s="173" customFormat="1" ht="12" hidden="1" customHeight="1">
      <c r="A3271" s="172"/>
    </row>
    <row r="3272" spans="1:1" s="173" customFormat="1" ht="12" hidden="1" customHeight="1">
      <c r="A3272" s="172"/>
    </row>
    <row r="3273" spans="1:1" s="173" customFormat="1" ht="12" hidden="1" customHeight="1">
      <c r="A3273" s="172"/>
    </row>
    <row r="3274" spans="1:1" s="173" customFormat="1" ht="12" hidden="1" customHeight="1">
      <c r="A3274" s="172"/>
    </row>
    <row r="3275" spans="1:1" s="173" customFormat="1" ht="12" hidden="1" customHeight="1">
      <c r="A3275" s="172"/>
    </row>
    <row r="3276" spans="1:1" s="173" customFormat="1" ht="12" hidden="1" customHeight="1">
      <c r="A3276" s="172"/>
    </row>
    <row r="3277" spans="1:1" s="173" customFormat="1" ht="12" hidden="1" customHeight="1">
      <c r="A3277" s="172"/>
    </row>
    <row r="3278" spans="1:1" s="173" customFormat="1" ht="12" hidden="1" customHeight="1">
      <c r="A3278" s="172"/>
    </row>
    <row r="3279" spans="1:1" s="173" customFormat="1" ht="12" hidden="1" customHeight="1">
      <c r="A3279" s="172"/>
    </row>
    <row r="3280" spans="1:1" s="173" customFormat="1" ht="12" hidden="1" customHeight="1">
      <c r="A3280" s="172"/>
    </row>
    <row r="3281" spans="1:1" s="173" customFormat="1" ht="12" hidden="1" customHeight="1">
      <c r="A3281" s="172"/>
    </row>
    <row r="3282" spans="1:1" s="173" customFormat="1" ht="12" hidden="1" customHeight="1">
      <c r="A3282" s="172"/>
    </row>
    <row r="3283" spans="1:1" s="173" customFormat="1" ht="12" hidden="1" customHeight="1">
      <c r="A3283" s="172"/>
    </row>
    <row r="3284" spans="1:1" s="173" customFormat="1" ht="12" hidden="1" customHeight="1">
      <c r="A3284" s="172"/>
    </row>
    <row r="3285" spans="1:1" s="173" customFormat="1" ht="12" hidden="1" customHeight="1">
      <c r="A3285" s="172"/>
    </row>
    <row r="3286" spans="1:1" s="173" customFormat="1" ht="12" hidden="1" customHeight="1">
      <c r="A3286" s="172"/>
    </row>
    <row r="3287" spans="1:1" s="173" customFormat="1" ht="12" hidden="1" customHeight="1">
      <c r="A3287" s="172"/>
    </row>
    <row r="3288" spans="1:1" s="173" customFormat="1" ht="12" hidden="1" customHeight="1">
      <c r="A3288" s="172"/>
    </row>
    <row r="3289" spans="1:1" s="173" customFormat="1" ht="12" hidden="1" customHeight="1">
      <c r="A3289" s="172"/>
    </row>
    <row r="3290" spans="1:1" s="173" customFormat="1" ht="12" hidden="1" customHeight="1">
      <c r="A3290" s="172"/>
    </row>
    <row r="3291" spans="1:1" s="173" customFormat="1" ht="12" hidden="1" customHeight="1">
      <c r="A3291" s="172"/>
    </row>
    <row r="3292" spans="1:1" s="173" customFormat="1" ht="12" hidden="1" customHeight="1">
      <c r="A3292" s="172"/>
    </row>
    <row r="3293" spans="1:1" s="173" customFormat="1" ht="12" hidden="1" customHeight="1">
      <c r="A3293" s="172"/>
    </row>
    <row r="3294" spans="1:1" s="173" customFormat="1" ht="12" hidden="1" customHeight="1">
      <c r="A3294" s="172"/>
    </row>
    <row r="3295" spans="1:1" s="173" customFormat="1" ht="12" hidden="1" customHeight="1">
      <c r="A3295" s="172"/>
    </row>
    <row r="3296" spans="1:1" s="173" customFormat="1" ht="12" hidden="1" customHeight="1">
      <c r="A3296" s="172"/>
    </row>
    <row r="3297" spans="1:1" s="173" customFormat="1" ht="12" hidden="1" customHeight="1">
      <c r="A3297" s="172"/>
    </row>
    <row r="3298" spans="1:1" s="173" customFormat="1" ht="12" hidden="1" customHeight="1">
      <c r="A3298" s="172"/>
    </row>
    <row r="3299" spans="1:1" s="173" customFormat="1" ht="12" hidden="1" customHeight="1">
      <c r="A3299" s="172"/>
    </row>
    <row r="3300" spans="1:1" s="173" customFormat="1" ht="12" hidden="1" customHeight="1">
      <c r="A3300" s="172"/>
    </row>
    <row r="3301" spans="1:1" s="173" customFormat="1" ht="12" hidden="1" customHeight="1">
      <c r="A3301" s="172"/>
    </row>
    <row r="3302" spans="1:1" s="173" customFormat="1" ht="12" hidden="1" customHeight="1">
      <c r="A3302" s="172"/>
    </row>
    <row r="3303" spans="1:1" s="173" customFormat="1" ht="12" hidden="1" customHeight="1">
      <c r="A3303" s="172"/>
    </row>
    <row r="3304" spans="1:1" s="173" customFormat="1" ht="12" hidden="1" customHeight="1">
      <c r="A3304" s="172"/>
    </row>
    <row r="3305" spans="1:1" s="173" customFormat="1" ht="12" hidden="1" customHeight="1">
      <c r="A3305" s="172"/>
    </row>
    <row r="3306" spans="1:1" s="173" customFormat="1" ht="12" hidden="1" customHeight="1">
      <c r="A3306" s="172"/>
    </row>
    <row r="3307" spans="1:1" s="173" customFormat="1" ht="12" hidden="1" customHeight="1">
      <c r="A3307" s="172"/>
    </row>
    <row r="3308" spans="1:1" s="173" customFormat="1" ht="12" hidden="1" customHeight="1">
      <c r="A3308" s="172"/>
    </row>
    <row r="3309" spans="1:1" s="173" customFormat="1" ht="12" hidden="1" customHeight="1">
      <c r="A3309" s="172"/>
    </row>
    <row r="3310" spans="1:1" s="173" customFormat="1" ht="12" hidden="1" customHeight="1">
      <c r="A3310" s="172"/>
    </row>
    <row r="3311" spans="1:1" s="173" customFormat="1" ht="12" hidden="1" customHeight="1">
      <c r="A3311" s="172"/>
    </row>
    <row r="3312" spans="1:1" s="173" customFormat="1" ht="12" hidden="1" customHeight="1">
      <c r="A3312" s="172"/>
    </row>
    <row r="3313" spans="1:1" s="173" customFormat="1" ht="12" hidden="1" customHeight="1">
      <c r="A3313" s="172"/>
    </row>
    <row r="3314" spans="1:1" s="173" customFormat="1" ht="12" hidden="1" customHeight="1">
      <c r="A3314" s="172"/>
    </row>
    <row r="3315" spans="1:1" s="173" customFormat="1" ht="12" hidden="1" customHeight="1">
      <c r="A3315" s="172"/>
    </row>
    <row r="3316" spans="1:1" s="173" customFormat="1" ht="12" hidden="1" customHeight="1">
      <c r="A3316" s="172"/>
    </row>
    <row r="3317" spans="1:1" s="173" customFormat="1" ht="12" hidden="1" customHeight="1">
      <c r="A3317" s="172"/>
    </row>
    <row r="3318" spans="1:1" s="173" customFormat="1" ht="12" hidden="1" customHeight="1">
      <c r="A3318" s="172"/>
    </row>
    <row r="3319" spans="1:1" s="173" customFormat="1" ht="12" hidden="1" customHeight="1">
      <c r="A3319" s="172"/>
    </row>
    <row r="3320" spans="1:1" s="173" customFormat="1" ht="12" hidden="1" customHeight="1">
      <c r="A3320" s="172"/>
    </row>
    <row r="3321" spans="1:1" s="173" customFormat="1" ht="12" hidden="1" customHeight="1">
      <c r="A3321" s="172"/>
    </row>
    <row r="3322" spans="1:1" s="173" customFormat="1" ht="12" hidden="1" customHeight="1">
      <c r="A3322" s="172"/>
    </row>
    <row r="3323" spans="1:1" s="173" customFormat="1" ht="12" hidden="1" customHeight="1">
      <c r="A3323" s="172"/>
    </row>
    <row r="3324" spans="1:1" s="173" customFormat="1" ht="12" hidden="1" customHeight="1">
      <c r="A3324" s="172"/>
    </row>
    <row r="3325" spans="1:1" s="173" customFormat="1" ht="12" hidden="1" customHeight="1">
      <c r="A3325" s="172"/>
    </row>
    <row r="3326" spans="1:1" s="173" customFormat="1" ht="12" hidden="1" customHeight="1">
      <c r="A3326" s="172"/>
    </row>
    <row r="3327" spans="1:1" s="173" customFormat="1" ht="12" hidden="1" customHeight="1">
      <c r="A3327" s="172"/>
    </row>
    <row r="3328" spans="1:1" s="173" customFormat="1" ht="12" hidden="1" customHeight="1">
      <c r="A3328" s="172"/>
    </row>
    <row r="3329" spans="1:1" s="173" customFormat="1" ht="12" hidden="1" customHeight="1">
      <c r="A3329" s="172"/>
    </row>
    <row r="3330" spans="1:1" s="173" customFormat="1" ht="12" hidden="1" customHeight="1">
      <c r="A3330" s="172"/>
    </row>
    <row r="3331" spans="1:1" s="173" customFormat="1" ht="12" hidden="1" customHeight="1">
      <c r="A3331" s="172"/>
    </row>
    <row r="3332" spans="1:1" s="173" customFormat="1" ht="12" hidden="1" customHeight="1">
      <c r="A3332" s="172"/>
    </row>
    <row r="3333" spans="1:1" s="173" customFormat="1" ht="12" hidden="1" customHeight="1">
      <c r="A3333" s="172"/>
    </row>
    <row r="3334" spans="1:1" s="173" customFormat="1" ht="12" hidden="1" customHeight="1">
      <c r="A3334" s="172"/>
    </row>
    <row r="3335" spans="1:1" s="173" customFormat="1" ht="12" hidden="1" customHeight="1">
      <c r="A3335" s="172"/>
    </row>
    <row r="3336" spans="1:1" s="173" customFormat="1" ht="12" hidden="1" customHeight="1">
      <c r="A3336" s="172"/>
    </row>
    <row r="3337" spans="1:1" s="173" customFormat="1" ht="12" hidden="1" customHeight="1">
      <c r="A3337" s="172"/>
    </row>
    <row r="3338" spans="1:1" s="173" customFormat="1" ht="12" hidden="1" customHeight="1">
      <c r="A3338" s="172"/>
    </row>
    <row r="3339" spans="1:1" s="173" customFormat="1" ht="12" hidden="1" customHeight="1">
      <c r="A3339" s="172"/>
    </row>
    <row r="3340" spans="1:1" s="173" customFormat="1" ht="12" hidden="1" customHeight="1">
      <c r="A3340" s="172"/>
    </row>
    <row r="3341" spans="1:1" s="173" customFormat="1" ht="12" hidden="1" customHeight="1">
      <c r="A3341" s="172"/>
    </row>
    <row r="3342" spans="1:1" s="173" customFormat="1" ht="12" hidden="1" customHeight="1">
      <c r="A3342" s="172"/>
    </row>
    <row r="3343" spans="1:1" s="173" customFormat="1" ht="12" hidden="1" customHeight="1">
      <c r="A3343" s="172"/>
    </row>
    <row r="3344" spans="1:1" s="173" customFormat="1" ht="12" hidden="1" customHeight="1">
      <c r="A3344" s="172"/>
    </row>
    <row r="3345" spans="1:1" s="173" customFormat="1" ht="12" hidden="1" customHeight="1">
      <c r="A3345" s="172"/>
    </row>
    <row r="3346" spans="1:1" s="173" customFormat="1" ht="12" hidden="1" customHeight="1">
      <c r="A3346" s="172"/>
    </row>
    <row r="3347" spans="1:1" s="173" customFormat="1" ht="12" hidden="1" customHeight="1">
      <c r="A3347" s="172"/>
    </row>
    <row r="3348" spans="1:1" s="173" customFormat="1" ht="12" hidden="1" customHeight="1">
      <c r="A3348" s="172"/>
    </row>
    <row r="3349" spans="1:1" s="173" customFormat="1" ht="12" hidden="1" customHeight="1">
      <c r="A3349" s="172"/>
    </row>
    <row r="3350" spans="1:1" s="173" customFormat="1" ht="12" hidden="1" customHeight="1">
      <c r="A3350" s="172"/>
    </row>
    <row r="3351" spans="1:1" s="173" customFormat="1" ht="12" hidden="1" customHeight="1">
      <c r="A3351" s="172"/>
    </row>
    <row r="3352" spans="1:1" s="173" customFormat="1" ht="12" hidden="1" customHeight="1">
      <c r="A3352" s="172"/>
    </row>
    <row r="3353" spans="1:1" s="173" customFormat="1" ht="12" hidden="1" customHeight="1">
      <c r="A3353" s="172"/>
    </row>
    <row r="3354" spans="1:1" s="173" customFormat="1" ht="12" hidden="1" customHeight="1">
      <c r="A3354" s="172"/>
    </row>
    <row r="3355" spans="1:1" s="173" customFormat="1" ht="12" hidden="1" customHeight="1">
      <c r="A3355" s="172"/>
    </row>
    <row r="3356" spans="1:1" s="173" customFormat="1" ht="12" hidden="1" customHeight="1">
      <c r="A3356" s="172"/>
    </row>
    <row r="3357" spans="1:1" s="173" customFormat="1" ht="12" hidden="1" customHeight="1">
      <c r="A3357" s="172"/>
    </row>
    <row r="3358" spans="1:1" s="173" customFormat="1" ht="12" hidden="1" customHeight="1">
      <c r="A3358" s="172"/>
    </row>
    <row r="3359" spans="1:1" s="173" customFormat="1" ht="12" hidden="1" customHeight="1">
      <c r="A3359" s="172"/>
    </row>
    <row r="3360" spans="1:1" s="173" customFormat="1" ht="12" hidden="1" customHeight="1">
      <c r="A3360" s="172"/>
    </row>
    <row r="3361" spans="1:1" s="173" customFormat="1" ht="12" hidden="1" customHeight="1">
      <c r="A3361" s="172"/>
    </row>
    <row r="3362" spans="1:1" s="173" customFormat="1" ht="12" hidden="1" customHeight="1">
      <c r="A3362" s="172"/>
    </row>
    <row r="3363" spans="1:1" s="173" customFormat="1" ht="12" hidden="1" customHeight="1">
      <c r="A3363" s="172"/>
    </row>
    <row r="3364" spans="1:1" s="173" customFormat="1" ht="12" hidden="1" customHeight="1">
      <c r="A3364" s="172"/>
    </row>
    <row r="3365" spans="1:1" s="173" customFormat="1" ht="12" hidden="1" customHeight="1">
      <c r="A3365" s="172"/>
    </row>
    <row r="3366" spans="1:1" s="173" customFormat="1" ht="12" hidden="1" customHeight="1">
      <c r="A3366" s="172"/>
    </row>
    <row r="3367" spans="1:1" s="173" customFormat="1" ht="12" hidden="1" customHeight="1">
      <c r="A3367" s="172"/>
    </row>
    <row r="3368" spans="1:1" s="173" customFormat="1" ht="12" hidden="1" customHeight="1">
      <c r="A3368" s="172"/>
    </row>
    <row r="3369" spans="1:1" s="173" customFormat="1" ht="12" hidden="1" customHeight="1">
      <c r="A3369" s="172"/>
    </row>
    <row r="3370" spans="1:1" s="173" customFormat="1" ht="12" hidden="1" customHeight="1">
      <c r="A3370" s="172"/>
    </row>
    <row r="3371" spans="1:1" s="173" customFormat="1" ht="12" hidden="1" customHeight="1">
      <c r="A3371" s="172"/>
    </row>
    <row r="3372" spans="1:1" s="173" customFormat="1" ht="12" hidden="1" customHeight="1">
      <c r="A3372" s="172"/>
    </row>
    <row r="3373" spans="1:1" s="173" customFormat="1" ht="12" hidden="1" customHeight="1">
      <c r="A3373" s="172"/>
    </row>
    <row r="3374" spans="1:1" s="173" customFormat="1" ht="12" hidden="1" customHeight="1">
      <c r="A3374" s="172"/>
    </row>
    <row r="3375" spans="1:1" s="173" customFormat="1" ht="12" hidden="1" customHeight="1">
      <c r="A3375" s="172"/>
    </row>
    <row r="3376" spans="1:1" s="173" customFormat="1" ht="12" hidden="1" customHeight="1">
      <c r="A3376" s="172"/>
    </row>
    <row r="3377" spans="1:1" s="173" customFormat="1" ht="12" hidden="1" customHeight="1">
      <c r="A3377" s="172"/>
    </row>
    <row r="3378" spans="1:1" s="173" customFormat="1" ht="12" hidden="1" customHeight="1">
      <c r="A3378" s="172"/>
    </row>
    <row r="3379" spans="1:1" s="173" customFormat="1" ht="12" hidden="1" customHeight="1">
      <c r="A3379" s="172"/>
    </row>
    <row r="3380" spans="1:1" s="173" customFormat="1" ht="12" hidden="1" customHeight="1">
      <c r="A3380" s="172"/>
    </row>
    <row r="3381" spans="1:1" s="173" customFormat="1" ht="12" hidden="1" customHeight="1">
      <c r="A3381" s="172"/>
    </row>
    <row r="3382" spans="1:1" s="173" customFormat="1" ht="12" hidden="1" customHeight="1">
      <c r="A3382" s="172"/>
    </row>
    <row r="3383" spans="1:1" s="173" customFormat="1" ht="12" hidden="1" customHeight="1">
      <c r="A3383" s="172"/>
    </row>
    <row r="3384" spans="1:1" s="173" customFormat="1" ht="12" hidden="1" customHeight="1">
      <c r="A3384" s="172"/>
    </row>
    <row r="3385" spans="1:1" s="173" customFormat="1" ht="12" hidden="1" customHeight="1">
      <c r="A3385" s="172"/>
    </row>
    <row r="3386" spans="1:1" s="173" customFormat="1" ht="12" hidden="1" customHeight="1">
      <c r="A3386" s="172"/>
    </row>
    <row r="3387" spans="1:1" s="173" customFormat="1" ht="12" hidden="1" customHeight="1">
      <c r="A3387" s="172"/>
    </row>
    <row r="3388" spans="1:1" s="173" customFormat="1" ht="12" hidden="1" customHeight="1">
      <c r="A3388" s="172"/>
    </row>
    <row r="3389" spans="1:1" s="173" customFormat="1" ht="12" hidden="1" customHeight="1">
      <c r="A3389" s="172"/>
    </row>
    <row r="3390" spans="1:1" s="173" customFormat="1" ht="12" hidden="1" customHeight="1">
      <c r="A3390" s="172"/>
    </row>
    <row r="3391" spans="1:1" s="173" customFormat="1" ht="12" hidden="1" customHeight="1">
      <c r="A3391" s="172"/>
    </row>
    <row r="3392" spans="1:1" s="173" customFormat="1" ht="12" hidden="1" customHeight="1">
      <c r="A3392" s="172"/>
    </row>
    <row r="3393" spans="1:1" s="173" customFormat="1" ht="12" hidden="1" customHeight="1">
      <c r="A3393" s="172"/>
    </row>
    <row r="3394" spans="1:1" s="173" customFormat="1" ht="12" hidden="1" customHeight="1">
      <c r="A3394" s="172"/>
    </row>
    <row r="3395" spans="1:1" s="173" customFormat="1" ht="12" hidden="1" customHeight="1">
      <c r="A3395" s="172"/>
    </row>
    <row r="3396" spans="1:1" s="173" customFormat="1" ht="12" hidden="1" customHeight="1">
      <c r="A3396" s="172"/>
    </row>
    <row r="3397" spans="1:1" s="173" customFormat="1" ht="12" hidden="1" customHeight="1">
      <c r="A3397" s="172"/>
    </row>
    <row r="3398" spans="1:1" s="173" customFormat="1" ht="12" hidden="1" customHeight="1">
      <c r="A3398" s="172"/>
    </row>
    <row r="3399" spans="1:1" s="173" customFormat="1" ht="12" hidden="1" customHeight="1">
      <c r="A3399" s="172"/>
    </row>
    <row r="3400" spans="1:1" s="173" customFormat="1" ht="12" hidden="1" customHeight="1">
      <c r="A3400" s="172"/>
    </row>
    <row r="3401" spans="1:1" s="173" customFormat="1" ht="12" hidden="1" customHeight="1">
      <c r="A3401" s="172"/>
    </row>
    <row r="3402" spans="1:1" s="173" customFormat="1" ht="12" hidden="1" customHeight="1">
      <c r="A3402" s="172"/>
    </row>
    <row r="3403" spans="1:1" s="173" customFormat="1" ht="12" hidden="1" customHeight="1">
      <c r="A3403" s="172"/>
    </row>
    <row r="3404" spans="1:1" s="173" customFormat="1" ht="12" hidden="1" customHeight="1">
      <c r="A3404" s="172"/>
    </row>
    <row r="3405" spans="1:1" s="173" customFormat="1" ht="12" hidden="1" customHeight="1">
      <c r="A3405" s="172"/>
    </row>
    <row r="3406" spans="1:1" s="173" customFormat="1" ht="12" hidden="1" customHeight="1">
      <c r="A3406" s="172"/>
    </row>
    <row r="3407" spans="1:1" s="173" customFormat="1" ht="12" hidden="1" customHeight="1">
      <c r="A3407" s="172"/>
    </row>
    <row r="3408" spans="1:1" s="173" customFormat="1" ht="12" hidden="1" customHeight="1">
      <c r="A3408" s="172"/>
    </row>
    <row r="3409" spans="1:1" s="173" customFormat="1" ht="12" hidden="1" customHeight="1">
      <c r="A3409" s="172"/>
    </row>
    <row r="3410" spans="1:1" s="173" customFormat="1" ht="12" hidden="1" customHeight="1">
      <c r="A3410" s="172"/>
    </row>
    <row r="3411" spans="1:1" s="173" customFormat="1" ht="12" hidden="1" customHeight="1">
      <c r="A3411" s="172"/>
    </row>
    <row r="3412" spans="1:1" s="173" customFormat="1" ht="12" hidden="1" customHeight="1">
      <c r="A3412" s="172"/>
    </row>
    <row r="3413" spans="1:1" s="173" customFormat="1" ht="12" hidden="1" customHeight="1">
      <c r="A3413" s="172"/>
    </row>
    <row r="3414" spans="1:1" s="173" customFormat="1" ht="12" hidden="1" customHeight="1">
      <c r="A3414" s="172"/>
    </row>
    <row r="3415" spans="1:1" s="173" customFormat="1" ht="12" hidden="1" customHeight="1">
      <c r="A3415" s="172"/>
    </row>
    <row r="3416" spans="1:1" s="173" customFormat="1" ht="12" hidden="1" customHeight="1">
      <c r="A3416" s="172"/>
    </row>
    <row r="3417" spans="1:1" s="173" customFormat="1" ht="12" hidden="1" customHeight="1">
      <c r="A3417" s="172"/>
    </row>
    <row r="3418" spans="1:1" s="173" customFormat="1" ht="12" hidden="1" customHeight="1">
      <c r="A3418" s="172"/>
    </row>
    <row r="3419" spans="1:1" s="173" customFormat="1" ht="12" hidden="1" customHeight="1">
      <c r="A3419" s="172"/>
    </row>
    <row r="3420" spans="1:1" s="173" customFormat="1" ht="12" hidden="1" customHeight="1">
      <c r="A3420" s="172"/>
    </row>
    <row r="3421" spans="1:1" s="173" customFormat="1" ht="12" hidden="1" customHeight="1">
      <c r="A3421" s="172"/>
    </row>
    <row r="3422" spans="1:1" s="173" customFormat="1" ht="12" hidden="1" customHeight="1">
      <c r="A3422" s="172"/>
    </row>
    <row r="3423" spans="1:1" s="173" customFormat="1" ht="12" hidden="1" customHeight="1">
      <c r="A3423" s="172"/>
    </row>
    <row r="3424" spans="1:1" s="173" customFormat="1" ht="12" hidden="1" customHeight="1">
      <c r="A3424" s="172"/>
    </row>
    <row r="3425" spans="1:1" s="173" customFormat="1" ht="12" hidden="1" customHeight="1">
      <c r="A3425" s="172"/>
    </row>
    <row r="3426" spans="1:1" s="173" customFormat="1" ht="12" hidden="1" customHeight="1">
      <c r="A3426" s="172"/>
    </row>
    <row r="3427" spans="1:1" s="173" customFormat="1" ht="12" hidden="1" customHeight="1">
      <c r="A3427" s="172"/>
    </row>
    <row r="3428" spans="1:1" s="173" customFormat="1" ht="12" hidden="1" customHeight="1">
      <c r="A3428" s="172"/>
    </row>
    <row r="3429" spans="1:1" s="173" customFormat="1" ht="12" hidden="1" customHeight="1">
      <c r="A3429" s="172"/>
    </row>
    <row r="3430" spans="1:1" s="173" customFormat="1" ht="12" hidden="1" customHeight="1">
      <c r="A3430" s="172"/>
    </row>
    <row r="3431" spans="1:1" s="173" customFormat="1" ht="12" hidden="1" customHeight="1">
      <c r="A3431" s="172"/>
    </row>
    <row r="3432" spans="1:1" s="173" customFormat="1" ht="12" hidden="1" customHeight="1">
      <c r="A3432" s="172"/>
    </row>
    <row r="3433" spans="1:1" s="173" customFormat="1" ht="12" hidden="1" customHeight="1">
      <c r="A3433" s="172"/>
    </row>
    <row r="3434" spans="1:1" s="173" customFormat="1" ht="12" hidden="1" customHeight="1">
      <c r="A3434" s="172"/>
    </row>
    <row r="3435" spans="1:1" s="173" customFormat="1" ht="12" hidden="1" customHeight="1">
      <c r="A3435" s="172"/>
    </row>
    <row r="3436" spans="1:1" s="173" customFormat="1" ht="12" hidden="1" customHeight="1">
      <c r="A3436" s="172"/>
    </row>
    <row r="3437" spans="1:1" s="173" customFormat="1" ht="12" hidden="1" customHeight="1">
      <c r="A3437" s="172"/>
    </row>
    <row r="3438" spans="1:1" s="173" customFormat="1" ht="12" hidden="1" customHeight="1">
      <c r="A3438" s="172"/>
    </row>
    <row r="3439" spans="1:1" s="173" customFormat="1" ht="12" hidden="1" customHeight="1">
      <c r="A3439" s="172"/>
    </row>
    <row r="3440" spans="1:1" s="173" customFormat="1" ht="12" hidden="1" customHeight="1">
      <c r="A3440" s="172"/>
    </row>
    <row r="3441" spans="1:1" s="173" customFormat="1" ht="12" hidden="1" customHeight="1">
      <c r="A3441" s="172"/>
    </row>
    <row r="3442" spans="1:1" s="173" customFormat="1" ht="12" hidden="1" customHeight="1">
      <c r="A3442" s="172"/>
    </row>
    <row r="3443" spans="1:1" s="173" customFormat="1" ht="12" hidden="1" customHeight="1">
      <c r="A3443" s="172"/>
    </row>
    <row r="3444" spans="1:1" s="173" customFormat="1" ht="12" hidden="1" customHeight="1">
      <c r="A3444" s="172"/>
    </row>
    <row r="3445" spans="1:1" s="173" customFormat="1" ht="12" hidden="1" customHeight="1">
      <c r="A3445" s="172"/>
    </row>
    <row r="3446" spans="1:1" s="173" customFormat="1" ht="12" hidden="1" customHeight="1">
      <c r="A3446" s="172"/>
    </row>
    <row r="3447" spans="1:1" s="173" customFormat="1" ht="12" hidden="1" customHeight="1">
      <c r="A3447" s="172"/>
    </row>
    <row r="3448" spans="1:1" s="173" customFormat="1" ht="12" hidden="1" customHeight="1">
      <c r="A3448" s="172"/>
    </row>
    <row r="3449" spans="1:1" s="173" customFormat="1" ht="12" hidden="1" customHeight="1">
      <c r="A3449" s="172"/>
    </row>
    <row r="3450" spans="1:1" s="173" customFormat="1" ht="12" hidden="1" customHeight="1">
      <c r="A3450" s="172"/>
    </row>
    <row r="3451" spans="1:1" s="173" customFormat="1" ht="12" hidden="1" customHeight="1">
      <c r="A3451" s="172"/>
    </row>
    <row r="3452" spans="1:1" s="173" customFormat="1" ht="12" hidden="1" customHeight="1">
      <c r="A3452" s="172"/>
    </row>
    <row r="3453" spans="1:1" s="173" customFormat="1" ht="12" hidden="1" customHeight="1">
      <c r="A3453" s="172"/>
    </row>
    <row r="3454" spans="1:1" s="173" customFormat="1" ht="12" hidden="1" customHeight="1">
      <c r="A3454" s="172"/>
    </row>
    <row r="3455" spans="1:1" s="173" customFormat="1" ht="12" hidden="1" customHeight="1">
      <c r="A3455" s="172"/>
    </row>
    <row r="3456" spans="1:1" s="173" customFormat="1" ht="12" hidden="1" customHeight="1">
      <c r="A3456" s="172"/>
    </row>
    <row r="3457" spans="1:1" s="173" customFormat="1" ht="12" hidden="1" customHeight="1">
      <c r="A3457" s="172"/>
    </row>
    <row r="3458" spans="1:1" s="173" customFormat="1" ht="12" hidden="1" customHeight="1">
      <c r="A3458" s="172"/>
    </row>
    <row r="3459" spans="1:1" s="173" customFormat="1" ht="12" hidden="1" customHeight="1">
      <c r="A3459" s="172"/>
    </row>
    <row r="3460" spans="1:1" s="173" customFormat="1" ht="12" hidden="1" customHeight="1">
      <c r="A3460" s="172"/>
    </row>
    <row r="3461" spans="1:1" s="173" customFormat="1" ht="12" hidden="1" customHeight="1">
      <c r="A3461" s="172"/>
    </row>
    <row r="3462" spans="1:1" s="173" customFormat="1" ht="12" hidden="1" customHeight="1">
      <c r="A3462" s="172"/>
    </row>
    <row r="3463" spans="1:1" s="173" customFormat="1" ht="12" hidden="1" customHeight="1">
      <c r="A3463" s="172"/>
    </row>
    <row r="3464" spans="1:1" s="173" customFormat="1" ht="12" hidden="1" customHeight="1">
      <c r="A3464" s="172"/>
    </row>
    <row r="3465" spans="1:1" s="173" customFormat="1" ht="12" hidden="1" customHeight="1">
      <c r="A3465" s="172"/>
    </row>
    <row r="3466" spans="1:1" s="173" customFormat="1" ht="12" hidden="1" customHeight="1">
      <c r="A3466" s="172"/>
    </row>
    <row r="3467" spans="1:1" s="173" customFormat="1" ht="12" hidden="1" customHeight="1">
      <c r="A3467" s="172"/>
    </row>
    <row r="3468" spans="1:1" s="173" customFormat="1" ht="12" hidden="1" customHeight="1">
      <c r="A3468" s="172"/>
    </row>
    <row r="3469" spans="1:1" s="173" customFormat="1" ht="12" hidden="1" customHeight="1">
      <c r="A3469" s="172"/>
    </row>
    <row r="3470" spans="1:1" s="173" customFormat="1" ht="12" hidden="1" customHeight="1">
      <c r="A3470" s="172"/>
    </row>
    <row r="3471" spans="1:1" s="173" customFormat="1" ht="12" hidden="1" customHeight="1">
      <c r="A3471" s="172"/>
    </row>
    <row r="3472" spans="1:1" s="173" customFormat="1" ht="12" hidden="1" customHeight="1">
      <c r="A3472" s="172"/>
    </row>
    <row r="3473" spans="1:1" s="173" customFormat="1" ht="12" hidden="1" customHeight="1">
      <c r="A3473" s="172"/>
    </row>
    <row r="3474" spans="1:1" s="173" customFormat="1" ht="12" hidden="1" customHeight="1">
      <c r="A3474" s="172"/>
    </row>
    <row r="3475" spans="1:1" s="173" customFormat="1" ht="12" hidden="1" customHeight="1">
      <c r="A3475" s="172"/>
    </row>
    <row r="3476" spans="1:1" s="173" customFormat="1" ht="12" hidden="1" customHeight="1">
      <c r="A3476" s="172"/>
    </row>
    <row r="3477" spans="1:1" s="173" customFormat="1" ht="12" hidden="1" customHeight="1">
      <c r="A3477" s="172"/>
    </row>
    <row r="3478" spans="1:1" s="173" customFormat="1" ht="12" hidden="1" customHeight="1">
      <c r="A3478" s="172"/>
    </row>
    <row r="3479" spans="1:1" s="173" customFormat="1" ht="12" hidden="1" customHeight="1">
      <c r="A3479" s="172"/>
    </row>
    <row r="3480" spans="1:1" s="173" customFormat="1" ht="12" hidden="1" customHeight="1">
      <c r="A3480" s="172"/>
    </row>
    <row r="3481" spans="1:1" s="173" customFormat="1" ht="12" hidden="1" customHeight="1">
      <c r="A3481" s="172"/>
    </row>
    <row r="3482" spans="1:1" s="173" customFormat="1" ht="12" hidden="1" customHeight="1">
      <c r="A3482" s="172"/>
    </row>
    <row r="3483" spans="1:1" s="173" customFormat="1" ht="12" hidden="1" customHeight="1">
      <c r="A3483" s="172"/>
    </row>
    <row r="3484" spans="1:1" s="173" customFormat="1" ht="12" hidden="1" customHeight="1">
      <c r="A3484" s="172"/>
    </row>
    <row r="3485" spans="1:1" s="173" customFormat="1" ht="12" hidden="1" customHeight="1">
      <c r="A3485" s="172"/>
    </row>
    <row r="3486" spans="1:1" s="173" customFormat="1" ht="12" hidden="1" customHeight="1">
      <c r="A3486" s="172"/>
    </row>
    <row r="3487" spans="1:1" s="173" customFormat="1" ht="12" hidden="1" customHeight="1">
      <c r="A3487" s="172"/>
    </row>
    <row r="3488" spans="1:1" s="173" customFormat="1" ht="12" hidden="1" customHeight="1">
      <c r="A3488" s="172"/>
    </row>
    <row r="3489" spans="1:1" s="173" customFormat="1" ht="12" hidden="1" customHeight="1">
      <c r="A3489" s="172"/>
    </row>
    <row r="3490" spans="1:1" s="173" customFormat="1" ht="12" hidden="1" customHeight="1">
      <c r="A3490" s="172"/>
    </row>
    <row r="3491" spans="1:1" s="173" customFormat="1" ht="12" hidden="1" customHeight="1">
      <c r="A3491" s="172"/>
    </row>
    <row r="3492" spans="1:1" s="173" customFormat="1" ht="12" hidden="1" customHeight="1">
      <c r="A3492" s="172"/>
    </row>
    <row r="3493" spans="1:1" s="173" customFormat="1" ht="12" hidden="1" customHeight="1">
      <c r="A3493" s="172"/>
    </row>
    <row r="3494" spans="1:1" s="173" customFormat="1" ht="12" hidden="1" customHeight="1">
      <c r="A3494" s="172"/>
    </row>
    <row r="3495" spans="1:1" s="173" customFormat="1" ht="12" hidden="1" customHeight="1">
      <c r="A3495" s="172"/>
    </row>
    <row r="3496" spans="1:1" s="173" customFormat="1" ht="12" hidden="1" customHeight="1">
      <c r="A3496" s="172"/>
    </row>
    <row r="3497" spans="1:1" s="173" customFormat="1" ht="12" hidden="1" customHeight="1">
      <c r="A3497" s="172"/>
    </row>
    <row r="3498" spans="1:1" s="173" customFormat="1" ht="12" hidden="1" customHeight="1">
      <c r="A3498" s="172"/>
    </row>
    <row r="3499" spans="1:1" s="173" customFormat="1" ht="12" hidden="1" customHeight="1">
      <c r="A3499" s="172"/>
    </row>
    <row r="3500" spans="1:1" s="173" customFormat="1" ht="12" hidden="1" customHeight="1">
      <c r="A3500" s="172"/>
    </row>
    <row r="3501" spans="1:1" s="173" customFormat="1" ht="12" hidden="1" customHeight="1">
      <c r="A3501" s="172"/>
    </row>
    <row r="3502" spans="1:1" s="173" customFormat="1" ht="12" hidden="1" customHeight="1">
      <c r="A3502" s="172"/>
    </row>
    <row r="3503" spans="1:1" s="173" customFormat="1" ht="12" hidden="1" customHeight="1">
      <c r="A3503" s="172"/>
    </row>
    <row r="3504" spans="1:1" s="173" customFormat="1" ht="12" hidden="1" customHeight="1">
      <c r="A3504" s="172"/>
    </row>
    <row r="3505" spans="1:1" s="173" customFormat="1" ht="12" hidden="1" customHeight="1">
      <c r="A3505" s="172"/>
    </row>
    <row r="3506" spans="1:1" s="173" customFormat="1" ht="12" hidden="1" customHeight="1">
      <c r="A3506" s="172"/>
    </row>
    <row r="3507" spans="1:1" s="173" customFormat="1" ht="12" hidden="1" customHeight="1">
      <c r="A3507" s="172"/>
    </row>
    <row r="3508" spans="1:1" s="173" customFormat="1" ht="12" hidden="1" customHeight="1">
      <c r="A3508" s="172"/>
    </row>
    <row r="3509" spans="1:1" s="173" customFormat="1" ht="12" hidden="1" customHeight="1">
      <c r="A3509" s="172"/>
    </row>
    <row r="3510" spans="1:1" s="173" customFormat="1" ht="12" hidden="1" customHeight="1">
      <c r="A3510" s="172"/>
    </row>
    <row r="3511" spans="1:1" s="173" customFormat="1" ht="12" hidden="1" customHeight="1">
      <c r="A3511" s="172"/>
    </row>
    <row r="3512" spans="1:1" s="173" customFormat="1" ht="12" hidden="1" customHeight="1">
      <c r="A3512" s="172"/>
    </row>
    <row r="3513" spans="1:1" s="173" customFormat="1" ht="12" hidden="1" customHeight="1">
      <c r="A3513" s="172"/>
    </row>
    <row r="3514" spans="1:1" s="173" customFormat="1" ht="12" hidden="1" customHeight="1">
      <c r="A3514" s="172"/>
    </row>
    <row r="3515" spans="1:1" s="173" customFormat="1" ht="12" hidden="1" customHeight="1">
      <c r="A3515" s="172"/>
    </row>
    <row r="3516" spans="1:1" s="173" customFormat="1" ht="12" hidden="1" customHeight="1">
      <c r="A3516" s="172"/>
    </row>
    <row r="3517" spans="1:1" s="173" customFormat="1" ht="12" hidden="1" customHeight="1">
      <c r="A3517" s="172"/>
    </row>
    <row r="3518" spans="1:1" s="173" customFormat="1" ht="12" hidden="1" customHeight="1">
      <c r="A3518" s="172"/>
    </row>
    <row r="3519" spans="1:1" s="173" customFormat="1" ht="12" hidden="1" customHeight="1">
      <c r="A3519" s="172"/>
    </row>
    <row r="3520" spans="1:1" s="173" customFormat="1" ht="12" hidden="1" customHeight="1">
      <c r="A3520" s="172"/>
    </row>
    <row r="3521" spans="1:1" s="173" customFormat="1" ht="12" hidden="1" customHeight="1">
      <c r="A3521" s="172"/>
    </row>
    <row r="3522" spans="1:1" s="173" customFormat="1" ht="12" hidden="1" customHeight="1">
      <c r="A3522" s="172"/>
    </row>
    <row r="3523" spans="1:1" s="173" customFormat="1" ht="12" hidden="1" customHeight="1">
      <c r="A3523" s="172"/>
    </row>
    <row r="3524" spans="1:1" s="173" customFormat="1" ht="12" hidden="1" customHeight="1">
      <c r="A3524" s="172"/>
    </row>
    <row r="3525" spans="1:1" s="173" customFormat="1" ht="12" hidden="1" customHeight="1">
      <c r="A3525" s="172"/>
    </row>
    <row r="3526" spans="1:1" s="173" customFormat="1" ht="12" hidden="1" customHeight="1">
      <c r="A3526" s="172"/>
    </row>
    <row r="3527" spans="1:1" s="173" customFormat="1" ht="12" hidden="1" customHeight="1">
      <c r="A3527" s="172"/>
    </row>
    <row r="3528" spans="1:1" s="173" customFormat="1" ht="12" hidden="1" customHeight="1">
      <c r="A3528" s="172"/>
    </row>
    <row r="3529" spans="1:1" s="173" customFormat="1" ht="12" hidden="1" customHeight="1">
      <c r="A3529" s="172"/>
    </row>
    <row r="3530" spans="1:1" s="173" customFormat="1" ht="12" hidden="1" customHeight="1">
      <c r="A3530" s="172"/>
    </row>
    <row r="3531" spans="1:1" s="173" customFormat="1" ht="12" hidden="1" customHeight="1">
      <c r="A3531" s="172"/>
    </row>
    <row r="3532" spans="1:1" s="173" customFormat="1" ht="12" hidden="1" customHeight="1">
      <c r="A3532" s="172"/>
    </row>
    <row r="3533" spans="1:1" s="173" customFormat="1" ht="12" hidden="1" customHeight="1">
      <c r="A3533" s="172"/>
    </row>
    <row r="3534" spans="1:1" s="173" customFormat="1" ht="12" hidden="1" customHeight="1">
      <c r="A3534" s="172"/>
    </row>
    <row r="3535" spans="1:1" s="173" customFormat="1" ht="12" hidden="1" customHeight="1">
      <c r="A3535" s="172"/>
    </row>
    <row r="3536" spans="1:1" s="173" customFormat="1" ht="12" hidden="1" customHeight="1">
      <c r="A3536" s="172"/>
    </row>
    <row r="3537" spans="1:1" s="173" customFormat="1" ht="12" hidden="1" customHeight="1">
      <c r="A3537" s="172"/>
    </row>
    <row r="3538" spans="1:1" s="173" customFormat="1" ht="12" hidden="1" customHeight="1">
      <c r="A3538" s="172"/>
    </row>
    <row r="3539" spans="1:1" s="173" customFormat="1" ht="12" hidden="1" customHeight="1">
      <c r="A3539" s="172"/>
    </row>
    <row r="3540" spans="1:1" s="173" customFormat="1" ht="12" hidden="1" customHeight="1">
      <c r="A3540" s="172"/>
    </row>
    <row r="3541" spans="1:1" s="173" customFormat="1" ht="12" hidden="1" customHeight="1">
      <c r="A3541" s="172"/>
    </row>
    <row r="3542" spans="1:1" s="173" customFormat="1" ht="12" hidden="1" customHeight="1">
      <c r="A3542" s="172"/>
    </row>
    <row r="3543" spans="1:1" s="173" customFormat="1" ht="12" hidden="1" customHeight="1">
      <c r="A3543" s="172"/>
    </row>
    <row r="3544" spans="1:1" s="173" customFormat="1" ht="12" hidden="1" customHeight="1">
      <c r="A3544" s="172"/>
    </row>
    <row r="3545" spans="1:1" s="173" customFormat="1" ht="12" hidden="1" customHeight="1">
      <c r="A3545" s="172"/>
    </row>
    <row r="3546" spans="1:1" s="173" customFormat="1" ht="12" hidden="1" customHeight="1">
      <c r="A3546" s="172"/>
    </row>
    <row r="3547" spans="1:1" s="173" customFormat="1" ht="12" hidden="1" customHeight="1">
      <c r="A3547" s="172"/>
    </row>
    <row r="3548" spans="1:1" s="173" customFormat="1" ht="12" hidden="1" customHeight="1">
      <c r="A3548" s="172"/>
    </row>
    <row r="3549" spans="1:1" s="173" customFormat="1" ht="12" hidden="1" customHeight="1">
      <c r="A3549" s="172"/>
    </row>
    <row r="3550" spans="1:1" s="173" customFormat="1" ht="12" hidden="1" customHeight="1">
      <c r="A3550" s="172"/>
    </row>
    <row r="3551" spans="1:1" s="173" customFormat="1" ht="12" hidden="1" customHeight="1">
      <c r="A3551" s="172"/>
    </row>
    <row r="3552" spans="1:1" s="173" customFormat="1" ht="12" hidden="1" customHeight="1">
      <c r="A3552" s="172"/>
    </row>
    <row r="3553" spans="1:1" s="173" customFormat="1" ht="12" hidden="1" customHeight="1">
      <c r="A3553" s="172"/>
    </row>
    <row r="3554" spans="1:1" s="173" customFormat="1" ht="12" hidden="1" customHeight="1">
      <c r="A3554" s="172"/>
    </row>
    <row r="3555" spans="1:1" s="173" customFormat="1" ht="12" hidden="1" customHeight="1">
      <c r="A3555" s="172"/>
    </row>
    <row r="3556" spans="1:1" s="173" customFormat="1" ht="12" hidden="1" customHeight="1">
      <c r="A3556" s="172"/>
    </row>
    <row r="3557" spans="1:1" s="173" customFormat="1" ht="12" hidden="1" customHeight="1">
      <c r="A3557" s="172"/>
    </row>
    <row r="3558" spans="1:1" s="173" customFormat="1" ht="12" hidden="1" customHeight="1">
      <c r="A3558" s="172"/>
    </row>
    <row r="3559" spans="1:1" s="173" customFormat="1" ht="12" hidden="1" customHeight="1">
      <c r="A3559" s="172"/>
    </row>
    <row r="3560" spans="1:1" s="173" customFormat="1" ht="12" hidden="1" customHeight="1">
      <c r="A3560" s="172"/>
    </row>
    <row r="3561" spans="1:1" s="173" customFormat="1" ht="12" hidden="1" customHeight="1">
      <c r="A3561" s="172"/>
    </row>
    <row r="3562" spans="1:1" s="173" customFormat="1" ht="12" hidden="1" customHeight="1">
      <c r="A3562" s="172"/>
    </row>
    <row r="3563" spans="1:1" s="173" customFormat="1" ht="12" hidden="1" customHeight="1">
      <c r="A3563" s="172"/>
    </row>
    <row r="3564" spans="1:1" s="173" customFormat="1" ht="12" hidden="1" customHeight="1">
      <c r="A3564" s="172"/>
    </row>
    <row r="3565" spans="1:1" s="173" customFormat="1" ht="12" hidden="1" customHeight="1">
      <c r="A3565" s="172"/>
    </row>
    <row r="3566" spans="1:1" s="173" customFormat="1" ht="12" hidden="1" customHeight="1">
      <c r="A3566" s="172"/>
    </row>
    <row r="3567" spans="1:1" s="173" customFormat="1" ht="12" hidden="1" customHeight="1">
      <c r="A3567" s="172"/>
    </row>
    <row r="3568" spans="1:1" s="173" customFormat="1" ht="12" hidden="1" customHeight="1">
      <c r="A3568" s="172"/>
    </row>
    <row r="3569" spans="1:1" s="173" customFormat="1" ht="12" hidden="1" customHeight="1">
      <c r="A3569" s="172"/>
    </row>
    <row r="3570" spans="1:1" s="173" customFormat="1" ht="12" hidden="1" customHeight="1">
      <c r="A3570" s="172"/>
    </row>
    <row r="3571" spans="1:1" s="173" customFormat="1" ht="12" hidden="1" customHeight="1">
      <c r="A3571" s="172"/>
    </row>
    <row r="3572" spans="1:1" s="173" customFormat="1" ht="12" hidden="1" customHeight="1">
      <c r="A3572" s="172"/>
    </row>
    <row r="3573" spans="1:1" s="173" customFormat="1" ht="12" hidden="1" customHeight="1">
      <c r="A3573" s="172"/>
    </row>
    <row r="3574" spans="1:1" s="173" customFormat="1" ht="12" hidden="1" customHeight="1">
      <c r="A3574" s="172"/>
    </row>
    <row r="3575" spans="1:1" s="173" customFormat="1" ht="12" hidden="1" customHeight="1">
      <c r="A3575" s="172"/>
    </row>
    <row r="3576" spans="1:1" s="173" customFormat="1" ht="12" hidden="1" customHeight="1">
      <c r="A3576" s="172"/>
    </row>
    <row r="3577" spans="1:1" s="173" customFormat="1" ht="12" hidden="1" customHeight="1">
      <c r="A3577" s="172"/>
    </row>
    <row r="3578" spans="1:1" s="173" customFormat="1" ht="12" hidden="1" customHeight="1">
      <c r="A3578" s="172"/>
    </row>
    <row r="3579" spans="1:1" s="173" customFormat="1" ht="12" hidden="1" customHeight="1">
      <c r="A3579" s="172"/>
    </row>
    <row r="3580" spans="1:1" s="173" customFormat="1" ht="12" hidden="1" customHeight="1">
      <c r="A3580" s="172"/>
    </row>
    <row r="3581" spans="1:1" s="173" customFormat="1" ht="12" hidden="1" customHeight="1">
      <c r="A3581" s="172"/>
    </row>
    <row r="3582" spans="1:1" s="173" customFormat="1" ht="12" hidden="1" customHeight="1">
      <c r="A3582" s="172"/>
    </row>
    <row r="3583" spans="1:1" s="173" customFormat="1" ht="12" hidden="1" customHeight="1">
      <c r="A3583" s="172"/>
    </row>
    <row r="3584" spans="1:1" s="173" customFormat="1" ht="12" hidden="1" customHeight="1">
      <c r="A3584" s="172"/>
    </row>
    <row r="3585" spans="1:1" s="173" customFormat="1" ht="12" hidden="1" customHeight="1">
      <c r="A3585" s="172"/>
    </row>
    <row r="3586" spans="1:1" s="173" customFormat="1" ht="12" hidden="1" customHeight="1">
      <c r="A3586" s="172"/>
    </row>
    <row r="3587" spans="1:1" s="173" customFormat="1" ht="12" hidden="1" customHeight="1">
      <c r="A3587" s="172"/>
    </row>
    <row r="3588" spans="1:1" s="173" customFormat="1" ht="12" hidden="1" customHeight="1">
      <c r="A3588" s="172"/>
    </row>
    <row r="3589" spans="1:1" s="173" customFormat="1" ht="12" hidden="1" customHeight="1">
      <c r="A3589" s="172"/>
    </row>
    <row r="3590" spans="1:1" s="173" customFormat="1" ht="12" hidden="1" customHeight="1">
      <c r="A3590" s="172"/>
    </row>
    <row r="3591" spans="1:1" s="173" customFormat="1" ht="12" hidden="1" customHeight="1">
      <c r="A3591" s="172"/>
    </row>
    <row r="3592" spans="1:1" s="173" customFormat="1" ht="12" hidden="1" customHeight="1">
      <c r="A3592" s="172"/>
    </row>
    <row r="3593" spans="1:1" s="173" customFormat="1" ht="12" hidden="1" customHeight="1">
      <c r="A3593" s="172"/>
    </row>
    <row r="3594" spans="1:1" s="173" customFormat="1" ht="12" hidden="1" customHeight="1">
      <c r="A3594" s="172"/>
    </row>
    <row r="3595" spans="1:1" s="173" customFormat="1" ht="12" hidden="1" customHeight="1">
      <c r="A3595" s="172"/>
    </row>
    <row r="3596" spans="1:1" s="173" customFormat="1" ht="12" hidden="1" customHeight="1">
      <c r="A3596" s="172"/>
    </row>
    <row r="3597" spans="1:1" s="173" customFormat="1" ht="12" hidden="1" customHeight="1">
      <c r="A3597" s="172"/>
    </row>
    <row r="3598" spans="1:1" s="173" customFormat="1" ht="12" hidden="1" customHeight="1">
      <c r="A3598" s="172"/>
    </row>
    <row r="3599" spans="1:1" s="173" customFormat="1" ht="12" hidden="1" customHeight="1">
      <c r="A3599" s="172"/>
    </row>
    <row r="3600" spans="1:1" s="173" customFormat="1" ht="12" hidden="1" customHeight="1">
      <c r="A3600" s="172"/>
    </row>
    <row r="3601" spans="1:1" s="173" customFormat="1" ht="12" hidden="1" customHeight="1">
      <c r="A3601" s="172"/>
    </row>
    <row r="3602" spans="1:1" s="173" customFormat="1" ht="12" hidden="1" customHeight="1">
      <c r="A3602" s="172"/>
    </row>
    <row r="3603" spans="1:1" s="173" customFormat="1" ht="12" hidden="1" customHeight="1">
      <c r="A3603" s="172"/>
    </row>
    <row r="3604" spans="1:1" s="173" customFormat="1" ht="12" hidden="1" customHeight="1">
      <c r="A3604" s="172"/>
    </row>
    <row r="3605" spans="1:1" s="173" customFormat="1" ht="12" hidden="1" customHeight="1">
      <c r="A3605" s="172"/>
    </row>
    <row r="3606" spans="1:1" s="173" customFormat="1" ht="12" hidden="1" customHeight="1">
      <c r="A3606" s="172"/>
    </row>
    <row r="3607" spans="1:1" s="173" customFormat="1" ht="12" hidden="1" customHeight="1">
      <c r="A3607" s="172"/>
    </row>
    <row r="3608" spans="1:1" s="173" customFormat="1" ht="12" hidden="1" customHeight="1">
      <c r="A3608" s="172"/>
    </row>
    <row r="3609" spans="1:1" s="173" customFormat="1" ht="12" hidden="1" customHeight="1">
      <c r="A3609" s="172"/>
    </row>
    <row r="3610" spans="1:1" s="173" customFormat="1" ht="12" hidden="1" customHeight="1">
      <c r="A3610" s="172"/>
    </row>
    <row r="3611" spans="1:1" s="173" customFormat="1" ht="12" hidden="1" customHeight="1">
      <c r="A3611" s="172"/>
    </row>
    <row r="3612" spans="1:1" s="173" customFormat="1" ht="12" hidden="1" customHeight="1">
      <c r="A3612" s="172"/>
    </row>
    <row r="3613" spans="1:1" s="173" customFormat="1" ht="12" hidden="1" customHeight="1">
      <c r="A3613" s="172"/>
    </row>
    <row r="3614" spans="1:1" s="173" customFormat="1" ht="12" hidden="1" customHeight="1">
      <c r="A3614" s="172"/>
    </row>
    <row r="3615" spans="1:1" s="173" customFormat="1" ht="12" hidden="1" customHeight="1">
      <c r="A3615" s="172"/>
    </row>
    <row r="3616" spans="1:1" s="173" customFormat="1" ht="12" hidden="1" customHeight="1">
      <c r="A3616" s="172"/>
    </row>
    <row r="3617" spans="1:1" s="173" customFormat="1" ht="12" hidden="1" customHeight="1">
      <c r="A3617" s="172"/>
    </row>
    <row r="3618" spans="1:1" s="173" customFormat="1" ht="12" hidden="1" customHeight="1">
      <c r="A3618" s="172"/>
    </row>
    <row r="3619" spans="1:1" s="173" customFormat="1" ht="12" hidden="1" customHeight="1">
      <c r="A3619" s="172"/>
    </row>
    <row r="3620" spans="1:1" s="173" customFormat="1" ht="12" hidden="1" customHeight="1">
      <c r="A3620" s="172"/>
    </row>
    <row r="3621" spans="1:1" s="173" customFormat="1" ht="12" hidden="1" customHeight="1">
      <c r="A3621" s="172"/>
    </row>
    <row r="3622" spans="1:1" s="173" customFormat="1" ht="12" hidden="1" customHeight="1">
      <c r="A3622" s="172"/>
    </row>
    <row r="3623" spans="1:1" s="173" customFormat="1" ht="12" hidden="1" customHeight="1">
      <c r="A3623" s="172"/>
    </row>
    <row r="3624" spans="1:1" s="173" customFormat="1" ht="12" hidden="1" customHeight="1">
      <c r="A3624" s="172"/>
    </row>
    <row r="3625" spans="1:1" s="173" customFormat="1" ht="12" hidden="1" customHeight="1">
      <c r="A3625" s="172"/>
    </row>
    <row r="3626" spans="1:1" s="173" customFormat="1" ht="12" hidden="1" customHeight="1">
      <c r="A3626" s="172"/>
    </row>
    <row r="3627" spans="1:1" s="173" customFormat="1" ht="12" hidden="1" customHeight="1">
      <c r="A3627" s="172"/>
    </row>
    <row r="3628" spans="1:1" s="173" customFormat="1" ht="12" hidden="1" customHeight="1">
      <c r="A3628" s="172"/>
    </row>
    <row r="3629" spans="1:1" s="173" customFormat="1" ht="12" hidden="1" customHeight="1">
      <c r="A3629" s="172"/>
    </row>
    <row r="3630" spans="1:1" s="173" customFormat="1" ht="12" hidden="1" customHeight="1">
      <c r="A3630" s="172"/>
    </row>
    <row r="3631" spans="1:1" s="173" customFormat="1" ht="12" hidden="1" customHeight="1">
      <c r="A3631" s="172"/>
    </row>
    <row r="3632" spans="1:1" s="173" customFormat="1" ht="12" hidden="1" customHeight="1">
      <c r="A3632" s="172"/>
    </row>
    <row r="3633" spans="1:1" s="173" customFormat="1" ht="12" hidden="1" customHeight="1">
      <c r="A3633" s="172"/>
    </row>
    <row r="3634" spans="1:1" s="173" customFormat="1" ht="12" hidden="1" customHeight="1">
      <c r="A3634" s="172"/>
    </row>
    <row r="3635" spans="1:1" s="173" customFormat="1" ht="12" hidden="1" customHeight="1">
      <c r="A3635" s="172"/>
    </row>
    <row r="3636" spans="1:1" s="173" customFormat="1" ht="12" hidden="1" customHeight="1">
      <c r="A3636" s="172"/>
    </row>
    <row r="3637" spans="1:1" s="173" customFormat="1" ht="12" hidden="1" customHeight="1">
      <c r="A3637" s="172"/>
    </row>
    <row r="3638" spans="1:1" s="173" customFormat="1" ht="12" hidden="1" customHeight="1">
      <c r="A3638" s="172"/>
    </row>
    <row r="3639" spans="1:1" s="173" customFormat="1" ht="12" hidden="1" customHeight="1">
      <c r="A3639" s="172"/>
    </row>
    <row r="3640" spans="1:1" s="173" customFormat="1" ht="12" hidden="1" customHeight="1">
      <c r="A3640" s="172"/>
    </row>
    <row r="3641" spans="1:1" s="173" customFormat="1" ht="12" hidden="1" customHeight="1">
      <c r="A3641" s="172"/>
    </row>
    <row r="3642" spans="1:1" s="173" customFormat="1" ht="12" hidden="1" customHeight="1">
      <c r="A3642" s="172"/>
    </row>
    <row r="3643" spans="1:1" s="173" customFormat="1" ht="12" hidden="1" customHeight="1">
      <c r="A3643" s="172"/>
    </row>
    <row r="3644" spans="1:1" s="173" customFormat="1" ht="12" hidden="1" customHeight="1">
      <c r="A3644" s="172"/>
    </row>
    <row r="3645" spans="1:1" s="173" customFormat="1" ht="12" hidden="1" customHeight="1">
      <c r="A3645" s="172"/>
    </row>
    <row r="3646" spans="1:1" s="173" customFormat="1" ht="12" hidden="1" customHeight="1">
      <c r="A3646" s="172"/>
    </row>
    <row r="3647" spans="1:1" s="173" customFormat="1" ht="12" hidden="1" customHeight="1">
      <c r="A3647" s="172"/>
    </row>
    <row r="3648" spans="1:1" s="173" customFormat="1" ht="12" hidden="1" customHeight="1">
      <c r="A3648" s="172"/>
    </row>
    <row r="3649" spans="1:1" s="173" customFormat="1" ht="12" hidden="1" customHeight="1">
      <c r="A3649" s="172"/>
    </row>
    <row r="3650" spans="1:1" s="173" customFormat="1" ht="12" hidden="1" customHeight="1">
      <c r="A3650" s="172"/>
    </row>
    <row r="3651" spans="1:1" s="173" customFormat="1" ht="12" hidden="1" customHeight="1">
      <c r="A3651" s="172"/>
    </row>
    <row r="3652" spans="1:1" s="173" customFormat="1" ht="12" hidden="1" customHeight="1">
      <c r="A3652" s="172"/>
    </row>
    <row r="3653" spans="1:1" s="173" customFormat="1" ht="12" hidden="1" customHeight="1">
      <c r="A3653" s="172"/>
    </row>
    <row r="3654" spans="1:1" s="173" customFormat="1" ht="12" hidden="1" customHeight="1">
      <c r="A3654" s="172"/>
    </row>
    <row r="3655" spans="1:1" s="173" customFormat="1" ht="12" hidden="1" customHeight="1">
      <c r="A3655" s="172"/>
    </row>
    <row r="3656" spans="1:1" s="173" customFormat="1" ht="12" hidden="1" customHeight="1">
      <c r="A3656" s="172"/>
    </row>
    <row r="3657" spans="1:1" s="173" customFormat="1" ht="12" hidden="1" customHeight="1">
      <c r="A3657" s="172"/>
    </row>
    <row r="3658" spans="1:1" s="173" customFormat="1" ht="12" hidden="1" customHeight="1">
      <c r="A3658" s="172"/>
    </row>
    <row r="3659" spans="1:1" s="173" customFormat="1" ht="12" hidden="1" customHeight="1">
      <c r="A3659" s="172"/>
    </row>
    <row r="3660" spans="1:1" s="173" customFormat="1" ht="12" hidden="1" customHeight="1">
      <c r="A3660" s="172"/>
    </row>
    <row r="3661" spans="1:1" s="173" customFormat="1" ht="12" hidden="1" customHeight="1">
      <c r="A3661" s="172"/>
    </row>
    <row r="3662" spans="1:1" s="173" customFormat="1" ht="12" hidden="1" customHeight="1">
      <c r="A3662" s="172"/>
    </row>
    <row r="3663" spans="1:1" s="173" customFormat="1" ht="12" hidden="1" customHeight="1">
      <c r="A3663" s="172"/>
    </row>
    <row r="3664" spans="1:1" s="173" customFormat="1" ht="12" hidden="1" customHeight="1">
      <c r="A3664" s="172"/>
    </row>
    <row r="3665" spans="1:1" s="173" customFormat="1" ht="12" hidden="1" customHeight="1">
      <c r="A3665" s="172"/>
    </row>
    <row r="3666" spans="1:1" s="173" customFormat="1" ht="12" hidden="1" customHeight="1">
      <c r="A3666" s="172"/>
    </row>
    <row r="3667" spans="1:1" s="173" customFormat="1" ht="12" hidden="1" customHeight="1">
      <c r="A3667" s="172"/>
    </row>
    <row r="3668" spans="1:1" s="173" customFormat="1" ht="12" hidden="1" customHeight="1">
      <c r="A3668" s="172"/>
    </row>
    <row r="3669" spans="1:1" s="173" customFormat="1" ht="12" hidden="1" customHeight="1">
      <c r="A3669" s="172"/>
    </row>
    <row r="3670" spans="1:1" s="173" customFormat="1" ht="12" hidden="1" customHeight="1">
      <c r="A3670" s="172"/>
    </row>
    <row r="3671" spans="1:1" s="173" customFormat="1" ht="12" hidden="1" customHeight="1">
      <c r="A3671" s="172"/>
    </row>
    <row r="3672" spans="1:1" s="173" customFormat="1" ht="12" hidden="1" customHeight="1">
      <c r="A3672" s="172"/>
    </row>
    <row r="3673" spans="1:1" s="173" customFormat="1" ht="12" hidden="1" customHeight="1">
      <c r="A3673" s="172"/>
    </row>
    <row r="3674" spans="1:1" s="173" customFormat="1" ht="12" hidden="1" customHeight="1">
      <c r="A3674" s="172"/>
    </row>
    <row r="3675" spans="1:1" s="173" customFormat="1" ht="12" hidden="1" customHeight="1">
      <c r="A3675" s="172"/>
    </row>
    <row r="3676" spans="1:1" s="173" customFormat="1" ht="12" hidden="1" customHeight="1">
      <c r="A3676" s="172"/>
    </row>
    <row r="3677" spans="1:1" s="173" customFormat="1" ht="12" hidden="1" customHeight="1">
      <c r="A3677" s="172"/>
    </row>
    <row r="3678" spans="1:1" s="173" customFormat="1" ht="12" hidden="1" customHeight="1">
      <c r="A3678" s="172"/>
    </row>
    <row r="3679" spans="1:1" s="173" customFormat="1" ht="12" hidden="1" customHeight="1">
      <c r="A3679" s="172"/>
    </row>
    <row r="3680" spans="1:1" s="173" customFormat="1" ht="12" hidden="1" customHeight="1">
      <c r="A3680" s="172"/>
    </row>
    <row r="3681" spans="1:1" s="173" customFormat="1" ht="12" hidden="1" customHeight="1">
      <c r="A3681" s="172"/>
    </row>
    <row r="3682" spans="1:1" s="173" customFormat="1" ht="12" hidden="1" customHeight="1">
      <c r="A3682" s="172"/>
    </row>
    <row r="3683" spans="1:1" s="173" customFormat="1" ht="12" hidden="1" customHeight="1">
      <c r="A3683" s="172"/>
    </row>
    <row r="3684" spans="1:1" s="173" customFormat="1" ht="12" hidden="1" customHeight="1">
      <c r="A3684" s="172"/>
    </row>
    <row r="3685" spans="1:1" s="173" customFormat="1" ht="12" hidden="1" customHeight="1">
      <c r="A3685" s="172"/>
    </row>
    <row r="3686" spans="1:1" s="173" customFormat="1" ht="12" hidden="1" customHeight="1">
      <c r="A3686" s="172"/>
    </row>
    <row r="3687" spans="1:1" s="173" customFormat="1" ht="12" hidden="1" customHeight="1">
      <c r="A3687" s="172"/>
    </row>
    <row r="3688" spans="1:1" s="173" customFormat="1" ht="12" hidden="1" customHeight="1">
      <c r="A3688" s="172"/>
    </row>
    <row r="3689" spans="1:1" s="173" customFormat="1" ht="12" hidden="1" customHeight="1">
      <c r="A3689" s="172"/>
    </row>
    <row r="3690" spans="1:1" s="173" customFormat="1" ht="12" hidden="1" customHeight="1">
      <c r="A3690" s="172"/>
    </row>
    <row r="3691" spans="1:1" s="173" customFormat="1" ht="12" hidden="1" customHeight="1">
      <c r="A3691" s="172"/>
    </row>
    <row r="3692" spans="1:1" s="173" customFormat="1" ht="12" hidden="1" customHeight="1">
      <c r="A3692" s="172"/>
    </row>
    <row r="3693" spans="1:1" s="173" customFormat="1" ht="12" hidden="1" customHeight="1">
      <c r="A3693" s="172"/>
    </row>
    <row r="3694" spans="1:1" s="173" customFormat="1" ht="12" hidden="1" customHeight="1">
      <c r="A3694" s="172"/>
    </row>
    <row r="3695" spans="1:1" s="173" customFormat="1" ht="12" hidden="1" customHeight="1">
      <c r="A3695" s="172"/>
    </row>
    <row r="3696" spans="1:1" s="173" customFormat="1" ht="12" hidden="1" customHeight="1">
      <c r="A3696" s="172"/>
    </row>
    <row r="3697" spans="1:1" s="173" customFormat="1" ht="12" hidden="1" customHeight="1">
      <c r="A3697" s="172"/>
    </row>
    <row r="3698" spans="1:1" s="173" customFormat="1" ht="12" hidden="1" customHeight="1">
      <c r="A3698" s="172"/>
    </row>
    <row r="3699" spans="1:1" s="173" customFormat="1" ht="12" hidden="1" customHeight="1">
      <c r="A3699" s="172"/>
    </row>
    <row r="3700" spans="1:1" s="173" customFormat="1" ht="12" hidden="1" customHeight="1">
      <c r="A3700" s="172"/>
    </row>
    <row r="3701" spans="1:1" s="173" customFormat="1" ht="12" hidden="1" customHeight="1">
      <c r="A3701" s="172"/>
    </row>
    <row r="3702" spans="1:1" s="173" customFormat="1" ht="12" hidden="1" customHeight="1">
      <c r="A3702" s="172"/>
    </row>
    <row r="3703" spans="1:1" s="173" customFormat="1" ht="12" hidden="1" customHeight="1">
      <c r="A3703" s="172"/>
    </row>
    <row r="3704" spans="1:1" s="173" customFormat="1" ht="12" hidden="1" customHeight="1">
      <c r="A3704" s="172"/>
    </row>
    <row r="3705" spans="1:1" s="173" customFormat="1" ht="12" hidden="1" customHeight="1">
      <c r="A3705" s="172"/>
    </row>
    <row r="3706" spans="1:1" s="173" customFormat="1" ht="12" hidden="1" customHeight="1">
      <c r="A3706" s="172"/>
    </row>
    <row r="3707" spans="1:1" s="173" customFormat="1" ht="12" hidden="1" customHeight="1">
      <c r="A3707" s="172"/>
    </row>
    <row r="3708" spans="1:1" s="173" customFormat="1" ht="12" hidden="1" customHeight="1">
      <c r="A3708" s="172"/>
    </row>
    <row r="3709" spans="1:1" s="173" customFormat="1" ht="12" hidden="1" customHeight="1">
      <c r="A3709" s="172"/>
    </row>
    <row r="3710" spans="1:1" s="173" customFormat="1" ht="12" hidden="1" customHeight="1">
      <c r="A3710" s="172"/>
    </row>
    <row r="3711" spans="1:1" s="173" customFormat="1" ht="12" hidden="1" customHeight="1">
      <c r="A3711" s="172"/>
    </row>
    <row r="3712" spans="1:1" s="173" customFormat="1" ht="12" hidden="1" customHeight="1">
      <c r="A3712" s="172"/>
    </row>
    <row r="3713" spans="1:1" s="173" customFormat="1" ht="12" hidden="1" customHeight="1">
      <c r="A3713" s="172"/>
    </row>
    <row r="3714" spans="1:1" s="173" customFormat="1" ht="12" hidden="1" customHeight="1">
      <c r="A3714" s="172"/>
    </row>
    <row r="3715" spans="1:1" s="173" customFormat="1" ht="12" hidden="1" customHeight="1">
      <c r="A3715" s="172"/>
    </row>
    <row r="3716" spans="1:1" s="173" customFormat="1" ht="12" hidden="1" customHeight="1">
      <c r="A3716" s="172"/>
    </row>
    <row r="3717" spans="1:1" s="173" customFormat="1" ht="12" hidden="1" customHeight="1">
      <c r="A3717" s="172"/>
    </row>
    <row r="3718" spans="1:1" s="173" customFormat="1" ht="12" hidden="1" customHeight="1">
      <c r="A3718" s="172"/>
    </row>
    <row r="3719" spans="1:1" s="173" customFormat="1" ht="12" hidden="1" customHeight="1">
      <c r="A3719" s="172"/>
    </row>
    <row r="3720" spans="1:1" s="173" customFormat="1" ht="12" hidden="1" customHeight="1">
      <c r="A3720" s="172"/>
    </row>
    <row r="3721" spans="1:1" s="173" customFormat="1" ht="12" hidden="1" customHeight="1">
      <c r="A3721" s="172"/>
    </row>
    <row r="3722" spans="1:1" s="173" customFormat="1" ht="12" hidden="1" customHeight="1">
      <c r="A3722" s="172"/>
    </row>
    <row r="3723" spans="1:1" s="173" customFormat="1" ht="12" hidden="1" customHeight="1">
      <c r="A3723" s="172"/>
    </row>
    <row r="3724" spans="1:1" s="173" customFormat="1" ht="12" hidden="1" customHeight="1">
      <c r="A3724" s="172"/>
    </row>
    <row r="3725" spans="1:1" s="173" customFormat="1" ht="12" hidden="1" customHeight="1">
      <c r="A3725" s="172"/>
    </row>
    <row r="3726" spans="1:1" s="173" customFormat="1" ht="12" hidden="1" customHeight="1">
      <c r="A3726" s="172"/>
    </row>
    <row r="3727" spans="1:1" s="173" customFormat="1" ht="12" hidden="1" customHeight="1">
      <c r="A3727" s="172"/>
    </row>
    <row r="3728" spans="1:1" s="173" customFormat="1" ht="12" hidden="1" customHeight="1">
      <c r="A3728" s="172"/>
    </row>
    <row r="3729" spans="1:1" s="173" customFormat="1" ht="12" hidden="1" customHeight="1">
      <c r="A3729" s="172"/>
    </row>
    <row r="3730" spans="1:1" s="173" customFormat="1" ht="12" hidden="1" customHeight="1">
      <c r="A3730" s="172"/>
    </row>
    <row r="3731" spans="1:1" s="173" customFormat="1" ht="12" hidden="1" customHeight="1">
      <c r="A3731" s="172"/>
    </row>
    <row r="3732" spans="1:1" s="173" customFormat="1" ht="12" hidden="1" customHeight="1">
      <c r="A3732" s="172"/>
    </row>
    <row r="3733" spans="1:1" s="173" customFormat="1" ht="12" hidden="1" customHeight="1">
      <c r="A3733" s="172"/>
    </row>
    <row r="3734" spans="1:1" s="173" customFormat="1" ht="12" hidden="1" customHeight="1">
      <c r="A3734" s="172"/>
    </row>
    <row r="3735" spans="1:1" s="173" customFormat="1" ht="12" hidden="1" customHeight="1">
      <c r="A3735" s="172"/>
    </row>
    <row r="3736" spans="1:1" s="173" customFormat="1" ht="12" hidden="1" customHeight="1">
      <c r="A3736" s="172"/>
    </row>
    <row r="3737" spans="1:1" s="173" customFormat="1" ht="12" hidden="1" customHeight="1">
      <c r="A3737" s="172"/>
    </row>
    <row r="3738" spans="1:1" s="173" customFormat="1" ht="12" hidden="1" customHeight="1">
      <c r="A3738" s="172"/>
    </row>
    <row r="3739" spans="1:1" s="173" customFormat="1" ht="12" hidden="1" customHeight="1">
      <c r="A3739" s="172"/>
    </row>
    <row r="3740" spans="1:1" s="173" customFormat="1" ht="12" hidden="1" customHeight="1">
      <c r="A3740" s="172"/>
    </row>
    <row r="3741" spans="1:1" s="173" customFormat="1" ht="12" hidden="1" customHeight="1">
      <c r="A3741" s="172"/>
    </row>
    <row r="3742" spans="1:1" s="173" customFormat="1" ht="12" hidden="1" customHeight="1">
      <c r="A3742" s="172"/>
    </row>
    <row r="3743" spans="1:1" s="173" customFormat="1" ht="12" hidden="1" customHeight="1">
      <c r="A3743" s="172"/>
    </row>
    <row r="3744" spans="1:1" s="173" customFormat="1" ht="12" hidden="1" customHeight="1">
      <c r="A3744" s="172"/>
    </row>
    <row r="3745" spans="1:1" s="173" customFormat="1" ht="12" hidden="1" customHeight="1">
      <c r="A3745" s="172"/>
    </row>
    <row r="3746" spans="1:1" s="173" customFormat="1" ht="12" hidden="1" customHeight="1">
      <c r="A3746" s="172"/>
    </row>
    <row r="3747" spans="1:1" s="173" customFormat="1" ht="12" hidden="1" customHeight="1">
      <c r="A3747" s="172"/>
    </row>
    <row r="3748" spans="1:1" s="173" customFormat="1" ht="12" hidden="1" customHeight="1">
      <c r="A3748" s="172"/>
    </row>
    <row r="3749" spans="1:1" s="173" customFormat="1" ht="12" hidden="1" customHeight="1">
      <c r="A3749" s="172"/>
    </row>
    <row r="3750" spans="1:1" s="173" customFormat="1" ht="12" hidden="1" customHeight="1">
      <c r="A3750" s="172"/>
    </row>
    <row r="3751" spans="1:1" s="173" customFormat="1" ht="12" hidden="1" customHeight="1">
      <c r="A3751" s="172"/>
    </row>
    <row r="3752" spans="1:1" s="173" customFormat="1" ht="12" hidden="1" customHeight="1">
      <c r="A3752" s="172"/>
    </row>
    <row r="3753" spans="1:1" s="173" customFormat="1" ht="12" hidden="1" customHeight="1">
      <c r="A3753" s="172"/>
    </row>
    <row r="3754" spans="1:1" s="173" customFormat="1" ht="12" hidden="1" customHeight="1">
      <c r="A3754" s="172"/>
    </row>
    <row r="3755" spans="1:1" s="173" customFormat="1" ht="12" hidden="1" customHeight="1">
      <c r="A3755" s="172"/>
    </row>
    <row r="3756" spans="1:1" s="173" customFormat="1" ht="12" hidden="1" customHeight="1">
      <c r="A3756" s="172"/>
    </row>
    <row r="3757" spans="1:1" s="173" customFormat="1" ht="12" hidden="1" customHeight="1">
      <c r="A3757" s="172"/>
    </row>
    <row r="3758" spans="1:1" s="173" customFormat="1" ht="12" hidden="1" customHeight="1">
      <c r="A3758" s="172"/>
    </row>
    <row r="3759" spans="1:1" s="173" customFormat="1" ht="12" hidden="1" customHeight="1">
      <c r="A3759" s="172"/>
    </row>
    <row r="3760" spans="1:1" s="173" customFormat="1" ht="12" hidden="1" customHeight="1">
      <c r="A3760" s="172"/>
    </row>
    <row r="3761" spans="1:1" s="173" customFormat="1" ht="12" hidden="1" customHeight="1">
      <c r="A3761" s="172"/>
    </row>
    <row r="3762" spans="1:1" s="173" customFormat="1" ht="12" hidden="1" customHeight="1">
      <c r="A3762" s="172"/>
    </row>
    <row r="3763" spans="1:1" s="173" customFormat="1" ht="12" hidden="1" customHeight="1">
      <c r="A3763" s="172"/>
    </row>
    <row r="3764" spans="1:1" s="173" customFormat="1" ht="12" hidden="1" customHeight="1">
      <c r="A3764" s="172"/>
    </row>
    <row r="3765" spans="1:1" s="173" customFormat="1" ht="12" hidden="1" customHeight="1">
      <c r="A3765" s="172"/>
    </row>
    <row r="3766" spans="1:1" s="173" customFormat="1" ht="12" hidden="1" customHeight="1">
      <c r="A3766" s="172"/>
    </row>
    <row r="3767" spans="1:1" s="173" customFormat="1" ht="12" hidden="1" customHeight="1">
      <c r="A3767" s="172"/>
    </row>
    <row r="3768" spans="1:1" s="173" customFormat="1" ht="12" hidden="1" customHeight="1">
      <c r="A3768" s="172"/>
    </row>
    <row r="3769" spans="1:1" s="173" customFormat="1" ht="12" hidden="1" customHeight="1">
      <c r="A3769" s="172"/>
    </row>
    <row r="3770" spans="1:1" s="173" customFormat="1" ht="12" hidden="1" customHeight="1">
      <c r="A3770" s="172"/>
    </row>
    <row r="3771" spans="1:1" s="173" customFormat="1" ht="12" hidden="1" customHeight="1">
      <c r="A3771" s="172"/>
    </row>
    <row r="3772" spans="1:1" s="173" customFormat="1" ht="12" hidden="1" customHeight="1">
      <c r="A3772" s="172"/>
    </row>
    <row r="3773" spans="1:1" s="173" customFormat="1" ht="12" hidden="1" customHeight="1">
      <c r="A3773" s="172"/>
    </row>
    <row r="3774" spans="1:1" s="173" customFormat="1" ht="12" hidden="1" customHeight="1">
      <c r="A3774" s="172"/>
    </row>
    <row r="3775" spans="1:1" s="173" customFormat="1" ht="12" hidden="1" customHeight="1">
      <c r="A3775" s="172"/>
    </row>
    <row r="3776" spans="1:1" s="173" customFormat="1" ht="12" hidden="1" customHeight="1">
      <c r="A3776" s="172"/>
    </row>
    <row r="3777" spans="1:1" s="173" customFormat="1" ht="12" hidden="1" customHeight="1">
      <c r="A3777" s="172"/>
    </row>
    <row r="3778" spans="1:1" s="173" customFormat="1" ht="12" hidden="1" customHeight="1">
      <c r="A3778" s="172"/>
    </row>
    <row r="3779" spans="1:1" s="173" customFormat="1" ht="12" hidden="1" customHeight="1">
      <c r="A3779" s="172"/>
    </row>
    <row r="3780" spans="1:1" s="173" customFormat="1" ht="12" hidden="1" customHeight="1">
      <c r="A3780" s="172"/>
    </row>
    <row r="3781" spans="1:1" s="173" customFormat="1" ht="12" hidden="1" customHeight="1">
      <c r="A3781" s="172"/>
    </row>
    <row r="3782" spans="1:1" s="173" customFormat="1" ht="12" hidden="1" customHeight="1">
      <c r="A3782" s="172"/>
    </row>
    <row r="3783" spans="1:1" s="173" customFormat="1" ht="12" hidden="1" customHeight="1">
      <c r="A3783" s="172"/>
    </row>
    <row r="3784" spans="1:1" s="173" customFormat="1" ht="12" hidden="1" customHeight="1">
      <c r="A3784" s="172"/>
    </row>
    <row r="3785" spans="1:1" s="173" customFormat="1" ht="12" hidden="1" customHeight="1">
      <c r="A3785" s="172"/>
    </row>
    <row r="3786" spans="1:1" s="173" customFormat="1" ht="12" hidden="1" customHeight="1">
      <c r="A3786" s="172"/>
    </row>
    <row r="3787" spans="1:1" s="173" customFormat="1" ht="12" hidden="1" customHeight="1">
      <c r="A3787" s="172"/>
    </row>
    <row r="3788" spans="1:1" s="173" customFormat="1" ht="12" hidden="1" customHeight="1">
      <c r="A3788" s="172"/>
    </row>
    <row r="3789" spans="1:1" s="173" customFormat="1" ht="12" hidden="1" customHeight="1">
      <c r="A3789" s="172"/>
    </row>
    <row r="3790" spans="1:1" s="173" customFormat="1" ht="12" hidden="1" customHeight="1">
      <c r="A3790" s="172"/>
    </row>
    <row r="3791" spans="1:1" s="173" customFormat="1" ht="12" hidden="1" customHeight="1">
      <c r="A3791" s="172"/>
    </row>
    <row r="3792" spans="1:1" s="173" customFormat="1" ht="12" hidden="1" customHeight="1">
      <c r="A3792" s="172"/>
    </row>
    <row r="3793" spans="1:1" s="173" customFormat="1" ht="12" hidden="1" customHeight="1">
      <c r="A3793" s="172"/>
    </row>
    <row r="3794" spans="1:1" s="173" customFormat="1" ht="12" hidden="1" customHeight="1">
      <c r="A3794" s="172"/>
    </row>
    <row r="3795" spans="1:1" s="173" customFormat="1" ht="12" hidden="1" customHeight="1">
      <c r="A3795" s="172"/>
    </row>
    <row r="3796" spans="1:1" s="173" customFormat="1" ht="12" hidden="1" customHeight="1">
      <c r="A3796" s="172"/>
    </row>
    <row r="3797" spans="1:1" s="173" customFormat="1" ht="12" hidden="1" customHeight="1">
      <c r="A3797" s="172"/>
    </row>
    <row r="3798" spans="1:1" s="173" customFormat="1" ht="12" hidden="1" customHeight="1">
      <c r="A3798" s="172"/>
    </row>
    <row r="3799" spans="1:1" s="173" customFormat="1" ht="12" hidden="1" customHeight="1">
      <c r="A3799" s="172"/>
    </row>
    <row r="3800" spans="1:1" s="173" customFormat="1" ht="12" hidden="1" customHeight="1">
      <c r="A3800" s="172"/>
    </row>
    <row r="3801" spans="1:1" s="173" customFormat="1" ht="12" hidden="1" customHeight="1">
      <c r="A3801" s="172"/>
    </row>
    <row r="3802" spans="1:1" s="173" customFormat="1" ht="12" hidden="1" customHeight="1">
      <c r="A3802" s="172"/>
    </row>
    <row r="3803" spans="1:1" s="173" customFormat="1" ht="12" hidden="1" customHeight="1">
      <c r="A3803" s="172"/>
    </row>
    <row r="3804" spans="1:1" s="173" customFormat="1" ht="12" hidden="1" customHeight="1">
      <c r="A3804" s="172"/>
    </row>
    <row r="3805" spans="1:1" s="173" customFormat="1" ht="12" hidden="1" customHeight="1">
      <c r="A3805" s="172"/>
    </row>
    <row r="3806" spans="1:1" s="173" customFormat="1" ht="12" hidden="1" customHeight="1">
      <c r="A3806" s="172"/>
    </row>
    <row r="3807" spans="1:1" s="173" customFormat="1" ht="12" hidden="1" customHeight="1">
      <c r="A3807" s="172"/>
    </row>
    <row r="3808" spans="1:1" s="173" customFormat="1" ht="12" hidden="1" customHeight="1">
      <c r="A3808" s="172"/>
    </row>
    <row r="3809" spans="1:1" s="173" customFormat="1" ht="12" hidden="1" customHeight="1">
      <c r="A3809" s="172"/>
    </row>
    <row r="3810" spans="1:1" s="173" customFormat="1" ht="12" hidden="1" customHeight="1">
      <c r="A3810" s="172"/>
    </row>
    <row r="3811" spans="1:1" s="173" customFormat="1" ht="12" hidden="1" customHeight="1">
      <c r="A3811" s="172"/>
    </row>
    <row r="3812" spans="1:1" s="173" customFormat="1" ht="12" hidden="1" customHeight="1">
      <c r="A3812" s="172"/>
    </row>
    <row r="3813" spans="1:1" s="173" customFormat="1" ht="12" hidden="1" customHeight="1">
      <c r="A3813" s="172"/>
    </row>
    <row r="3814" spans="1:1" s="173" customFormat="1" ht="12" hidden="1" customHeight="1">
      <c r="A3814" s="172"/>
    </row>
    <row r="3815" spans="1:1" s="173" customFormat="1" ht="12" hidden="1" customHeight="1">
      <c r="A3815" s="172"/>
    </row>
    <row r="3816" spans="1:1" s="173" customFormat="1" ht="12" hidden="1" customHeight="1">
      <c r="A3816" s="172"/>
    </row>
    <row r="3817" spans="1:1" s="173" customFormat="1" ht="12" hidden="1" customHeight="1">
      <c r="A3817" s="172"/>
    </row>
    <row r="3818" spans="1:1" s="173" customFormat="1" ht="12" hidden="1" customHeight="1">
      <c r="A3818" s="172"/>
    </row>
    <row r="3819" spans="1:1" s="173" customFormat="1" ht="12" hidden="1" customHeight="1">
      <c r="A3819" s="172"/>
    </row>
    <row r="3820" spans="1:1" s="173" customFormat="1" ht="12" hidden="1" customHeight="1">
      <c r="A3820" s="172"/>
    </row>
    <row r="3821" spans="1:1" s="173" customFormat="1" ht="12" hidden="1" customHeight="1">
      <c r="A3821" s="172"/>
    </row>
    <row r="3822" spans="1:1" s="173" customFormat="1" ht="12" hidden="1" customHeight="1">
      <c r="A3822" s="172"/>
    </row>
    <row r="3823" spans="1:1" s="173" customFormat="1" ht="12" hidden="1" customHeight="1">
      <c r="A3823" s="172"/>
    </row>
    <row r="3824" spans="1:1" s="173" customFormat="1" ht="12" hidden="1" customHeight="1">
      <c r="A3824" s="172"/>
    </row>
    <row r="3825" spans="1:1" s="173" customFormat="1" ht="12" hidden="1" customHeight="1">
      <c r="A3825" s="172"/>
    </row>
    <row r="3826" spans="1:1" s="173" customFormat="1" ht="12" hidden="1" customHeight="1">
      <c r="A3826" s="172"/>
    </row>
    <row r="3827" spans="1:1" s="173" customFormat="1" ht="12" hidden="1" customHeight="1">
      <c r="A3827" s="172"/>
    </row>
    <row r="3828" spans="1:1" s="173" customFormat="1" ht="12" hidden="1" customHeight="1">
      <c r="A3828" s="172"/>
    </row>
    <row r="3829" spans="1:1" s="173" customFormat="1" ht="12" hidden="1" customHeight="1">
      <c r="A3829" s="172"/>
    </row>
    <row r="3830" spans="1:1" s="173" customFormat="1" ht="12" hidden="1" customHeight="1">
      <c r="A3830" s="172"/>
    </row>
    <row r="3831" spans="1:1" s="173" customFormat="1" ht="12" hidden="1" customHeight="1">
      <c r="A3831" s="172"/>
    </row>
    <row r="3832" spans="1:1" s="173" customFormat="1" ht="12" hidden="1" customHeight="1">
      <c r="A3832" s="172"/>
    </row>
    <row r="3833" spans="1:1" s="173" customFormat="1" ht="12" hidden="1" customHeight="1">
      <c r="A3833" s="172"/>
    </row>
    <row r="3834" spans="1:1" s="173" customFormat="1" ht="12" hidden="1" customHeight="1">
      <c r="A3834" s="172"/>
    </row>
    <row r="3835" spans="1:1" s="173" customFormat="1" ht="12" hidden="1" customHeight="1">
      <c r="A3835" s="172"/>
    </row>
    <row r="3836" spans="1:1" s="173" customFormat="1" ht="12" hidden="1" customHeight="1">
      <c r="A3836" s="172"/>
    </row>
    <row r="3837" spans="1:1" s="173" customFormat="1" ht="12" hidden="1" customHeight="1">
      <c r="A3837" s="172"/>
    </row>
    <row r="3838" spans="1:1" s="173" customFormat="1" ht="12" hidden="1" customHeight="1">
      <c r="A3838" s="172"/>
    </row>
    <row r="3839" spans="1:1" s="173" customFormat="1" ht="12" hidden="1" customHeight="1">
      <c r="A3839" s="172"/>
    </row>
    <row r="3840" spans="1:1" s="173" customFormat="1" ht="12" hidden="1" customHeight="1">
      <c r="A3840" s="172"/>
    </row>
    <row r="3841" spans="1:1" s="173" customFormat="1" ht="12" hidden="1" customHeight="1">
      <c r="A3841" s="172"/>
    </row>
    <row r="3842" spans="1:1" s="173" customFormat="1" ht="12" hidden="1" customHeight="1">
      <c r="A3842" s="172"/>
    </row>
    <row r="3843" spans="1:1" s="173" customFormat="1" ht="12" hidden="1" customHeight="1">
      <c r="A3843" s="172"/>
    </row>
    <row r="3844" spans="1:1" s="173" customFormat="1" ht="12" hidden="1" customHeight="1">
      <c r="A3844" s="172"/>
    </row>
    <row r="3845" spans="1:1" s="173" customFormat="1" ht="12" hidden="1" customHeight="1">
      <c r="A3845" s="172"/>
    </row>
    <row r="3846" spans="1:1" s="173" customFormat="1" ht="12" hidden="1" customHeight="1">
      <c r="A3846" s="172"/>
    </row>
    <row r="3847" spans="1:1" s="173" customFormat="1" ht="12" hidden="1" customHeight="1">
      <c r="A3847" s="172"/>
    </row>
    <row r="3848" spans="1:1" s="173" customFormat="1" ht="12" hidden="1" customHeight="1">
      <c r="A3848" s="172"/>
    </row>
    <row r="3849" spans="1:1" s="173" customFormat="1" ht="12" hidden="1" customHeight="1">
      <c r="A3849" s="172"/>
    </row>
    <row r="3850" spans="1:1" s="173" customFormat="1" ht="12" hidden="1" customHeight="1">
      <c r="A3850" s="172"/>
    </row>
    <row r="3851" spans="1:1" s="173" customFormat="1" ht="12" hidden="1" customHeight="1">
      <c r="A3851" s="172"/>
    </row>
    <row r="3852" spans="1:1" s="173" customFormat="1" ht="12" hidden="1" customHeight="1">
      <c r="A3852" s="172"/>
    </row>
    <row r="3853" spans="1:1" s="173" customFormat="1" ht="12" hidden="1" customHeight="1">
      <c r="A3853" s="172"/>
    </row>
    <row r="3854" spans="1:1" s="173" customFormat="1" ht="12" hidden="1" customHeight="1">
      <c r="A3854" s="172"/>
    </row>
    <row r="3855" spans="1:1" s="173" customFormat="1" ht="12" hidden="1" customHeight="1">
      <c r="A3855" s="172"/>
    </row>
    <row r="3856" spans="1:1" s="173" customFormat="1" ht="12" hidden="1" customHeight="1">
      <c r="A3856" s="172"/>
    </row>
    <row r="3857" spans="1:1" s="173" customFormat="1" ht="12" hidden="1" customHeight="1">
      <c r="A3857" s="172"/>
    </row>
    <row r="3858" spans="1:1" s="173" customFormat="1" ht="12" hidden="1" customHeight="1">
      <c r="A3858" s="172"/>
    </row>
    <row r="3859" spans="1:1" s="173" customFormat="1" ht="12" hidden="1" customHeight="1">
      <c r="A3859" s="172"/>
    </row>
    <row r="3860" spans="1:1" s="173" customFormat="1" ht="12" hidden="1" customHeight="1">
      <c r="A3860" s="172"/>
    </row>
    <row r="3861" spans="1:1" s="173" customFormat="1" ht="12" hidden="1" customHeight="1">
      <c r="A3861" s="172"/>
    </row>
    <row r="3862" spans="1:1" s="173" customFormat="1" ht="12" hidden="1" customHeight="1">
      <c r="A3862" s="172"/>
    </row>
    <row r="3863" spans="1:1" s="173" customFormat="1" ht="12" hidden="1" customHeight="1">
      <c r="A3863" s="172"/>
    </row>
    <row r="3864" spans="1:1" s="173" customFormat="1" ht="12" hidden="1" customHeight="1">
      <c r="A3864" s="172"/>
    </row>
    <row r="3865" spans="1:1" s="173" customFormat="1" ht="12" hidden="1" customHeight="1">
      <c r="A3865" s="172"/>
    </row>
    <row r="3866" spans="1:1" s="173" customFormat="1" ht="12" hidden="1" customHeight="1">
      <c r="A3866" s="172"/>
    </row>
    <row r="3867" spans="1:1" s="173" customFormat="1" ht="12" hidden="1" customHeight="1">
      <c r="A3867" s="172"/>
    </row>
    <row r="3868" spans="1:1" s="173" customFormat="1" ht="12" hidden="1" customHeight="1">
      <c r="A3868" s="172"/>
    </row>
    <row r="3869" spans="1:1" s="173" customFormat="1" ht="12" hidden="1" customHeight="1">
      <c r="A3869" s="172"/>
    </row>
    <row r="3870" spans="1:1" s="173" customFormat="1" ht="12" hidden="1" customHeight="1">
      <c r="A3870" s="172"/>
    </row>
    <row r="3871" spans="1:1" s="173" customFormat="1" ht="12" hidden="1" customHeight="1">
      <c r="A3871" s="172"/>
    </row>
    <row r="3872" spans="1:1" s="173" customFormat="1" ht="12" hidden="1" customHeight="1">
      <c r="A3872" s="172"/>
    </row>
    <row r="3873" spans="1:1" s="173" customFormat="1" ht="12" hidden="1" customHeight="1">
      <c r="A3873" s="172"/>
    </row>
    <row r="3874" spans="1:1" s="173" customFormat="1" ht="12" hidden="1" customHeight="1">
      <c r="A3874" s="172"/>
    </row>
    <row r="3875" spans="1:1" s="173" customFormat="1" ht="12" hidden="1" customHeight="1">
      <c r="A3875" s="172"/>
    </row>
    <row r="3876" spans="1:1" s="173" customFormat="1" ht="12" hidden="1" customHeight="1">
      <c r="A3876" s="172"/>
    </row>
    <row r="3877" spans="1:1" s="173" customFormat="1" ht="12" hidden="1" customHeight="1">
      <c r="A3877" s="172"/>
    </row>
    <row r="3878" spans="1:1" s="173" customFormat="1" ht="12" hidden="1" customHeight="1">
      <c r="A3878" s="172"/>
    </row>
    <row r="3879" spans="1:1" s="173" customFormat="1" ht="12" hidden="1" customHeight="1">
      <c r="A3879" s="172"/>
    </row>
    <row r="3880" spans="1:1" s="173" customFormat="1" ht="12" hidden="1" customHeight="1">
      <c r="A3880" s="172"/>
    </row>
    <row r="3881" spans="1:1" s="173" customFormat="1" ht="12" hidden="1" customHeight="1">
      <c r="A3881" s="172"/>
    </row>
    <row r="3882" spans="1:1" s="173" customFormat="1" ht="12" hidden="1" customHeight="1">
      <c r="A3882" s="172"/>
    </row>
    <row r="3883" spans="1:1" s="173" customFormat="1" ht="12" hidden="1" customHeight="1">
      <c r="A3883" s="172"/>
    </row>
    <row r="3884" spans="1:1" s="173" customFormat="1" ht="12" hidden="1" customHeight="1">
      <c r="A3884" s="172"/>
    </row>
    <row r="3885" spans="1:1" s="173" customFormat="1" ht="12" hidden="1" customHeight="1">
      <c r="A3885" s="172"/>
    </row>
    <row r="3886" spans="1:1" s="173" customFormat="1" ht="12" hidden="1" customHeight="1">
      <c r="A3886" s="172"/>
    </row>
    <row r="3887" spans="1:1" s="173" customFormat="1" ht="12" hidden="1" customHeight="1">
      <c r="A3887" s="172"/>
    </row>
    <row r="3888" spans="1:1" s="173" customFormat="1" ht="12" hidden="1" customHeight="1">
      <c r="A3888" s="172"/>
    </row>
    <row r="3889" spans="1:1" s="173" customFormat="1" ht="12" hidden="1" customHeight="1">
      <c r="A3889" s="172"/>
    </row>
    <row r="3890" spans="1:1" s="173" customFormat="1" ht="12" hidden="1" customHeight="1">
      <c r="A3890" s="172"/>
    </row>
    <row r="3891" spans="1:1" s="173" customFormat="1" ht="12" hidden="1" customHeight="1">
      <c r="A3891" s="172"/>
    </row>
    <row r="3892" spans="1:1" s="173" customFormat="1" ht="12" hidden="1" customHeight="1">
      <c r="A3892" s="172"/>
    </row>
    <row r="3893" spans="1:1" s="173" customFormat="1" ht="12" hidden="1" customHeight="1">
      <c r="A3893" s="172"/>
    </row>
    <row r="3894" spans="1:1" s="173" customFormat="1" ht="12" hidden="1" customHeight="1">
      <c r="A3894" s="172"/>
    </row>
    <row r="3895" spans="1:1" s="173" customFormat="1" ht="12" hidden="1" customHeight="1">
      <c r="A3895" s="172"/>
    </row>
    <row r="3896" spans="1:1" s="173" customFormat="1" ht="12" hidden="1" customHeight="1">
      <c r="A3896" s="172"/>
    </row>
    <row r="3897" spans="1:1" s="173" customFormat="1" ht="12" hidden="1" customHeight="1">
      <c r="A3897" s="172"/>
    </row>
    <row r="3898" spans="1:1" s="173" customFormat="1" ht="12" hidden="1" customHeight="1">
      <c r="A3898" s="172"/>
    </row>
    <row r="3899" spans="1:1" s="173" customFormat="1" ht="12" hidden="1" customHeight="1">
      <c r="A3899" s="172"/>
    </row>
    <row r="3900" spans="1:1" s="173" customFormat="1" ht="12" hidden="1" customHeight="1">
      <c r="A3900" s="172"/>
    </row>
    <row r="3901" spans="1:1" s="173" customFormat="1" ht="12" hidden="1" customHeight="1">
      <c r="A3901" s="172"/>
    </row>
    <row r="3902" spans="1:1" s="173" customFormat="1" ht="12" hidden="1" customHeight="1">
      <c r="A3902" s="172"/>
    </row>
    <row r="3903" spans="1:1" s="173" customFormat="1" ht="12" hidden="1" customHeight="1">
      <c r="A3903" s="172"/>
    </row>
    <row r="3904" spans="1:1" s="173" customFormat="1" ht="12" hidden="1" customHeight="1">
      <c r="A3904" s="172"/>
    </row>
    <row r="3905" spans="1:1" s="173" customFormat="1" ht="12" hidden="1" customHeight="1">
      <c r="A3905" s="172"/>
    </row>
    <row r="3906" spans="1:1" s="173" customFormat="1" ht="12" hidden="1" customHeight="1">
      <c r="A3906" s="172"/>
    </row>
    <row r="3907" spans="1:1" s="173" customFormat="1" ht="12" hidden="1" customHeight="1">
      <c r="A3907" s="172"/>
    </row>
    <row r="3908" spans="1:1" s="173" customFormat="1" ht="12" hidden="1" customHeight="1">
      <c r="A3908" s="172"/>
    </row>
    <row r="3909" spans="1:1" s="173" customFormat="1" ht="12" hidden="1" customHeight="1">
      <c r="A3909" s="172"/>
    </row>
    <row r="3910" spans="1:1" s="173" customFormat="1" ht="12" hidden="1" customHeight="1">
      <c r="A3910" s="172"/>
    </row>
    <row r="3911" spans="1:1" s="173" customFormat="1" ht="12" hidden="1" customHeight="1">
      <c r="A3911" s="172"/>
    </row>
    <row r="3912" spans="1:1" s="173" customFormat="1" ht="12" hidden="1" customHeight="1">
      <c r="A3912" s="172"/>
    </row>
    <row r="3913" spans="1:1" s="173" customFormat="1" ht="12" hidden="1" customHeight="1">
      <c r="A3913" s="172"/>
    </row>
    <row r="3914" spans="1:1" s="173" customFormat="1" ht="12" hidden="1" customHeight="1">
      <c r="A3914" s="172"/>
    </row>
    <row r="3915" spans="1:1" s="173" customFormat="1" ht="12" hidden="1" customHeight="1">
      <c r="A3915" s="172"/>
    </row>
    <row r="3916" spans="1:1" s="173" customFormat="1" ht="12" hidden="1" customHeight="1">
      <c r="A3916" s="172"/>
    </row>
    <row r="3917" spans="1:1" s="173" customFormat="1" ht="12" hidden="1" customHeight="1">
      <c r="A3917" s="172"/>
    </row>
    <row r="3918" spans="1:1" s="173" customFormat="1" ht="12" hidden="1" customHeight="1">
      <c r="A3918" s="172"/>
    </row>
    <row r="3919" spans="1:1" s="173" customFormat="1" ht="12" hidden="1" customHeight="1">
      <c r="A3919" s="172"/>
    </row>
    <row r="3920" spans="1:1" s="173" customFormat="1" ht="12" hidden="1" customHeight="1">
      <c r="A3920" s="172"/>
    </row>
    <row r="3921" spans="1:1" s="173" customFormat="1" ht="12" hidden="1" customHeight="1">
      <c r="A3921" s="172"/>
    </row>
    <row r="3922" spans="1:1" s="173" customFormat="1" ht="12" hidden="1" customHeight="1">
      <c r="A3922" s="172"/>
    </row>
    <row r="3923" spans="1:1" s="173" customFormat="1" ht="12" hidden="1" customHeight="1">
      <c r="A3923" s="172"/>
    </row>
    <row r="3924" spans="1:1" s="173" customFormat="1" ht="12" hidden="1" customHeight="1">
      <c r="A3924" s="172"/>
    </row>
    <row r="3925" spans="1:1" s="173" customFormat="1" ht="12" hidden="1" customHeight="1">
      <c r="A3925" s="172"/>
    </row>
    <row r="3926" spans="1:1" s="173" customFormat="1" ht="12" hidden="1" customHeight="1">
      <c r="A3926" s="172"/>
    </row>
    <row r="3927" spans="1:1" s="173" customFormat="1" ht="12" hidden="1" customHeight="1">
      <c r="A3927" s="172"/>
    </row>
    <row r="3928" spans="1:1" s="173" customFormat="1" ht="12" hidden="1" customHeight="1">
      <c r="A3928" s="172"/>
    </row>
    <row r="3929" spans="1:1" s="173" customFormat="1" ht="12" hidden="1" customHeight="1">
      <c r="A3929" s="172"/>
    </row>
    <row r="3930" spans="1:1" s="173" customFormat="1" ht="12" hidden="1" customHeight="1">
      <c r="A3930" s="172"/>
    </row>
    <row r="3931" spans="1:1" s="173" customFormat="1" ht="12" hidden="1" customHeight="1">
      <c r="A3931" s="172"/>
    </row>
    <row r="3932" spans="1:1" s="173" customFormat="1" ht="12" hidden="1" customHeight="1">
      <c r="A3932" s="172"/>
    </row>
    <row r="3933" spans="1:1" s="173" customFormat="1" ht="12" hidden="1" customHeight="1">
      <c r="A3933" s="172"/>
    </row>
    <row r="3934" spans="1:1" s="173" customFormat="1" ht="12" hidden="1" customHeight="1">
      <c r="A3934" s="172"/>
    </row>
    <row r="3935" spans="1:1" s="173" customFormat="1" ht="12" hidden="1" customHeight="1">
      <c r="A3935" s="172"/>
    </row>
    <row r="3936" spans="1:1" s="173" customFormat="1" ht="12" hidden="1" customHeight="1">
      <c r="A3936" s="172"/>
    </row>
    <row r="3937" spans="1:1" s="173" customFormat="1" ht="12" hidden="1" customHeight="1">
      <c r="A3937" s="172"/>
    </row>
    <row r="3938" spans="1:1" s="173" customFormat="1" ht="12" hidden="1" customHeight="1">
      <c r="A3938" s="172"/>
    </row>
    <row r="3939" spans="1:1" s="173" customFormat="1" ht="12" hidden="1" customHeight="1">
      <c r="A3939" s="172"/>
    </row>
    <row r="3940" spans="1:1" s="173" customFormat="1" ht="12" hidden="1" customHeight="1">
      <c r="A3940" s="172"/>
    </row>
    <row r="3941" spans="1:1" s="173" customFormat="1" ht="12" hidden="1" customHeight="1">
      <c r="A3941" s="172"/>
    </row>
    <row r="3942" spans="1:1" s="173" customFormat="1" ht="12" hidden="1" customHeight="1">
      <c r="A3942" s="172"/>
    </row>
    <row r="3943" spans="1:1" s="173" customFormat="1" ht="12" hidden="1" customHeight="1">
      <c r="A3943" s="172"/>
    </row>
    <row r="3944" spans="1:1" s="173" customFormat="1" ht="12" hidden="1" customHeight="1">
      <c r="A3944" s="172"/>
    </row>
    <row r="3945" spans="1:1" s="173" customFormat="1" ht="12" hidden="1" customHeight="1">
      <c r="A3945" s="172"/>
    </row>
    <row r="3946" spans="1:1" s="173" customFormat="1" ht="12" hidden="1" customHeight="1">
      <c r="A3946" s="172"/>
    </row>
    <row r="3947" spans="1:1" s="173" customFormat="1" ht="12" hidden="1" customHeight="1">
      <c r="A3947" s="172"/>
    </row>
    <row r="3948" spans="1:1" s="173" customFormat="1" ht="12" hidden="1" customHeight="1">
      <c r="A3948" s="172"/>
    </row>
    <row r="3949" spans="1:1" s="173" customFormat="1" ht="12" hidden="1" customHeight="1">
      <c r="A3949" s="172"/>
    </row>
    <row r="3950" spans="1:1" s="173" customFormat="1" ht="12" hidden="1" customHeight="1">
      <c r="A3950" s="172"/>
    </row>
    <row r="3951" spans="1:1" s="173" customFormat="1" ht="12" hidden="1" customHeight="1">
      <c r="A3951" s="172"/>
    </row>
    <row r="3952" spans="1:1" s="173" customFormat="1" ht="12" hidden="1" customHeight="1">
      <c r="A3952" s="172"/>
    </row>
    <row r="3953" spans="1:1" s="173" customFormat="1" ht="12" hidden="1" customHeight="1">
      <c r="A3953" s="172"/>
    </row>
    <row r="3954" spans="1:1" s="173" customFormat="1" ht="12" hidden="1" customHeight="1">
      <c r="A3954" s="172"/>
    </row>
    <row r="3955" spans="1:1" s="173" customFormat="1" ht="12" hidden="1" customHeight="1">
      <c r="A3955" s="172"/>
    </row>
    <row r="3956" spans="1:1" s="173" customFormat="1" ht="12" hidden="1" customHeight="1">
      <c r="A3956" s="172"/>
    </row>
    <row r="3957" spans="1:1" s="173" customFormat="1" ht="12" hidden="1" customHeight="1">
      <c r="A3957" s="172"/>
    </row>
    <row r="3958" spans="1:1" s="173" customFormat="1" ht="12" hidden="1" customHeight="1">
      <c r="A3958" s="172"/>
    </row>
    <row r="3959" spans="1:1" s="173" customFormat="1" ht="12" hidden="1" customHeight="1">
      <c r="A3959" s="172"/>
    </row>
    <row r="3960" spans="1:1" s="173" customFormat="1" ht="12" hidden="1" customHeight="1">
      <c r="A3960" s="172"/>
    </row>
    <row r="3961" spans="1:1" s="173" customFormat="1" ht="12" hidden="1" customHeight="1">
      <c r="A3961" s="172"/>
    </row>
    <row r="3962" spans="1:1" s="173" customFormat="1" ht="12" hidden="1" customHeight="1">
      <c r="A3962" s="172"/>
    </row>
    <row r="3963" spans="1:1" s="173" customFormat="1" ht="12" hidden="1" customHeight="1">
      <c r="A3963" s="172"/>
    </row>
    <row r="3964" spans="1:1" s="173" customFormat="1" ht="12" hidden="1" customHeight="1">
      <c r="A3964" s="172"/>
    </row>
    <row r="3965" spans="1:1" s="173" customFormat="1" ht="12" hidden="1" customHeight="1">
      <c r="A3965" s="172"/>
    </row>
    <row r="3966" spans="1:1" s="173" customFormat="1" ht="12" hidden="1" customHeight="1">
      <c r="A3966" s="172"/>
    </row>
    <row r="3967" spans="1:1" s="173" customFormat="1" ht="12" hidden="1" customHeight="1">
      <c r="A3967" s="172"/>
    </row>
    <row r="3968" spans="1:1" s="173" customFormat="1" ht="12" hidden="1" customHeight="1">
      <c r="A3968" s="172"/>
    </row>
    <row r="3969" spans="1:1" s="173" customFormat="1" ht="12" hidden="1" customHeight="1">
      <c r="A3969" s="172"/>
    </row>
    <row r="3970" spans="1:1" s="173" customFormat="1" ht="12" hidden="1" customHeight="1">
      <c r="A3970" s="172"/>
    </row>
    <row r="3971" spans="1:1" s="173" customFormat="1" ht="12" hidden="1" customHeight="1">
      <c r="A3971" s="172"/>
    </row>
    <row r="3972" spans="1:1" s="173" customFormat="1" ht="12" hidden="1" customHeight="1">
      <c r="A3972" s="172"/>
    </row>
    <row r="3973" spans="1:1" s="173" customFormat="1" ht="12" hidden="1" customHeight="1">
      <c r="A3973" s="172"/>
    </row>
    <row r="3974" spans="1:1" s="173" customFormat="1" ht="12" hidden="1" customHeight="1">
      <c r="A3974" s="172"/>
    </row>
    <row r="3975" spans="1:1" s="173" customFormat="1" ht="12" hidden="1" customHeight="1">
      <c r="A3975" s="172"/>
    </row>
    <row r="3976" spans="1:1" s="173" customFormat="1" ht="12" hidden="1" customHeight="1">
      <c r="A3976" s="172"/>
    </row>
    <row r="3977" spans="1:1" s="173" customFormat="1" ht="12" hidden="1" customHeight="1">
      <c r="A3977" s="172"/>
    </row>
    <row r="3978" spans="1:1" s="173" customFormat="1" ht="12" hidden="1" customHeight="1">
      <c r="A3978" s="172"/>
    </row>
    <row r="3979" spans="1:1" s="173" customFormat="1" ht="12" hidden="1" customHeight="1">
      <c r="A3979" s="172"/>
    </row>
    <row r="3980" spans="1:1" s="173" customFormat="1" ht="12" hidden="1" customHeight="1">
      <c r="A3980" s="172"/>
    </row>
    <row r="3981" spans="1:1" s="173" customFormat="1" ht="12" hidden="1" customHeight="1">
      <c r="A3981" s="172"/>
    </row>
    <row r="3982" spans="1:1" s="173" customFormat="1" ht="12" hidden="1" customHeight="1">
      <c r="A3982" s="172"/>
    </row>
    <row r="3983" spans="1:1" s="173" customFormat="1" ht="12" hidden="1" customHeight="1">
      <c r="A3983" s="172"/>
    </row>
    <row r="3984" spans="1:1" s="173" customFormat="1" ht="12" hidden="1" customHeight="1">
      <c r="A3984" s="172"/>
    </row>
    <row r="3985" spans="1:1" s="173" customFormat="1" ht="12" hidden="1" customHeight="1">
      <c r="A3985" s="172"/>
    </row>
    <row r="3986" spans="1:1" s="173" customFormat="1" ht="12" hidden="1" customHeight="1">
      <c r="A3986" s="172"/>
    </row>
    <row r="3987" spans="1:1" s="173" customFormat="1" ht="12" hidden="1" customHeight="1">
      <c r="A3987" s="172"/>
    </row>
    <row r="3988" spans="1:1" s="173" customFormat="1" ht="12" hidden="1" customHeight="1">
      <c r="A3988" s="172"/>
    </row>
    <row r="3989" spans="1:1" s="173" customFormat="1" ht="12" hidden="1" customHeight="1">
      <c r="A3989" s="172"/>
    </row>
    <row r="3990" spans="1:1" s="173" customFormat="1" ht="12" hidden="1" customHeight="1">
      <c r="A3990" s="172"/>
    </row>
    <row r="3991" spans="1:1" s="173" customFormat="1" ht="12" hidden="1" customHeight="1">
      <c r="A3991" s="172"/>
    </row>
    <row r="3992" spans="1:1" s="173" customFormat="1" ht="12" hidden="1" customHeight="1">
      <c r="A3992" s="172"/>
    </row>
    <row r="3993" spans="1:1" s="173" customFormat="1" ht="12" hidden="1" customHeight="1">
      <c r="A3993" s="172"/>
    </row>
    <row r="3994" spans="1:1" s="173" customFormat="1" ht="12" hidden="1" customHeight="1">
      <c r="A3994" s="172"/>
    </row>
    <row r="3995" spans="1:1" s="173" customFormat="1" ht="12" hidden="1" customHeight="1">
      <c r="A3995" s="172"/>
    </row>
    <row r="3996" spans="1:1" s="173" customFormat="1" ht="12" hidden="1" customHeight="1">
      <c r="A3996" s="172"/>
    </row>
    <row r="3997" spans="1:1" s="173" customFormat="1" ht="12" hidden="1" customHeight="1">
      <c r="A3997" s="172"/>
    </row>
    <row r="3998" spans="1:1" s="173" customFormat="1" ht="12" hidden="1" customHeight="1">
      <c r="A3998" s="172"/>
    </row>
    <row r="3999" spans="1:1" s="173" customFormat="1" ht="12" hidden="1" customHeight="1">
      <c r="A3999" s="172"/>
    </row>
    <row r="4000" spans="1:1" s="173" customFormat="1" ht="12" hidden="1" customHeight="1">
      <c r="A4000" s="172"/>
    </row>
    <row r="4001" spans="1:1" s="173" customFormat="1" ht="12" hidden="1" customHeight="1">
      <c r="A4001" s="172"/>
    </row>
    <row r="4002" spans="1:1" s="173" customFormat="1" ht="12" hidden="1" customHeight="1">
      <c r="A4002" s="172"/>
    </row>
    <row r="4003" spans="1:1" s="173" customFormat="1" ht="12" hidden="1" customHeight="1">
      <c r="A4003" s="172"/>
    </row>
    <row r="4004" spans="1:1" s="173" customFormat="1" ht="12" hidden="1" customHeight="1">
      <c r="A4004" s="172"/>
    </row>
    <row r="4005" spans="1:1" s="173" customFormat="1" ht="12" hidden="1" customHeight="1">
      <c r="A4005" s="172"/>
    </row>
    <row r="4006" spans="1:1" s="173" customFormat="1" ht="12" hidden="1" customHeight="1">
      <c r="A4006" s="172"/>
    </row>
    <row r="4007" spans="1:1" s="173" customFormat="1" ht="12" hidden="1" customHeight="1">
      <c r="A4007" s="172"/>
    </row>
    <row r="4008" spans="1:1" s="173" customFormat="1" ht="12" hidden="1" customHeight="1">
      <c r="A4008" s="172"/>
    </row>
    <row r="4009" spans="1:1" s="173" customFormat="1" ht="12" hidden="1" customHeight="1">
      <c r="A4009" s="172"/>
    </row>
    <row r="4010" spans="1:1" s="173" customFormat="1" ht="12" hidden="1" customHeight="1">
      <c r="A4010" s="172"/>
    </row>
    <row r="4011" spans="1:1" s="173" customFormat="1" ht="12" hidden="1" customHeight="1">
      <c r="A4011" s="172"/>
    </row>
    <row r="4012" spans="1:1" s="173" customFormat="1" ht="12" hidden="1" customHeight="1">
      <c r="A4012" s="172"/>
    </row>
    <row r="4013" spans="1:1" s="173" customFormat="1" ht="12" hidden="1" customHeight="1">
      <c r="A4013" s="172"/>
    </row>
    <row r="4014" spans="1:1" s="173" customFormat="1" ht="12" hidden="1" customHeight="1">
      <c r="A4014" s="172"/>
    </row>
    <row r="4015" spans="1:1" s="173" customFormat="1" ht="12" hidden="1" customHeight="1">
      <c r="A4015" s="172"/>
    </row>
    <row r="4016" spans="1:1" s="173" customFormat="1" ht="12" hidden="1" customHeight="1">
      <c r="A4016" s="172"/>
    </row>
    <row r="4017" spans="1:1" s="173" customFormat="1" ht="12" hidden="1" customHeight="1">
      <c r="A4017" s="172"/>
    </row>
    <row r="4018" spans="1:1" s="173" customFormat="1" ht="12" hidden="1" customHeight="1">
      <c r="A4018" s="172"/>
    </row>
    <row r="4019" spans="1:1" s="173" customFormat="1" ht="12" hidden="1" customHeight="1">
      <c r="A4019" s="172"/>
    </row>
    <row r="4020" spans="1:1" s="173" customFormat="1" ht="12" hidden="1" customHeight="1">
      <c r="A4020" s="172"/>
    </row>
    <row r="4021" spans="1:1" s="173" customFormat="1" ht="12" hidden="1" customHeight="1">
      <c r="A4021" s="172"/>
    </row>
    <row r="4022" spans="1:1" s="173" customFormat="1" ht="12" hidden="1" customHeight="1">
      <c r="A4022" s="172"/>
    </row>
    <row r="4023" spans="1:1" s="173" customFormat="1" ht="12" hidden="1" customHeight="1">
      <c r="A4023" s="172"/>
    </row>
    <row r="4024" spans="1:1" s="173" customFormat="1" ht="12" hidden="1" customHeight="1">
      <c r="A4024" s="172"/>
    </row>
    <row r="4025" spans="1:1" s="173" customFormat="1" ht="12" hidden="1" customHeight="1">
      <c r="A4025" s="172"/>
    </row>
    <row r="4026" spans="1:1" s="173" customFormat="1" ht="12" hidden="1" customHeight="1">
      <c r="A4026" s="172"/>
    </row>
    <row r="4027" spans="1:1" s="173" customFormat="1" ht="12" hidden="1" customHeight="1">
      <c r="A4027" s="172"/>
    </row>
    <row r="4028" spans="1:1" s="173" customFormat="1" ht="12" hidden="1" customHeight="1">
      <c r="A4028" s="172"/>
    </row>
    <row r="4029" spans="1:1" s="173" customFormat="1" ht="12" hidden="1" customHeight="1">
      <c r="A4029" s="172"/>
    </row>
    <row r="4030" spans="1:1" s="173" customFormat="1" ht="12" hidden="1" customHeight="1">
      <c r="A4030" s="172"/>
    </row>
    <row r="4031" spans="1:1" s="173" customFormat="1" ht="12" hidden="1" customHeight="1">
      <c r="A4031" s="172"/>
    </row>
    <row r="4032" spans="1:1" s="173" customFormat="1" ht="12" hidden="1" customHeight="1">
      <c r="A4032" s="172"/>
    </row>
    <row r="4033" spans="1:1" s="173" customFormat="1" ht="12" hidden="1" customHeight="1">
      <c r="A4033" s="172"/>
    </row>
    <row r="4034" spans="1:1" s="173" customFormat="1" ht="12" hidden="1" customHeight="1">
      <c r="A4034" s="172"/>
    </row>
    <row r="4035" spans="1:1" s="173" customFormat="1" ht="12" hidden="1" customHeight="1">
      <c r="A4035" s="172"/>
    </row>
    <row r="4036" spans="1:1" s="173" customFormat="1" ht="12" hidden="1" customHeight="1">
      <c r="A4036" s="172"/>
    </row>
    <row r="4037" spans="1:1" s="173" customFormat="1" ht="12" hidden="1" customHeight="1">
      <c r="A4037" s="172"/>
    </row>
    <row r="4038" spans="1:1" s="173" customFormat="1" ht="12" hidden="1" customHeight="1">
      <c r="A4038" s="172"/>
    </row>
    <row r="4039" spans="1:1" s="173" customFormat="1" ht="12" hidden="1" customHeight="1">
      <c r="A4039" s="172"/>
    </row>
    <row r="4040" spans="1:1" s="173" customFormat="1" ht="12" hidden="1" customHeight="1">
      <c r="A4040" s="172"/>
    </row>
    <row r="4041" spans="1:1" s="173" customFormat="1" ht="12" hidden="1" customHeight="1">
      <c r="A4041" s="172"/>
    </row>
    <row r="4042" spans="1:1" s="173" customFormat="1" ht="12" hidden="1" customHeight="1">
      <c r="A4042" s="172"/>
    </row>
    <row r="4043" spans="1:1" s="173" customFormat="1" ht="12" hidden="1" customHeight="1">
      <c r="A4043" s="172"/>
    </row>
    <row r="4044" spans="1:1" s="173" customFormat="1" ht="12" hidden="1" customHeight="1">
      <c r="A4044" s="172"/>
    </row>
    <row r="4045" spans="1:1" s="173" customFormat="1" ht="12" hidden="1" customHeight="1">
      <c r="A4045" s="172"/>
    </row>
    <row r="4046" spans="1:1" s="173" customFormat="1" ht="12" hidden="1" customHeight="1">
      <c r="A4046" s="172"/>
    </row>
    <row r="4047" spans="1:1" s="173" customFormat="1" ht="12" hidden="1" customHeight="1">
      <c r="A4047" s="172"/>
    </row>
    <row r="4048" spans="1:1" s="173" customFormat="1" ht="12" hidden="1" customHeight="1">
      <c r="A4048" s="172"/>
    </row>
    <row r="4049" spans="1:1" s="173" customFormat="1" ht="12" hidden="1" customHeight="1">
      <c r="A4049" s="172"/>
    </row>
    <row r="4050" spans="1:1" s="173" customFormat="1" ht="12" hidden="1" customHeight="1">
      <c r="A4050" s="172"/>
    </row>
    <row r="4051" spans="1:1" s="173" customFormat="1" ht="12" hidden="1" customHeight="1">
      <c r="A4051" s="172"/>
    </row>
    <row r="4052" spans="1:1" s="173" customFormat="1" ht="12" hidden="1" customHeight="1">
      <c r="A4052" s="172"/>
    </row>
    <row r="4053" spans="1:1" s="173" customFormat="1" ht="12" hidden="1" customHeight="1">
      <c r="A4053" s="172"/>
    </row>
    <row r="4054" spans="1:1" s="173" customFormat="1" ht="12" hidden="1" customHeight="1">
      <c r="A4054" s="172"/>
    </row>
    <row r="4055" spans="1:1" s="173" customFormat="1" ht="12" hidden="1" customHeight="1">
      <c r="A4055" s="172"/>
    </row>
    <row r="4056" spans="1:1" s="173" customFormat="1" ht="12" hidden="1" customHeight="1">
      <c r="A4056" s="172"/>
    </row>
    <row r="4057" spans="1:1" s="173" customFormat="1" ht="12" hidden="1" customHeight="1">
      <c r="A4057" s="172"/>
    </row>
    <row r="4058" spans="1:1" s="173" customFormat="1" ht="12" hidden="1" customHeight="1">
      <c r="A4058" s="172"/>
    </row>
    <row r="4059" spans="1:1" s="173" customFormat="1" ht="12" hidden="1" customHeight="1">
      <c r="A4059" s="172"/>
    </row>
    <row r="4060" spans="1:1" s="173" customFormat="1" ht="12" hidden="1" customHeight="1">
      <c r="A4060" s="172"/>
    </row>
    <row r="4061" spans="1:1" s="173" customFormat="1" ht="12" hidden="1" customHeight="1">
      <c r="A4061" s="172"/>
    </row>
    <row r="4062" spans="1:1" s="173" customFormat="1" ht="12" hidden="1" customHeight="1">
      <c r="A4062" s="172"/>
    </row>
    <row r="4063" spans="1:1" s="173" customFormat="1" ht="12" hidden="1" customHeight="1">
      <c r="A4063" s="172"/>
    </row>
    <row r="4064" spans="1:1" s="173" customFormat="1" ht="12" hidden="1" customHeight="1">
      <c r="A4064" s="172"/>
    </row>
    <row r="4065" spans="1:1" s="173" customFormat="1" ht="12" hidden="1" customHeight="1">
      <c r="A4065" s="172"/>
    </row>
    <row r="4066" spans="1:1" s="173" customFormat="1" ht="12" hidden="1" customHeight="1">
      <c r="A4066" s="172"/>
    </row>
    <row r="4067" spans="1:1" s="173" customFormat="1" ht="12" hidden="1" customHeight="1">
      <c r="A4067" s="172"/>
    </row>
    <row r="4068" spans="1:1" s="173" customFormat="1" ht="12" hidden="1" customHeight="1">
      <c r="A4068" s="172"/>
    </row>
    <row r="4069" spans="1:1" s="173" customFormat="1" ht="12" hidden="1" customHeight="1">
      <c r="A4069" s="172"/>
    </row>
    <row r="4070" spans="1:1" s="173" customFormat="1" ht="12" hidden="1" customHeight="1">
      <c r="A4070" s="172"/>
    </row>
    <row r="4071" spans="1:1" s="173" customFormat="1" ht="12" hidden="1" customHeight="1">
      <c r="A4071" s="172"/>
    </row>
    <row r="4072" spans="1:1" s="173" customFormat="1" ht="12" hidden="1" customHeight="1">
      <c r="A4072" s="172"/>
    </row>
    <row r="4073" spans="1:1" s="173" customFormat="1" ht="12" hidden="1" customHeight="1">
      <c r="A4073" s="172"/>
    </row>
    <row r="4074" spans="1:1" s="173" customFormat="1" ht="12" hidden="1" customHeight="1">
      <c r="A4074" s="172"/>
    </row>
    <row r="4075" spans="1:1" s="173" customFormat="1" ht="12" hidden="1" customHeight="1">
      <c r="A4075" s="172"/>
    </row>
    <row r="4076" spans="1:1" s="173" customFormat="1" ht="12" hidden="1" customHeight="1">
      <c r="A4076" s="172"/>
    </row>
    <row r="4077" spans="1:1" s="173" customFormat="1" ht="12" hidden="1" customHeight="1">
      <c r="A4077" s="172"/>
    </row>
    <row r="4078" spans="1:1" s="173" customFormat="1" ht="12" hidden="1" customHeight="1">
      <c r="A4078" s="172"/>
    </row>
    <row r="4079" spans="1:1" s="173" customFormat="1" ht="12" hidden="1" customHeight="1">
      <c r="A4079" s="172"/>
    </row>
    <row r="4080" spans="1:1" s="173" customFormat="1" ht="12" hidden="1" customHeight="1">
      <c r="A4080" s="172"/>
    </row>
    <row r="4081" spans="1:1" s="173" customFormat="1" ht="12" hidden="1" customHeight="1">
      <c r="A4081" s="172"/>
    </row>
    <row r="4082" spans="1:1" s="173" customFormat="1" ht="12" hidden="1" customHeight="1">
      <c r="A4082" s="172"/>
    </row>
    <row r="4083" spans="1:1" s="173" customFormat="1" ht="12" hidden="1" customHeight="1">
      <c r="A4083" s="172"/>
    </row>
    <row r="4084" spans="1:1" s="173" customFormat="1" ht="12" hidden="1" customHeight="1">
      <c r="A4084" s="172"/>
    </row>
    <row r="4085" spans="1:1" s="173" customFormat="1" ht="12" hidden="1" customHeight="1">
      <c r="A4085" s="172"/>
    </row>
    <row r="4086" spans="1:1" s="173" customFormat="1" ht="12" hidden="1" customHeight="1">
      <c r="A4086" s="172"/>
    </row>
    <row r="4087" spans="1:1" s="173" customFormat="1" ht="12" hidden="1" customHeight="1">
      <c r="A4087" s="172"/>
    </row>
    <row r="4088" spans="1:1" s="173" customFormat="1" ht="12" hidden="1" customHeight="1">
      <c r="A4088" s="172"/>
    </row>
    <row r="4089" spans="1:1" s="173" customFormat="1" ht="12" hidden="1" customHeight="1">
      <c r="A4089" s="172"/>
    </row>
    <row r="4090" spans="1:1" s="173" customFormat="1" ht="12" hidden="1" customHeight="1">
      <c r="A4090" s="172"/>
    </row>
    <row r="4091" spans="1:1" s="173" customFormat="1" ht="12" hidden="1" customHeight="1">
      <c r="A4091" s="172"/>
    </row>
    <row r="4092" spans="1:1" s="173" customFormat="1" ht="12" hidden="1" customHeight="1">
      <c r="A4092" s="172"/>
    </row>
    <row r="4093" spans="1:1" s="173" customFormat="1" ht="12" hidden="1" customHeight="1">
      <c r="A4093" s="172"/>
    </row>
    <row r="4094" spans="1:1" s="173" customFormat="1" ht="12" hidden="1" customHeight="1">
      <c r="A4094" s="172"/>
    </row>
    <row r="4095" spans="1:1" s="173" customFormat="1" ht="12" hidden="1" customHeight="1">
      <c r="A4095" s="172"/>
    </row>
    <row r="4096" spans="1:1" s="173" customFormat="1" ht="12" hidden="1" customHeight="1">
      <c r="A4096" s="172"/>
    </row>
    <row r="4097" spans="1:1" s="173" customFormat="1" ht="12" hidden="1" customHeight="1">
      <c r="A4097" s="172"/>
    </row>
    <row r="4098" spans="1:1" s="173" customFormat="1" ht="12" hidden="1" customHeight="1">
      <c r="A4098" s="172"/>
    </row>
    <row r="4099" spans="1:1" s="173" customFormat="1" ht="12" hidden="1" customHeight="1">
      <c r="A4099" s="172"/>
    </row>
    <row r="4100" spans="1:1" s="173" customFormat="1" ht="12" hidden="1" customHeight="1">
      <c r="A4100" s="172"/>
    </row>
    <row r="4101" spans="1:1" s="173" customFormat="1" ht="12" hidden="1" customHeight="1">
      <c r="A4101" s="172"/>
    </row>
    <row r="4102" spans="1:1" s="173" customFormat="1" ht="12" hidden="1" customHeight="1">
      <c r="A4102" s="172"/>
    </row>
    <row r="4103" spans="1:1" s="173" customFormat="1" ht="12" hidden="1" customHeight="1">
      <c r="A4103" s="172"/>
    </row>
    <row r="4104" spans="1:1" s="173" customFormat="1" ht="12" hidden="1" customHeight="1">
      <c r="A4104" s="172"/>
    </row>
    <row r="4105" spans="1:1" s="173" customFormat="1" ht="12" hidden="1" customHeight="1">
      <c r="A4105" s="172"/>
    </row>
    <row r="4106" spans="1:1" s="173" customFormat="1" ht="12" hidden="1" customHeight="1">
      <c r="A4106" s="172"/>
    </row>
    <row r="4107" spans="1:1" s="173" customFormat="1" ht="12" hidden="1" customHeight="1">
      <c r="A4107" s="172"/>
    </row>
    <row r="4108" spans="1:1" s="173" customFormat="1" ht="12" hidden="1" customHeight="1">
      <c r="A4108" s="172"/>
    </row>
    <row r="4109" spans="1:1" s="173" customFormat="1" ht="12" hidden="1" customHeight="1">
      <c r="A4109" s="172"/>
    </row>
    <row r="4110" spans="1:1" s="173" customFormat="1" ht="12" hidden="1" customHeight="1">
      <c r="A4110" s="172"/>
    </row>
    <row r="4111" spans="1:1" s="173" customFormat="1" ht="12" hidden="1" customHeight="1">
      <c r="A4111" s="172"/>
    </row>
    <row r="4112" spans="1:1" s="173" customFormat="1" ht="12" hidden="1" customHeight="1">
      <c r="A4112" s="172"/>
    </row>
    <row r="4113" spans="1:1" s="173" customFormat="1" ht="12" hidden="1" customHeight="1">
      <c r="A4113" s="172"/>
    </row>
    <row r="4114" spans="1:1" s="173" customFormat="1" ht="12" hidden="1" customHeight="1">
      <c r="A4114" s="172"/>
    </row>
    <row r="4115" spans="1:1" s="173" customFormat="1" ht="12" hidden="1" customHeight="1">
      <c r="A4115" s="172"/>
    </row>
    <row r="4116" spans="1:1" s="173" customFormat="1" ht="12" hidden="1" customHeight="1">
      <c r="A4116" s="172"/>
    </row>
    <row r="4117" spans="1:1" s="173" customFormat="1" ht="12" hidden="1" customHeight="1">
      <c r="A4117" s="172"/>
    </row>
    <row r="4118" spans="1:1" s="173" customFormat="1" ht="12" hidden="1" customHeight="1">
      <c r="A4118" s="172"/>
    </row>
    <row r="4119" spans="1:1" s="173" customFormat="1" ht="12" hidden="1" customHeight="1">
      <c r="A4119" s="172"/>
    </row>
    <row r="4120" spans="1:1" s="173" customFormat="1" ht="12" hidden="1" customHeight="1">
      <c r="A4120" s="172"/>
    </row>
    <row r="4121" spans="1:1" s="173" customFormat="1" ht="12" hidden="1" customHeight="1">
      <c r="A4121" s="172"/>
    </row>
    <row r="4122" spans="1:1" s="173" customFormat="1" ht="12" hidden="1" customHeight="1">
      <c r="A4122" s="172"/>
    </row>
    <row r="4123" spans="1:1" s="173" customFormat="1" ht="12" hidden="1" customHeight="1">
      <c r="A4123" s="172"/>
    </row>
    <row r="4124" spans="1:1" s="173" customFormat="1" ht="12" hidden="1" customHeight="1">
      <c r="A4124" s="172"/>
    </row>
    <row r="4125" spans="1:1" s="173" customFormat="1" ht="12" hidden="1" customHeight="1">
      <c r="A4125" s="172"/>
    </row>
    <row r="4126" spans="1:1" s="173" customFormat="1" ht="12" hidden="1" customHeight="1">
      <c r="A4126" s="172"/>
    </row>
    <row r="4127" spans="1:1" s="173" customFormat="1" ht="12" hidden="1" customHeight="1">
      <c r="A4127" s="172"/>
    </row>
    <row r="4128" spans="1:1" s="173" customFormat="1" ht="12" hidden="1" customHeight="1">
      <c r="A4128" s="172"/>
    </row>
    <row r="4129" spans="1:1" s="173" customFormat="1" ht="12" hidden="1" customHeight="1">
      <c r="A4129" s="172"/>
    </row>
    <row r="4130" spans="1:1" s="173" customFormat="1" ht="12" hidden="1" customHeight="1">
      <c r="A4130" s="172"/>
    </row>
    <row r="4131" spans="1:1" s="173" customFormat="1" ht="12" hidden="1" customHeight="1">
      <c r="A4131" s="172"/>
    </row>
    <row r="4132" spans="1:1" s="173" customFormat="1" ht="12" hidden="1" customHeight="1">
      <c r="A4132" s="172"/>
    </row>
    <row r="4133" spans="1:1" s="173" customFormat="1" ht="12" hidden="1" customHeight="1">
      <c r="A4133" s="172"/>
    </row>
    <row r="4134" spans="1:1" s="173" customFormat="1" ht="12" hidden="1" customHeight="1">
      <c r="A4134" s="172"/>
    </row>
    <row r="4135" spans="1:1" s="173" customFormat="1" ht="12" hidden="1" customHeight="1">
      <c r="A4135" s="172"/>
    </row>
    <row r="4136" spans="1:1" s="173" customFormat="1" ht="12" hidden="1" customHeight="1">
      <c r="A4136" s="172"/>
    </row>
    <row r="4137" spans="1:1" s="173" customFormat="1" ht="12" hidden="1" customHeight="1">
      <c r="A4137" s="172"/>
    </row>
    <row r="4138" spans="1:1" s="173" customFormat="1" ht="12" hidden="1" customHeight="1">
      <c r="A4138" s="172"/>
    </row>
    <row r="4139" spans="1:1" s="173" customFormat="1" ht="12" hidden="1" customHeight="1">
      <c r="A4139" s="172"/>
    </row>
    <row r="4140" spans="1:1" s="173" customFormat="1" ht="12" hidden="1" customHeight="1">
      <c r="A4140" s="172"/>
    </row>
    <row r="4141" spans="1:1" s="173" customFormat="1" ht="12" hidden="1" customHeight="1">
      <c r="A4141" s="172"/>
    </row>
    <row r="4142" spans="1:1" s="173" customFormat="1" ht="12" hidden="1" customHeight="1">
      <c r="A4142" s="172"/>
    </row>
    <row r="4143" spans="1:1" s="173" customFormat="1" ht="12" hidden="1" customHeight="1">
      <c r="A4143" s="172"/>
    </row>
    <row r="4144" spans="1:1" s="173" customFormat="1" ht="12" hidden="1" customHeight="1">
      <c r="A4144" s="172"/>
    </row>
    <row r="4145" spans="1:1" s="173" customFormat="1" ht="12" hidden="1" customHeight="1">
      <c r="A4145" s="172"/>
    </row>
    <row r="4146" spans="1:1" s="173" customFormat="1" ht="12" hidden="1" customHeight="1">
      <c r="A4146" s="172"/>
    </row>
    <row r="4147" spans="1:1" s="173" customFormat="1" ht="12" hidden="1" customHeight="1">
      <c r="A4147" s="172"/>
    </row>
    <row r="4148" spans="1:1" s="173" customFormat="1" ht="12" hidden="1" customHeight="1">
      <c r="A4148" s="172"/>
    </row>
    <row r="4149" spans="1:1" s="173" customFormat="1" ht="12" hidden="1" customHeight="1">
      <c r="A4149" s="172"/>
    </row>
    <row r="4150" spans="1:1" s="173" customFormat="1" ht="12" hidden="1" customHeight="1">
      <c r="A4150" s="172"/>
    </row>
    <row r="4151" spans="1:1" s="173" customFormat="1" ht="12" hidden="1" customHeight="1">
      <c r="A4151" s="172"/>
    </row>
    <row r="4152" spans="1:1" s="173" customFormat="1" ht="12" hidden="1" customHeight="1">
      <c r="A4152" s="172"/>
    </row>
    <row r="4153" spans="1:1" s="173" customFormat="1" ht="12" hidden="1" customHeight="1">
      <c r="A4153" s="172"/>
    </row>
    <row r="4154" spans="1:1" s="173" customFormat="1" ht="12" hidden="1" customHeight="1">
      <c r="A4154" s="172"/>
    </row>
    <row r="4155" spans="1:1" s="173" customFormat="1" ht="12" hidden="1" customHeight="1">
      <c r="A4155" s="172"/>
    </row>
    <row r="4156" spans="1:1" s="173" customFormat="1" ht="12" hidden="1" customHeight="1">
      <c r="A4156" s="172"/>
    </row>
    <row r="4157" spans="1:1" s="173" customFormat="1" ht="12" hidden="1" customHeight="1">
      <c r="A4157" s="172"/>
    </row>
    <row r="4158" spans="1:1" s="173" customFormat="1" ht="12" hidden="1" customHeight="1">
      <c r="A4158" s="172"/>
    </row>
    <row r="4159" spans="1:1" s="173" customFormat="1" ht="12" hidden="1" customHeight="1">
      <c r="A4159" s="172"/>
    </row>
    <row r="4160" spans="1:1" s="173" customFormat="1" ht="12" hidden="1" customHeight="1">
      <c r="A4160" s="172"/>
    </row>
    <row r="4161" spans="1:1" s="173" customFormat="1" ht="12" hidden="1" customHeight="1">
      <c r="A4161" s="172"/>
    </row>
    <row r="4162" spans="1:1" s="173" customFormat="1" ht="12" hidden="1" customHeight="1">
      <c r="A4162" s="172"/>
    </row>
    <row r="4163" spans="1:1" s="173" customFormat="1" ht="12" hidden="1" customHeight="1">
      <c r="A4163" s="172"/>
    </row>
    <row r="4164" spans="1:1" s="173" customFormat="1" ht="12" hidden="1" customHeight="1">
      <c r="A4164" s="172"/>
    </row>
    <row r="4165" spans="1:1" s="173" customFormat="1" ht="12" hidden="1" customHeight="1">
      <c r="A4165" s="172"/>
    </row>
    <row r="4166" spans="1:1" s="173" customFormat="1" ht="12" hidden="1" customHeight="1">
      <c r="A4166" s="172"/>
    </row>
    <row r="4167" spans="1:1" s="173" customFormat="1" ht="12" hidden="1" customHeight="1">
      <c r="A4167" s="172"/>
    </row>
    <row r="4168" spans="1:1" s="173" customFormat="1" ht="12" hidden="1" customHeight="1">
      <c r="A4168" s="172"/>
    </row>
    <row r="4169" spans="1:1" s="173" customFormat="1" ht="12" hidden="1" customHeight="1">
      <c r="A4169" s="172"/>
    </row>
    <row r="4170" spans="1:1" s="173" customFormat="1" ht="12" hidden="1" customHeight="1">
      <c r="A4170" s="172"/>
    </row>
    <row r="4171" spans="1:1" s="173" customFormat="1" ht="12" hidden="1" customHeight="1">
      <c r="A4171" s="172"/>
    </row>
    <row r="4172" spans="1:1" s="173" customFormat="1" ht="12" hidden="1" customHeight="1">
      <c r="A4172" s="172"/>
    </row>
    <row r="4173" spans="1:1" s="173" customFormat="1" ht="12" hidden="1" customHeight="1">
      <c r="A4173" s="172"/>
    </row>
    <row r="4174" spans="1:1" s="173" customFormat="1" ht="12" hidden="1" customHeight="1">
      <c r="A4174" s="172"/>
    </row>
    <row r="4175" spans="1:1" s="173" customFormat="1" ht="12" hidden="1" customHeight="1">
      <c r="A4175" s="172"/>
    </row>
    <row r="4176" spans="1:1" s="173" customFormat="1" ht="12" hidden="1" customHeight="1">
      <c r="A4176" s="172"/>
    </row>
    <row r="4177" spans="1:1" s="173" customFormat="1" ht="12" hidden="1" customHeight="1">
      <c r="A4177" s="172"/>
    </row>
    <row r="4178" spans="1:1" s="173" customFormat="1" ht="12" hidden="1" customHeight="1">
      <c r="A4178" s="172"/>
    </row>
    <row r="4179" spans="1:1" s="173" customFormat="1" ht="12" hidden="1" customHeight="1">
      <c r="A4179" s="172"/>
    </row>
    <row r="4180" spans="1:1" s="173" customFormat="1" ht="12" hidden="1" customHeight="1">
      <c r="A4180" s="172"/>
    </row>
    <row r="4181" spans="1:1" s="173" customFormat="1" ht="12" hidden="1" customHeight="1">
      <c r="A4181" s="172"/>
    </row>
    <row r="4182" spans="1:1" s="173" customFormat="1" ht="12" hidden="1" customHeight="1">
      <c r="A4182" s="172"/>
    </row>
    <row r="4183" spans="1:1" s="173" customFormat="1" ht="12" hidden="1" customHeight="1">
      <c r="A4183" s="172"/>
    </row>
    <row r="4184" spans="1:1" s="173" customFormat="1" ht="12" hidden="1" customHeight="1">
      <c r="A4184" s="172"/>
    </row>
    <row r="4185" spans="1:1" s="173" customFormat="1" ht="12" hidden="1" customHeight="1">
      <c r="A4185" s="172"/>
    </row>
    <row r="4186" spans="1:1" s="173" customFormat="1" ht="12" hidden="1" customHeight="1">
      <c r="A4186" s="172"/>
    </row>
    <row r="4187" spans="1:1" s="173" customFormat="1" ht="12" hidden="1" customHeight="1">
      <c r="A4187" s="172"/>
    </row>
    <row r="4188" spans="1:1" s="173" customFormat="1" ht="12" hidden="1" customHeight="1">
      <c r="A4188" s="172"/>
    </row>
    <row r="4189" spans="1:1" s="173" customFormat="1" ht="12" hidden="1" customHeight="1">
      <c r="A4189" s="172"/>
    </row>
    <row r="4190" spans="1:1" s="173" customFormat="1" ht="12" hidden="1" customHeight="1">
      <c r="A4190" s="172"/>
    </row>
    <row r="4191" spans="1:1" s="173" customFormat="1" ht="12" hidden="1" customHeight="1">
      <c r="A4191" s="172"/>
    </row>
    <row r="4192" spans="1:1" s="173" customFormat="1" ht="12" hidden="1" customHeight="1">
      <c r="A4192" s="172"/>
    </row>
    <row r="4193" spans="1:1" s="173" customFormat="1" ht="12" hidden="1" customHeight="1">
      <c r="A4193" s="172"/>
    </row>
    <row r="4194" spans="1:1" s="173" customFormat="1" ht="12" hidden="1" customHeight="1">
      <c r="A4194" s="172"/>
    </row>
    <row r="4195" spans="1:1" s="173" customFormat="1" ht="12" hidden="1" customHeight="1">
      <c r="A4195" s="172"/>
    </row>
    <row r="4196" spans="1:1" s="173" customFormat="1" ht="12" hidden="1" customHeight="1">
      <c r="A4196" s="172"/>
    </row>
    <row r="4197" spans="1:1" s="173" customFormat="1" ht="12" hidden="1" customHeight="1">
      <c r="A4197" s="172"/>
    </row>
    <row r="4198" spans="1:1" s="173" customFormat="1" ht="12" hidden="1" customHeight="1">
      <c r="A4198" s="172"/>
    </row>
    <row r="4199" spans="1:1" s="173" customFormat="1" ht="12" hidden="1" customHeight="1">
      <c r="A4199" s="172"/>
    </row>
    <row r="4200" spans="1:1" s="173" customFormat="1" ht="12" hidden="1" customHeight="1">
      <c r="A4200" s="172"/>
    </row>
    <row r="4201" spans="1:1" s="173" customFormat="1" ht="12" hidden="1" customHeight="1">
      <c r="A4201" s="172"/>
    </row>
    <row r="4202" spans="1:1" s="173" customFormat="1" ht="12" hidden="1" customHeight="1">
      <c r="A4202" s="172"/>
    </row>
    <row r="4203" spans="1:1" s="173" customFormat="1" ht="12" hidden="1" customHeight="1">
      <c r="A4203" s="172"/>
    </row>
    <row r="4204" spans="1:1" s="173" customFormat="1" ht="12" hidden="1" customHeight="1">
      <c r="A4204" s="172"/>
    </row>
    <row r="4205" spans="1:1" s="173" customFormat="1" ht="12" hidden="1" customHeight="1">
      <c r="A4205" s="172"/>
    </row>
    <row r="4206" spans="1:1" s="173" customFormat="1" ht="12" hidden="1" customHeight="1">
      <c r="A4206" s="172"/>
    </row>
    <row r="4207" spans="1:1" s="173" customFormat="1" ht="12" hidden="1" customHeight="1">
      <c r="A4207" s="172"/>
    </row>
    <row r="4208" spans="1:1" s="173" customFormat="1" ht="12" hidden="1" customHeight="1">
      <c r="A4208" s="172"/>
    </row>
    <row r="4209" spans="1:1" s="173" customFormat="1" ht="12" hidden="1" customHeight="1">
      <c r="A4209" s="172"/>
    </row>
    <row r="4210" spans="1:1" s="173" customFormat="1" ht="12" hidden="1" customHeight="1">
      <c r="A4210" s="172"/>
    </row>
    <row r="4211" spans="1:1" s="173" customFormat="1" ht="12" hidden="1" customHeight="1">
      <c r="A4211" s="172"/>
    </row>
    <row r="4212" spans="1:1" s="173" customFormat="1" ht="12" hidden="1" customHeight="1">
      <c r="A4212" s="172"/>
    </row>
    <row r="4213" spans="1:1" s="173" customFormat="1" ht="12" hidden="1" customHeight="1">
      <c r="A4213" s="172"/>
    </row>
    <row r="4214" spans="1:1" s="173" customFormat="1" ht="12" hidden="1" customHeight="1">
      <c r="A4214" s="172"/>
    </row>
    <row r="4215" spans="1:1" s="173" customFormat="1" ht="12" hidden="1" customHeight="1">
      <c r="A4215" s="172"/>
    </row>
    <row r="4216" spans="1:1" s="173" customFormat="1" ht="12" hidden="1" customHeight="1">
      <c r="A4216" s="172"/>
    </row>
    <row r="4217" spans="1:1" s="173" customFormat="1" ht="12" hidden="1" customHeight="1">
      <c r="A4217" s="172"/>
    </row>
    <row r="4218" spans="1:1" s="173" customFormat="1" ht="12" hidden="1" customHeight="1">
      <c r="A4218" s="172"/>
    </row>
    <row r="4219" spans="1:1" s="173" customFormat="1" ht="12" hidden="1" customHeight="1">
      <c r="A4219" s="172"/>
    </row>
    <row r="4220" spans="1:1" s="173" customFormat="1" ht="12" hidden="1" customHeight="1">
      <c r="A4220" s="172"/>
    </row>
    <row r="4221" spans="1:1" s="173" customFormat="1" ht="12" hidden="1" customHeight="1">
      <c r="A4221" s="172"/>
    </row>
    <row r="4222" spans="1:1" s="173" customFormat="1" ht="12" hidden="1" customHeight="1">
      <c r="A4222" s="172"/>
    </row>
    <row r="4223" spans="1:1" s="173" customFormat="1" ht="12" hidden="1" customHeight="1">
      <c r="A4223" s="172"/>
    </row>
    <row r="4224" spans="1:1" s="173" customFormat="1" ht="12" hidden="1" customHeight="1">
      <c r="A4224" s="172"/>
    </row>
    <row r="4225" spans="1:1" s="173" customFormat="1" ht="12" hidden="1" customHeight="1">
      <c r="A4225" s="172"/>
    </row>
    <row r="4226" spans="1:1" s="173" customFormat="1" ht="12" hidden="1" customHeight="1">
      <c r="A4226" s="172"/>
    </row>
    <row r="4227" spans="1:1" s="173" customFormat="1" ht="12" hidden="1" customHeight="1">
      <c r="A4227" s="172"/>
    </row>
    <row r="4228" spans="1:1" s="173" customFormat="1" ht="12" hidden="1" customHeight="1">
      <c r="A4228" s="172"/>
    </row>
    <row r="4229" spans="1:1" s="173" customFormat="1" ht="12" hidden="1" customHeight="1">
      <c r="A4229" s="172"/>
    </row>
    <row r="4230" spans="1:1" s="173" customFormat="1" ht="12" hidden="1" customHeight="1">
      <c r="A4230" s="172"/>
    </row>
    <row r="4231" spans="1:1" s="173" customFormat="1" ht="12" hidden="1" customHeight="1">
      <c r="A4231" s="172"/>
    </row>
    <row r="4232" spans="1:1" s="173" customFormat="1" ht="12" hidden="1" customHeight="1">
      <c r="A4232" s="172"/>
    </row>
    <row r="4233" spans="1:1" s="173" customFormat="1" ht="12" hidden="1" customHeight="1">
      <c r="A4233" s="172"/>
    </row>
    <row r="4234" spans="1:1" s="173" customFormat="1" ht="12" hidden="1" customHeight="1">
      <c r="A4234" s="172"/>
    </row>
    <row r="4235" spans="1:1" s="173" customFormat="1" ht="12" hidden="1" customHeight="1">
      <c r="A4235" s="172"/>
    </row>
    <row r="4236" spans="1:1" s="173" customFormat="1" ht="12" hidden="1" customHeight="1">
      <c r="A4236" s="172"/>
    </row>
    <row r="4237" spans="1:1" s="173" customFormat="1" ht="12" hidden="1" customHeight="1">
      <c r="A4237" s="172"/>
    </row>
    <row r="4238" spans="1:1" s="173" customFormat="1" ht="12" hidden="1" customHeight="1">
      <c r="A4238" s="172"/>
    </row>
    <row r="4239" spans="1:1" s="173" customFormat="1" ht="12" hidden="1" customHeight="1">
      <c r="A4239" s="172"/>
    </row>
    <row r="4240" spans="1:1" s="173" customFormat="1" ht="12" hidden="1" customHeight="1">
      <c r="A4240" s="172"/>
    </row>
    <row r="4241" spans="1:1" s="173" customFormat="1" ht="12" hidden="1" customHeight="1">
      <c r="A4241" s="172"/>
    </row>
    <row r="4242" spans="1:1" s="173" customFormat="1" ht="12" hidden="1" customHeight="1">
      <c r="A4242" s="172"/>
    </row>
    <row r="4243" spans="1:1" s="173" customFormat="1" ht="12" hidden="1" customHeight="1">
      <c r="A4243" s="172"/>
    </row>
    <row r="4244" spans="1:1" s="173" customFormat="1" ht="12" hidden="1" customHeight="1">
      <c r="A4244" s="172"/>
    </row>
    <row r="4245" spans="1:1" s="173" customFormat="1" ht="12" hidden="1" customHeight="1">
      <c r="A4245" s="172"/>
    </row>
    <row r="4246" spans="1:1" s="173" customFormat="1" ht="12" hidden="1" customHeight="1">
      <c r="A4246" s="172"/>
    </row>
    <row r="4247" spans="1:1" s="173" customFormat="1" ht="12" hidden="1" customHeight="1">
      <c r="A4247" s="172"/>
    </row>
    <row r="4248" spans="1:1" s="173" customFormat="1" ht="12" hidden="1" customHeight="1">
      <c r="A4248" s="172"/>
    </row>
    <row r="4249" spans="1:1" s="173" customFormat="1" ht="12" hidden="1" customHeight="1">
      <c r="A4249" s="172"/>
    </row>
    <row r="4250" spans="1:1" s="173" customFormat="1" ht="12" hidden="1" customHeight="1">
      <c r="A4250" s="172"/>
    </row>
    <row r="4251" spans="1:1" s="173" customFormat="1" ht="12" hidden="1" customHeight="1">
      <c r="A4251" s="172"/>
    </row>
    <row r="4252" spans="1:1" s="173" customFormat="1" ht="12" hidden="1" customHeight="1">
      <c r="A4252" s="172"/>
    </row>
    <row r="4253" spans="1:1" s="173" customFormat="1" ht="12" hidden="1" customHeight="1">
      <c r="A4253" s="172"/>
    </row>
    <row r="4254" spans="1:1" s="173" customFormat="1" ht="12" hidden="1" customHeight="1">
      <c r="A4254" s="172"/>
    </row>
    <row r="4255" spans="1:1" s="173" customFormat="1" ht="12" hidden="1" customHeight="1">
      <c r="A4255" s="172"/>
    </row>
    <row r="4256" spans="1:1" s="173" customFormat="1" ht="12" hidden="1" customHeight="1">
      <c r="A4256" s="172"/>
    </row>
    <row r="4257" spans="1:1" s="173" customFormat="1" ht="12" hidden="1" customHeight="1">
      <c r="A4257" s="172"/>
    </row>
    <row r="4258" spans="1:1" s="173" customFormat="1" ht="12" hidden="1" customHeight="1">
      <c r="A4258" s="172"/>
    </row>
    <row r="4259" spans="1:1" s="173" customFormat="1" ht="12" hidden="1" customHeight="1">
      <c r="A4259" s="172"/>
    </row>
    <row r="4260" spans="1:1" s="173" customFormat="1" ht="12" hidden="1" customHeight="1">
      <c r="A4260" s="172"/>
    </row>
    <row r="4261" spans="1:1" s="173" customFormat="1" ht="12" hidden="1" customHeight="1">
      <c r="A4261" s="172"/>
    </row>
    <row r="4262" spans="1:1" s="173" customFormat="1" ht="12" hidden="1" customHeight="1">
      <c r="A4262" s="172"/>
    </row>
    <row r="4263" spans="1:1" s="173" customFormat="1" ht="12" hidden="1" customHeight="1">
      <c r="A4263" s="172"/>
    </row>
    <row r="4264" spans="1:1" s="173" customFormat="1" ht="12" hidden="1" customHeight="1">
      <c r="A4264" s="172"/>
    </row>
    <row r="4265" spans="1:1" s="173" customFormat="1" ht="12" hidden="1" customHeight="1">
      <c r="A4265" s="172"/>
    </row>
    <row r="4266" spans="1:1" s="173" customFormat="1" ht="12" hidden="1" customHeight="1">
      <c r="A4266" s="172"/>
    </row>
    <row r="4267" spans="1:1" s="173" customFormat="1" ht="12" hidden="1" customHeight="1">
      <c r="A4267" s="172"/>
    </row>
    <row r="4268" spans="1:1" s="173" customFormat="1" ht="12" hidden="1" customHeight="1">
      <c r="A4268" s="172"/>
    </row>
    <row r="4269" spans="1:1" s="173" customFormat="1" ht="12" hidden="1" customHeight="1">
      <c r="A4269" s="172"/>
    </row>
    <row r="4270" spans="1:1" s="173" customFormat="1" ht="12" hidden="1" customHeight="1">
      <c r="A4270" s="172"/>
    </row>
    <row r="4271" spans="1:1" s="173" customFormat="1" ht="12" hidden="1" customHeight="1">
      <c r="A4271" s="172"/>
    </row>
    <row r="4272" spans="1:1" s="173" customFormat="1" ht="12" hidden="1" customHeight="1">
      <c r="A4272" s="172"/>
    </row>
    <row r="4273" spans="1:1" s="173" customFormat="1" ht="12" hidden="1" customHeight="1">
      <c r="A4273" s="172"/>
    </row>
    <row r="4274" spans="1:1" s="173" customFormat="1" ht="12" hidden="1" customHeight="1">
      <c r="A4274" s="172"/>
    </row>
    <row r="4275" spans="1:1" s="173" customFormat="1" ht="12" hidden="1" customHeight="1">
      <c r="A4275" s="172"/>
    </row>
    <row r="4276" spans="1:1" s="173" customFormat="1" ht="12" hidden="1" customHeight="1">
      <c r="A4276" s="172"/>
    </row>
    <row r="4277" spans="1:1" s="173" customFormat="1" ht="12" hidden="1" customHeight="1">
      <c r="A4277" s="172"/>
    </row>
    <row r="4278" spans="1:1" s="173" customFormat="1" ht="12" hidden="1" customHeight="1">
      <c r="A4278" s="172"/>
    </row>
    <row r="4279" spans="1:1" s="173" customFormat="1" ht="12" hidden="1" customHeight="1">
      <c r="A4279" s="172"/>
    </row>
    <row r="4280" spans="1:1" s="173" customFormat="1" ht="12" hidden="1" customHeight="1">
      <c r="A4280" s="172"/>
    </row>
    <row r="4281" spans="1:1" s="173" customFormat="1" ht="12" hidden="1" customHeight="1">
      <c r="A4281" s="172"/>
    </row>
    <row r="4282" spans="1:1" s="173" customFormat="1" ht="12" hidden="1" customHeight="1">
      <c r="A4282" s="172"/>
    </row>
    <row r="4283" spans="1:1" s="173" customFormat="1" ht="12" hidden="1" customHeight="1">
      <c r="A4283" s="172"/>
    </row>
    <row r="4284" spans="1:1" s="173" customFormat="1" ht="12" hidden="1" customHeight="1">
      <c r="A4284" s="172"/>
    </row>
    <row r="4285" spans="1:1" s="173" customFormat="1" ht="12" hidden="1" customHeight="1">
      <c r="A4285" s="172"/>
    </row>
    <row r="4286" spans="1:1" s="173" customFormat="1" ht="12" hidden="1" customHeight="1">
      <c r="A4286" s="172"/>
    </row>
    <row r="4287" spans="1:1" s="173" customFormat="1" ht="12" hidden="1" customHeight="1">
      <c r="A4287" s="172"/>
    </row>
    <row r="4288" spans="1:1" s="173" customFormat="1" ht="12" hidden="1" customHeight="1">
      <c r="A4288" s="172"/>
    </row>
    <row r="4289" spans="1:1" s="173" customFormat="1" ht="12" hidden="1" customHeight="1">
      <c r="A4289" s="172"/>
    </row>
    <row r="4290" spans="1:1" s="173" customFormat="1" ht="12" hidden="1" customHeight="1">
      <c r="A4290" s="172"/>
    </row>
    <row r="4291" spans="1:1" s="173" customFormat="1" ht="12" hidden="1" customHeight="1">
      <c r="A4291" s="172"/>
    </row>
    <row r="4292" spans="1:1" s="173" customFormat="1" ht="12" hidden="1" customHeight="1">
      <c r="A4292" s="172"/>
    </row>
    <row r="4293" spans="1:1" s="173" customFormat="1" ht="12" hidden="1" customHeight="1">
      <c r="A4293" s="172"/>
    </row>
    <row r="4294" spans="1:1" s="173" customFormat="1" ht="12" hidden="1" customHeight="1">
      <c r="A4294" s="172"/>
    </row>
    <row r="4295" spans="1:1" s="173" customFormat="1" ht="12" hidden="1" customHeight="1">
      <c r="A4295" s="172"/>
    </row>
    <row r="4296" spans="1:1" s="173" customFormat="1" ht="12" hidden="1" customHeight="1">
      <c r="A4296" s="172"/>
    </row>
    <row r="4297" spans="1:1" s="173" customFormat="1" ht="12" hidden="1" customHeight="1">
      <c r="A4297" s="172"/>
    </row>
    <row r="4298" spans="1:1" s="173" customFormat="1" ht="12" hidden="1" customHeight="1">
      <c r="A4298" s="172"/>
    </row>
    <row r="4299" spans="1:1" s="173" customFormat="1" ht="12" hidden="1" customHeight="1">
      <c r="A4299" s="172"/>
    </row>
    <row r="4300" spans="1:1" s="173" customFormat="1" ht="12" hidden="1" customHeight="1">
      <c r="A4300" s="172"/>
    </row>
    <row r="4301" spans="1:1" s="173" customFormat="1" ht="12" hidden="1" customHeight="1">
      <c r="A4301" s="172"/>
    </row>
    <row r="4302" spans="1:1" s="173" customFormat="1" ht="12" hidden="1" customHeight="1">
      <c r="A4302" s="172"/>
    </row>
    <row r="4303" spans="1:1" s="173" customFormat="1" ht="12" hidden="1" customHeight="1">
      <c r="A4303" s="172"/>
    </row>
    <row r="4304" spans="1:1" s="173" customFormat="1" ht="12" hidden="1" customHeight="1">
      <c r="A4304" s="172"/>
    </row>
    <row r="4305" spans="1:1" s="173" customFormat="1" ht="12" hidden="1" customHeight="1">
      <c r="A4305" s="172"/>
    </row>
    <row r="4306" spans="1:1" s="173" customFormat="1" ht="12" hidden="1" customHeight="1">
      <c r="A4306" s="172"/>
    </row>
    <row r="4307" spans="1:1" s="173" customFormat="1" ht="12" hidden="1" customHeight="1">
      <c r="A4307" s="172"/>
    </row>
    <row r="4308" spans="1:1" s="173" customFormat="1" ht="12" hidden="1" customHeight="1">
      <c r="A4308" s="172"/>
    </row>
    <row r="4309" spans="1:1" s="173" customFormat="1" ht="12" hidden="1" customHeight="1">
      <c r="A4309" s="172"/>
    </row>
    <row r="4310" spans="1:1" s="173" customFormat="1" ht="12" hidden="1" customHeight="1">
      <c r="A4310" s="172"/>
    </row>
    <row r="4311" spans="1:1" s="173" customFormat="1" ht="12" hidden="1" customHeight="1">
      <c r="A4311" s="172"/>
    </row>
    <row r="4312" spans="1:1" s="173" customFormat="1" ht="12" hidden="1" customHeight="1">
      <c r="A4312" s="172"/>
    </row>
    <row r="4313" spans="1:1" s="173" customFormat="1" ht="12" hidden="1" customHeight="1">
      <c r="A4313" s="172"/>
    </row>
    <row r="4314" spans="1:1" s="173" customFormat="1" ht="12" hidden="1" customHeight="1">
      <c r="A4314" s="172"/>
    </row>
    <row r="4315" spans="1:1" s="173" customFormat="1" ht="12" hidden="1" customHeight="1">
      <c r="A4315" s="172"/>
    </row>
    <row r="4316" spans="1:1" s="173" customFormat="1" ht="12" hidden="1" customHeight="1">
      <c r="A4316" s="172"/>
    </row>
    <row r="4317" spans="1:1" s="173" customFormat="1" ht="12" hidden="1" customHeight="1">
      <c r="A4317" s="172"/>
    </row>
    <row r="4318" spans="1:1" s="173" customFormat="1" ht="12" hidden="1" customHeight="1">
      <c r="A4318" s="172"/>
    </row>
    <row r="4319" spans="1:1" s="173" customFormat="1" ht="12" hidden="1" customHeight="1">
      <c r="A4319" s="172"/>
    </row>
    <row r="4320" spans="1:1" s="173" customFormat="1" ht="12" hidden="1" customHeight="1">
      <c r="A4320" s="172"/>
    </row>
    <row r="4321" spans="1:1" s="173" customFormat="1" ht="12" hidden="1" customHeight="1">
      <c r="A4321" s="172"/>
    </row>
    <row r="4322" spans="1:1" s="173" customFormat="1" ht="12" hidden="1" customHeight="1">
      <c r="A4322" s="172"/>
    </row>
    <row r="4323" spans="1:1" s="173" customFormat="1" ht="12" hidden="1" customHeight="1">
      <c r="A4323" s="172"/>
    </row>
    <row r="4324" spans="1:1" s="173" customFormat="1" ht="12" hidden="1" customHeight="1">
      <c r="A4324" s="172"/>
    </row>
    <row r="4325" spans="1:1" s="173" customFormat="1" ht="12" hidden="1" customHeight="1">
      <c r="A4325" s="172"/>
    </row>
    <row r="4326" spans="1:1" s="173" customFormat="1" ht="12" hidden="1" customHeight="1">
      <c r="A4326" s="172"/>
    </row>
    <row r="4327" spans="1:1" s="173" customFormat="1" ht="12" hidden="1" customHeight="1">
      <c r="A4327" s="172"/>
    </row>
    <row r="4328" spans="1:1" s="173" customFormat="1" ht="12" hidden="1" customHeight="1">
      <c r="A4328" s="172"/>
    </row>
    <row r="4329" spans="1:1" s="173" customFormat="1" ht="12" hidden="1" customHeight="1">
      <c r="A4329" s="172"/>
    </row>
    <row r="4330" spans="1:1" s="173" customFormat="1" ht="12" hidden="1" customHeight="1">
      <c r="A4330" s="172"/>
    </row>
    <row r="4331" spans="1:1" s="173" customFormat="1" ht="12" hidden="1" customHeight="1">
      <c r="A4331" s="172"/>
    </row>
    <row r="4332" spans="1:1" s="173" customFormat="1" ht="12" hidden="1" customHeight="1">
      <c r="A4332" s="172"/>
    </row>
    <row r="4333" spans="1:1" s="173" customFormat="1" ht="12" hidden="1" customHeight="1">
      <c r="A4333" s="172"/>
    </row>
    <row r="4334" spans="1:1" s="173" customFormat="1" ht="12" hidden="1" customHeight="1">
      <c r="A4334" s="172"/>
    </row>
    <row r="4335" spans="1:1" s="173" customFormat="1" ht="12" hidden="1" customHeight="1">
      <c r="A4335" s="172"/>
    </row>
    <row r="4336" spans="1:1" s="173" customFormat="1" ht="12" hidden="1" customHeight="1">
      <c r="A4336" s="172"/>
    </row>
    <row r="4337" spans="1:1" s="173" customFormat="1" ht="12" hidden="1" customHeight="1">
      <c r="A4337" s="172"/>
    </row>
    <row r="4338" spans="1:1" s="173" customFormat="1" ht="12" hidden="1" customHeight="1">
      <c r="A4338" s="172"/>
    </row>
    <row r="4339" spans="1:1" s="173" customFormat="1" ht="12" hidden="1" customHeight="1">
      <c r="A4339" s="172"/>
    </row>
    <row r="4340" spans="1:1" s="173" customFormat="1" ht="12" hidden="1" customHeight="1">
      <c r="A4340" s="172"/>
    </row>
    <row r="4341" spans="1:1" s="173" customFormat="1" ht="12" hidden="1" customHeight="1">
      <c r="A4341" s="172"/>
    </row>
    <row r="4342" spans="1:1" s="173" customFormat="1" ht="12" hidden="1" customHeight="1">
      <c r="A4342" s="172"/>
    </row>
    <row r="4343" spans="1:1" s="173" customFormat="1" ht="12" hidden="1" customHeight="1">
      <c r="A4343" s="172"/>
    </row>
    <row r="4344" spans="1:1" s="173" customFormat="1" ht="12" hidden="1" customHeight="1">
      <c r="A4344" s="172"/>
    </row>
    <row r="4345" spans="1:1" s="173" customFormat="1" ht="12" hidden="1" customHeight="1">
      <c r="A4345" s="172"/>
    </row>
    <row r="4346" spans="1:1" s="173" customFormat="1" ht="12" hidden="1" customHeight="1">
      <c r="A4346" s="172"/>
    </row>
    <row r="4347" spans="1:1" s="173" customFormat="1" ht="12" hidden="1" customHeight="1">
      <c r="A4347" s="172"/>
    </row>
    <row r="4348" spans="1:1" s="173" customFormat="1" ht="12" hidden="1" customHeight="1">
      <c r="A4348" s="172"/>
    </row>
    <row r="4349" spans="1:1" s="173" customFormat="1" ht="12" hidden="1" customHeight="1">
      <c r="A4349" s="172"/>
    </row>
    <row r="4350" spans="1:1" s="173" customFormat="1" ht="12" hidden="1" customHeight="1">
      <c r="A4350" s="172"/>
    </row>
    <row r="4351" spans="1:1" s="173" customFormat="1" ht="12" hidden="1" customHeight="1">
      <c r="A4351" s="172"/>
    </row>
    <row r="4352" spans="1:1" s="173" customFormat="1" ht="12" hidden="1" customHeight="1">
      <c r="A4352" s="172"/>
    </row>
    <row r="4353" spans="1:1" s="173" customFormat="1" ht="12" hidden="1" customHeight="1">
      <c r="A4353" s="172"/>
    </row>
    <row r="4354" spans="1:1" s="173" customFormat="1" ht="12" hidden="1" customHeight="1">
      <c r="A4354" s="172"/>
    </row>
    <row r="4355" spans="1:1" s="173" customFormat="1" ht="12" hidden="1" customHeight="1">
      <c r="A4355" s="172"/>
    </row>
    <row r="4356" spans="1:1" s="173" customFormat="1" ht="12" hidden="1" customHeight="1">
      <c r="A4356" s="172"/>
    </row>
    <row r="4357" spans="1:1" s="173" customFormat="1" ht="12" hidden="1" customHeight="1">
      <c r="A4357" s="172"/>
    </row>
    <row r="4358" spans="1:1" s="173" customFormat="1" ht="12" hidden="1" customHeight="1">
      <c r="A4358" s="172"/>
    </row>
    <row r="4359" spans="1:1" s="173" customFormat="1" ht="12" hidden="1" customHeight="1">
      <c r="A4359" s="172"/>
    </row>
    <row r="4360" spans="1:1" s="173" customFormat="1" ht="12" hidden="1" customHeight="1">
      <c r="A4360" s="172"/>
    </row>
    <row r="4361" spans="1:1" s="173" customFormat="1" ht="12" hidden="1" customHeight="1">
      <c r="A4361" s="172"/>
    </row>
    <row r="4362" spans="1:1" s="173" customFormat="1" ht="12" hidden="1" customHeight="1">
      <c r="A4362" s="172"/>
    </row>
    <row r="4363" spans="1:1" s="173" customFormat="1" ht="12" hidden="1" customHeight="1">
      <c r="A4363" s="172"/>
    </row>
    <row r="4364" spans="1:1" s="173" customFormat="1" ht="12" hidden="1" customHeight="1">
      <c r="A4364" s="172"/>
    </row>
    <row r="4365" spans="1:1" s="173" customFormat="1" ht="12" hidden="1" customHeight="1">
      <c r="A4365" s="172"/>
    </row>
    <row r="4366" spans="1:1" s="173" customFormat="1" ht="12" hidden="1" customHeight="1">
      <c r="A4366" s="172"/>
    </row>
    <row r="4367" spans="1:1" s="173" customFormat="1" ht="12" hidden="1" customHeight="1">
      <c r="A4367" s="172"/>
    </row>
    <row r="4368" spans="1:1" s="173" customFormat="1" ht="12" hidden="1" customHeight="1">
      <c r="A4368" s="172"/>
    </row>
    <row r="4369" spans="1:1" s="173" customFormat="1" ht="12" hidden="1" customHeight="1">
      <c r="A4369" s="172"/>
    </row>
    <row r="4370" spans="1:1" s="173" customFormat="1" ht="12" hidden="1" customHeight="1">
      <c r="A4370" s="172"/>
    </row>
    <row r="4371" spans="1:1" s="173" customFormat="1" ht="12" hidden="1" customHeight="1">
      <c r="A4371" s="172"/>
    </row>
    <row r="4372" spans="1:1" s="173" customFormat="1" ht="12" hidden="1" customHeight="1">
      <c r="A4372" s="172"/>
    </row>
    <row r="4373" spans="1:1" s="173" customFormat="1" ht="12" hidden="1" customHeight="1">
      <c r="A4373" s="172"/>
    </row>
    <row r="4374" spans="1:1" s="173" customFormat="1" ht="12" hidden="1" customHeight="1">
      <c r="A4374" s="172"/>
    </row>
    <row r="4375" spans="1:1" s="173" customFormat="1" ht="12" hidden="1" customHeight="1">
      <c r="A4375" s="172"/>
    </row>
    <row r="4376" spans="1:1" s="173" customFormat="1" ht="12" hidden="1" customHeight="1">
      <c r="A4376" s="172"/>
    </row>
    <row r="4377" spans="1:1" s="173" customFormat="1" ht="12" hidden="1" customHeight="1">
      <c r="A4377" s="172"/>
    </row>
    <row r="4378" spans="1:1" s="173" customFormat="1" ht="12" hidden="1" customHeight="1">
      <c r="A4378" s="172"/>
    </row>
    <row r="4379" spans="1:1" s="173" customFormat="1" ht="12" hidden="1" customHeight="1">
      <c r="A4379" s="172"/>
    </row>
    <row r="4380" spans="1:1" s="173" customFormat="1" ht="12" hidden="1" customHeight="1">
      <c r="A4380" s="172"/>
    </row>
    <row r="4381" spans="1:1" s="173" customFormat="1" ht="12" hidden="1" customHeight="1">
      <c r="A4381" s="172"/>
    </row>
    <row r="4382" spans="1:1" s="173" customFormat="1" ht="12" hidden="1" customHeight="1">
      <c r="A4382" s="172"/>
    </row>
    <row r="4383" spans="1:1" s="173" customFormat="1" ht="12" hidden="1" customHeight="1">
      <c r="A4383" s="172"/>
    </row>
    <row r="4384" spans="1:1" s="173" customFormat="1" ht="12" hidden="1" customHeight="1">
      <c r="A4384" s="172"/>
    </row>
    <row r="4385" spans="1:1" s="173" customFormat="1" ht="12" hidden="1" customHeight="1">
      <c r="A4385" s="172"/>
    </row>
    <row r="4386" spans="1:1" s="173" customFormat="1" ht="12" hidden="1" customHeight="1">
      <c r="A4386" s="172"/>
    </row>
    <row r="4387" spans="1:1" s="173" customFormat="1" ht="12" hidden="1" customHeight="1">
      <c r="A4387" s="172"/>
    </row>
    <row r="4388" spans="1:1" s="173" customFormat="1" ht="12" hidden="1" customHeight="1">
      <c r="A4388" s="172"/>
    </row>
    <row r="4389" spans="1:1" s="173" customFormat="1" ht="12" hidden="1" customHeight="1">
      <c r="A4389" s="172"/>
    </row>
    <row r="4390" spans="1:1" s="173" customFormat="1" ht="12" hidden="1" customHeight="1">
      <c r="A4390" s="172"/>
    </row>
    <row r="4391" spans="1:1" s="173" customFormat="1" ht="12" hidden="1" customHeight="1">
      <c r="A4391" s="172"/>
    </row>
    <row r="4392" spans="1:1" s="173" customFormat="1" ht="12" hidden="1" customHeight="1">
      <c r="A4392" s="172"/>
    </row>
    <row r="4393" spans="1:1" s="173" customFormat="1" ht="12" hidden="1" customHeight="1">
      <c r="A4393" s="172"/>
    </row>
    <row r="4394" spans="1:1" s="173" customFormat="1" ht="12" hidden="1" customHeight="1">
      <c r="A4394" s="172"/>
    </row>
    <row r="4395" spans="1:1" s="173" customFormat="1" ht="12" hidden="1" customHeight="1">
      <c r="A4395" s="172"/>
    </row>
    <row r="4396" spans="1:1" s="173" customFormat="1" ht="12" hidden="1" customHeight="1">
      <c r="A4396" s="172"/>
    </row>
    <row r="4397" spans="1:1" s="173" customFormat="1" ht="12" hidden="1" customHeight="1">
      <c r="A4397" s="172"/>
    </row>
    <row r="4398" spans="1:1" s="173" customFormat="1" ht="12" hidden="1" customHeight="1">
      <c r="A4398" s="172"/>
    </row>
    <row r="4399" spans="1:1" s="173" customFormat="1" ht="12" hidden="1" customHeight="1">
      <c r="A4399" s="172"/>
    </row>
    <row r="4400" spans="1:1" s="173" customFormat="1" ht="12" hidden="1" customHeight="1">
      <c r="A4400" s="172"/>
    </row>
    <row r="4401" spans="1:1" s="173" customFormat="1" ht="12" hidden="1" customHeight="1">
      <c r="A4401" s="172"/>
    </row>
    <row r="4402" spans="1:1" s="173" customFormat="1" ht="12" hidden="1" customHeight="1">
      <c r="A4402" s="172"/>
    </row>
    <row r="4403" spans="1:1" s="173" customFormat="1" ht="12" hidden="1" customHeight="1">
      <c r="A4403" s="172"/>
    </row>
    <row r="4404" spans="1:1" s="173" customFormat="1" ht="12" hidden="1" customHeight="1">
      <c r="A4404" s="172"/>
    </row>
    <row r="4405" spans="1:1" s="173" customFormat="1" ht="12" hidden="1" customHeight="1">
      <c r="A4405" s="172"/>
    </row>
    <row r="4406" spans="1:1" s="173" customFormat="1" ht="12" hidden="1" customHeight="1">
      <c r="A4406" s="172"/>
    </row>
    <row r="4407" spans="1:1" s="173" customFormat="1" ht="12" hidden="1" customHeight="1">
      <c r="A4407" s="172"/>
    </row>
    <row r="4408" spans="1:1" s="173" customFormat="1" ht="12" hidden="1" customHeight="1">
      <c r="A4408" s="172"/>
    </row>
    <row r="4409" spans="1:1" s="173" customFormat="1" ht="12" hidden="1" customHeight="1">
      <c r="A4409" s="172"/>
    </row>
    <row r="4410" spans="1:1" s="173" customFormat="1" ht="12" hidden="1" customHeight="1">
      <c r="A4410" s="172"/>
    </row>
    <row r="4411" spans="1:1" s="173" customFormat="1" ht="12" hidden="1" customHeight="1">
      <c r="A4411" s="172"/>
    </row>
    <row r="4412" spans="1:1" s="173" customFormat="1" ht="12" hidden="1" customHeight="1">
      <c r="A4412" s="172"/>
    </row>
    <row r="4413" spans="1:1" s="173" customFormat="1" ht="12" hidden="1" customHeight="1">
      <c r="A4413" s="172"/>
    </row>
    <row r="4414" spans="1:1" s="173" customFormat="1" ht="12" hidden="1" customHeight="1">
      <c r="A4414" s="172"/>
    </row>
    <row r="4415" spans="1:1" s="173" customFormat="1" ht="12" hidden="1" customHeight="1">
      <c r="A4415" s="172"/>
    </row>
    <row r="4416" spans="1:1" s="173" customFormat="1" ht="12" hidden="1" customHeight="1">
      <c r="A4416" s="172"/>
    </row>
    <row r="4417" spans="1:1" s="173" customFormat="1" ht="12" hidden="1" customHeight="1">
      <c r="A4417" s="172"/>
    </row>
    <row r="4418" spans="1:1" s="173" customFormat="1" ht="12" hidden="1" customHeight="1">
      <c r="A4418" s="172"/>
    </row>
    <row r="4419" spans="1:1" s="173" customFormat="1" ht="12" hidden="1" customHeight="1">
      <c r="A4419" s="172"/>
    </row>
    <row r="4420" spans="1:1" s="173" customFormat="1" ht="12" hidden="1" customHeight="1">
      <c r="A4420" s="172"/>
    </row>
    <row r="4421" spans="1:1" s="173" customFormat="1" ht="12" hidden="1" customHeight="1">
      <c r="A4421" s="172"/>
    </row>
    <row r="4422" spans="1:1" s="173" customFormat="1" ht="12" hidden="1" customHeight="1">
      <c r="A4422" s="172"/>
    </row>
    <row r="4423" spans="1:1" s="173" customFormat="1" ht="12" hidden="1" customHeight="1">
      <c r="A4423" s="172"/>
    </row>
    <row r="4424" spans="1:1" s="173" customFormat="1" ht="12" hidden="1" customHeight="1">
      <c r="A4424" s="172"/>
    </row>
    <row r="4425" spans="1:1" s="173" customFormat="1" ht="12" hidden="1" customHeight="1">
      <c r="A4425" s="172"/>
    </row>
    <row r="4426" spans="1:1" s="173" customFormat="1" ht="12" hidden="1" customHeight="1">
      <c r="A4426" s="172"/>
    </row>
    <row r="4427" spans="1:1" s="173" customFormat="1" ht="12" hidden="1" customHeight="1">
      <c r="A4427" s="172"/>
    </row>
    <row r="4428" spans="1:1" s="173" customFormat="1" ht="12" hidden="1" customHeight="1">
      <c r="A4428" s="172"/>
    </row>
    <row r="4429" spans="1:1" s="173" customFormat="1" ht="12" hidden="1" customHeight="1">
      <c r="A4429" s="172"/>
    </row>
    <row r="4430" spans="1:1" s="173" customFormat="1" ht="12" hidden="1" customHeight="1">
      <c r="A4430" s="172"/>
    </row>
    <row r="4431" spans="1:1" s="173" customFormat="1" ht="12" hidden="1" customHeight="1">
      <c r="A4431" s="172"/>
    </row>
    <row r="4432" spans="1:1" s="173" customFormat="1" ht="12" hidden="1" customHeight="1">
      <c r="A4432" s="172"/>
    </row>
    <row r="4433" spans="1:1" s="173" customFormat="1" ht="12" hidden="1" customHeight="1">
      <c r="A4433" s="172"/>
    </row>
    <row r="4434" spans="1:1" s="173" customFormat="1" ht="12" hidden="1" customHeight="1">
      <c r="A4434" s="172"/>
    </row>
    <row r="4435" spans="1:1" s="173" customFormat="1" ht="12" hidden="1" customHeight="1">
      <c r="A4435" s="172"/>
    </row>
    <row r="4436" spans="1:1" s="173" customFormat="1" ht="12" hidden="1" customHeight="1">
      <c r="A4436" s="172"/>
    </row>
    <row r="4437" spans="1:1" s="173" customFormat="1" ht="12" hidden="1" customHeight="1">
      <c r="A4437" s="172"/>
    </row>
    <row r="4438" spans="1:1" s="173" customFormat="1" ht="12" hidden="1" customHeight="1">
      <c r="A4438" s="172"/>
    </row>
    <row r="4439" spans="1:1" s="173" customFormat="1" ht="12" hidden="1" customHeight="1">
      <c r="A4439" s="172"/>
    </row>
    <row r="4440" spans="1:1" s="173" customFormat="1" ht="12" hidden="1" customHeight="1">
      <c r="A4440" s="172"/>
    </row>
    <row r="4441" spans="1:1" s="173" customFormat="1" ht="12" hidden="1" customHeight="1">
      <c r="A4441" s="172"/>
    </row>
    <row r="4442" spans="1:1" s="173" customFormat="1" ht="12" hidden="1" customHeight="1">
      <c r="A4442" s="172"/>
    </row>
    <row r="4443" spans="1:1" s="173" customFormat="1" ht="12" hidden="1" customHeight="1">
      <c r="A4443" s="172"/>
    </row>
    <row r="4444" spans="1:1" s="173" customFormat="1" ht="12" hidden="1" customHeight="1">
      <c r="A4444" s="172"/>
    </row>
    <row r="4445" spans="1:1" s="173" customFormat="1" ht="12" hidden="1" customHeight="1">
      <c r="A4445" s="172"/>
    </row>
    <row r="4446" spans="1:1" s="173" customFormat="1" ht="12" hidden="1" customHeight="1">
      <c r="A4446" s="172"/>
    </row>
    <row r="4447" spans="1:1" s="173" customFormat="1" ht="12" hidden="1" customHeight="1">
      <c r="A4447" s="172"/>
    </row>
    <row r="4448" spans="1:1" s="173" customFormat="1" ht="12" hidden="1" customHeight="1">
      <c r="A4448" s="172"/>
    </row>
    <row r="4449" spans="1:1" s="173" customFormat="1" ht="12" hidden="1" customHeight="1">
      <c r="A4449" s="172"/>
    </row>
    <row r="4450" spans="1:1" s="173" customFormat="1" ht="12" hidden="1" customHeight="1">
      <c r="A4450" s="172"/>
    </row>
    <row r="4451" spans="1:1" s="173" customFormat="1" ht="12" hidden="1" customHeight="1">
      <c r="A4451" s="172"/>
    </row>
    <row r="4452" spans="1:1" s="173" customFormat="1" ht="12" hidden="1" customHeight="1">
      <c r="A4452" s="172"/>
    </row>
    <row r="4453" spans="1:1" s="173" customFormat="1" ht="12" hidden="1" customHeight="1">
      <c r="A4453" s="172"/>
    </row>
    <row r="4454" spans="1:1" s="173" customFormat="1" ht="12" hidden="1" customHeight="1">
      <c r="A4454" s="172"/>
    </row>
    <row r="4455" spans="1:1" s="173" customFormat="1" ht="12" hidden="1" customHeight="1">
      <c r="A4455" s="172"/>
    </row>
    <row r="4456" spans="1:1" s="173" customFormat="1" ht="12" hidden="1" customHeight="1">
      <c r="A4456" s="172"/>
    </row>
    <row r="4457" spans="1:1" s="173" customFormat="1" ht="12" hidden="1" customHeight="1">
      <c r="A4457" s="172"/>
    </row>
    <row r="4458" spans="1:1" s="173" customFormat="1" ht="12" hidden="1" customHeight="1">
      <c r="A4458" s="172"/>
    </row>
    <row r="4459" spans="1:1" s="173" customFormat="1" ht="12" hidden="1" customHeight="1">
      <c r="A4459" s="172"/>
    </row>
    <row r="4460" spans="1:1" s="173" customFormat="1" ht="12" hidden="1" customHeight="1">
      <c r="A4460" s="172"/>
    </row>
    <row r="4461" spans="1:1" s="173" customFormat="1" ht="12" hidden="1" customHeight="1">
      <c r="A4461" s="172"/>
    </row>
    <row r="4462" spans="1:1" s="173" customFormat="1" ht="12" hidden="1" customHeight="1">
      <c r="A4462" s="172"/>
    </row>
    <row r="4463" spans="1:1" s="173" customFormat="1" ht="12" hidden="1" customHeight="1">
      <c r="A4463" s="172"/>
    </row>
    <row r="4464" spans="1:1" s="173" customFormat="1" ht="12" hidden="1" customHeight="1">
      <c r="A4464" s="172"/>
    </row>
    <row r="4465" spans="1:1" s="173" customFormat="1" ht="12" hidden="1" customHeight="1">
      <c r="A4465" s="172"/>
    </row>
    <row r="4466" spans="1:1" s="173" customFormat="1" ht="12" hidden="1" customHeight="1">
      <c r="A4466" s="172"/>
    </row>
    <row r="4467" spans="1:1" s="173" customFormat="1" ht="12" hidden="1" customHeight="1">
      <c r="A4467" s="172"/>
    </row>
    <row r="4468" spans="1:1" s="173" customFormat="1" ht="12" hidden="1" customHeight="1">
      <c r="A4468" s="172"/>
    </row>
    <row r="4469" spans="1:1" s="173" customFormat="1" ht="12" hidden="1" customHeight="1">
      <c r="A4469" s="172"/>
    </row>
    <row r="4470" spans="1:1" s="173" customFormat="1" ht="12" hidden="1" customHeight="1">
      <c r="A4470" s="172"/>
    </row>
    <row r="4471" spans="1:1" s="173" customFormat="1" ht="12" hidden="1" customHeight="1">
      <c r="A4471" s="172"/>
    </row>
    <row r="4472" spans="1:1" s="173" customFormat="1" ht="12" hidden="1" customHeight="1">
      <c r="A4472" s="172"/>
    </row>
    <row r="4473" spans="1:1" s="173" customFormat="1" ht="12" hidden="1" customHeight="1">
      <c r="A4473" s="172"/>
    </row>
    <row r="4474" spans="1:1" s="173" customFormat="1" ht="12" hidden="1" customHeight="1">
      <c r="A4474" s="172"/>
    </row>
    <row r="4475" spans="1:1" s="173" customFormat="1" ht="12" hidden="1" customHeight="1">
      <c r="A4475" s="172"/>
    </row>
    <row r="4476" spans="1:1" s="173" customFormat="1" ht="12" hidden="1" customHeight="1">
      <c r="A4476" s="172"/>
    </row>
    <row r="4477" spans="1:1" s="173" customFormat="1" ht="12" hidden="1" customHeight="1">
      <c r="A4477" s="172"/>
    </row>
    <row r="4478" spans="1:1" s="173" customFormat="1" ht="12" hidden="1" customHeight="1">
      <c r="A4478" s="172"/>
    </row>
    <row r="4479" spans="1:1" s="173" customFormat="1" ht="12" hidden="1" customHeight="1">
      <c r="A4479" s="172"/>
    </row>
    <row r="4480" spans="1:1" s="173" customFormat="1" ht="12" hidden="1" customHeight="1">
      <c r="A4480" s="172"/>
    </row>
    <row r="4481" spans="1:1" s="173" customFormat="1" ht="12" hidden="1" customHeight="1">
      <c r="A4481" s="172"/>
    </row>
    <row r="4482" spans="1:1" s="173" customFormat="1" ht="12" hidden="1" customHeight="1">
      <c r="A4482" s="172"/>
    </row>
    <row r="4483" spans="1:1" s="173" customFormat="1" ht="12" hidden="1" customHeight="1">
      <c r="A4483" s="172"/>
    </row>
    <row r="4484" spans="1:1" s="173" customFormat="1" ht="12" hidden="1" customHeight="1">
      <c r="A4484" s="172"/>
    </row>
    <row r="4485" spans="1:1" s="173" customFormat="1" ht="12" hidden="1" customHeight="1">
      <c r="A4485" s="172"/>
    </row>
    <row r="4486" spans="1:1" s="173" customFormat="1" ht="12" hidden="1" customHeight="1">
      <c r="A4486" s="172"/>
    </row>
    <row r="4487" spans="1:1" s="173" customFormat="1" ht="12" hidden="1" customHeight="1">
      <c r="A4487" s="172"/>
    </row>
    <row r="4488" spans="1:1" s="173" customFormat="1" ht="12" hidden="1" customHeight="1">
      <c r="A4488" s="172"/>
    </row>
    <row r="4489" spans="1:1" s="173" customFormat="1" ht="12" hidden="1" customHeight="1">
      <c r="A4489" s="172"/>
    </row>
    <row r="4490" spans="1:1" s="173" customFormat="1" ht="12" hidden="1" customHeight="1">
      <c r="A4490" s="172"/>
    </row>
    <row r="4491" spans="1:1" s="173" customFormat="1" ht="12" hidden="1" customHeight="1">
      <c r="A4491" s="172"/>
    </row>
    <row r="4492" spans="1:1" s="173" customFormat="1" ht="12" hidden="1" customHeight="1">
      <c r="A4492" s="172"/>
    </row>
    <row r="4493" spans="1:1" s="173" customFormat="1" ht="12" hidden="1" customHeight="1">
      <c r="A4493" s="172"/>
    </row>
    <row r="4494" spans="1:1" s="173" customFormat="1" ht="12" hidden="1" customHeight="1">
      <c r="A4494" s="172"/>
    </row>
    <row r="4495" spans="1:1" s="173" customFormat="1" ht="12" hidden="1" customHeight="1">
      <c r="A4495" s="172"/>
    </row>
    <row r="4496" spans="1:1" s="173" customFormat="1" ht="12" hidden="1" customHeight="1">
      <c r="A4496" s="172"/>
    </row>
    <row r="4497" spans="1:1" s="173" customFormat="1" ht="12" hidden="1" customHeight="1">
      <c r="A4497" s="172"/>
    </row>
    <row r="4498" spans="1:1" s="173" customFormat="1" ht="12" hidden="1" customHeight="1">
      <c r="A4498" s="172"/>
    </row>
    <row r="4499" spans="1:1" s="173" customFormat="1" ht="12" hidden="1" customHeight="1">
      <c r="A4499" s="172"/>
    </row>
    <row r="4500" spans="1:1" s="173" customFormat="1" ht="12" hidden="1" customHeight="1">
      <c r="A4500" s="172"/>
    </row>
    <row r="4501" spans="1:1" s="173" customFormat="1" ht="12" hidden="1" customHeight="1">
      <c r="A4501" s="172"/>
    </row>
    <row r="4502" spans="1:1" s="173" customFormat="1" ht="12" hidden="1" customHeight="1">
      <c r="A4502" s="172"/>
    </row>
    <row r="4503" spans="1:1" s="173" customFormat="1" ht="12" hidden="1" customHeight="1">
      <c r="A4503" s="172"/>
    </row>
    <row r="4504" spans="1:1" s="173" customFormat="1" ht="12" hidden="1" customHeight="1">
      <c r="A4504" s="172"/>
    </row>
    <row r="4505" spans="1:1" s="173" customFormat="1" ht="12" hidden="1" customHeight="1">
      <c r="A4505" s="172"/>
    </row>
    <row r="4506" spans="1:1" s="173" customFormat="1" ht="12" hidden="1" customHeight="1">
      <c r="A4506" s="172"/>
    </row>
    <row r="4507" spans="1:1" s="173" customFormat="1" ht="12" hidden="1" customHeight="1">
      <c r="A4507" s="172"/>
    </row>
    <row r="4508" spans="1:1" s="173" customFormat="1" ht="12" hidden="1" customHeight="1">
      <c r="A4508" s="172"/>
    </row>
    <row r="4509" spans="1:1" s="173" customFormat="1" ht="12" hidden="1" customHeight="1">
      <c r="A4509" s="172"/>
    </row>
    <row r="4510" spans="1:1" s="173" customFormat="1" ht="12" hidden="1" customHeight="1">
      <c r="A4510" s="172"/>
    </row>
    <row r="4511" spans="1:1" s="173" customFormat="1" ht="12" hidden="1" customHeight="1">
      <c r="A4511" s="172"/>
    </row>
    <row r="4512" spans="1:1" s="173" customFormat="1" ht="12" hidden="1" customHeight="1">
      <c r="A4512" s="172"/>
    </row>
    <row r="4513" spans="1:1" s="173" customFormat="1" ht="12" hidden="1" customHeight="1">
      <c r="A4513" s="172"/>
    </row>
    <row r="4514" spans="1:1" s="173" customFormat="1" ht="12" hidden="1" customHeight="1">
      <c r="A4514" s="172"/>
    </row>
    <row r="4515" spans="1:1" s="173" customFormat="1" ht="12" hidden="1" customHeight="1">
      <c r="A4515" s="172"/>
    </row>
    <row r="4516" spans="1:1" s="173" customFormat="1" ht="12" hidden="1" customHeight="1">
      <c r="A4516" s="172"/>
    </row>
    <row r="4517" spans="1:1" s="173" customFormat="1" ht="12" hidden="1" customHeight="1">
      <c r="A4517" s="172"/>
    </row>
    <row r="4518" spans="1:1" s="173" customFormat="1" ht="12" hidden="1" customHeight="1">
      <c r="A4518" s="172"/>
    </row>
    <row r="4519" spans="1:1" s="173" customFormat="1" ht="12" hidden="1" customHeight="1">
      <c r="A4519" s="172"/>
    </row>
    <row r="4520" spans="1:1" s="173" customFormat="1" ht="12" hidden="1" customHeight="1">
      <c r="A4520" s="172"/>
    </row>
    <row r="4521" spans="1:1" s="173" customFormat="1" ht="12" hidden="1" customHeight="1">
      <c r="A4521" s="172"/>
    </row>
    <row r="4522" spans="1:1" s="173" customFormat="1" ht="12" hidden="1" customHeight="1">
      <c r="A4522" s="172"/>
    </row>
    <row r="4523" spans="1:1" s="173" customFormat="1" ht="12" hidden="1" customHeight="1">
      <c r="A4523" s="172"/>
    </row>
    <row r="4524" spans="1:1" s="173" customFormat="1" ht="12" hidden="1" customHeight="1">
      <c r="A4524" s="172"/>
    </row>
    <row r="4525" spans="1:1" s="173" customFormat="1" ht="12" hidden="1" customHeight="1">
      <c r="A4525" s="172"/>
    </row>
    <row r="4526" spans="1:1" s="173" customFormat="1" ht="12" hidden="1" customHeight="1">
      <c r="A4526" s="172"/>
    </row>
    <row r="4527" spans="1:1" s="173" customFormat="1" ht="12" hidden="1" customHeight="1">
      <c r="A4527" s="172"/>
    </row>
    <row r="4528" spans="1:1" s="173" customFormat="1" ht="12" hidden="1" customHeight="1">
      <c r="A4528" s="172"/>
    </row>
    <row r="4529" spans="1:1" s="173" customFormat="1" ht="12" hidden="1" customHeight="1">
      <c r="A4529" s="172"/>
    </row>
    <row r="4530" spans="1:1" s="173" customFormat="1" ht="12" hidden="1" customHeight="1">
      <c r="A4530" s="172"/>
    </row>
    <row r="4531" spans="1:1" s="173" customFormat="1" ht="12" hidden="1" customHeight="1">
      <c r="A4531" s="172"/>
    </row>
    <row r="4532" spans="1:1" s="173" customFormat="1" ht="12" hidden="1" customHeight="1">
      <c r="A4532" s="172"/>
    </row>
    <row r="4533" spans="1:1" s="173" customFormat="1" ht="12" hidden="1" customHeight="1">
      <c r="A4533" s="172"/>
    </row>
    <row r="4534" spans="1:1" s="173" customFormat="1" ht="12" hidden="1" customHeight="1">
      <c r="A4534" s="172"/>
    </row>
    <row r="4535" spans="1:1" s="173" customFormat="1" ht="12" hidden="1" customHeight="1">
      <c r="A4535" s="172"/>
    </row>
    <row r="4536" spans="1:1" s="173" customFormat="1" ht="12" hidden="1" customHeight="1">
      <c r="A4536" s="172"/>
    </row>
    <row r="4537" spans="1:1" s="173" customFormat="1" ht="12" hidden="1" customHeight="1">
      <c r="A4537" s="172"/>
    </row>
    <row r="4538" spans="1:1" s="173" customFormat="1" ht="12" hidden="1" customHeight="1">
      <c r="A4538" s="172"/>
    </row>
    <row r="4539" spans="1:1" s="173" customFormat="1" ht="12" hidden="1" customHeight="1">
      <c r="A4539" s="172"/>
    </row>
    <row r="4540" spans="1:1" s="173" customFormat="1" ht="12" hidden="1" customHeight="1">
      <c r="A4540" s="172"/>
    </row>
    <row r="4541" spans="1:1" s="173" customFormat="1" ht="12" hidden="1" customHeight="1">
      <c r="A4541" s="172"/>
    </row>
    <row r="4542" spans="1:1" s="173" customFormat="1" ht="12" hidden="1" customHeight="1">
      <c r="A4542" s="172"/>
    </row>
    <row r="4543" spans="1:1" s="173" customFormat="1" ht="12" hidden="1" customHeight="1">
      <c r="A4543" s="172"/>
    </row>
    <row r="4544" spans="1:1" s="173" customFormat="1" ht="12" hidden="1" customHeight="1">
      <c r="A4544" s="172"/>
    </row>
    <row r="4545" spans="1:1" s="173" customFormat="1" ht="12" hidden="1" customHeight="1">
      <c r="A4545" s="172"/>
    </row>
    <row r="4546" spans="1:1" s="173" customFormat="1" ht="12" hidden="1" customHeight="1">
      <c r="A4546" s="172"/>
    </row>
    <row r="4547" spans="1:1" s="173" customFormat="1" ht="12" hidden="1" customHeight="1">
      <c r="A4547" s="172"/>
    </row>
    <row r="4548" spans="1:1" s="173" customFormat="1" ht="12" hidden="1" customHeight="1">
      <c r="A4548" s="172"/>
    </row>
    <row r="4549" spans="1:1" s="173" customFormat="1" ht="12" hidden="1" customHeight="1">
      <c r="A4549" s="172"/>
    </row>
    <row r="4550" spans="1:1" s="173" customFormat="1" ht="12" hidden="1" customHeight="1">
      <c r="A4550" s="172"/>
    </row>
    <row r="4551" spans="1:1" s="173" customFormat="1" ht="12" hidden="1" customHeight="1">
      <c r="A4551" s="172"/>
    </row>
    <row r="4552" spans="1:1" s="173" customFormat="1" ht="12" hidden="1" customHeight="1">
      <c r="A4552" s="172"/>
    </row>
    <row r="4553" spans="1:1" s="173" customFormat="1" ht="12" hidden="1" customHeight="1">
      <c r="A4553" s="172"/>
    </row>
    <row r="4554" spans="1:1" s="173" customFormat="1" ht="12" hidden="1" customHeight="1">
      <c r="A4554" s="172"/>
    </row>
    <row r="4555" spans="1:1" s="173" customFormat="1" ht="12" hidden="1" customHeight="1">
      <c r="A4555" s="172"/>
    </row>
    <row r="4556" spans="1:1" s="173" customFormat="1" ht="12" hidden="1" customHeight="1">
      <c r="A4556" s="172"/>
    </row>
    <row r="4557" spans="1:1" s="173" customFormat="1" ht="12" hidden="1" customHeight="1">
      <c r="A4557" s="172"/>
    </row>
    <row r="4558" spans="1:1" s="173" customFormat="1" ht="12" hidden="1" customHeight="1">
      <c r="A4558" s="172"/>
    </row>
    <row r="4559" spans="1:1" s="173" customFormat="1" ht="12" hidden="1" customHeight="1">
      <c r="A4559" s="172"/>
    </row>
    <row r="4560" spans="1:1" s="173" customFormat="1" ht="12" hidden="1" customHeight="1">
      <c r="A4560" s="172"/>
    </row>
    <row r="4561" spans="1:1" s="173" customFormat="1" ht="12" hidden="1" customHeight="1">
      <c r="A4561" s="172"/>
    </row>
    <row r="4562" spans="1:1" s="173" customFormat="1" ht="12" hidden="1" customHeight="1">
      <c r="A4562" s="172"/>
    </row>
    <row r="4563" spans="1:1" s="173" customFormat="1" ht="12" hidden="1" customHeight="1">
      <c r="A4563" s="172"/>
    </row>
    <row r="4564" spans="1:1" s="173" customFormat="1" ht="12" hidden="1" customHeight="1">
      <c r="A4564" s="172"/>
    </row>
    <row r="4565" spans="1:1" s="173" customFormat="1" ht="12" hidden="1" customHeight="1">
      <c r="A4565" s="172"/>
    </row>
    <row r="4566" spans="1:1" s="173" customFormat="1" ht="12" hidden="1" customHeight="1">
      <c r="A4566" s="172"/>
    </row>
    <row r="4567" spans="1:1" s="173" customFormat="1" ht="12" hidden="1" customHeight="1">
      <c r="A4567" s="172"/>
    </row>
    <row r="4568" spans="1:1" s="173" customFormat="1" ht="12" hidden="1" customHeight="1">
      <c r="A4568" s="172"/>
    </row>
    <row r="4569" spans="1:1" s="173" customFormat="1" ht="12" hidden="1" customHeight="1">
      <c r="A4569" s="172"/>
    </row>
    <row r="4570" spans="1:1" s="173" customFormat="1" ht="12" hidden="1" customHeight="1">
      <c r="A4570" s="172"/>
    </row>
    <row r="4571" spans="1:1" s="173" customFormat="1" ht="12" hidden="1" customHeight="1">
      <c r="A4571" s="172"/>
    </row>
    <row r="4572" spans="1:1" s="173" customFormat="1" ht="12" hidden="1" customHeight="1">
      <c r="A4572" s="172"/>
    </row>
    <row r="4573" spans="1:1" s="173" customFormat="1" ht="12" hidden="1" customHeight="1">
      <c r="A4573" s="172"/>
    </row>
    <row r="4574" spans="1:1" s="173" customFormat="1" ht="12" hidden="1" customHeight="1">
      <c r="A4574" s="172"/>
    </row>
    <row r="4575" spans="1:1" s="173" customFormat="1" ht="12" hidden="1" customHeight="1">
      <c r="A4575" s="172"/>
    </row>
    <row r="4576" spans="1:1" s="173" customFormat="1" ht="12" hidden="1" customHeight="1">
      <c r="A4576" s="172"/>
    </row>
    <row r="4577" spans="1:1" s="173" customFormat="1" ht="12" hidden="1" customHeight="1">
      <c r="A4577" s="172"/>
    </row>
    <row r="4578" spans="1:1" s="173" customFormat="1" ht="12" hidden="1" customHeight="1">
      <c r="A4578" s="172"/>
    </row>
    <row r="4579" spans="1:1" s="173" customFormat="1" ht="12" hidden="1" customHeight="1">
      <c r="A4579" s="172"/>
    </row>
    <row r="4580" spans="1:1" s="173" customFormat="1" ht="12" hidden="1" customHeight="1">
      <c r="A4580" s="172"/>
    </row>
    <row r="4581" spans="1:1" s="173" customFormat="1" ht="12" hidden="1" customHeight="1">
      <c r="A4581" s="172"/>
    </row>
    <row r="4582" spans="1:1" s="173" customFormat="1" ht="12" hidden="1" customHeight="1">
      <c r="A4582" s="172"/>
    </row>
    <row r="4583" spans="1:1" s="173" customFormat="1" ht="12" hidden="1" customHeight="1">
      <c r="A4583" s="172"/>
    </row>
    <row r="4584" spans="1:1" s="173" customFormat="1" ht="12" hidden="1" customHeight="1">
      <c r="A4584" s="172"/>
    </row>
    <row r="4585" spans="1:1" s="173" customFormat="1" ht="12" hidden="1" customHeight="1">
      <c r="A4585" s="172"/>
    </row>
    <row r="4586" spans="1:1" s="173" customFormat="1" ht="12" hidden="1" customHeight="1">
      <c r="A4586" s="172"/>
    </row>
    <row r="4587" spans="1:1" s="173" customFormat="1" ht="12" hidden="1" customHeight="1">
      <c r="A4587" s="172"/>
    </row>
    <row r="4588" spans="1:1" s="173" customFormat="1" ht="12" hidden="1" customHeight="1">
      <c r="A4588" s="172"/>
    </row>
    <row r="4589" spans="1:1" s="173" customFormat="1" ht="12" hidden="1" customHeight="1">
      <c r="A4589" s="172"/>
    </row>
    <row r="4590" spans="1:1" s="173" customFormat="1" ht="12" hidden="1" customHeight="1">
      <c r="A4590" s="172"/>
    </row>
    <row r="4591" spans="1:1" s="173" customFormat="1" ht="12" hidden="1" customHeight="1">
      <c r="A4591" s="172"/>
    </row>
    <row r="4592" spans="1:1" s="173" customFormat="1" ht="12" hidden="1" customHeight="1">
      <c r="A4592" s="172"/>
    </row>
    <row r="4593" spans="1:1" s="173" customFormat="1" ht="12" hidden="1" customHeight="1">
      <c r="A4593" s="172"/>
    </row>
    <row r="4594" spans="1:1" s="173" customFormat="1" ht="12" hidden="1" customHeight="1">
      <c r="A4594" s="172"/>
    </row>
    <row r="4595" spans="1:1" s="173" customFormat="1" ht="12" hidden="1" customHeight="1">
      <c r="A4595" s="172"/>
    </row>
    <row r="4596" spans="1:1" s="173" customFormat="1" ht="12" hidden="1" customHeight="1">
      <c r="A4596" s="172"/>
    </row>
    <row r="4597" spans="1:1" s="173" customFormat="1" ht="12" hidden="1" customHeight="1">
      <c r="A4597" s="172"/>
    </row>
    <row r="4598" spans="1:1" s="173" customFormat="1" ht="12" hidden="1" customHeight="1">
      <c r="A4598" s="172"/>
    </row>
    <row r="4599" spans="1:1" s="173" customFormat="1" ht="12" hidden="1" customHeight="1">
      <c r="A4599" s="172"/>
    </row>
    <row r="4600" spans="1:1" s="173" customFormat="1" ht="12" hidden="1" customHeight="1">
      <c r="A4600" s="172"/>
    </row>
    <row r="4601" spans="1:1" s="173" customFormat="1" ht="12" hidden="1" customHeight="1">
      <c r="A4601" s="172"/>
    </row>
    <row r="4602" spans="1:1" s="173" customFormat="1" ht="12" hidden="1" customHeight="1">
      <c r="A4602" s="172"/>
    </row>
    <row r="4603" spans="1:1" s="173" customFormat="1" ht="12" hidden="1" customHeight="1">
      <c r="A4603" s="172"/>
    </row>
    <row r="4604" spans="1:1" s="173" customFormat="1" ht="12" hidden="1" customHeight="1">
      <c r="A4604" s="172"/>
    </row>
    <row r="4605" spans="1:1" s="173" customFormat="1" ht="12" hidden="1" customHeight="1">
      <c r="A4605" s="172"/>
    </row>
    <row r="4606" spans="1:1" s="173" customFormat="1" ht="12" hidden="1" customHeight="1">
      <c r="A4606" s="172"/>
    </row>
    <row r="4607" spans="1:1" s="173" customFormat="1" ht="12" hidden="1" customHeight="1">
      <c r="A4607" s="172"/>
    </row>
    <row r="4608" spans="1:1" s="173" customFormat="1" ht="12" hidden="1" customHeight="1">
      <c r="A4608" s="172"/>
    </row>
    <row r="4609" spans="1:1" s="173" customFormat="1" ht="12" hidden="1" customHeight="1">
      <c r="A4609" s="172"/>
    </row>
    <row r="4610" spans="1:1" s="173" customFormat="1" ht="12" hidden="1" customHeight="1">
      <c r="A4610" s="172"/>
    </row>
    <row r="4611" spans="1:1" s="173" customFormat="1" ht="12" hidden="1" customHeight="1">
      <c r="A4611" s="172"/>
    </row>
    <row r="4612" spans="1:1" s="173" customFormat="1" ht="12" hidden="1" customHeight="1">
      <c r="A4612" s="172"/>
    </row>
    <row r="4613" spans="1:1" s="173" customFormat="1" ht="12" hidden="1" customHeight="1">
      <c r="A4613" s="172"/>
    </row>
    <row r="4614" spans="1:1" s="173" customFormat="1" ht="12" hidden="1" customHeight="1">
      <c r="A4614" s="172"/>
    </row>
    <row r="4615" spans="1:1" s="173" customFormat="1" ht="12" hidden="1" customHeight="1">
      <c r="A4615" s="172"/>
    </row>
    <row r="4616" spans="1:1" s="173" customFormat="1" ht="12" hidden="1" customHeight="1">
      <c r="A4616" s="172"/>
    </row>
    <row r="4617" spans="1:1" s="173" customFormat="1" ht="12" hidden="1" customHeight="1">
      <c r="A4617" s="172"/>
    </row>
    <row r="4618" spans="1:1" s="173" customFormat="1" ht="12" hidden="1" customHeight="1">
      <c r="A4618" s="172"/>
    </row>
    <row r="4619" spans="1:1" s="173" customFormat="1" ht="12" hidden="1" customHeight="1">
      <c r="A4619" s="172"/>
    </row>
    <row r="4620" spans="1:1" s="173" customFormat="1" ht="12" hidden="1" customHeight="1">
      <c r="A4620" s="172"/>
    </row>
    <row r="4621" spans="1:1" s="173" customFormat="1" ht="12" hidden="1" customHeight="1">
      <c r="A4621" s="172"/>
    </row>
    <row r="4622" spans="1:1" s="173" customFormat="1" ht="12" hidden="1" customHeight="1">
      <c r="A4622" s="172"/>
    </row>
    <row r="4623" spans="1:1" s="173" customFormat="1" ht="12" hidden="1" customHeight="1">
      <c r="A4623" s="172"/>
    </row>
    <row r="4624" spans="1:1" s="173" customFormat="1" ht="12" hidden="1" customHeight="1">
      <c r="A4624" s="172"/>
    </row>
    <row r="4625" spans="1:1" s="173" customFormat="1" ht="12" hidden="1" customHeight="1">
      <c r="A4625" s="172"/>
    </row>
    <row r="4626" spans="1:1" s="173" customFormat="1" ht="12" hidden="1" customHeight="1">
      <c r="A4626" s="172"/>
    </row>
    <row r="4627" spans="1:1" s="173" customFormat="1" ht="12" hidden="1" customHeight="1">
      <c r="A4627" s="172"/>
    </row>
    <row r="4628" spans="1:1" s="173" customFormat="1" ht="12" hidden="1" customHeight="1">
      <c r="A4628" s="172"/>
    </row>
    <row r="4629" spans="1:1" s="173" customFormat="1" ht="12" hidden="1" customHeight="1">
      <c r="A4629" s="172"/>
    </row>
    <row r="4630" spans="1:1" s="173" customFormat="1" ht="12" hidden="1" customHeight="1">
      <c r="A4630" s="172"/>
    </row>
    <row r="4631" spans="1:1" s="173" customFormat="1" ht="12" hidden="1" customHeight="1">
      <c r="A4631" s="172"/>
    </row>
    <row r="4632" spans="1:1" s="173" customFormat="1" ht="12" hidden="1" customHeight="1">
      <c r="A4632" s="172"/>
    </row>
    <row r="4633" spans="1:1" s="173" customFormat="1" ht="12" hidden="1" customHeight="1">
      <c r="A4633" s="172"/>
    </row>
    <row r="4634" spans="1:1" s="173" customFormat="1" ht="12" hidden="1" customHeight="1">
      <c r="A4634" s="172"/>
    </row>
    <row r="4635" spans="1:1" s="173" customFormat="1" ht="12" hidden="1" customHeight="1">
      <c r="A4635" s="172"/>
    </row>
    <row r="4636" spans="1:1" s="173" customFormat="1" ht="12" hidden="1" customHeight="1">
      <c r="A4636" s="172"/>
    </row>
    <row r="4637" spans="1:1" s="173" customFormat="1" ht="12" hidden="1" customHeight="1">
      <c r="A4637" s="172"/>
    </row>
    <row r="4638" spans="1:1" s="173" customFormat="1" ht="12" hidden="1" customHeight="1">
      <c r="A4638" s="172"/>
    </row>
    <row r="4639" spans="1:1" s="173" customFormat="1" ht="12" hidden="1" customHeight="1">
      <c r="A4639" s="172"/>
    </row>
    <row r="4640" spans="1:1" s="173" customFormat="1" ht="12" hidden="1" customHeight="1">
      <c r="A4640" s="172"/>
    </row>
    <row r="4641" spans="1:1" s="173" customFormat="1" ht="12" hidden="1" customHeight="1">
      <c r="A4641" s="172"/>
    </row>
    <row r="4642" spans="1:1" s="173" customFormat="1" ht="12" hidden="1" customHeight="1">
      <c r="A4642" s="172"/>
    </row>
    <row r="4643" spans="1:1" s="173" customFormat="1" ht="12" hidden="1" customHeight="1">
      <c r="A4643" s="172"/>
    </row>
    <row r="4644" spans="1:1" s="173" customFormat="1" ht="12" hidden="1" customHeight="1">
      <c r="A4644" s="172"/>
    </row>
    <row r="4645" spans="1:1" s="173" customFormat="1" ht="12" hidden="1" customHeight="1">
      <c r="A4645" s="172"/>
    </row>
    <row r="4646" spans="1:1" s="173" customFormat="1" ht="12" hidden="1" customHeight="1">
      <c r="A4646" s="172"/>
    </row>
    <row r="4647" spans="1:1" s="173" customFormat="1" ht="12" hidden="1" customHeight="1">
      <c r="A4647" s="172"/>
    </row>
    <row r="4648" spans="1:1" s="173" customFormat="1" ht="12" hidden="1" customHeight="1">
      <c r="A4648" s="172"/>
    </row>
    <row r="4649" spans="1:1" s="173" customFormat="1" ht="12" hidden="1" customHeight="1">
      <c r="A4649" s="172"/>
    </row>
    <row r="4650" spans="1:1" s="173" customFormat="1" ht="12" hidden="1" customHeight="1">
      <c r="A4650" s="172"/>
    </row>
    <row r="4651" spans="1:1" s="173" customFormat="1" ht="12" hidden="1" customHeight="1">
      <c r="A4651" s="172"/>
    </row>
    <row r="4652" spans="1:1" s="173" customFormat="1" ht="12" hidden="1" customHeight="1">
      <c r="A4652" s="172"/>
    </row>
    <row r="4653" spans="1:1" s="173" customFormat="1" ht="12" hidden="1" customHeight="1">
      <c r="A4653" s="172"/>
    </row>
    <row r="4654" spans="1:1" s="173" customFormat="1" ht="12" hidden="1" customHeight="1">
      <c r="A4654" s="172"/>
    </row>
    <row r="4655" spans="1:1" s="173" customFormat="1" ht="12" hidden="1" customHeight="1">
      <c r="A4655" s="172"/>
    </row>
    <row r="4656" spans="1:1" s="173" customFormat="1" ht="12" hidden="1" customHeight="1">
      <c r="A4656" s="172"/>
    </row>
    <row r="4657" spans="1:1" s="173" customFormat="1" ht="12" hidden="1" customHeight="1">
      <c r="A4657" s="172"/>
    </row>
    <row r="4658" spans="1:1" s="173" customFormat="1" ht="12" hidden="1" customHeight="1">
      <c r="A4658" s="172"/>
    </row>
    <row r="4659" spans="1:1" s="173" customFormat="1" ht="12" hidden="1" customHeight="1">
      <c r="A4659" s="172"/>
    </row>
    <row r="4660" spans="1:1" s="173" customFormat="1" ht="12" hidden="1" customHeight="1">
      <c r="A4660" s="172"/>
    </row>
    <row r="4661" spans="1:1" s="173" customFormat="1" ht="12" hidden="1" customHeight="1">
      <c r="A4661" s="172"/>
    </row>
    <row r="4662" spans="1:1" s="173" customFormat="1" ht="12" hidden="1" customHeight="1">
      <c r="A4662" s="172"/>
    </row>
    <row r="4663" spans="1:1" s="173" customFormat="1" ht="12" hidden="1" customHeight="1">
      <c r="A4663" s="172"/>
    </row>
    <row r="4664" spans="1:1" s="173" customFormat="1" ht="12" hidden="1" customHeight="1">
      <c r="A4664" s="172"/>
    </row>
    <row r="4665" spans="1:1" s="173" customFormat="1" ht="12" hidden="1" customHeight="1">
      <c r="A4665" s="172"/>
    </row>
    <row r="4666" spans="1:1" s="173" customFormat="1" ht="12" hidden="1" customHeight="1">
      <c r="A4666" s="172"/>
    </row>
    <row r="4667" spans="1:1" s="173" customFormat="1" ht="12" hidden="1" customHeight="1">
      <c r="A4667" s="172"/>
    </row>
    <row r="4668" spans="1:1" s="173" customFormat="1" ht="12" hidden="1" customHeight="1">
      <c r="A4668" s="172"/>
    </row>
    <row r="4669" spans="1:1" s="173" customFormat="1" ht="12" hidden="1" customHeight="1">
      <c r="A4669" s="172"/>
    </row>
    <row r="4670" spans="1:1" s="173" customFormat="1" ht="12" hidden="1" customHeight="1">
      <c r="A4670" s="172"/>
    </row>
    <row r="4671" spans="1:1" s="173" customFormat="1" ht="12" hidden="1" customHeight="1">
      <c r="A4671" s="172"/>
    </row>
    <row r="4672" spans="1:1" s="173" customFormat="1" ht="12" hidden="1" customHeight="1">
      <c r="A4672" s="172"/>
    </row>
    <row r="4673" spans="1:1" s="173" customFormat="1" ht="12" hidden="1" customHeight="1">
      <c r="A4673" s="172"/>
    </row>
    <row r="4674" spans="1:1" s="173" customFormat="1" ht="12" hidden="1" customHeight="1">
      <c r="A4674" s="172"/>
    </row>
    <row r="4675" spans="1:1" s="173" customFormat="1" ht="12" hidden="1" customHeight="1">
      <c r="A4675" s="172"/>
    </row>
    <row r="4676" spans="1:1" s="173" customFormat="1" ht="12" hidden="1" customHeight="1">
      <c r="A4676" s="172"/>
    </row>
    <row r="4677" spans="1:1" s="173" customFormat="1" ht="12" hidden="1" customHeight="1">
      <c r="A4677" s="172"/>
    </row>
    <row r="4678" spans="1:1" s="173" customFormat="1" ht="12" hidden="1" customHeight="1">
      <c r="A4678" s="172"/>
    </row>
    <row r="4679" spans="1:1" s="173" customFormat="1" ht="12" hidden="1" customHeight="1">
      <c r="A4679" s="172"/>
    </row>
    <row r="4680" spans="1:1" s="173" customFormat="1" ht="12" hidden="1" customHeight="1">
      <c r="A4680" s="172"/>
    </row>
    <row r="4681" spans="1:1" s="173" customFormat="1" ht="12" hidden="1" customHeight="1">
      <c r="A4681" s="172"/>
    </row>
    <row r="4682" spans="1:1" s="173" customFormat="1" ht="12" hidden="1" customHeight="1">
      <c r="A4682" s="172"/>
    </row>
    <row r="4683" spans="1:1" s="173" customFormat="1" ht="12" hidden="1" customHeight="1">
      <c r="A4683" s="172"/>
    </row>
    <row r="4684" spans="1:1" s="173" customFormat="1" ht="12" hidden="1" customHeight="1">
      <c r="A4684" s="172"/>
    </row>
    <row r="4685" spans="1:1" s="173" customFormat="1" ht="12" hidden="1" customHeight="1">
      <c r="A4685" s="172"/>
    </row>
    <row r="4686" spans="1:1" s="173" customFormat="1" ht="12" hidden="1" customHeight="1">
      <c r="A4686" s="172"/>
    </row>
    <row r="4687" spans="1:1" s="173" customFormat="1" ht="12" hidden="1" customHeight="1">
      <c r="A4687" s="172"/>
    </row>
    <row r="4688" spans="1:1" s="173" customFormat="1" ht="12" hidden="1" customHeight="1">
      <c r="A4688" s="172"/>
    </row>
    <row r="4689" spans="1:1" s="173" customFormat="1" ht="12" hidden="1" customHeight="1">
      <c r="A4689" s="172"/>
    </row>
    <row r="4690" spans="1:1" s="173" customFormat="1" ht="12" hidden="1" customHeight="1">
      <c r="A4690" s="172"/>
    </row>
    <row r="4691" spans="1:1" s="173" customFormat="1" ht="12" hidden="1" customHeight="1">
      <c r="A4691" s="172"/>
    </row>
    <row r="4692" spans="1:1" s="173" customFormat="1" ht="12" hidden="1" customHeight="1">
      <c r="A4692" s="172"/>
    </row>
    <row r="4693" spans="1:1" s="173" customFormat="1" ht="12" hidden="1" customHeight="1">
      <c r="A4693" s="172"/>
    </row>
    <row r="4694" spans="1:1" s="173" customFormat="1" ht="12" hidden="1" customHeight="1">
      <c r="A4694" s="172"/>
    </row>
    <row r="4695" spans="1:1" s="173" customFormat="1" ht="12" hidden="1" customHeight="1">
      <c r="A4695" s="172"/>
    </row>
    <row r="4696" spans="1:1" s="173" customFormat="1" ht="12" hidden="1" customHeight="1">
      <c r="A4696" s="172"/>
    </row>
    <row r="4697" spans="1:1" s="173" customFormat="1" ht="12" hidden="1" customHeight="1">
      <c r="A4697" s="172"/>
    </row>
    <row r="4698" spans="1:1" s="173" customFormat="1" ht="12" hidden="1" customHeight="1">
      <c r="A4698" s="172"/>
    </row>
    <row r="4699" spans="1:1" s="173" customFormat="1" ht="12" hidden="1" customHeight="1">
      <c r="A4699" s="172"/>
    </row>
    <row r="4700" spans="1:1" s="173" customFormat="1" ht="12" hidden="1" customHeight="1">
      <c r="A4700" s="172"/>
    </row>
    <row r="4701" spans="1:1" s="173" customFormat="1" ht="12" hidden="1" customHeight="1">
      <c r="A4701" s="172"/>
    </row>
    <row r="4702" spans="1:1" s="173" customFormat="1" ht="12" hidden="1" customHeight="1">
      <c r="A4702" s="172"/>
    </row>
    <row r="4703" spans="1:1" s="173" customFormat="1" ht="12" hidden="1" customHeight="1">
      <c r="A4703" s="172"/>
    </row>
    <row r="4704" spans="1:1" s="173" customFormat="1" ht="12" hidden="1" customHeight="1">
      <c r="A4704" s="172"/>
    </row>
    <row r="4705" spans="1:1" s="173" customFormat="1" ht="12" hidden="1" customHeight="1">
      <c r="A4705" s="172"/>
    </row>
    <row r="4706" spans="1:1" s="173" customFormat="1" ht="12" hidden="1" customHeight="1">
      <c r="A4706" s="172"/>
    </row>
    <row r="4707" spans="1:1" s="173" customFormat="1" ht="12" hidden="1" customHeight="1">
      <c r="A4707" s="172"/>
    </row>
    <row r="4708" spans="1:1" s="173" customFormat="1" ht="12" hidden="1" customHeight="1">
      <c r="A4708" s="172"/>
    </row>
    <row r="4709" spans="1:1" s="173" customFormat="1" ht="12" hidden="1" customHeight="1">
      <c r="A4709" s="172"/>
    </row>
    <row r="4710" spans="1:1" s="173" customFormat="1" ht="12" hidden="1" customHeight="1">
      <c r="A4710" s="172"/>
    </row>
    <row r="4711" spans="1:1" s="173" customFormat="1" ht="12" hidden="1" customHeight="1">
      <c r="A4711" s="172"/>
    </row>
    <row r="4712" spans="1:1" s="173" customFormat="1" ht="12" hidden="1" customHeight="1">
      <c r="A4712" s="172"/>
    </row>
    <row r="4713" spans="1:1" s="173" customFormat="1" ht="12" hidden="1" customHeight="1">
      <c r="A4713" s="172"/>
    </row>
    <row r="4714" spans="1:1" s="173" customFormat="1" ht="12" hidden="1" customHeight="1">
      <c r="A4714" s="172"/>
    </row>
    <row r="4715" spans="1:1" s="173" customFormat="1" ht="12" hidden="1" customHeight="1">
      <c r="A4715" s="172"/>
    </row>
    <row r="4716" spans="1:1" s="173" customFormat="1" ht="12" hidden="1" customHeight="1">
      <c r="A4716" s="172"/>
    </row>
    <row r="4717" spans="1:1" s="173" customFormat="1" ht="12" hidden="1" customHeight="1">
      <c r="A4717" s="172"/>
    </row>
    <row r="4718" spans="1:1" s="173" customFormat="1" ht="12" hidden="1" customHeight="1">
      <c r="A4718" s="172"/>
    </row>
    <row r="4719" spans="1:1" s="173" customFormat="1" ht="12" hidden="1" customHeight="1">
      <c r="A4719" s="172"/>
    </row>
    <row r="4720" spans="1:1" s="173" customFormat="1" ht="12" hidden="1" customHeight="1">
      <c r="A4720" s="172"/>
    </row>
    <row r="4721" spans="1:1" s="173" customFormat="1" ht="12" hidden="1" customHeight="1">
      <c r="A4721" s="172"/>
    </row>
    <row r="4722" spans="1:1" s="173" customFormat="1" ht="12" hidden="1" customHeight="1">
      <c r="A4722" s="172"/>
    </row>
    <row r="4723" spans="1:1" s="173" customFormat="1" ht="12" hidden="1" customHeight="1">
      <c r="A4723" s="172"/>
    </row>
    <row r="4724" spans="1:1" s="173" customFormat="1" ht="12" hidden="1" customHeight="1">
      <c r="A4724" s="172"/>
    </row>
    <row r="4725" spans="1:1" s="173" customFormat="1" ht="12" hidden="1" customHeight="1">
      <c r="A4725" s="172"/>
    </row>
    <row r="4726" spans="1:1" s="173" customFormat="1" ht="12" hidden="1" customHeight="1">
      <c r="A4726" s="172"/>
    </row>
    <row r="4727" spans="1:1" s="173" customFormat="1" ht="12" hidden="1" customHeight="1">
      <c r="A4727" s="172"/>
    </row>
    <row r="4728" spans="1:1" s="173" customFormat="1" ht="12" hidden="1" customHeight="1">
      <c r="A4728" s="172"/>
    </row>
    <row r="4729" spans="1:1" s="173" customFormat="1" ht="12" hidden="1" customHeight="1">
      <c r="A4729" s="172"/>
    </row>
    <row r="4730" spans="1:1" s="173" customFormat="1" ht="12" hidden="1" customHeight="1">
      <c r="A4730" s="172"/>
    </row>
    <row r="4731" spans="1:1" s="173" customFormat="1" ht="12" hidden="1" customHeight="1">
      <c r="A4731" s="172"/>
    </row>
    <row r="4732" spans="1:1" s="173" customFormat="1" ht="12" hidden="1" customHeight="1">
      <c r="A4732" s="172"/>
    </row>
    <row r="4733" spans="1:1" s="173" customFormat="1" ht="12" hidden="1" customHeight="1">
      <c r="A4733" s="172"/>
    </row>
    <row r="4734" spans="1:1" s="173" customFormat="1" ht="12" hidden="1" customHeight="1">
      <c r="A4734" s="172"/>
    </row>
    <row r="4735" spans="1:1" s="173" customFormat="1" ht="12" hidden="1" customHeight="1">
      <c r="A4735" s="172"/>
    </row>
    <row r="4736" spans="1:1" s="173" customFormat="1" ht="12" hidden="1" customHeight="1">
      <c r="A4736" s="172"/>
    </row>
    <row r="4737" spans="1:1" s="173" customFormat="1" ht="12" hidden="1" customHeight="1">
      <c r="A4737" s="172"/>
    </row>
    <row r="4738" spans="1:1" s="173" customFormat="1" ht="12" hidden="1" customHeight="1">
      <c r="A4738" s="172"/>
    </row>
    <row r="4739" spans="1:1" s="173" customFormat="1" ht="12" hidden="1" customHeight="1">
      <c r="A4739" s="172"/>
    </row>
    <row r="4740" spans="1:1" s="173" customFormat="1" ht="12" hidden="1" customHeight="1">
      <c r="A4740" s="172"/>
    </row>
    <row r="4741" spans="1:1" s="173" customFormat="1" ht="12" hidden="1" customHeight="1">
      <c r="A4741" s="172"/>
    </row>
    <row r="4742" spans="1:1" s="173" customFormat="1" ht="12" hidden="1" customHeight="1">
      <c r="A4742" s="172"/>
    </row>
    <row r="4743" spans="1:1" s="173" customFormat="1" ht="12" hidden="1" customHeight="1">
      <c r="A4743" s="172"/>
    </row>
    <row r="4744" spans="1:1" s="173" customFormat="1" ht="12" hidden="1" customHeight="1">
      <c r="A4744" s="172"/>
    </row>
    <row r="4745" spans="1:1" s="173" customFormat="1" ht="12" hidden="1" customHeight="1">
      <c r="A4745" s="172"/>
    </row>
    <row r="4746" spans="1:1" s="173" customFormat="1" ht="12" hidden="1" customHeight="1">
      <c r="A4746" s="172"/>
    </row>
    <row r="4747" spans="1:1" s="173" customFormat="1" ht="12" hidden="1" customHeight="1">
      <c r="A4747" s="172"/>
    </row>
    <row r="4748" spans="1:1" s="173" customFormat="1" ht="12" hidden="1" customHeight="1">
      <c r="A4748" s="172"/>
    </row>
    <row r="4749" spans="1:1" s="173" customFormat="1" ht="12" hidden="1" customHeight="1">
      <c r="A4749" s="172"/>
    </row>
    <row r="4750" spans="1:1" s="173" customFormat="1" ht="12" hidden="1" customHeight="1">
      <c r="A4750" s="172"/>
    </row>
    <row r="4751" spans="1:1" s="173" customFormat="1" ht="12" hidden="1" customHeight="1">
      <c r="A4751" s="172"/>
    </row>
    <row r="4752" spans="1:1" s="173" customFormat="1" ht="12" hidden="1" customHeight="1">
      <c r="A4752" s="172"/>
    </row>
    <row r="4753" spans="1:1" s="173" customFormat="1" ht="12" hidden="1" customHeight="1">
      <c r="A4753" s="172"/>
    </row>
    <row r="4754" spans="1:1" s="173" customFormat="1" ht="12" hidden="1" customHeight="1">
      <c r="A4754" s="172"/>
    </row>
    <row r="4755" spans="1:1" s="173" customFormat="1" ht="12" hidden="1" customHeight="1">
      <c r="A4755" s="172"/>
    </row>
    <row r="4756" spans="1:1" s="173" customFormat="1" ht="12" hidden="1" customHeight="1">
      <c r="A4756" s="172"/>
    </row>
    <row r="4757" spans="1:1" s="173" customFormat="1" ht="12" hidden="1" customHeight="1">
      <c r="A4757" s="172"/>
    </row>
    <row r="4758" spans="1:1" s="173" customFormat="1" ht="12" hidden="1" customHeight="1">
      <c r="A4758" s="172"/>
    </row>
    <row r="4759" spans="1:1" s="173" customFormat="1" ht="12" hidden="1" customHeight="1">
      <c r="A4759" s="172"/>
    </row>
    <row r="4760" spans="1:1" s="173" customFormat="1" ht="12" hidden="1" customHeight="1">
      <c r="A4760" s="172"/>
    </row>
    <row r="4761" spans="1:1" s="173" customFormat="1" ht="12" hidden="1" customHeight="1">
      <c r="A4761" s="172"/>
    </row>
    <row r="4762" spans="1:1" s="173" customFormat="1" ht="12" hidden="1" customHeight="1">
      <c r="A4762" s="172"/>
    </row>
    <row r="4763" spans="1:1" s="173" customFormat="1" ht="12" hidden="1" customHeight="1">
      <c r="A4763" s="172"/>
    </row>
    <row r="4764" spans="1:1" s="173" customFormat="1" ht="12" hidden="1" customHeight="1">
      <c r="A4764" s="172"/>
    </row>
    <row r="4765" spans="1:1" s="173" customFormat="1" ht="12" hidden="1" customHeight="1">
      <c r="A4765" s="172"/>
    </row>
    <row r="4766" spans="1:1" s="173" customFormat="1" ht="12" hidden="1" customHeight="1">
      <c r="A4766" s="172"/>
    </row>
    <row r="4767" spans="1:1" s="173" customFormat="1" ht="12" hidden="1" customHeight="1">
      <c r="A4767" s="172"/>
    </row>
    <row r="4768" spans="1:1" s="173" customFormat="1" ht="12" hidden="1" customHeight="1">
      <c r="A4768" s="172"/>
    </row>
    <row r="4769" spans="1:1" s="173" customFormat="1" ht="12" hidden="1" customHeight="1">
      <c r="A4769" s="172"/>
    </row>
    <row r="4770" spans="1:1" s="173" customFormat="1" ht="12" hidden="1" customHeight="1">
      <c r="A4770" s="172"/>
    </row>
    <row r="4771" spans="1:1" s="173" customFormat="1" ht="12" hidden="1" customHeight="1">
      <c r="A4771" s="172"/>
    </row>
    <row r="4772" spans="1:1" s="173" customFormat="1" ht="12" hidden="1" customHeight="1">
      <c r="A4772" s="172"/>
    </row>
    <row r="4773" spans="1:1" s="173" customFormat="1" ht="12" hidden="1" customHeight="1">
      <c r="A4773" s="172"/>
    </row>
    <row r="4774" spans="1:1" s="173" customFormat="1" ht="12" hidden="1" customHeight="1">
      <c r="A4774" s="172"/>
    </row>
    <row r="4775" spans="1:1" s="173" customFormat="1" ht="12" hidden="1" customHeight="1">
      <c r="A4775" s="172"/>
    </row>
    <row r="4776" spans="1:1" s="173" customFormat="1" ht="12" hidden="1" customHeight="1">
      <c r="A4776" s="172"/>
    </row>
    <row r="4777" spans="1:1" s="173" customFormat="1" ht="12" hidden="1" customHeight="1">
      <c r="A4777" s="172"/>
    </row>
    <row r="4778" spans="1:1" s="173" customFormat="1" ht="12" hidden="1" customHeight="1">
      <c r="A4778" s="172"/>
    </row>
    <row r="4779" spans="1:1" s="173" customFormat="1" ht="12" hidden="1" customHeight="1">
      <c r="A4779" s="172"/>
    </row>
    <row r="4780" spans="1:1" s="173" customFormat="1" ht="12" hidden="1" customHeight="1">
      <c r="A4780" s="172"/>
    </row>
    <row r="4781" spans="1:1" s="173" customFormat="1" ht="12" hidden="1" customHeight="1">
      <c r="A4781" s="172"/>
    </row>
    <row r="4782" spans="1:1" s="173" customFormat="1" ht="12" hidden="1" customHeight="1">
      <c r="A4782" s="172"/>
    </row>
    <row r="4783" spans="1:1" s="173" customFormat="1" ht="12" hidden="1" customHeight="1">
      <c r="A4783" s="172"/>
    </row>
    <row r="4784" spans="1:1" s="173" customFormat="1" ht="12" hidden="1" customHeight="1">
      <c r="A4784" s="172"/>
    </row>
    <row r="4785" spans="1:1" s="173" customFormat="1" ht="12" hidden="1" customHeight="1">
      <c r="A4785" s="172"/>
    </row>
    <row r="4786" spans="1:1" s="173" customFormat="1" ht="12" hidden="1" customHeight="1">
      <c r="A4786" s="172"/>
    </row>
    <row r="4787" spans="1:1" s="173" customFormat="1" ht="12" hidden="1" customHeight="1">
      <c r="A4787" s="172"/>
    </row>
    <row r="4788" spans="1:1" s="173" customFormat="1" ht="12" hidden="1" customHeight="1">
      <c r="A4788" s="172"/>
    </row>
    <row r="4789" spans="1:1" s="173" customFormat="1" ht="12" hidden="1" customHeight="1">
      <c r="A4789" s="172"/>
    </row>
    <row r="4790" spans="1:1" s="173" customFormat="1" ht="12" hidden="1" customHeight="1">
      <c r="A4790" s="172"/>
    </row>
    <row r="4791" spans="1:1" s="173" customFormat="1" ht="12" hidden="1" customHeight="1">
      <c r="A4791" s="172"/>
    </row>
    <row r="4792" spans="1:1" s="173" customFormat="1" ht="12" hidden="1" customHeight="1">
      <c r="A4792" s="172"/>
    </row>
    <row r="4793" spans="1:1" s="173" customFormat="1" ht="12" hidden="1" customHeight="1">
      <c r="A4793" s="172"/>
    </row>
    <row r="4794" spans="1:1" s="173" customFormat="1" ht="12" hidden="1" customHeight="1">
      <c r="A4794" s="172"/>
    </row>
    <row r="4795" spans="1:1" s="173" customFormat="1" ht="12" hidden="1" customHeight="1">
      <c r="A4795" s="172"/>
    </row>
    <row r="4796" spans="1:1" s="173" customFormat="1" ht="12" hidden="1" customHeight="1">
      <c r="A4796" s="172"/>
    </row>
    <row r="4797" spans="1:1" s="173" customFormat="1" ht="12" hidden="1" customHeight="1">
      <c r="A4797" s="172"/>
    </row>
    <row r="4798" spans="1:1" s="173" customFormat="1" ht="12" hidden="1" customHeight="1">
      <c r="A4798" s="172"/>
    </row>
    <row r="4799" spans="1:1" s="173" customFormat="1" ht="12" hidden="1" customHeight="1">
      <c r="A4799" s="172"/>
    </row>
    <row r="4800" spans="1:1" s="173" customFormat="1" ht="12" hidden="1" customHeight="1">
      <c r="A4800" s="172"/>
    </row>
    <row r="4801" spans="1:1" s="173" customFormat="1" ht="12" hidden="1" customHeight="1">
      <c r="A4801" s="172"/>
    </row>
    <row r="4802" spans="1:1" s="173" customFormat="1" ht="12" hidden="1" customHeight="1">
      <c r="A4802" s="172"/>
    </row>
    <row r="4803" spans="1:1" s="173" customFormat="1" ht="12" hidden="1" customHeight="1">
      <c r="A4803" s="172"/>
    </row>
    <row r="4804" spans="1:1" s="173" customFormat="1" ht="12" hidden="1" customHeight="1">
      <c r="A4804" s="172"/>
    </row>
    <row r="4805" spans="1:1" s="173" customFormat="1" ht="12" hidden="1" customHeight="1">
      <c r="A4805" s="172"/>
    </row>
    <row r="4806" spans="1:1" s="173" customFormat="1" ht="12" hidden="1" customHeight="1">
      <c r="A4806" s="172"/>
    </row>
    <row r="4807" spans="1:1" s="173" customFormat="1" ht="12" hidden="1" customHeight="1">
      <c r="A4807" s="172"/>
    </row>
    <row r="4808" spans="1:1" s="173" customFormat="1" ht="12" hidden="1" customHeight="1">
      <c r="A4808" s="172"/>
    </row>
    <row r="4809" spans="1:1" s="173" customFormat="1" ht="12" hidden="1" customHeight="1">
      <c r="A4809" s="172"/>
    </row>
    <row r="4810" spans="1:1" s="173" customFormat="1" ht="12" hidden="1" customHeight="1">
      <c r="A4810" s="172"/>
    </row>
    <row r="4811" spans="1:1" s="173" customFormat="1" ht="12" hidden="1" customHeight="1">
      <c r="A4811" s="172"/>
    </row>
    <row r="4812" spans="1:1" s="173" customFormat="1" ht="12" hidden="1" customHeight="1">
      <c r="A4812" s="172"/>
    </row>
    <row r="4813" spans="1:1" s="173" customFormat="1" ht="12" hidden="1" customHeight="1">
      <c r="A4813" s="172"/>
    </row>
    <row r="4814" spans="1:1" s="173" customFormat="1" ht="12" hidden="1" customHeight="1">
      <c r="A4814" s="172"/>
    </row>
    <row r="4815" spans="1:1" s="173" customFormat="1" ht="12" hidden="1" customHeight="1">
      <c r="A4815" s="172"/>
    </row>
    <row r="4816" spans="1:1" s="173" customFormat="1" ht="12" hidden="1" customHeight="1">
      <c r="A4816" s="172"/>
    </row>
    <row r="4817" spans="1:1" s="173" customFormat="1" ht="12" hidden="1" customHeight="1">
      <c r="A4817" s="172"/>
    </row>
    <row r="4818" spans="1:1" s="173" customFormat="1" ht="12" hidden="1" customHeight="1">
      <c r="A4818" s="172"/>
    </row>
    <row r="4819" spans="1:1" s="173" customFormat="1" ht="12" hidden="1" customHeight="1">
      <c r="A4819" s="172"/>
    </row>
    <row r="4820" spans="1:1" s="173" customFormat="1" ht="12" hidden="1" customHeight="1">
      <c r="A4820" s="172"/>
    </row>
    <row r="4821" spans="1:1" s="173" customFormat="1" ht="12" hidden="1" customHeight="1">
      <c r="A4821" s="172"/>
    </row>
    <row r="4822" spans="1:1" s="173" customFormat="1" ht="12" hidden="1" customHeight="1">
      <c r="A4822" s="172"/>
    </row>
    <row r="4823" spans="1:1" s="173" customFormat="1" ht="12" hidden="1" customHeight="1">
      <c r="A4823" s="172"/>
    </row>
    <row r="4824" spans="1:1" s="173" customFormat="1" ht="12" hidden="1" customHeight="1">
      <c r="A4824" s="172"/>
    </row>
    <row r="4825" spans="1:1" s="173" customFormat="1" ht="12" hidden="1" customHeight="1">
      <c r="A4825" s="172"/>
    </row>
    <row r="4826" spans="1:1" s="173" customFormat="1" ht="12" hidden="1" customHeight="1">
      <c r="A4826" s="172"/>
    </row>
    <row r="4827" spans="1:1" s="173" customFormat="1" ht="12" hidden="1" customHeight="1">
      <c r="A4827" s="172"/>
    </row>
    <row r="4828" spans="1:1" s="173" customFormat="1" ht="12" hidden="1" customHeight="1">
      <c r="A4828" s="172"/>
    </row>
    <row r="4829" spans="1:1" s="173" customFormat="1" ht="12" hidden="1" customHeight="1">
      <c r="A4829" s="172"/>
    </row>
    <row r="4830" spans="1:1" s="173" customFormat="1" ht="12" hidden="1" customHeight="1">
      <c r="A4830" s="172"/>
    </row>
    <row r="4831" spans="1:1" s="173" customFormat="1" ht="12" hidden="1" customHeight="1">
      <c r="A4831" s="172"/>
    </row>
    <row r="4832" spans="1:1" s="173" customFormat="1" ht="12" hidden="1" customHeight="1">
      <c r="A4832" s="172"/>
    </row>
    <row r="4833" spans="1:1" s="173" customFormat="1" ht="12" hidden="1" customHeight="1">
      <c r="A4833" s="172"/>
    </row>
    <row r="4834" spans="1:1" s="173" customFormat="1" ht="12" hidden="1" customHeight="1">
      <c r="A4834" s="172"/>
    </row>
    <row r="4835" spans="1:1" s="173" customFormat="1" ht="12" hidden="1" customHeight="1">
      <c r="A4835" s="172"/>
    </row>
    <row r="4836" spans="1:1" s="173" customFormat="1" ht="12" hidden="1" customHeight="1">
      <c r="A4836" s="172"/>
    </row>
    <row r="4837" spans="1:1" s="173" customFormat="1" ht="12" hidden="1" customHeight="1">
      <c r="A4837" s="172"/>
    </row>
    <row r="4838" spans="1:1" s="173" customFormat="1" ht="12" hidden="1" customHeight="1">
      <c r="A4838" s="172"/>
    </row>
    <row r="4839" spans="1:1" s="173" customFormat="1" ht="12" hidden="1" customHeight="1">
      <c r="A4839" s="172"/>
    </row>
    <row r="4840" spans="1:1" s="173" customFormat="1" ht="12" hidden="1" customHeight="1">
      <c r="A4840" s="172"/>
    </row>
    <row r="4841" spans="1:1" s="173" customFormat="1" ht="12" hidden="1" customHeight="1">
      <c r="A4841" s="172"/>
    </row>
    <row r="4842" spans="1:1" s="173" customFormat="1" ht="12" hidden="1" customHeight="1">
      <c r="A4842" s="172"/>
    </row>
    <row r="4843" spans="1:1" s="173" customFormat="1" ht="12" hidden="1" customHeight="1">
      <c r="A4843" s="172"/>
    </row>
    <row r="4844" spans="1:1" s="173" customFormat="1" ht="12" hidden="1" customHeight="1">
      <c r="A4844" s="172"/>
    </row>
    <row r="4845" spans="1:1" s="173" customFormat="1" ht="12" hidden="1" customHeight="1">
      <c r="A4845" s="172"/>
    </row>
    <row r="4846" spans="1:1" s="173" customFormat="1" ht="12" hidden="1" customHeight="1">
      <c r="A4846" s="172"/>
    </row>
    <row r="4847" spans="1:1" s="173" customFormat="1" ht="12" hidden="1" customHeight="1">
      <c r="A4847" s="172"/>
    </row>
    <row r="4848" spans="1:1" s="173" customFormat="1" ht="12" hidden="1" customHeight="1">
      <c r="A4848" s="172"/>
    </row>
    <row r="4849" spans="1:1" s="173" customFormat="1" ht="12" hidden="1" customHeight="1">
      <c r="A4849" s="172"/>
    </row>
    <row r="4850" spans="1:1" s="173" customFormat="1" ht="12" hidden="1" customHeight="1">
      <c r="A4850" s="172"/>
    </row>
    <row r="4851" spans="1:1" s="173" customFormat="1" ht="12" hidden="1" customHeight="1">
      <c r="A4851" s="172"/>
    </row>
    <row r="4852" spans="1:1" s="173" customFormat="1" ht="12" hidden="1" customHeight="1">
      <c r="A4852" s="172"/>
    </row>
    <row r="4853" spans="1:1" s="173" customFormat="1" ht="12" hidden="1" customHeight="1">
      <c r="A4853" s="172"/>
    </row>
    <row r="4854" spans="1:1" s="173" customFormat="1" ht="12" hidden="1" customHeight="1">
      <c r="A4854" s="172"/>
    </row>
    <row r="4855" spans="1:1" s="173" customFormat="1" ht="12" hidden="1" customHeight="1">
      <c r="A4855" s="172"/>
    </row>
    <row r="4856" spans="1:1" s="173" customFormat="1" ht="12" hidden="1" customHeight="1">
      <c r="A4856" s="172"/>
    </row>
    <row r="4857" spans="1:1" s="173" customFormat="1" ht="12" hidden="1" customHeight="1">
      <c r="A4857" s="172"/>
    </row>
    <row r="4858" spans="1:1" s="173" customFormat="1" ht="12" hidden="1" customHeight="1">
      <c r="A4858" s="172"/>
    </row>
    <row r="4859" spans="1:1" s="173" customFormat="1" ht="12" hidden="1" customHeight="1">
      <c r="A4859" s="172"/>
    </row>
    <row r="4860" spans="1:1" s="173" customFormat="1" ht="12" hidden="1" customHeight="1">
      <c r="A4860" s="172"/>
    </row>
    <row r="4861" spans="1:1" s="173" customFormat="1" ht="12" hidden="1" customHeight="1">
      <c r="A4861" s="172"/>
    </row>
    <row r="4862" spans="1:1" s="173" customFormat="1" ht="12" hidden="1" customHeight="1">
      <c r="A4862" s="172"/>
    </row>
    <row r="4863" spans="1:1" s="173" customFormat="1" ht="12" hidden="1" customHeight="1">
      <c r="A4863" s="172"/>
    </row>
    <row r="4864" spans="1:1" s="173" customFormat="1" ht="12" hidden="1" customHeight="1">
      <c r="A4864" s="172"/>
    </row>
    <row r="4865" spans="1:1" s="173" customFormat="1" ht="12" hidden="1" customHeight="1">
      <c r="A4865" s="172"/>
    </row>
    <row r="4866" spans="1:1" s="173" customFormat="1" ht="12" hidden="1" customHeight="1">
      <c r="A4866" s="172"/>
    </row>
    <row r="4867" spans="1:1" s="173" customFormat="1" ht="12" hidden="1" customHeight="1">
      <c r="A4867" s="172"/>
    </row>
    <row r="4868" spans="1:1" s="173" customFormat="1" ht="12" hidden="1" customHeight="1">
      <c r="A4868" s="172"/>
    </row>
    <row r="4869" spans="1:1" s="173" customFormat="1" ht="12" hidden="1" customHeight="1">
      <c r="A4869" s="172"/>
    </row>
    <row r="4870" spans="1:1" s="173" customFormat="1" ht="12" hidden="1" customHeight="1">
      <c r="A4870" s="172"/>
    </row>
    <row r="4871" spans="1:1" s="173" customFormat="1" ht="12" hidden="1" customHeight="1">
      <c r="A4871" s="172"/>
    </row>
    <row r="4872" spans="1:1" s="173" customFormat="1" ht="12" hidden="1" customHeight="1">
      <c r="A4872" s="172"/>
    </row>
    <row r="4873" spans="1:1" s="173" customFormat="1" ht="12" hidden="1" customHeight="1">
      <c r="A4873" s="172"/>
    </row>
    <row r="4874" spans="1:1" s="173" customFormat="1" ht="12" hidden="1" customHeight="1">
      <c r="A4874" s="172"/>
    </row>
    <row r="4875" spans="1:1" s="173" customFormat="1" ht="12" hidden="1" customHeight="1">
      <c r="A4875" s="172"/>
    </row>
    <row r="4876" spans="1:1" s="173" customFormat="1" ht="12" hidden="1" customHeight="1">
      <c r="A4876" s="172"/>
    </row>
    <row r="4877" spans="1:1" s="173" customFormat="1" ht="12" hidden="1" customHeight="1">
      <c r="A4877" s="172"/>
    </row>
    <row r="4878" spans="1:1" s="173" customFormat="1" ht="12" hidden="1" customHeight="1">
      <c r="A4878" s="172"/>
    </row>
    <row r="4879" spans="1:1" s="173" customFormat="1" ht="12" hidden="1" customHeight="1">
      <c r="A4879" s="172"/>
    </row>
    <row r="4880" spans="1:1" s="173" customFormat="1" ht="12" hidden="1" customHeight="1">
      <c r="A4880" s="172"/>
    </row>
    <row r="4881" spans="1:1" s="173" customFormat="1" ht="12" hidden="1" customHeight="1">
      <c r="A4881" s="172"/>
    </row>
    <row r="4882" spans="1:1" s="173" customFormat="1" ht="12" hidden="1" customHeight="1">
      <c r="A4882" s="172"/>
    </row>
    <row r="4883" spans="1:1" s="173" customFormat="1" ht="12" hidden="1" customHeight="1">
      <c r="A4883" s="172"/>
    </row>
    <row r="4884" spans="1:1" s="173" customFormat="1" ht="12" hidden="1" customHeight="1">
      <c r="A4884" s="172"/>
    </row>
    <row r="4885" spans="1:1" s="173" customFormat="1" ht="12" hidden="1" customHeight="1">
      <c r="A4885" s="172"/>
    </row>
    <row r="4886" spans="1:1" s="173" customFormat="1" ht="12" hidden="1" customHeight="1">
      <c r="A4886" s="172"/>
    </row>
    <row r="4887" spans="1:1" s="173" customFormat="1" ht="12" hidden="1" customHeight="1">
      <c r="A4887" s="172"/>
    </row>
    <row r="4888" spans="1:1" s="173" customFormat="1" ht="12" hidden="1" customHeight="1">
      <c r="A4888" s="172"/>
    </row>
    <row r="4889" spans="1:1" s="173" customFormat="1" ht="12" hidden="1" customHeight="1">
      <c r="A4889" s="172"/>
    </row>
    <row r="4890" spans="1:1" s="173" customFormat="1" ht="12" hidden="1" customHeight="1">
      <c r="A4890" s="172"/>
    </row>
    <row r="4891" spans="1:1" s="173" customFormat="1" ht="12" hidden="1" customHeight="1">
      <c r="A4891" s="172"/>
    </row>
    <row r="4892" spans="1:1" s="173" customFormat="1" ht="12" hidden="1" customHeight="1">
      <c r="A4892" s="172"/>
    </row>
    <row r="4893" spans="1:1" s="173" customFormat="1" ht="12" hidden="1" customHeight="1">
      <c r="A4893" s="172"/>
    </row>
    <row r="4894" spans="1:1" s="173" customFormat="1" ht="12" hidden="1" customHeight="1">
      <c r="A4894" s="172"/>
    </row>
    <row r="4895" spans="1:1" s="173" customFormat="1" ht="12" hidden="1" customHeight="1">
      <c r="A4895" s="172"/>
    </row>
    <row r="4896" spans="1:1" s="173" customFormat="1" ht="12" hidden="1" customHeight="1">
      <c r="A4896" s="172"/>
    </row>
    <row r="4897" spans="1:1" s="173" customFormat="1" ht="12" hidden="1" customHeight="1">
      <c r="A4897" s="172"/>
    </row>
    <row r="4898" spans="1:1" s="173" customFormat="1" ht="12" hidden="1" customHeight="1">
      <c r="A4898" s="172"/>
    </row>
    <row r="4899" spans="1:1" s="173" customFormat="1" ht="12" hidden="1" customHeight="1">
      <c r="A4899" s="172"/>
    </row>
    <row r="4900" spans="1:1" s="173" customFormat="1" ht="12" hidden="1" customHeight="1">
      <c r="A4900" s="172"/>
    </row>
    <row r="4901" spans="1:1" s="173" customFormat="1" ht="12" hidden="1" customHeight="1">
      <c r="A4901" s="172"/>
    </row>
    <row r="4902" spans="1:1" s="173" customFormat="1" ht="12" hidden="1" customHeight="1">
      <c r="A4902" s="172"/>
    </row>
    <row r="4903" spans="1:1" s="173" customFormat="1" ht="12" hidden="1" customHeight="1">
      <c r="A4903" s="172"/>
    </row>
    <row r="4904" spans="1:1" s="173" customFormat="1" ht="12" hidden="1" customHeight="1">
      <c r="A4904" s="172"/>
    </row>
    <row r="4905" spans="1:1" s="173" customFormat="1" ht="12" hidden="1" customHeight="1">
      <c r="A4905" s="172"/>
    </row>
    <row r="4906" spans="1:1" s="173" customFormat="1" ht="12" hidden="1" customHeight="1">
      <c r="A4906" s="172"/>
    </row>
    <row r="4907" spans="1:1" s="173" customFormat="1" ht="12" hidden="1" customHeight="1">
      <c r="A4907" s="172"/>
    </row>
    <row r="4908" spans="1:1" s="173" customFormat="1" ht="12" hidden="1" customHeight="1">
      <c r="A4908" s="172"/>
    </row>
    <row r="4909" spans="1:1" s="173" customFormat="1" ht="12" hidden="1" customHeight="1">
      <c r="A4909" s="172"/>
    </row>
    <row r="4910" spans="1:1" s="173" customFormat="1" ht="12" hidden="1" customHeight="1">
      <c r="A4910" s="172"/>
    </row>
    <row r="4911" spans="1:1" s="173" customFormat="1" ht="12" hidden="1" customHeight="1">
      <c r="A4911" s="172"/>
    </row>
    <row r="4912" spans="1:1" s="173" customFormat="1" ht="12" hidden="1" customHeight="1">
      <c r="A4912" s="172"/>
    </row>
    <row r="4913" spans="1:1" s="173" customFormat="1" ht="12" hidden="1" customHeight="1">
      <c r="A4913" s="172"/>
    </row>
    <row r="4914" spans="1:1" s="173" customFormat="1" ht="12" hidden="1" customHeight="1">
      <c r="A4914" s="172"/>
    </row>
    <row r="4915" spans="1:1" s="173" customFormat="1" ht="12" hidden="1" customHeight="1">
      <c r="A4915" s="172"/>
    </row>
    <row r="4916" spans="1:1" s="173" customFormat="1" ht="12" hidden="1" customHeight="1">
      <c r="A4916" s="172"/>
    </row>
    <row r="4917" spans="1:1" s="173" customFormat="1" ht="12" hidden="1" customHeight="1">
      <c r="A4917" s="172"/>
    </row>
    <row r="4918" spans="1:1" s="173" customFormat="1" ht="12" hidden="1" customHeight="1">
      <c r="A4918" s="172"/>
    </row>
    <row r="4919" spans="1:1" s="173" customFormat="1" ht="12" hidden="1" customHeight="1">
      <c r="A4919" s="172"/>
    </row>
    <row r="4920" spans="1:1" s="173" customFormat="1" ht="12" hidden="1" customHeight="1">
      <c r="A4920" s="172"/>
    </row>
    <row r="4921" spans="1:1" s="173" customFormat="1" ht="12" hidden="1" customHeight="1">
      <c r="A4921" s="172"/>
    </row>
    <row r="4922" spans="1:1" s="173" customFormat="1" ht="12" hidden="1" customHeight="1">
      <c r="A4922" s="172"/>
    </row>
    <row r="4923" spans="1:1" s="173" customFormat="1" ht="12" hidden="1" customHeight="1">
      <c r="A4923" s="172"/>
    </row>
    <row r="4924" spans="1:1" s="173" customFormat="1" ht="12" hidden="1" customHeight="1">
      <c r="A4924" s="172"/>
    </row>
    <row r="4925" spans="1:1" s="173" customFormat="1" ht="12" hidden="1" customHeight="1">
      <c r="A4925" s="172"/>
    </row>
    <row r="4926" spans="1:1" s="173" customFormat="1" ht="12" hidden="1" customHeight="1">
      <c r="A4926" s="172"/>
    </row>
    <row r="4927" spans="1:1" s="173" customFormat="1" ht="12" hidden="1" customHeight="1">
      <c r="A4927" s="172"/>
    </row>
    <row r="4928" spans="1:1" s="173" customFormat="1" ht="12" hidden="1" customHeight="1">
      <c r="A4928" s="172"/>
    </row>
    <row r="4929" spans="1:1" s="173" customFormat="1" ht="12" hidden="1" customHeight="1">
      <c r="A4929" s="172"/>
    </row>
    <row r="4930" spans="1:1" s="173" customFormat="1" ht="12" hidden="1" customHeight="1">
      <c r="A4930" s="172"/>
    </row>
    <row r="4931" spans="1:1" s="173" customFormat="1" ht="12" hidden="1" customHeight="1">
      <c r="A4931" s="172"/>
    </row>
    <row r="4932" spans="1:1" s="173" customFormat="1" ht="12" hidden="1" customHeight="1">
      <c r="A4932" s="172"/>
    </row>
    <row r="4933" spans="1:1" s="173" customFormat="1" ht="12" hidden="1" customHeight="1">
      <c r="A4933" s="172"/>
    </row>
    <row r="4934" spans="1:1" s="173" customFormat="1" ht="12" hidden="1" customHeight="1">
      <c r="A4934" s="172"/>
    </row>
    <row r="4935" spans="1:1" s="173" customFormat="1" ht="12" hidden="1" customHeight="1">
      <c r="A4935" s="172"/>
    </row>
    <row r="4936" spans="1:1" s="173" customFormat="1" ht="12" hidden="1" customHeight="1">
      <c r="A4936" s="172"/>
    </row>
    <row r="4937" spans="1:1" s="173" customFormat="1" ht="12" hidden="1" customHeight="1">
      <c r="A4937" s="172"/>
    </row>
    <row r="4938" spans="1:1" s="173" customFormat="1" ht="12" hidden="1" customHeight="1">
      <c r="A4938" s="172"/>
    </row>
    <row r="4939" spans="1:1" s="173" customFormat="1" ht="12" hidden="1" customHeight="1">
      <c r="A4939" s="172"/>
    </row>
    <row r="4940" spans="1:1" s="173" customFormat="1" ht="12" hidden="1" customHeight="1">
      <c r="A4940" s="172"/>
    </row>
    <row r="4941" spans="1:1" s="173" customFormat="1" ht="12" hidden="1" customHeight="1">
      <c r="A4941" s="172"/>
    </row>
    <row r="4942" spans="1:1" s="173" customFormat="1" ht="12" hidden="1" customHeight="1">
      <c r="A4942" s="172"/>
    </row>
    <row r="4943" spans="1:1" s="173" customFormat="1" ht="12" hidden="1" customHeight="1">
      <c r="A4943" s="172"/>
    </row>
    <row r="4944" spans="1:1" s="173" customFormat="1" ht="12" hidden="1" customHeight="1">
      <c r="A4944" s="172"/>
    </row>
    <row r="4945" spans="1:1" s="173" customFormat="1" ht="12" hidden="1" customHeight="1">
      <c r="A4945" s="172"/>
    </row>
    <row r="4946" spans="1:1" s="173" customFormat="1" ht="12" hidden="1" customHeight="1">
      <c r="A4946" s="172"/>
    </row>
    <row r="4947" spans="1:1" s="173" customFormat="1" ht="12" hidden="1" customHeight="1">
      <c r="A4947" s="172"/>
    </row>
    <row r="4948" spans="1:1" s="173" customFormat="1" ht="12" hidden="1" customHeight="1">
      <c r="A4948" s="172"/>
    </row>
    <row r="4949" spans="1:1" s="173" customFormat="1" ht="12" hidden="1" customHeight="1">
      <c r="A4949" s="172"/>
    </row>
    <row r="4950" spans="1:1" s="173" customFormat="1" ht="12" hidden="1" customHeight="1">
      <c r="A4950" s="172"/>
    </row>
    <row r="4951" spans="1:1" s="173" customFormat="1" ht="12" hidden="1" customHeight="1">
      <c r="A4951" s="172"/>
    </row>
    <row r="4952" spans="1:1" s="173" customFormat="1" ht="12" hidden="1" customHeight="1">
      <c r="A4952" s="172"/>
    </row>
    <row r="4953" spans="1:1" s="173" customFormat="1" ht="12" hidden="1" customHeight="1">
      <c r="A4953" s="172"/>
    </row>
    <row r="4954" spans="1:1" s="173" customFormat="1" ht="12" hidden="1" customHeight="1">
      <c r="A4954" s="172"/>
    </row>
    <row r="4955" spans="1:1" s="173" customFormat="1" ht="12" hidden="1" customHeight="1">
      <c r="A4955" s="172"/>
    </row>
    <row r="4956" spans="1:1" s="173" customFormat="1" ht="12" hidden="1" customHeight="1">
      <c r="A4956" s="172"/>
    </row>
    <row r="4957" spans="1:1" s="173" customFormat="1" ht="12" hidden="1" customHeight="1">
      <c r="A4957" s="172"/>
    </row>
    <row r="4958" spans="1:1" s="173" customFormat="1" ht="12" hidden="1" customHeight="1">
      <c r="A4958" s="172"/>
    </row>
    <row r="4959" spans="1:1" s="173" customFormat="1" ht="12" hidden="1" customHeight="1">
      <c r="A4959" s="172"/>
    </row>
    <row r="4960" spans="1:1" s="173" customFormat="1" ht="12" hidden="1" customHeight="1">
      <c r="A4960" s="172"/>
    </row>
    <row r="4961" spans="1:1" s="173" customFormat="1" ht="12" hidden="1" customHeight="1">
      <c r="A4961" s="172"/>
    </row>
    <row r="4962" spans="1:1" s="173" customFormat="1" ht="12" hidden="1" customHeight="1">
      <c r="A4962" s="172"/>
    </row>
    <row r="4963" spans="1:1" s="173" customFormat="1" ht="12" hidden="1" customHeight="1">
      <c r="A4963" s="172"/>
    </row>
    <row r="4964" spans="1:1" s="173" customFormat="1" ht="12" hidden="1" customHeight="1">
      <c r="A4964" s="172"/>
    </row>
    <row r="4965" spans="1:1" s="173" customFormat="1" ht="12" hidden="1" customHeight="1">
      <c r="A4965" s="172"/>
    </row>
    <row r="4966" spans="1:1" s="173" customFormat="1" ht="12" hidden="1" customHeight="1">
      <c r="A4966" s="172"/>
    </row>
    <row r="4967" spans="1:1" s="173" customFormat="1" ht="12" hidden="1" customHeight="1">
      <c r="A4967" s="172"/>
    </row>
    <row r="4968" spans="1:1" s="173" customFormat="1" ht="12" hidden="1" customHeight="1">
      <c r="A4968" s="172"/>
    </row>
    <row r="4969" spans="1:1" s="173" customFormat="1" ht="12" hidden="1" customHeight="1">
      <c r="A4969" s="172"/>
    </row>
    <row r="4970" spans="1:1" s="173" customFormat="1" ht="12" hidden="1" customHeight="1">
      <c r="A4970" s="172"/>
    </row>
    <row r="4971" spans="1:1" s="173" customFormat="1" ht="12" hidden="1" customHeight="1">
      <c r="A4971" s="172"/>
    </row>
    <row r="4972" spans="1:1" s="173" customFormat="1" ht="12" hidden="1" customHeight="1">
      <c r="A4972" s="172"/>
    </row>
    <row r="4973" spans="1:1" s="173" customFormat="1" ht="12" hidden="1" customHeight="1">
      <c r="A4973" s="172"/>
    </row>
    <row r="4974" spans="1:1" s="173" customFormat="1" ht="12" hidden="1" customHeight="1">
      <c r="A4974" s="172"/>
    </row>
    <row r="4975" spans="1:1" s="173" customFormat="1" ht="12" hidden="1" customHeight="1">
      <c r="A4975" s="172"/>
    </row>
    <row r="4976" spans="1:1" s="173" customFormat="1" ht="12" hidden="1" customHeight="1">
      <c r="A4976" s="172"/>
    </row>
    <row r="4977" spans="1:1" s="173" customFormat="1" ht="12" hidden="1" customHeight="1">
      <c r="A4977" s="172"/>
    </row>
    <row r="4978" spans="1:1" s="173" customFormat="1" ht="12" hidden="1" customHeight="1">
      <c r="A4978" s="172"/>
    </row>
    <row r="4979" spans="1:1" s="173" customFormat="1" ht="12" hidden="1" customHeight="1">
      <c r="A4979" s="172"/>
    </row>
    <row r="4980" spans="1:1" s="173" customFormat="1" ht="12" hidden="1" customHeight="1">
      <c r="A4980" s="172"/>
    </row>
    <row r="4981" spans="1:1" s="173" customFormat="1" ht="12" hidden="1" customHeight="1">
      <c r="A4981" s="172"/>
    </row>
    <row r="4982" spans="1:1" s="173" customFormat="1" ht="12" hidden="1" customHeight="1">
      <c r="A4982" s="172"/>
    </row>
    <row r="4983" spans="1:1" s="173" customFormat="1" ht="12" hidden="1" customHeight="1">
      <c r="A4983" s="172"/>
    </row>
    <row r="4984" spans="1:1" s="173" customFormat="1" ht="12" hidden="1" customHeight="1">
      <c r="A4984" s="172"/>
    </row>
    <row r="4985" spans="1:1" s="173" customFormat="1" ht="12" hidden="1" customHeight="1">
      <c r="A4985" s="172"/>
    </row>
    <row r="4986" spans="1:1" s="173" customFormat="1" ht="12" hidden="1" customHeight="1">
      <c r="A4986" s="172"/>
    </row>
    <row r="4987" spans="1:1" s="173" customFormat="1" ht="12" hidden="1" customHeight="1">
      <c r="A4987" s="172"/>
    </row>
    <row r="4988" spans="1:1" s="173" customFormat="1" ht="12" hidden="1" customHeight="1">
      <c r="A4988" s="172"/>
    </row>
    <row r="4989" spans="1:1" s="173" customFormat="1" ht="12" hidden="1" customHeight="1">
      <c r="A4989" s="172"/>
    </row>
    <row r="4990" spans="1:1" s="173" customFormat="1" ht="12" hidden="1" customHeight="1">
      <c r="A4990" s="172"/>
    </row>
    <row r="4991" spans="1:1" s="173" customFormat="1" ht="12" hidden="1" customHeight="1">
      <c r="A4991" s="172"/>
    </row>
    <row r="4992" spans="1:1" s="173" customFormat="1" ht="12" hidden="1" customHeight="1">
      <c r="A4992" s="172"/>
    </row>
    <row r="4993" spans="1:1" s="173" customFormat="1" ht="12" hidden="1" customHeight="1">
      <c r="A4993" s="172"/>
    </row>
    <row r="4994" spans="1:1" s="173" customFormat="1" ht="12" hidden="1" customHeight="1">
      <c r="A4994" s="172"/>
    </row>
    <row r="4995" spans="1:1" s="173" customFormat="1" ht="12" hidden="1" customHeight="1">
      <c r="A4995" s="172"/>
    </row>
    <row r="4996" spans="1:1" s="173" customFormat="1" ht="12" hidden="1" customHeight="1">
      <c r="A4996" s="172"/>
    </row>
    <row r="4997" spans="1:1" s="173" customFormat="1" ht="12" hidden="1" customHeight="1">
      <c r="A4997" s="172"/>
    </row>
    <row r="4998" spans="1:1" s="173" customFormat="1" ht="12" hidden="1" customHeight="1">
      <c r="A4998" s="172"/>
    </row>
    <row r="4999" spans="1:1" s="173" customFormat="1" ht="12" hidden="1" customHeight="1">
      <c r="A4999" s="172"/>
    </row>
    <row r="5000" spans="1:1" s="173" customFormat="1" ht="12" hidden="1" customHeight="1">
      <c r="A5000" s="172"/>
    </row>
    <row r="5001" spans="1:1" s="173" customFormat="1" ht="12" hidden="1" customHeight="1">
      <c r="A5001" s="172"/>
    </row>
    <row r="5002" spans="1:1" s="173" customFormat="1" ht="12" hidden="1" customHeight="1">
      <c r="A5002" s="172"/>
    </row>
    <row r="5003" spans="1:1" s="173" customFormat="1" ht="12" hidden="1" customHeight="1">
      <c r="A5003" s="172"/>
    </row>
    <row r="5004" spans="1:1" s="173" customFormat="1" ht="12" hidden="1" customHeight="1">
      <c r="A5004" s="172"/>
    </row>
    <row r="5005" spans="1:1" s="173" customFormat="1" ht="12" hidden="1" customHeight="1">
      <c r="A5005" s="172"/>
    </row>
    <row r="5006" spans="1:1" s="173" customFormat="1" ht="12" hidden="1" customHeight="1">
      <c r="A5006" s="172"/>
    </row>
    <row r="5007" spans="1:1" s="173" customFormat="1" ht="12" hidden="1" customHeight="1">
      <c r="A5007" s="172"/>
    </row>
    <row r="5008" spans="1:1" s="173" customFormat="1" ht="12" hidden="1" customHeight="1">
      <c r="A5008" s="172"/>
    </row>
    <row r="5009" spans="1:1" s="173" customFormat="1" ht="12" hidden="1" customHeight="1">
      <c r="A5009" s="172"/>
    </row>
    <row r="5010" spans="1:1" s="173" customFormat="1" ht="12" hidden="1" customHeight="1">
      <c r="A5010" s="172"/>
    </row>
    <row r="5011" spans="1:1" s="173" customFormat="1" ht="12" hidden="1" customHeight="1">
      <c r="A5011" s="172"/>
    </row>
    <row r="5012" spans="1:1" s="173" customFormat="1" ht="12" hidden="1" customHeight="1">
      <c r="A5012" s="172"/>
    </row>
    <row r="5013" spans="1:1" s="173" customFormat="1" ht="12" hidden="1" customHeight="1">
      <c r="A5013" s="172"/>
    </row>
    <row r="5014" spans="1:1" s="173" customFormat="1" ht="12" hidden="1" customHeight="1">
      <c r="A5014" s="172"/>
    </row>
    <row r="5015" spans="1:1" s="173" customFormat="1" ht="12" hidden="1" customHeight="1">
      <c r="A5015" s="172"/>
    </row>
    <row r="5016" spans="1:1" s="173" customFormat="1" ht="12" hidden="1" customHeight="1">
      <c r="A5016" s="172"/>
    </row>
    <row r="5017" spans="1:1" s="173" customFormat="1" ht="12" hidden="1" customHeight="1">
      <c r="A5017" s="172"/>
    </row>
    <row r="5018" spans="1:1" s="173" customFormat="1" ht="12" hidden="1" customHeight="1">
      <c r="A5018" s="172"/>
    </row>
    <row r="5019" spans="1:1" s="173" customFormat="1" ht="12" hidden="1" customHeight="1">
      <c r="A5019" s="172"/>
    </row>
    <row r="5020" spans="1:1" s="173" customFormat="1" ht="12" hidden="1" customHeight="1">
      <c r="A5020" s="172"/>
    </row>
    <row r="5021" spans="1:1" s="173" customFormat="1" ht="12" hidden="1" customHeight="1">
      <c r="A5021" s="172"/>
    </row>
    <row r="5022" spans="1:1" s="173" customFormat="1" ht="12" hidden="1" customHeight="1">
      <c r="A5022" s="172"/>
    </row>
    <row r="5023" spans="1:1" s="173" customFormat="1" ht="12" hidden="1" customHeight="1">
      <c r="A5023" s="172"/>
    </row>
    <row r="5024" spans="1:1" s="173" customFormat="1" ht="12" hidden="1" customHeight="1">
      <c r="A5024" s="172"/>
    </row>
    <row r="5025" spans="1:1" s="173" customFormat="1" ht="12" hidden="1" customHeight="1">
      <c r="A5025" s="172"/>
    </row>
    <row r="5026" spans="1:1" s="173" customFormat="1" ht="12" hidden="1" customHeight="1">
      <c r="A5026" s="172"/>
    </row>
    <row r="5027" spans="1:1" s="173" customFormat="1" ht="12" hidden="1" customHeight="1">
      <c r="A5027" s="172"/>
    </row>
    <row r="5028" spans="1:1" s="173" customFormat="1" ht="12" hidden="1" customHeight="1">
      <c r="A5028" s="172"/>
    </row>
    <row r="5029" spans="1:1" s="173" customFormat="1" ht="12" hidden="1" customHeight="1">
      <c r="A5029" s="172"/>
    </row>
    <row r="5030" spans="1:1" s="173" customFormat="1" ht="12" hidden="1" customHeight="1">
      <c r="A5030" s="172"/>
    </row>
    <row r="5031" spans="1:1" s="173" customFormat="1" ht="12" hidden="1" customHeight="1">
      <c r="A5031" s="172"/>
    </row>
    <row r="5032" spans="1:1" s="173" customFormat="1" ht="12" hidden="1" customHeight="1">
      <c r="A5032" s="172"/>
    </row>
    <row r="5033" spans="1:1" s="173" customFormat="1" ht="12" hidden="1" customHeight="1">
      <c r="A5033" s="172"/>
    </row>
    <row r="5034" spans="1:1" s="173" customFormat="1" ht="12" hidden="1" customHeight="1">
      <c r="A5034" s="172"/>
    </row>
    <row r="5035" spans="1:1" s="173" customFormat="1" ht="12" hidden="1" customHeight="1">
      <c r="A5035" s="172"/>
    </row>
    <row r="5036" spans="1:1" s="173" customFormat="1" ht="12" hidden="1" customHeight="1">
      <c r="A5036" s="172"/>
    </row>
    <row r="5037" spans="1:1" s="173" customFormat="1" ht="12" hidden="1" customHeight="1">
      <c r="A5037" s="172"/>
    </row>
    <row r="5038" spans="1:1" s="173" customFormat="1" ht="12" hidden="1" customHeight="1">
      <c r="A5038" s="172"/>
    </row>
    <row r="5039" spans="1:1" s="173" customFormat="1" ht="12" hidden="1" customHeight="1">
      <c r="A5039" s="172"/>
    </row>
    <row r="5040" spans="1:1" s="173" customFormat="1" ht="12" hidden="1" customHeight="1">
      <c r="A5040" s="172"/>
    </row>
    <row r="5041" spans="1:1" s="173" customFormat="1" ht="12" hidden="1" customHeight="1">
      <c r="A5041" s="172"/>
    </row>
    <row r="5042" spans="1:1" s="173" customFormat="1" ht="12" hidden="1" customHeight="1">
      <c r="A5042" s="172"/>
    </row>
    <row r="5043" spans="1:1" s="173" customFormat="1" ht="12" hidden="1" customHeight="1">
      <c r="A5043" s="172"/>
    </row>
    <row r="5044" spans="1:1" s="173" customFormat="1" ht="12" hidden="1" customHeight="1">
      <c r="A5044" s="172"/>
    </row>
    <row r="5045" spans="1:1" s="173" customFormat="1" ht="12" hidden="1" customHeight="1">
      <c r="A5045" s="172"/>
    </row>
    <row r="5046" spans="1:1" s="173" customFormat="1" ht="12" hidden="1" customHeight="1">
      <c r="A5046" s="172"/>
    </row>
    <row r="5047" spans="1:1" s="173" customFormat="1" ht="12" hidden="1" customHeight="1">
      <c r="A5047" s="172"/>
    </row>
    <row r="5048" spans="1:1" s="173" customFormat="1" ht="12" hidden="1" customHeight="1">
      <c r="A5048" s="172"/>
    </row>
    <row r="5049" spans="1:1" s="173" customFormat="1" ht="12" hidden="1" customHeight="1">
      <c r="A5049" s="172"/>
    </row>
    <row r="5050" spans="1:1" s="173" customFormat="1" ht="12" hidden="1" customHeight="1">
      <c r="A5050" s="172"/>
    </row>
    <row r="5051" spans="1:1" s="173" customFormat="1" ht="12" hidden="1" customHeight="1">
      <c r="A5051" s="172"/>
    </row>
    <row r="5052" spans="1:1" s="173" customFormat="1" ht="12" hidden="1" customHeight="1">
      <c r="A5052" s="172"/>
    </row>
    <row r="5053" spans="1:1" s="173" customFormat="1" ht="12" hidden="1" customHeight="1">
      <c r="A5053" s="172"/>
    </row>
    <row r="5054" spans="1:1" s="173" customFormat="1" ht="12" hidden="1" customHeight="1">
      <c r="A5054" s="172"/>
    </row>
    <row r="5055" spans="1:1" s="173" customFormat="1" ht="12" hidden="1" customHeight="1">
      <c r="A5055" s="172"/>
    </row>
    <row r="5056" spans="1:1" s="173" customFormat="1" ht="12" hidden="1" customHeight="1">
      <c r="A5056" s="172"/>
    </row>
    <row r="5057" spans="1:1" s="173" customFormat="1" ht="12" hidden="1" customHeight="1">
      <c r="A5057" s="172"/>
    </row>
    <row r="5058" spans="1:1" s="173" customFormat="1" ht="12" hidden="1" customHeight="1">
      <c r="A5058" s="172"/>
    </row>
    <row r="5059" spans="1:1" s="173" customFormat="1" ht="12" hidden="1" customHeight="1">
      <c r="A5059" s="172"/>
    </row>
    <row r="5060" spans="1:1" s="173" customFormat="1" ht="12" hidden="1" customHeight="1">
      <c r="A5060" s="172"/>
    </row>
    <row r="5061" spans="1:1" s="173" customFormat="1" ht="12" hidden="1" customHeight="1">
      <c r="A5061" s="172"/>
    </row>
    <row r="5062" spans="1:1" s="173" customFormat="1" ht="12" hidden="1" customHeight="1">
      <c r="A5062" s="172"/>
    </row>
    <row r="5063" spans="1:1" s="173" customFormat="1" ht="12" hidden="1" customHeight="1">
      <c r="A5063" s="172"/>
    </row>
    <row r="5064" spans="1:1" s="173" customFormat="1" ht="12" hidden="1" customHeight="1">
      <c r="A5064" s="172"/>
    </row>
    <row r="5065" spans="1:1" s="173" customFormat="1" ht="12" hidden="1" customHeight="1">
      <c r="A5065" s="172"/>
    </row>
    <row r="5066" spans="1:1" s="173" customFormat="1" ht="12" hidden="1" customHeight="1">
      <c r="A5066" s="172"/>
    </row>
    <row r="5067" spans="1:1" s="173" customFormat="1" ht="12" hidden="1" customHeight="1">
      <c r="A5067" s="172"/>
    </row>
    <row r="5068" spans="1:1" s="173" customFormat="1" ht="12" hidden="1" customHeight="1">
      <c r="A5068" s="172"/>
    </row>
    <row r="5069" spans="1:1" s="173" customFormat="1" ht="12" hidden="1" customHeight="1">
      <c r="A5069" s="172"/>
    </row>
    <row r="5070" spans="1:1" s="173" customFormat="1" ht="12" hidden="1" customHeight="1">
      <c r="A5070" s="172"/>
    </row>
    <row r="5071" spans="1:1" s="173" customFormat="1" ht="12" hidden="1" customHeight="1">
      <c r="A5071" s="172"/>
    </row>
    <row r="5072" spans="1:1" s="173" customFormat="1" ht="12" hidden="1" customHeight="1">
      <c r="A5072" s="172"/>
    </row>
    <row r="5073" spans="1:1" s="173" customFormat="1" ht="12" hidden="1" customHeight="1">
      <c r="A5073" s="172"/>
    </row>
    <row r="5074" spans="1:1" s="173" customFormat="1" ht="12" hidden="1" customHeight="1">
      <c r="A5074" s="172"/>
    </row>
    <row r="5075" spans="1:1" s="173" customFormat="1" ht="12" hidden="1" customHeight="1">
      <c r="A5075" s="172"/>
    </row>
    <row r="5076" spans="1:1" s="173" customFormat="1" ht="12" hidden="1" customHeight="1">
      <c r="A5076" s="172"/>
    </row>
    <row r="5077" spans="1:1" s="173" customFormat="1" ht="12" hidden="1" customHeight="1">
      <c r="A5077" s="172"/>
    </row>
    <row r="5078" spans="1:1" s="173" customFormat="1" ht="12" hidden="1" customHeight="1">
      <c r="A5078" s="172"/>
    </row>
    <row r="5079" spans="1:1" s="173" customFormat="1" ht="12" hidden="1" customHeight="1">
      <c r="A5079" s="172"/>
    </row>
    <row r="5080" spans="1:1" s="173" customFormat="1" ht="12" hidden="1" customHeight="1">
      <c r="A5080" s="172"/>
    </row>
    <row r="5081" spans="1:1" s="173" customFormat="1" ht="12" hidden="1" customHeight="1">
      <c r="A5081" s="172"/>
    </row>
    <row r="5082" spans="1:1" s="173" customFormat="1" ht="12" hidden="1" customHeight="1">
      <c r="A5082" s="172"/>
    </row>
    <row r="5083" spans="1:1" s="173" customFormat="1" ht="12" hidden="1" customHeight="1">
      <c r="A5083" s="172"/>
    </row>
    <row r="5084" spans="1:1" s="173" customFormat="1" ht="12" hidden="1" customHeight="1">
      <c r="A5084" s="172"/>
    </row>
    <row r="5085" spans="1:1" s="173" customFormat="1" ht="12" hidden="1" customHeight="1">
      <c r="A5085" s="172"/>
    </row>
    <row r="5086" spans="1:1" s="173" customFormat="1" ht="12" hidden="1" customHeight="1">
      <c r="A5086" s="172"/>
    </row>
    <row r="5087" spans="1:1" s="173" customFormat="1" ht="12" hidden="1" customHeight="1">
      <c r="A5087" s="172"/>
    </row>
    <row r="5088" spans="1:1" s="173" customFormat="1" ht="12" hidden="1" customHeight="1">
      <c r="A5088" s="172"/>
    </row>
    <row r="5089" spans="1:1" s="173" customFormat="1" ht="12" hidden="1" customHeight="1">
      <c r="A5089" s="172"/>
    </row>
    <row r="5090" spans="1:1" s="173" customFormat="1" ht="12" hidden="1" customHeight="1">
      <c r="A5090" s="172"/>
    </row>
    <row r="5091" spans="1:1" s="173" customFormat="1" ht="12" hidden="1" customHeight="1">
      <c r="A5091" s="172"/>
    </row>
    <row r="5092" spans="1:1" s="173" customFormat="1" ht="12" hidden="1" customHeight="1">
      <c r="A5092" s="172"/>
    </row>
    <row r="5093" spans="1:1" s="173" customFormat="1" ht="12" hidden="1" customHeight="1">
      <c r="A5093" s="172"/>
    </row>
    <row r="5094" spans="1:1" s="173" customFormat="1" ht="12" hidden="1" customHeight="1">
      <c r="A5094" s="172"/>
    </row>
    <row r="5095" spans="1:1" s="173" customFormat="1" ht="12" hidden="1" customHeight="1">
      <c r="A5095" s="172"/>
    </row>
    <row r="5096" spans="1:1" s="173" customFormat="1" ht="12" hidden="1" customHeight="1">
      <c r="A5096" s="172"/>
    </row>
    <row r="5097" spans="1:1" s="173" customFormat="1" ht="12" hidden="1" customHeight="1">
      <c r="A5097" s="172"/>
    </row>
    <row r="5098" spans="1:1" s="173" customFormat="1" ht="12" hidden="1" customHeight="1">
      <c r="A5098" s="172"/>
    </row>
    <row r="5099" spans="1:1" s="173" customFormat="1" ht="12" hidden="1" customHeight="1">
      <c r="A5099" s="172"/>
    </row>
    <row r="5100" spans="1:1" s="173" customFormat="1" ht="12" hidden="1" customHeight="1">
      <c r="A5100" s="172"/>
    </row>
    <row r="5101" spans="1:1" s="173" customFormat="1" ht="12" hidden="1" customHeight="1">
      <c r="A5101" s="172"/>
    </row>
    <row r="5102" spans="1:1" s="173" customFormat="1" ht="12" hidden="1" customHeight="1">
      <c r="A5102" s="172"/>
    </row>
    <row r="5103" spans="1:1" s="173" customFormat="1" ht="12" hidden="1" customHeight="1">
      <c r="A5103" s="172"/>
    </row>
    <row r="5104" spans="1:1" s="173" customFormat="1" ht="12" hidden="1" customHeight="1">
      <c r="A5104" s="172"/>
    </row>
    <row r="5105" spans="1:1" s="173" customFormat="1" ht="12" hidden="1" customHeight="1">
      <c r="A5105" s="172"/>
    </row>
    <row r="5106" spans="1:1" s="173" customFormat="1" ht="12" hidden="1" customHeight="1">
      <c r="A5106" s="172"/>
    </row>
    <row r="5107" spans="1:1" s="173" customFormat="1" ht="12" hidden="1" customHeight="1">
      <c r="A5107" s="172"/>
    </row>
    <row r="5108" spans="1:1" s="173" customFormat="1" ht="12" hidden="1" customHeight="1">
      <c r="A5108" s="172"/>
    </row>
    <row r="5109" spans="1:1" s="173" customFormat="1" ht="12" hidden="1" customHeight="1">
      <c r="A5109" s="172"/>
    </row>
    <row r="5110" spans="1:1" s="173" customFormat="1" ht="12" hidden="1" customHeight="1">
      <c r="A5110" s="172"/>
    </row>
    <row r="5111" spans="1:1" s="173" customFormat="1" ht="12" hidden="1" customHeight="1">
      <c r="A5111" s="172"/>
    </row>
    <row r="5112" spans="1:1" s="173" customFormat="1" ht="12" hidden="1" customHeight="1">
      <c r="A5112" s="172"/>
    </row>
    <row r="5113" spans="1:1" s="173" customFormat="1" ht="12" hidden="1" customHeight="1">
      <c r="A5113" s="172"/>
    </row>
    <row r="5114" spans="1:1" s="173" customFormat="1" ht="12" hidden="1" customHeight="1">
      <c r="A5114" s="172"/>
    </row>
    <row r="5115" spans="1:1" s="173" customFormat="1" ht="12" hidden="1" customHeight="1">
      <c r="A5115" s="172"/>
    </row>
    <row r="5116" spans="1:1" s="173" customFormat="1" ht="12" hidden="1" customHeight="1">
      <c r="A5116" s="172"/>
    </row>
    <row r="5117" spans="1:1" s="173" customFormat="1" ht="12" hidden="1" customHeight="1">
      <c r="A5117" s="172"/>
    </row>
    <row r="5118" spans="1:1" s="173" customFormat="1" ht="12" hidden="1" customHeight="1">
      <c r="A5118" s="172"/>
    </row>
    <row r="5119" spans="1:1" s="173" customFormat="1" ht="12" hidden="1" customHeight="1">
      <c r="A5119" s="172"/>
    </row>
    <row r="5120" spans="1:1" s="173" customFormat="1" ht="12" hidden="1" customHeight="1">
      <c r="A5120" s="172"/>
    </row>
    <row r="5121" spans="1:1" s="173" customFormat="1" ht="12" hidden="1" customHeight="1">
      <c r="A5121" s="172"/>
    </row>
    <row r="5122" spans="1:1" s="173" customFormat="1" ht="12" hidden="1" customHeight="1">
      <c r="A5122" s="172"/>
    </row>
    <row r="5123" spans="1:1" s="173" customFormat="1" ht="12" hidden="1" customHeight="1">
      <c r="A5123" s="172"/>
    </row>
    <row r="5124" spans="1:1" s="173" customFormat="1" ht="12" hidden="1" customHeight="1">
      <c r="A5124" s="172"/>
    </row>
    <row r="5125" spans="1:1" s="173" customFormat="1" ht="12" hidden="1" customHeight="1">
      <c r="A5125" s="172"/>
    </row>
    <row r="5126" spans="1:1" s="173" customFormat="1" ht="12" hidden="1" customHeight="1">
      <c r="A5126" s="172"/>
    </row>
    <row r="5127" spans="1:1" s="173" customFormat="1" ht="12" hidden="1" customHeight="1">
      <c r="A5127" s="172"/>
    </row>
    <row r="5128" spans="1:1" s="173" customFormat="1" ht="12" hidden="1" customHeight="1">
      <c r="A5128" s="172"/>
    </row>
    <row r="5129" spans="1:1" s="173" customFormat="1" ht="12" hidden="1" customHeight="1">
      <c r="A5129" s="172"/>
    </row>
    <row r="5130" spans="1:1" s="173" customFormat="1" ht="12" hidden="1" customHeight="1">
      <c r="A5130" s="172"/>
    </row>
    <row r="5131" spans="1:1" s="173" customFormat="1" ht="12" hidden="1" customHeight="1">
      <c r="A5131" s="172"/>
    </row>
    <row r="5132" spans="1:1" s="173" customFormat="1" ht="12" hidden="1" customHeight="1">
      <c r="A5132" s="172"/>
    </row>
    <row r="5133" spans="1:1" s="173" customFormat="1" ht="12" hidden="1" customHeight="1">
      <c r="A5133" s="172"/>
    </row>
    <row r="5134" spans="1:1" s="173" customFormat="1" ht="12" hidden="1" customHeight="1">
      <c r="A5134" s="172"/>
    </row>
    <row r="5135" spans="1:1" s="173" customFormat="1" ht="12" hidden="1" customHeight="1">
      <c r="A5135" s="172"/>
    </row>
    <row r="5136" spans="1:1" s="173" customFormat="1" ht="12" hidden="1" customHeight="1">
      <c r="A5136" s="172"/>
    </row>
    <row r="5137" spans="1:1" s="173" customFormat="1" ht="12" hidden="1" customHeight="1">
      <c r="A5137" s="172"/>
    </row>
    <row r="5138" spans="1:1" s="173" customFormat="1" ht="12" hidden="1" customHeight="1">
      <c r="A5138" s="172"/>
    </row>
    <row r="5139" spans="1:1" s="173" customFormat="1" ht="12" hidden="1" customHeight="1">
      <c r="A5139" s="172"/>
    </row>
    <row r="5140" spans="1:1" s="173" customFormat="1" ht="12" hidden="1" customHeight="1">
      <c r="A5140" s="172"/>
    </row>
    <row r="5141" spans="1:1" s="173" customFormat="1" ht="12" hidden="1" customHeight="1">
      <c r="A5141" s="172"/>
    </row>
    <row r="5142" spans="1:1" s="173" customFormat="1" ht="12" hidden="1" customHeight="1">
      <c r="A5142" s="172"/>
    </row>
    <row r="5143" spans="1:1" s="173" customFormat="1" ht="12" hidden="1" customHeight="1">
      <c r="A5143" s="172"/>
    </row>
    <row r="5144" spans="1:1" s="173" customFormat="1" ht="12" hidden="1" customHeight="1">
      <c r="A5144" s="172"/>
    </row>
    <row r="5145" spans="1:1" s="173" customFormat="1" ht="12" hidden="1" customHeight="1">
      <c r="A5145" s="172"/>
    </row>
    <row r="5146" spans="1:1" s="173" customFormat="1" ht="12" hidden="1" customHeight="1">
      <c r="A5146" s="172"/>
    </row>
    <row r="5147" spans="1:1" s="173" customFormat="1" ht="12" hidden="1" customHeight="1">
      <c r="A5147" s="172"/>
    </row>
    <row r="5148" spans="1:1" s="173" customFormat="1" ht="12" hidden="1" customHeight="1">
      <c r="A5148" s="172"/>
    </row>
    <row r="5149" spans="1:1" s="173" customFormat="1" ht="12" hidden="1" customHeight="1">
      <c r="A5149" s="172"/>
    </row>
    <row r="5150" spans="1:1" s="173" customFormat="1" ht="12" hidden="1" customHeight="1">
      <c r="A5150" s="172"/>
    </row>
    <row r="5151" spans="1:1" s="173" customFormat="1" ht="12" hidden="1" customHeight="1">
      <c r="A5151" s="172"/>
    </row>
    <row r="5152" spans="1:1" s="173" customFormat="1" ht="12" hidden="1" customHeight="1">
      <c r="A5152" s="172"/>
    </row>
    <row r="5153" spans="1:1" s="173" customFormat="1" ht="12" hidden="1" customHeight="1">
      <c r="A5153" s="172"/>
    </row>
    <row r="5154" spans="1:1" s="173" customFormat="1" ht="12" hidden="1" customHeight="1">
      <c r="A5154" s="172"/>
    </row>
    <row r="5155" spans="1:1" s="173" customFormat="1" ht="12" hidden="1" customHeight="1">
      <c r="A5155" s="172"/>
    </row>
    <row r="5156" spans="1:1" s="173" customFormat="1" ht="12" hidden="1" customHeight="1">
      <c r="A5156" s="172"/>
    </row>
    <row r="5157" spans="1:1" s="173" customFormat="1" ht="12" hidden="1" customHeight="1">
      <c r="A5157" s="172"/>
    </row>
    <row r="5158" spans="1:1" s="173" customFormat="1" ht="12" hidden="1" customHeight="1">
      <c r="A5158" s="172"/>
    </row>
    <row r="5159" spans="1:1" s="173" customFormat="1" ht="12" hidden="1" customHeight="1">
      <c r="A5159" s="172"/>
    </row>
    <row r="5160" spans="1:1" s="173" customFormat="1" ht="12" hidden="1" customHeight="1">
      <c r="A5160" s="172"/>
    </row>
    <row r="5161" spans="1:1" s="173" customFormat="1" ht="12" hidden="1" customHeight="1">
      <c r="A5161" s="172"/>
    </row>
    <row r="5162" spans="1:1" s="173" customFormat="1" ht="12" hidden="1" customHeight="1">
      <c r="A5162" s="172"/>
    </row>
    <row r="5163" spans="1:1" s="173" customFormat="1" ht="12" hidden="1" customHeight="1">
      <c r="A5163" s="172"/>
    </row>
    <row r="5164" spans="1:1" s="173" customFormat="1" ht="12" hidden="1" customHeight="1">
      <c r="A5164" s="172"/>
    </row>
    <row r="5165" spans="1:1" s="173" customFormat="1" ht="12" hidden="1" customHeight="1">
      <c r="A5165" s="172"/>
    </row>
    <row r="5166" spans="1:1" s="173" customFormat="1" ht="12" hidden="1" customHeight="1">
      <c r="A5166" s="172"/>
    </row>
    <row r="5167" spans="1:1" s="173" customFormat="1" ht="12" hidden="1" customHeight="1">
      <c r="A5167" s="172"/>
    </row>
    <row r="5168" spans="1:1" s="173" customFormat="1" ht="12" hidden="1" customHeight="1">
      <c r="A5168" s="172"/>
    </row>
    <row r="5169" spans="1:1" s="173" customFormat="1" ht="12" hidden="1" customHeight="1">
      <c r="A5169" s="172"/>
    </row>
    <row r="5170" spans="1:1" s="173" customFormat="1" ht="12" hidden="1" customHeight="1">
      <c r="A5170" s="172"/>
    </row>
    <row r="5171" spans="1:1" s="173" customFormat="1" ht="12" hidden="1" customHeight="1">
      <c r="A5171" s="172"/>
    </row>
    <row r="5172" spans="1:1" s="173" customFormat="1" ht="12" hidden="1" customHeight="1">
      <c r="A5172" s="172"/>
    </row>
    <row r="5173" spans="1:1" s="173" customFormat="1" ht="12" hidden="1" customHeight="1">
      <c r="A5173" s="172"/>
    </row>
    <row r="5174" spans="1:1" s="173" customFormat="1" ht="12" hidden="1" customHeight="1">
      <c r="A5174" s="172"/>
    </row>
    <row r="5175" spans="1:1" s="173" customFormat="1" ht="12" hidden="1" customHeight="1">
      <c r="A5175" s="172"/>
    </row>
    <row r="5176" spans="1:1" s="173" customFormat="1" ht="12" hidden="1" customHeight="1">
      <c r="A5176" s="172"/>
    </row>
    <row r="5177" spans="1:1" s="173" customFormat="1" ht="12" hidden="1" customHeight="1">
      <c r="A5177" s="172"/>
    </row>
    <row r="5178" spans="1:1" s="173" customFormat="1" ht="12" hidden="1" customHeight="1">
      <c r="A5178" s="172"/>
    </row>
    <row r="5179" spans="1:1" s="173" customFormat="1" ht="12" hidden="1" customHeight="1">
      <c r="A5179" s="172"/>
    </row>
    <row r="5180" spans="1:1" s="173" customFormat="1" ht="12" hidden="1" customHeight="1">
      <c r="A5180" s="172"/>
    </row>
    <row r="5181" spans="1:1" s="173" customFormat="1" ht="12" hidden="1" customHeight="1">
      <c r="A5181" s="172"/>
    </row>
    <row r="5182" spans="1:1" s="173" customFormat="1" ht="12" hidden="1" customHeight="1">
      <c r="A5182" s="172"/>
    </row>
    <row r="5183" spans="1:1" s="173" customFormat="1" ht="12" hidden="1" customHeight="1">
      <c r="A5183" s="172"/>
    </row>
    <row r="5184" spans="1:1" s="173" customFormat="1" ht="12" hidden="1" customHeight="1">
      <c r="A5184" s="172"/>
    </row>
    <row r="5185" spans="1:1" s="173" customFormat="1" ht="12" hidden="1" customHeight="1">
      <c r="A5185" s="172"/>
    </row>
    <row r="5186" spans="1:1" s="173" customFormat="1" ht="12" hidden="1" customHeight="1">
      <c r="A5186" s="172"/>
    </row>
    <row r="5187" spans="1:1" s="173" customFormat="1" ht="12" hidden="1" customHeight="1">
      <c r="A5187" s="172"/>
    </row>
    <row r="5188" spans="1:1" s="173" customFormat="1" ht="12" hidden="1" customHeight="1">
      <c r="A5188" s="172"/>
    </row>
    <row r="5189" spans="1:1" s="173" customFormat="1" ht="12" hidden="1" customHeight="1">
      <c r="A5189" s="172"/>
    </row>
    <row r="5190" spans="1:1" s="173" customFormat="1" ht="12" hidden="1" customHeight="1">
      <c r="A5190" s="172"/>
    </row>
    <row r="5191" spans="1:1" s="173" customFormat="1" ht="12" hidden="1" customHeight="1">
      <c r="A5191" s="172"/>
    </row>
    <row r="5192" spans="1:1" s="173" customFormat="1" ht="12" hidden="1" customHeight="1">
      <c r="A5192" s="172"/>
    </row>
    <row r="5193" spans="1:1" s="173" customFormat="1" ht="12" hidden="1" customHeight="1">
      <c r="A5193" s="172"/>
    </row>
    <row r="5194" spans="1:1" s="173" customFormat="1" ht="12" hidden="1" customHeight="1">
      <c r="A5194" s="172"/>
    </row>
    <row r="5195" spans="1:1" s="173" customFormat="1" ht="12" hidden="1" customHeight="1">
      <c r="A5195" s="172"/>
    </row>
    <row r="5196" spans="1:1" s="173" customFormat="1" ht="12" hidden="1" customHeight="1">
      <c r="A5196" s="172"/>
    </row>
    <row r="5197" spans="1:1" s="173" customFormat="1" ht="12" hidden="1" customHeight="1">
      <c r="A5197" s="172"/>
    </row>
    <row r="5198" spans="1:1" s="173" customFormat="1" ht="12" hidden="1" customHeight="1">
      <c r="A5198" s="172"/>
    </row>
    <row r="5199" spans="1:1" s="173" customFormat="1" ht="12" hidden="1" customHeight="1">
      <c r="A5199" s="172"/>
    </row>
    <row r="5200" spans="1:1" s="173" customFormat="1" ht="12" hidden="1" customHeight="1">
      <c r="A5200" s="172"/>
    </row>
    <row r="5201" spans="1:1" s="173" customFormat="1" ht="12" hidden="1" customHeight="1">
      <c r="A5201" s="172"/>
    </row>
    <row r="5202" spans="1:1" s="173" customFormat="1" ht="12" hidden="1" customHeight="1">
      <c r="A5202" s="172"/>
    </row>
    <row r="5203" spans="1:1" s="173" customFormat="1" ht="12" hidden="1" customHeight="1">
      <c r="A5203" s="172"/>
    </row>
    <row r="5204" spans="1:1" s="173" customFormat="1" ht="12" hidden="1" customHeight="1">
      <c r="A5204" s="172"/>
    </row>
    <row r="5205" spans="1:1" s="173" customFormat="1" ht="12" hidden="1" customHeight="1">
      <c r="A5205" s="172"/>
    </row>
    <row r="5206" spans="1:1" s="173" customFormat="1" ht="12" hidden="1" customHeight="1">
      <c r="A5206" s="172"/>
    </row>
    <row r="5207" spans="1:1" s="173" customFormat="1" ht="12" hidden="1" customHeight="1">
      <c r="A5207" s="172"/>
    </row>
    <row r="5208" spans="1:1" s="173" customFormat="1" ht="12" hidden="1" customHeight="1">
      <c r="A5208" s="172"/>
    </row>
    <row r="5209" spans="1:1" s="173" customFormat="1" ht="12" hidden="1" customHeight="1">
      <c r="A5209" s="172"/>
    </row>
    <row r="5210" spans="1:1" s="173" customFormat="1" ht="12" hidden="1" customHeight="1">
      <c r="A5210" s="172"/>
    </row>
    <row r="5211" spans="1:1" s="173" customFormat="1" ht="12" hidden="1" customHeight="1">
      <c r="A5211" s="172"/>
    </row>
    <row r="5212" spans="1:1" s="173" customFormat="1" ht="12" hidden="1" customHeight="1">
      <c r="A5212" s="172"/>
    </row>
    <row r="5213" spans="1:1" s="173" customFormat="1" ht="12" hidden="1" customHeight="1">
      <c r="A5213" s="172"/>
    </row>
    <row r="5214" spans="1:1" s="173" customFormat="1" ht="12" hidden="1" customHeight="1">
      <c r="A5214" s="172"/>
    </row>
    <row r="5215" spans="1:1" s="173" customFormat="1" ht="12" hidden="1" customHeight="1">
      <c r="A5215" s="172"/>
    </row>
    <row r="5216" spans="1:1" s="173" customFormat="1" ht="12" hidden="1" customHeight="1">
      <c r="A5216" s="172"/>
    </row>
    <row r="5217" spans="1:1" s="173" customFormat="1" ht="12" hidden="1" customHeight="1">
      <c r="A5217" s="172"/>
    </row>
    <row r="5218" spans="1:1" s="173" customFormat="1" ht="12" hidden="1" customHeight="1">
      <c r="A5218" s="172"/>
    </row>
    <row r="5219" spans="1:1" s="173" customFormat="1" ht="12" hidden="1" customHeight="1">
      <c r="A5219" s="172"/>
    </row>
    <row r="5220" spans="1:1" s="173" customFormat="1" ht="12" hidden="1" customHeight="1">
      <c r="A5220" s="172"/>
    </row>
    <row r="5221" spans="1:1" s="173" customFormat="1" ht="12" hidden="1" customHeight="1">
      <c r="A5221" s="172"/>
    </row>
    <row r="5222" spans="1:1" s="173" customFormat="1" ht="12" hidden="1" customHeight="1">
      <c r="A5222" s="172"/>
    </row>
    <row r="5223" spans="1:1" s="173" customFormat="1" ht="12" hidden="1" customHeight="1">
      <c r="A5223" s="172"/>
    </row>
    <row r="5224" spans="1:1" s="173" customFormat="1" ht="12" hidden="1" customHeight="1">
      <c r="A5224" s="172"/>
    </row>
    <row r="5225" spans="1:1" s="173" customFormat="1" ht="12" hidden="1" customHeight="1">
      <c r="A5225" s="172"/>
    </row>
    <row r="5226" spans="1:1" s="173" customFormat="1" ht="12" hidden="1" customHeight="1">
      <c r="A5226" s="172"/>
    </row>
    <row r="5227" spans="1:1" s="173" customFormat="1" ht="12" hidden="1" customHeight="1">
      <c r="A5227" s="172"/>
    </row>
    <row r="5228" spans="1:1" s="173" customFormat="1" ht="12" hidden="1" customHeight="1">
      <c r="A5228" s="172"/>
    </row>
    <row r="5229" spans="1:1" s="173" customFormat="1" ht="12" hidden="1" customHeight="1">
      <c r="A5229" s="172"/>
    </row>
    <row r="5230" spans="1:1" s="173" customFormat="1" ht="12" hidden="1" customHeight="1">
      <c r="A5230" s="172"/>
    </row>
    <row r="5231" spans="1:1" s="173" customFormat="1" ht="12" hidden="1" customHeight="1">
      <c r="A5231" s="172"/>
    </row>
    <row r="5232" spans="1:1" s="173" customFormat="1" ht="12" hidden="1" customHeight="1">
      <c r="A5232" s="172"/>
    </row>
    <row r="5233" spans="1:1" s="173" customFormat="1" ht="12" hidden="1" customHeight="1">
      <c r="A5233" s="172"/>
    </row>
    <row r="5234" spans="1:1" s="173" customFormat="1" ht="12" hidden="1" customHeight="1">
      <c r="A5234" s="172"/>
    </row>
    <row r="5235" spans="1:1" s="173" customFormat="1" ht="12" hidden="1" customHeight="1">
      <c r="A5235" s="172"/>
    </row>
    <row r="5236" spans="1:1" s="173" customFormat="1" ht="12" hidden="1" customHeight="1">
      <c r="A5236" s="172"/>
    </row>
    <row r="5237" spans="1:1" s="173" customFormat="1" ht="12" hidden="1" customHeight="1">
      <c r="A5237" s="172"/>
    </row>
    <row r="5238" spans="1:1" s="173" customFormat="1" ht="12" hidden="1" customHeight="1">
      <c r="A5238" s="172"/>
    </row>
    <row r="5239" spans="1:1" s="173" customFormat="1" ht="12" hidden="1" customHeight="1">
      <c r="A5239" s="172"/>
    </row>
    <row r="5240" spans="1:1" s="173" customFormat="1" ht="12" hidden="1" customHeight="1">
      <c r="A5240" s="172"/>
    </row>
    <row r="5241" spans="1:1" s="173" customFormat="1" ht="12" hidden="1" customHeight="1">
      <c r="A5241" s="172"/>
    </row>
    <row r="5242" spans="1:1" s="173" customFormat="1" ht="12" hidden="1" customHeight="1">
      <c r="A5242" s="172"/>
    </row>
    <row r="5243" spans="1:1" s="173" customFormat="1" ht="12" hidden="1" customHeight="1">
      <c r="A5243" s="172"/>
    </row>
    <row r="5244" spans="1:1" s="173" customFormat="1" ht="12" hidden="1" customHeight="1">
      <c r="A5244" s="172"/>
    </row>
    <row r="5245" spans="1:1" s="173" customFormat="1" ht="12" hidden="1" customHeight="1">
      <c r="A5245" s="172"/>
    </row>
    <row r="5246" spans="1:1" s="173" customFormat="1" ht="12" hidden="1" customHeight="1">
      <c r="A5246" s="172"/>
    </row>
    <row r="5247" spans="1:1" s="173" customFormat="1" ht="12" hidden="1" customHeight="1">
      <c r="A5247" s="172"/>
    </row>
    <row r="5248" spans="1:1" s="173" customFormat="1" ht="12" hidden="1" customHeight="1">
      <c r="A5248" s="172"/>
    </row>
    <row r="5249" spans="1:1" s="173" customFormat="1" ht="12" hidden="1" customHeight="1">
      <c r="A5249" s="172"/>
    </row>
    <row r="5250" spans="1:1" s="173" customFormat="1" ht="12" hidden="1" customHeight="1">
      <c r="A5250" s="172"/>
    </row>
    <row r="5251" spans="1:1" s="173" customFormat="1" ht="12" hidden="1" customHeight="1">
      <c r="A5251" s="172"/>
    </row>
    <row r="5252" spans="1:1" s="173" customFormat="1" ht="12" hidden="1" customHeight="1">
      <c r="A5252" s="172"/>
    </row>
    <row r="5253" spans="1:1" s="173" customFormat="1" ht="12" hidden="1" customHeight="1">
      <c r="A5253" s="172"/>
    </row>
    <row r="5254" spans="1:1" s="173" customFormat="1" ht="12" hidden="1" customHeight="1">
      <c r="A5254" s="172"/>
    </row>
    <row r="5255" spans="1:1" s="173" customFormat="1" ht="12" hidden="1" customHeight="1">
      <c r="A5255" s="172"/>
    </row>
    <row r="5256" spans="1:1" s="173" customFormat="1" ht="12" hidden="1" customHeight="1">
      <c r="A5256" s="172"/>
    </row>
    <row r="5257" spans="1:1" s="173" customFormat="1" ht="12" hidden="1" customHeight="1">
      <c r="A5257" s="172"/>
    </row>
    <row r="5258" spans="1:1" s="173" customFormat="1" ht="12" hidden="1" customHeight="1">
      <c r="A5258" s="172"/>
    </row>
    <row r="5259" spans="1:1" s="173" customFormat="1" ht="12" hidden="1" customHeight="1">
      <c r="A5259" s="172"/>
    </row>
    <row r="5260" spans="1:1" s="173" customFormat="1" ht="12" hidden="1" customHeight="1">
      <c r="A5260" s="172"/>
    </row>
    <row r="5261" spans="1:1" s="173" customFormat="1" ht="12" hidden="1" customHeight="1">
      <c r="A5261" s="172"/>
    </row>
    <row r="5262" spans="1:1" s="173" customFormat="1" ht="12" hidden="1" customHeight="1">
      <c r="A5262" s="172"/>
    </row>
    <row r="5263" spans="1:1" s="173" customFormat="1" ht="12" hidden="1" customHeight="1">
      <c r="A5263" s="172"/>
    </row>
    <row r="5264" spans="1:1" s="173" customFormat="1" ht="12" hidden="1" customHeight="1">
      <c r="A5264" s="172"/>
    </row>
    <row r="5265" spans="1:1" s="173" customFormat="1" ht="12" hidden="1" customHeight="1">
      <c r="A5265" s="172"/>
    </row>
    <row r="5266" spans="1:1" s="173" customFormat="1" ht="12" hidden="1" customHeight="1">
      <c r="A5266" s="172"/>
    </row>
    <row r="5267" spans="1:1" s="173" customFormat="1" ht="12" hidden="1" customHeight="1">
      <c r="A5267" s="172"/>
    </row>
    <row r="5268" spans="1:1" s="173" customFormat="1" ht="12" hidden="1" customHeight="1">
      <c r="A5268" s="172"/>
    </row>
    <row r="5269" spans="1:1" s="173" customFormat="1" ht="12" hidden="1" customHeight="1">
      <c r="A5269" s="172"/>
    </row>
    <row r="5270" spans="1:1" s="173" customFormat="1" ht="12" hidden="1" customHeight="1">
      <c r="A5270" s="172"/>
    </row>
    <row r="5271" spans="1:1" s="173" customFormat="1" ht="12" hidden="1" customHeight="1">
      <c r="A5271" s="172"/>
    </row>
    <row r="5272" spans="1:1" s="173" customFormat="1" ht="12" hidden="1" customHeight="1">
      <c r="A5272" s="172"/>
    </row>
    <row r="5273" spans="1:1" s="173" customFormat="1" ht="12" hidden="1" customHeight="1">
      <c r="A5273" s="172"/>
    </row>
    <row r="5274" spans="1:1" s="173" customFormat="1" ht="12" hidden="1" customHeight="1">
      <c r="A5274" s="172"/>
    </row>
    <row r="5275" spans="1:1" s="173" customFormat="1" ht="12" hidden="1" customHeight="1">
      <c r="A5275" s="172"/>
    </row>
    <row r="5276" spans="1:1" s="173" customFormat="1" ht="12" hidden="1" customHeight="1">
      <c r="A5276" s="172"/>
    </row>
    <row r="5277" spans="1:1" s="173" customFormat="1" ht="12" hidden="1" customHeight="1">
      <c r="A5277" s="172"/>
    </row>
    <row r="5278" spans="1:1" s="173" customFormat="1" ht="12" hidden="1" customHeight="1">
      <c r="A5278" s="172"/>
    </row>
    <row r="5279" spans="1:1" s="173" customFormat="1" ht="12" hidden="1" customHeight="1">
      <c r="A5279" s="172"/>
    </row>
    <row r="5280" spans="1:1" s="173" customFormat="1" ht="12" hidden="1" customHeight="1">
      <c r="A5280" s="172"/>
    </row>
    <row r="5281" spans="1:1" s="173" customFormat="1" ht="12" hidden="1" customHeight="1">
      <c r="A5281" s="172"/>
    </row>
    <row r="5282" spans="1:1" s="173" customFormat="1" ht="12" hidden="1" customHeight="1">
      <c r="A5282" s="172"/>
    </row>
    <row r="5283" spans="1:1" s="173" customFormat="1" ht="12" hidden="1" customHeight="1">
      <c r="A5283" s="172"/>
    </row>
    <row r="5284" spans="1:1" s="173" customFormat="1" ht="12" hidden="1" customHeight="1">
      <c r="A5284" s="172"/>
    </row>
    <row r="5285" spans="1:1" s="173" customFormat="1" ht="12" hidden="1" customHeight="1">
      <c r="A5285" s="172"/>
    </row>
    <row r="5286" spans="1:1" s="173" customFormat="1" ht="12" hidden="1" customHeight="1">
      <c r="A5286" s="172"/>
    </row>
    <row r="5287" spans="1:1" s="173" customFormat="1" ht="12" hidden="1" customHeight="1">
      <c r="A5287" s="172"/>
    </row>
    <row r="5288" spans="1:1" s="173" customFormat="1" ht="12" hidden="1" customHeight="1">
      <c r="A5288" s="172"/>
    </row>
    <row r="5289" spans="1:1" s="173" customFormat="1" ht="12" hidden="1" customHeight="1">
      <c r="A5289" s="172"/>
    </row>
    <row r="5290" spans="1:1" s="173" customFormat="1" ht="12" hidden="1" customHeight="1">
      <c r="A5290" s="172"/>
    </row>
    <row r="5291" spans="1:1" s="173" customFormat="1" ht="12" hidden="1" customHeight="1">
      <c r="A5291" s="172"/>
    </row>
    <row r="5292" spans="1:1" s="173" customFormat="1" ht="12" hidden="1" customHeight="1">
      <c r="A5292" s="172"/>
    </row>
    <row r="5293" spans="1:1" s="173" customFormat="1" ht="12" hidden="1" customHeight="1">
      <c r="A5293" s="172"/>
    </row>
    <row r="5294" spans="1:1" s="173" customFormat="1" ht="12" hidden="1" customHeight="1">
      <c r="A5294" s="172"/>
    </row>
    <row r="5295" spans="1:1" s="173" customFormat="1" ht="12" hidden="1" customHeight="1">
      <c r="A5295" s="172"/>
    </row>
    <row r="5296" spans="1:1" s="173" customFormat="1" ht="12" hidden="1" customHeight="1">
      <c r="A5296" s="172"/>
    </row>
    <row r="5297" spans="1:1" s="173" customFormat="1" ht="12" hidden="1" customHeight="1">
      <c r="A5297" s="172"/>
    </row>
    <row r="5298" spans="1:1" s="173" customFormat="1" ht="12" hidden="1" customHeight="1">
      <c r="A5298" s="172"/>
    </row>
    <row r="5299" spans="1:1" s="173" customFormat="1" ht="12" hidden="1" customHeight="1">
      <c r="A5299" s="172"/>
    </row>
    <row r="5300" spans="1:1" s="173" customFormat="1" ht="12" hidden="1" customHeight="1">
      <c r="A5300" s="172"/>
    </row>
    <row r="5301" spans="1:1" s="173" customFormat="1" ht="12" hidden="1" customHeight="1">
      <c r="A5301" s="172"/>
    </row>
    <row r="5302" spans="1:1" s="173" customFormat="1" ht="12" hidden="1" customHeight="1">
      <c r="A5302" s="172"/>
    </row>
    <row r="5303" spans="1:1" s="173" customFormat="1" ht="12" hidden="1" customHeight="1">
      <c r="A5303" s="172"/>
    </row>
    <row r="5304" spans="1:1" s="173" customFormat="1" ht="12" hidden="1" customHeight="1">
      <c r="A5304" s="172"/>
    </row>
    <row r="5305" spans="1:1" s="173" customFormat="1" ht="12" hidden="1" customHeight="1">
      <c r="A5305" s="172"/>
    </row>
    <row r="5306" spans="1:1" s="173" customFormat="1" ht="12" hidden="1" customHeight="1">
      <c r="A5306" s="172"/>
    </row>
    <row r="5307" spans="1:1" s="173" customFormat="1" ht="12" hidden="1" customHeight="1">
      <c r="A5307" s="172"/>
    </row>
    <row r="5308" spans="1:1" s="173" customFormat="1" ht="12" hidden="1" customHeight="1">
      <c r="A5308" s="172"/>
    </row>
    <row r="5309" spans="1:1" s="173" customFormat="1" ht="12" hidden="1" customHeight="1">
      <c r="A5309" s="172"/>
    </row>
    <row r="5310" spans="1:1" s="173" customFormat="1" ht="12" hidden="1" customHeight="1">
      <c r="A5310" s="172"/>
    </row>
    <row r="5311" spans="1:1" s="173" customFormat="1" ht="12" hidden="1" customHeight="1">
      <c r="A5311" s="172"/>
    </row>
    <row r="5312" spans="1:1" s="173" customFormat="1" ht="12" hidden="1" customHeight="1">
      <c r="A5312" s="172"/>
    </row>
    <row r="5313" spans="1:1" s="173" customFormat="1" ht="12" hidden="1" customHeight="1">
      <c r="A5313" s="172"/>
    </row>
    <row r="5314" spans="1:1" s="173" customFormat="1" ht="12" hidden="1" customHeight="1">
      <c r="A5314" s="172"/>
    </row>
    <row r="5315" spans="1:1" s="173" customFormat="1" ht="12" hidden="1" customHeight="1">
      <c r="A5315" s="172"/>
    </row>
    <row r="5316" spans="1:1" s="173" customFormat="1" ht="12" hidden="1" customHeight="1">
      <c r="A5316" s="172"/>
    </row>
    <row r="5317" spans="1:1" s="173" customFormat="1" ht="12" hidden="1" customHeight="1">
      <c r="A5317" s="172"/>
    </row>
    <row r="5318" spans="1:1" s="173" customFormat="1" ht="12" hidden="1" customHeight="1">
      <c r="A5318" s="172"/>
    </row>
    <row r="5319" spans="1:1" s="173" customFormat="1" ht="12" hidden="1" customHeight="1">
      <c r="A5319" s="172"/>
    </row>
    <row r="5320" spans="1:1" s="173" customFormat="1" ht="12" hidden="1" customHeight="1">
      <c r="A5320" s="172"/>
    </row>
    <row r="5321" spans="1:1" s="173" customFormat="1" ht="12" hidden="1" customHeight="1">
      <c r="A5321" s="172"/>
    </row>
    <row r="5322" spans="1:1" s="173" customFormat="1" ht="12" hidden="1" customHeight="1">
      <c r="A5322" s="172"/>
    </row>
    <row r="5323" spans="1:1" s="173" customFormat="1" ht="12" hidden="1" customHeight="1">
      <c r="A5323" s="172"/>
    </row>
    <row r="5324" spans="1:1" s="173" customFormat="1" ht="12" hidden="1" customHeight="1">
      <c r="A5324" s="172"/>
    </row>
    <row r="5325" spans="1:1" s="173" customFormat="1" ht="12" hidden="1" customHeight="1">
      <c r="A5325" s="172"/>
    </row>
    <row r="5326" spans="1:1" s="173" customFormat="1" ht="12" hidden="1" customHeight="1">
      <c r="A5326" s="172"/>
    </row>
    <row r="5327" spans="1:1" s="173" customFormat="1" ht="12" hidden="1" customHeight="1">
      <c r="A5327" s="172"/>
    </row>
    <row r="5328" spans="1:1" s="173" customFormat="1" ht="12" hidden="1" customHeight="1">
      <c r="A5328" s="172"/>
    </row>
    <row r="5329" spans="1:1" s="173" customFormat="1" ht="12" hidden="1" customHeight="1">
      <c r="A5329" s="172"/>
    </row>
    <row r="5330" spans="1:1" s="173" customFormat="1" ht="12" hidden="1" customHeight="1">
      <c r="A5330" s="172"/>
    </row>
    <row r="5331" spans="1:1" s="173" customFormat="1" ht="12" hidden="1" customHeight="1">
      <c r="A5331" s="172"/>
    </row>
    <row r="5332" spans="1:1" s="173" customFormat="1" ht="12" hidden="1" customHeight="1">
      <c r="A5332" s="172"/>
    </row>
    <row r="5333" spans="1:1" s="173" customFormat="1" ht="12" hidden="1" customHeight="1">
      <c r="A5333" s="172"/>
    </row>
    <row r="5334" spans="1:1" s="173" customFormat="1" ht="12" hidden="1" customHeight="1">
      <c r="A5334" s="172"/>
    </row>
    <row r="5335" spans="1:1" s="173" customFormat="1" ht="12" hidden="1" customHeight="1">
      <c r="A5335" s="172"/>
    </row>
    <row r="5336" spans="1:1" s="173" customFormat="1" ht="12" hidden="1" customHeight="1">
      <c r="A5336" s="172"/>
    </row>
    <row r="5337" spans="1:1" s="173" customFormat="1" ht="12" hidden="1" customHeight="1">
      <c r="A5337" s="172"/>
    </row>
    <row r="5338" spans="1:1" s="173" customFormat="1" ht="12" hidden="1" customHeight="1">
      <c r="A5338" s="172"/>
    </row>
    <row r="5339" spans="1:1" s="173" customFormat="1" ht="12" hidden="1" customHeight="1">
      <c r="A5339" s="172"/>
    </row>
    <row r="5340" spans="1:1" s="173" customFormat="1" ht="12" hidden="1" customHeight="1">
      <c r="A5340" s="172"/>
    </row>
    <row r="5341" spans="1:1" s="173" customFormat="1" ht="12" hidden="1" customHeight="1">
      <c r="A5341" s="172"/>
    </row>
    <row r="5342" spans="1:1" s="173" customFormat="1" ht="12" hidden="1" customHeight="1">
      <c r="A5342" s="172"/>
    </row>
    <row r="5343" spans="1:1" s="173" customFormat="1" ht="12" hidden="1" customHeight="1">
      <c r="A5343" s="172"/>
    </row>
    <row r="5344" spans="1:1" s="173" customFormat="1" ht="12" hidden="1" customHeight="1">
      <c r="A5344" s="172"/>
    </row>
    <row r="5345" spans="1:1" s="173" customFormat="1" ht="12" hidden="1" customHeight="1">
      <c r="A5345" s="172"/>
    </row>
    <row r="5346" spans="1:1" s="173" customFormat="1" ht="12" hidden="1" customHeight="1">
      <c r="A5346" s="172"/>
    </row>
    <row r="5347" spans="1:1" s="173" customFormat="1" ht="12" hidden="1" customHeight="1">
      <c r="A5347" s="172"/>
    </row>
    <row r="5348" spans="1:1" s="173" customFormat="1" ht="12" hidden="1" customHeight="1">
      <c r="A5348" s="172"/>
    </row>
    <row r="5349" spans="1:1" s="173" customFormat="1" ht="12" hidden="1" customHeight="1">
      <c r="A5349" s="172"/>
    </row>
    <row r="5350" spans="1:1" s="173" customFormat="1" ht="12" hidden="1" customHeight="1">
      <c r="A5350" s="172"/>
    </row>
    <row r="5351" spans="1:1" s="173" customFormat="1" ht="12" hidden="1" customHeight="1">
      <c r="A5351" s="172"/>
    </row>
    <row r="5352" spans="1:1" s="173" customFormat="1" ht="12" hidden="1" customHeight="1">
      <c r="A5352" s="172"/>
    </row>
    <row r="5353" spans="1:1" s="173" customFormat="1" ht="12" hidden="1" customHeight="1">
      <c r="A5353" s="172"/>
    </row>
    <row r="5354" spans="1:1" s="173" customFormat="1" ht="12" hidden="1" customHeight="1">
      <c r="A5354" s="172"/>
    </row>
    <row r="5355" spans="1:1" s="173" customFormat="1" ht="12" hidden="1" customHeight="1">
      <c r="A5355" s="172"/>
    </row>
    <row r="5356" spans="1:1" s="173" customFormat="1" ht="12" hidden="1" customHeight="1">
      <c r="A5356" s="172"/>
    </row>
    <row r="5357" spans="1:1" s="173" customFormat="1" ht="12" hidden="1" customHeight="1">
      <c r="A5357" s="172"/>
    </row>
    <row r="5358" spans="1:1" s="173" customFormat="1" ht="12" hidden="1" customHeight="1">
      <c r="A5358" s="172"/>
    </row>
    <row r="5359" spans="1:1" s="173" customFormat="1" ht="12" hidden="1" customHeight="1">
      <c r="A5359" s="172"/>
    </row>
    <row r="5360" spans="1:1" s="173" customFormat="1" ht="12" hidden="1" customHeight="1">
      <c r="A5360" s="172"/>
    </row>
    <row r="5361" spans="1:1" s="173" customFormat="1" ht="12" hidden="1" customHeight="1">
      <c r="A5361" s="172"/>
    </row>
    <row r="5362" spans="1:1" s="173" customFormat="1" ht="12" hidden="1" customHeight="1">
      <c r="A5362" s="172"/>
    </row>
    <row r="5363" spans="1:1" s="173" customFormat="1" ht="12" hidden="1" customHeight="1">
      <c r="A5363" s="172"/>
    </row>
    <row r="5364" spans="1:1" s="173" customFormat="1" ht="12" hidden="1" customHeight="1">
      <c r="A5364" s="172"/>
    </row>
    <row r="5365" spans="1:1" s="173" customFormat="1" ht="12" hidden="1" customHeight="1">
      <c r="A5365" s="172"/>
    </row>
    <row r="5366" spans="1:1" s="173" customFormat="1" ht="12" hidden="1" customHeight="1">
      <c r="A5366" s="172"/>
    </row>
    <row r="5367" spans="1:1" s="173" customFormat="1" ht="12" hidden="1" customHeight="1">
      <c r="A5367" s="172"/>
    </row>
    <row r="5368" spans="1:1" s="173" customFormat="1" ht="12" hidden="1" customHeight="1">
      <c r="A5368" s="172"/>
    </row>
    <row r="5369" spans="1:1" s="173" customFormat="1" ht="12" hidden="1" customHeight="1">
      <c r="A5369" s="172"/>
    </row>
    <row r="5370" spans="1:1" s="173" customFormat="1" ht="12" hidden="1" customHeight="1">
      <c r="A5370" s="172"/>
    </row>
    <row r="5371" spans="1:1" s="173" customFormat="1" ht="12" hidden="1" customHeight="1">
      <c r="A5371" s="172"/>
    </row>
    <row r="5372" spans="1:1" s="173" customFormat="1" ht="12" hidden="1" customHeight="1">
      <c r="A5372" s="172"/>
    </row>
    <row r="5373" spans="1:1" s="173" customFormat="1" ht="12" hidden="1" customHeight="1">
      <c r="A5373" s="172"/>
    </row>
    <row r="5374" spans="1:1" s="173" customFormat="1" ht="12" hidden="1" customHeight="1">
      <c r="A5374" s="172"/>
    </row>
    <row r="5375" spans="1:1" s="173" customFormat="1" ht="12" hidden="1" customHeight="1">
      <c r="A5375" s="172"/>
    </row>
    <row r="5376" spans="1:1" s="173" customFormat="1" ht="12" hidden="1" customHeight="1">
      <c r="A5376" s="172"/>
    </row>
    <row r="5377" spans="1:1" s="173" customFormat="1" ht="12" hidden="1" customHeight="1">
      <c r="A5377" s="172"/>
    </row>
    <row r="5378" spans="1:1" s="173" customFormat="1" ht="12" hidden="1" customHeight="1">
      <c r="A5378" s="172"/>
    </row>
    <row r="5379" spans="1:1" s="173" customFormat="1" ht="12" hidden="1" customHeight="1">
      <c r="A5379" s="172"/>
    </row>
    <row r="5380" spans="1:1" s="173" customFormat="1" ht="12" hidden="1" customHeight="1">
      <c r="A5380" s="172"/>
    </row>
    <row r="5381" spans="1:1" s="173" customFormat="1" ht="12" hidden="1" customHeight="1">
      <c r="A5381" s="172"/>
    </row>
    <row r="5382" spans="1:1" s="173" customFormat="1" ht="12" hidden="1" customHeight="1">
      <c r="A5382" s="172"/>
    </row>
    <row r="5383" spans="1:1" s="173" customFormat="1" ht="12" hidden="1" customHeight="1">
      <c r="A5383" s="172"/>
    </row>
    <row r="5384" spans="1:1" s="173" customFormat="1" ht="12" hidden="1" customHeight="1">
      <c r="A5384" s="172"/>
    </row>
    <row r="5385" spans="1:1" s="173" customFormat="1" ht="12" hidden="1" customHeight="1">
      <c r="A5385" s="172"/>
    </row>
    <row r="5386" spans="1:1" s="173" customFormat="1" ht="12" hidden="1" customHeight="1">
      <c r="A5386" s="172"/>
    </row>
    <row r="5387" spans="1:1" s="173" customFormat="1" ht="12" hidden="1" customHeight="1">
      <c r="A5387" s="172"/>
    </row>
    <row r="5388" spans="1:1" s="173" customFormat="1" ht="12" hidden="1" customHeight="1">
      <c r="A5388" s="172"/>
    </row>
    <row r="5389" spans="1:1" s="173" customFormat="1" ht="12" hidden="1" customHeight="1">
      <c r="A5389" s="172"/>
    </row>
    <row r="5390" spans="1:1" s="173" customFormat="1" ht="12" hidden="1" customHeight="1">
      <c r="A5390" s="172"/>
    </row>
    <row r="5391" spans="1:1" s="173" customFormat="1" ht="12" hidden="1" customHeight="1">
      <c r="A5391" s="172"/>
    </row>
    <row r="5392" spans="1:1" s="173" customFormat="1" ht="12" hidden="1" customHeight="1">
      <c r="A5392" s="172"/>
    </row>
    <row r="5393" spans="1:1" s="173" customFormat="1" ht="12" hidden="1" customHeight="1">
      <c r="A5393" s="172"/>
    </row>
    <row r="5394" spans="1:1" s="173" customFormat="1" ht="12" hidden="1" customHeight="1">
      <c r="A5394" s="172"/>
    </row>
    <row r="5395" spans="1:1" s="173" customFormat="1" ht="12" hidden="1" customHeight="1">
      <c r="A5395" s="172"/>
    </row>
    <row r="5396" spans="1:1" s="173" customFormat="1" ht="12" hidden="1" customHeight="1">
      <c r="A5396" s="172"/>
    </row>
    <row r="5397" spans="1:1" s="173" customFormat="1" ht="12" hidden="1" customHeight="1">
      <c r="A5397" s="172"/>
    </row>
    <row r="5398" spans="1:1" s="173" customFormat="1" ht="12" hidden="1" customHeight="1">
      <c r="A5398" s="172"/>
    </row>
    <row r="5399" spans="1:1" s="173" customFormat="1" ht="12" hidden="1" customHeight="1">
      <c r="A5399" s="172"/>
    </row>
    <row r="5400" spans="1:1" s="173" customFormat="1" ht="12" hidden="1" customHeight="1">
      <c r="A5400" s="172"/>
    </row>
    <row r="5401" spans="1:1" s="173" customFormat="1" ht="12" hidden="1" customHeight="1">
      <c r="A5401" s="172"/>
    </row>
    <row r="5402" spans="1:1" s="173" customFormat="1" ht="12" hidden="1" customHeight="1">
      <c r="A5402" s="172"/>
    </row>
    <row r="5403" spans="1:1" s="173" customFormat="1" ht="12" hidden="1" customHeight="1">
      <c r="A5403" s="172"/>
    </row>
    <row r="5404" spans="1:1" s="173" customFormat="1" ht="12" hidden="1" customHeight="1">
      <c r="A5404" s="172"/>
    </row>
    <row r="5405" spans="1:1" s="173" customFormat="1" ht="12" hidden="1" customHeight="1">
      <c r="A5405" s="172"/>
    </row>
    <row r="5406" spans="1:1" s="173" customFormat="1" ht="12" hidden="1" customHeight="1">
      <c r="A5406" s="172"/>
    </row>
    <row r="5407" spans="1:1" s="173" customFormat="1" ht="12" hidden="1" customHeight="1">
      <c r="A5407" s="172"/>
    </row>
    <row r="5408" spans="1:1" s="173" customFormat="1" ht="12" hidden="1" customHeight="1">
      <c r="A5408" s="172"/>
    </row>
    <row r="5409" spans="1:1" s="173" customFormat="1" ht="12" hidden="1" customHeight="1">
      <c r="A5409" s="172"/>
    </row>
    <row r="5410" spans="1:1" s="173" customFormat="1" ht="12" hidden="1" customHeight="1">
      <c r="A5410" s="172"/>
    </row>
    <row r="5411" spans="1:1" s="173" customFormat="1" ht="12" hidden="1" customHeight="1">
      <c r="A5411" s="172"/>
    </row>
    <row r="5412" spans="1:1" s="173" customFormat="1" ht="12" hidden="1" customHeight="1">
      <c r="A5412" s="172"/>
    </row>
    <row r="5413" spans="1:1" s="173" customFormat="1" ht="12" hidden="1" customHeight="1">
      <c r="A5413" s="172"/>
    </row>
    <row r="5414" spans="1:1" s="173" customFormat="1" ht="12" hidden="1" customHeight="1">
      <c r="A5414" s="172"/>
    </row>
    <row r="5415" spans="1:1" s="173" customFormat="1" ht="12" hidden="1" customHeight="1">
      <c r="A5415" s="172"/>
    </row>
    <row r="5416" spans="1:1" s="173" customFormat="1" ht="12" hidden="1" customHeight="1">
      <c r="A5416" s="172"/>
    </row>
    <row r="5417" spans="1:1" s="173" customFormat="1" ht="12" hidden="1" customHeight="1">
      <c r="A5417" s="172"/>
    </row>
    <row r="5418" spans="1:1" s="173" customFormat="1" ht="12" hidden="1" customHeight="1">
      <c r="A5418" s="172"/>
    </row>
    <row r="5419" spans="1:1" s="173" customFormat="1" ht="12" hidden="1" customHeight="1">
      <c r="A5419" s="172"/>
    </row>
    <row r="5420" spans="1:1" s="173" customFormat="1" ht="12" hidden="1" customHeight="1">
      <c r="A5420" s="172"/>
    </row>
    <row r="5421" spans="1:1" s="173" customFormat="1" ht="12" hidden="1" customHeight="1">
      <c r="A5421" s="172"/>
    </row>
    <row r="5422" spans="1:1" s="173" customFormat="1" ht="12" hidden="1" customHeight="1">
      <c r="A5422" s="172"/>
    </row>
    <row r="5423" spans="1:1" s="173" customFormat="1" ht="12" hidden="1" customHeight="1">
      <c r="A5423" s="172"/>
    </row>
    <row r="5424" spans="1:1" s="173" customFormat="1" ht="12" hidden="1" customHeight="1">
      <c r="A5424" s="172"/>
    </row>
    <row r="5425" spans="1:1" s="173" customFormat="1" ht="12" hidden="1" customHeight="1">
      <c r="A5425" s="172"/>
    </row>
    <row r="5426" spans="1:1" s="173" customFormat="1" ht="12" hidden="1" customHeight="1">
      <c r="A5426" s="172"/>
    </row>
    <row r="5427" spans="1:1" s="173" customFormat="1" ht="12" hidden="1" customHeight="1">
      <c r="A5427" s="172"/>
    </row>
    <row r="5428" spans="1:1" s="173" customFormat="1" ht="12" hidden="1" customHeight="1">
      <c r="A5428" s="172"/>
    </row>
    <row r="5429" spans="1:1" s="173" customFormat="1" ht="12" hidden="1" customHeight="1">
      <c r="A5429" s="172"/>
    </row>
    <row r="5430" spans="1:1" s="173" customFormat="1" ht="12" hidden="1" customHeight="1">
      <c r="A5430" s="172"/>
    </row>
    <row r="5431" spans="1:1" s="173" customFormat="1" ht="12" hidden="1" customHeight="1">
      <c r="A5431" s="172"/>
    </row>
    <row r="5432" spans="1:1" s="173" customFormat="1" ht="12" hidden="1" customHeight="1">
      <c r="A5432" s="172"/>
    </row>
    <row r="5433" spans="1:1" s="173" customFormat="1" ht="12" hidden="1" customHeight="1">
      <c r="A5433" s="172"/>
    </row>
    <row r="5434" spans="1:1" s="173" customFormat="1" ht="12" hidden="1" customHeight="1">
      <c r="A5434" s="172"/>
    </row>
    <row r="5435" spans="1:1" s="173" customFormat="1" ht="12" hidden="1" customHeight="1">
      <c r="A5435" s="172"/>
    </row>
    <row r="5436" spans="1:1" s="173" customFormat="1" ht="12" hidden="1" customHeight="1">
      <c r="A5436" s="172"/>
    </row>
    <row r="5437" spans="1:1" s="173" customFormat="1" ht="12" hidden="1" customHeight="1">
      <c r="A5437" s="172"/>
    </row>
    <row r="5438" spans="1:1" s="173" customFormat="1" ht="12" hidden="1" customHeight="1">
      <c r="A5438" s="172"/>
    </row>
    <row r="5439" spans="1:1" s="173" customFormat="1" ht="12" hidden="1" customHeight="1">
      <c r="A5439" s="172"/>
    </row>
    <row r="5440" spans="1:1" s="173" customFormat="1" ht="12" hidden="1" customHeight="1">
      <c r="A5440" s="172"/>
    </row>
    <row r="5441" spans="1:1" s="173" customFormat="1" ht="12" hidden="1" customHeight="1">
      <c r="A5441" s="172"/>
    </row>
    <row r="5442" spans="1:1" s="173" customFormat="1" ht="12" hidden="1" customHeight="1">
      <c r="A5442" s="172"/>
    </row>
    <row r="5443" spans="1:1" s="173" customFormat="1" ht="12" hidden="1" customHeight="1">
      <c r="A5443" s="172"/>
    </row>
    <row r="5444" spans="1:1" s="173" customFormat="1" ht="12" hidden="1" customHeight="1">
      <c r="A5444" s="172"/>
    </row>
    <row r="5445" spans="1:1" s="173" customFormat="1" ht="12" hidden="1" customHeight="1">
      <c r="A5445" s="172"/>
    </row>
    <row r="5446" spans="1:1" s="173" customFormat="1" ht="12" hidden="1" customHeight="1">
      <c r="A5446" s="172"/>
    </row>
    <row r="5447" spans="1:1" s="173" customFormat="1" ht="12" hidden="1" customHeight="1">
      <c r="A5447" s="172"/>
    </row>
    <row r="5448" spans="1:1" s="173" customFormat="1" ht="12" hidden="1" customHeight="1">
      <c r="A5448" s="172"/>
    </row>
    <row r="5449" spans="1:1" s="173" customFormat="1" ht="12" hidden="1" customHeight="1">
      <c r="A5449" s="172"/>
    </row>
    <row r="5450" spans="1:1" s="173" customFormat="1" ht="12" hidden="1" customHeight="1">
      <c r="A5450" s="172"/>
    </row>
    <row r="5451" spans="1:1" s="173" customFormat="1" ht="12" hidden="1" customHeight="1">
      <c r="A5451" s="172"/>
    </row>
    <row r="5452" spans="1:1" s="173" customFormat="1" ht="12" hidden="1" customHeight="1">
      <c r="A5452" s="172"/>
    </row>
    <row r="5453" spans="1:1" s="173" customFormat="1" ht="12" hidden="1" customHeight="1">
      <c r="A5453" s="172"/>
    </row>
    <row r="5454" spans="1:1" s="173" customFormat="1" ht="12" hidden="1" customHeight="1">
      <c r="A5454" s="172"/>
    </row>
    <row r="5455" spans="1:1" s="173" customFormat="1" ht="12" hidden="1" customHeight="1">
      <c r="A5455" s="172"/>
    </row>
    <row r="5456" spans="1:1" s="173" customFormat="1" ht="12" hidden="1" customHeight="1">
      <c r="A5456" s="172"/>
    </row>
    <row r="5457" spans="1:1" s="173" customFormat="1" ht="12" hidden="1" customHeight="1">
      <c r="A5457" s="172"/>
    </row>
    <row r="5458" spans="1:1" s="173" customFormat="1" ht="12" hidden="1" customHeight="1">
      <c r="A5458" s="172"/>
    </row>
    <row r="5459" spans="1:1" s="173" customFormat="1" ht="12" hidden="1" customHeight="1">
      <c r="A5459" s="172"/>
    </row>
    <row r="5460" spans="1:1" s="173" customFormat="1" ht="12" hidden="1" customHeight="1">
      <c r="A5460" s="172"/>
    </row>
    <row r="5461" spans="1:1" s="173" customFormat="1" ht="12" hidden="1" customHeight="1">
      <c r="A5461" s="172"/>
    </row>
    <row r="5462" spans="1:1" s="173" customFormat="1" ht="12" hidden="1" customHeight="1">
      <c r="A5462" s="172"/>
    </row>
    <row r="5463" spans="1:1" s="173" customFormat="1" ht="12" hidden="1" customHeight="1">
      <c r="A5463" s="172"/>
    </row>
    <row r="5464" spans="1:1" s="173" customFormat="1" ht="12" hidden="1" customHeight="1">
      <c r="A5464" s="172"/>
    </row>
    <row r="5465" spans="1:1" s="173" customFormat="1" ht="12" hidden="1" customHeight="1">
      <c r="A5465" s="172"/>
    </row>
    <row r="5466" spans="1:1" s="173" customFormat="1" ht="12" hidden="1" customHeight="1">
      <c r="A5466" s="172"/>
    </row>
    <row r="5467" spans="1:1" s="173" customFormat="1" ht="12" hidden="1" customHeight="1">
      <c r="A5467" s="172"/>
    </row>
    <row r="5468" spans="1:1" s="173" customFormat="1" ht="12" hidden="1" customHeight="1">
      <c r="A5468" s="172"/>
    </row>
    <row r="5469" spans="1:1" s="173" customFormat="1" ht="12" hidden="1" customHeight="1">
      <c r="A5469" s="172"/>
    </row>
    <row r="5470" spans="1:1" s="173" customFormat="1" ht="12" hidden="1" customHeight="1">
      <c r="A5470" s="172"/>
    </row>
    <row r="5471" spans="1:1" s="173" customFormat="1" ht="12" hidden="1" customHeight="1">
      <c r="A5471" s="172"/>
    </row>
    <row r="5472" spans="1:1" s="173" customFormat="1" ht="12" hidden="1" customHeight="1">
      <c r="A5472" s="172"/>
    </row>
    <row r="5473" spans="1:1" s="173" customFormat="1" ht="12" hidden="1" customHeight="1">
      <c r="A5473" s="172"/>
    </row>
    <row r="5474" spans="1:1" s="173" customFormat="1" ht="12" hidden="1" customHeight="1">
      <c r="A5474" s="172"/>
    </row>
    <row r="5475" spans="1:1" s="173" customFormat="1" ht="12" hidden="1" customHeight="1">
      <c r="A5475" s="172"/>
    </row>
    <row r="5476" spans="1:1" s="173" customFormat="1" ht="12" hidden="1" customHeight="1">
      <c r="A5476" s="172"/>
    </row>
    <row r="5477" spans="1:1" s="173" customFormat="1" ht="12" hidden="1" customHeight="1">
      <c r="A5477" s="172"/>
    </row>
    <row r="5478" spans="1:1" s="173" customFormat="1" ht="12" hidden="1" customHeight="1">
      <c r="A5478" s="172"/>
    </row>
    <row r="5479" spans="1:1" s="173" customFormat="1" ht="12" hidden="1" customHeight="1">
      <c r="A5479" s="172"/>
    </row>
    <row r="5480" spans="1:1" s="173" customFormat="1" ht="12" hidden="1" customHeight="1">
      <c r="A5480" s="172"/>
    </row>
    <row r="5481" spans="1:1" s="173" customFormat="1" ht="12" hidden="1" customHeight="1">
      <c r="A5481" s="172"/>
    </row>
    <row r="5482" spans="1:1" s="173" customFormat="1" ht="12" hidden="1" customHeight="1">
      <c r="A5482" s="172"/>
    </row>
    <row r="5483" spans="1:1" s="173" customFormat="1" ht="12" hidden="1" customHeight="1">
      <c r="A5483" s="172"/>
    </row>
    <row r="5484" spans="1:1" s="173" customFormat="1" ht="12" hidden="1" customHeight="1">
      <c r="A5484" s="172"/>
    </row>
    <row r="5485" spans="1:1" s="173" customFormat="1" ht="12" hidden="1" customHeight="1">
      <c r="A5485" s="172"/>
    </row>
    <row r="5486" spans="1:1" s="173" customFormat="1" ht="12" hidden="1" customHeight="1">
      <c r="A5486" s="172"/>
    </row>
    <row r="5487" spans="1:1" s="173" customFormat="1" ht="12" hidden="1" customHeight="1">
      <c r="A5487" s="172"/>
    </row>
    <row r="5488" spans="1:1" s="173" customFormat="1" ht="12" hidden="1" customHeight="1">
      <c r="A5488" s="172"/>
    </row>
    <row r="5489" spans="1:1" s="173" customFormat="1" ht="12" hidden="1" customHeight="1">
      <c r="A5489" s="172"/>
    </row>
    <row r="5490" spans="1:1" s="173" customFormat="1" ht="12" hidden="1" customHeight="1">
      <c r="A5490" s="172"/>
    </row>
    <row r="5491" spans="1:1" s="173" customFormat="1" ht="12" hidden="1" customHeight="1">
      <c r="A5491" s="172"/>
    </row>
    <row r="5492" spans="1:1" s="173" customFormat="1" ht="12" hidden="1" customHeight="1">
      <c r="A5492" s="172"/>
    </row>
    <row r="5493" spans="1:1" s="173" customFormat="1" ht="12" hidden="1" customHeight="1">
      <c r="A5493" s="172"/>
    </row>
    <row r="5494" spans="1:1" s="173" customFormat="1" ht="12" hidden="1" customHeight="1">
      <c r="A5494" s="172"/>
    </row>
    <row r="5495" spans="1:1" s="173" customFormat="1" ht="12" hidden="1" customHeight="1">
      <c r="A5495" s="172"/>
    </row>
    <row r="5496" spans="1:1" s="173" customFormat="1" ht="12" hidden="1" customHeight="1">
      <c r="A5496" s="172"/>
    </row>
    <row r="5497" spans="1:1" s="173" customFormat="1" ht="12" hidden="1" customHeight="1">
      <c r="A5497" s="172"/>
    </row>
    <row r="5498" spans="1:1" s="173" customFormat="1" ht="12" hidden="1" customHeight="1">
      <c r="A5498" s="172"/>
    </row>
    <row r="5499" spans="1:1" s="173" customFormat="1" ht="12" hidden="1" customHeight="1">
      <c r="A5499" s="172"/>
    </row>
    <row r="5500" spans="1:1" s="173" customFormat="1" ht="12" hidden="1" customHeight="1">
      <c r="A5500" s="172"/>
    </row>
    <row r="5501" spans="1:1" s="173" customFormat="1" ht="12" hidden="1" customHeight="1">
      <c r="A5501" s="172"/>
    </row>
    <row r="5502" spans="1:1" s="173" customFormat="1" ht="12" hidden="1" customHeight="1">
      <c r="A5502" s="172"/>
    </row>
    <row r="5503" spans="1:1" s="173" customFormat="1" ht="12" hidden="1" customHeight="1">
      <c r="A5503" s="172"/>
    </row>
    <row r="5504" spans="1:1" s="173" customFormat="1" ht="12" hidden="1" customHeight="1">
      <c r="A5504" s="172"/>
    </row>
    <row r="5505" spans="1:1" s="173" customFormat="1" ht="12" hidden="1" customHeight="1">
      <c r="A5505" s="172"/>
    </row>
    <row r="5506" spans="1:1" s="173" customFormat="1" ht="12" hidden="1" customHeight="1">
      <c r="A5506" s="172"/>
    </row>
    <row r="5507" spans="1:1" s="173" customFormat="1" ht="12" hidden="1" customHeight="1">
      <c r="A5507" s="172"/>
    </row>
    <row r="5508" spans="1:1" s="173" customFormat="1" ht="12" hidden="1" customHeight="1">
      <c r="A5508" s="172"/>
    </row>
    <row r="5509" spans="1:1" s="173" customFormat="1" ht="12" hidden="1" customHeight="1">
      <c r="A5509" s="172"/>
    </row>
    <row r="5510" spans="1:1" s="173" customFormat="1" ht="12" hidden="1" customHeight="1">
      <c r="A5510" s="172"/>
    </row>
    <row r="5511" spans="1:1" s="173" customFormat="1" ht="12" hidden="1" customHeight="1">
      <c r="A5511" s="172"/>
    </row>
    <row r="5512" spans="1:1" s="173" customFormat="1" ht="12" hidden="1" customHeight="1">
      <c r="A5512" s="172"/>
    </row>
    <row r="5513" spans="1:1" s="173" customFormat="1" ht="12" hidden="1" customHeight="1">
      <c r="A5513" s="172"/>
    </row>
    <row r="5514" spans="1:1" s="173" customFormat="1" ht="12" hidden="1" customHeight="1">
      <c r="A5514" s="172"/>
    </row>
    <row r="5515" spans="1:1" s="173" customFormat="1" ht="12" hidden="1" customHeight="1">
      <c r="A5515" s="172"/>
    </row>
    <row r="5516" spans="1:1" s="173" customFormat="1" ht="12" hidden="1" customHeight="1">
      <c r="A5516" s="172"/>
    </row>
    <row r="5517" spans="1:1" s="173" customFormat="1" ht="12" hidden="1" customHeight="1">
      <c r="A5517" s="172"/>
    </row>
    <row r="5518" spans="1:1" s="173" customFormat="1" ht="12" hidden="1" customHeight="1">
      <c r="A5518" s="172"/>
    </row>
    <row r="5519" spans="1:1" s="173" customFormat="1" ht="12" hidden="1" customHeight="1">
      <c r="A5519" s="172"/>
    </row>
    <row r="5520" spans="1:1" s="173" customFormat="1" ht="12" hidden="1" customHeight="1">
      <c r="A5520" s="172"/>
    </row>
    <row r="5521" spans="1:1" s="173" customFormat="1" ht="12" hidden="1" customHeight="1">
      <c r="A5521" s="172"/>
    </row>
    <row r="5522" spans="1:1" s="173" customFormat="1" ht="12" hidden="1" customHeight="1">
      <c r="A5522" s="172"/>
    </row>
    <row r="5523" spans="1:1" s="173" customFormat="1" ht="12" hidden="1" customHeight="1">
      <c r="A5523" s="172"/>
    </row>
    <row r="5524" spans="1:1" s="173" customFormat="1" ht="12" hidden="1" customHeight="1">
      <c r="A5524" s="172"/>
    </row>
    <row r="5525" spans="1:1" s="173" customFormat="1" ht="12" hidden="1" customHeight="1">
      <c r="A5525" s="172"/>
    </row>
    <row r="5526" spans="1:1" s="173" customFormat="1" ht="12" hidden="1" customHeight="1">
      <c r="A5526" s="172"/>
    </row>
    <row r="5527" spans="1:1" s="173" customFormat="1" ht="12" hidden="1" customHeight="1">
      <c r="A5527" s="172"/>
    </row>
    <row r="5528" spans="1:1" s="173" customFormat="1" ht="12" hidden="1" customHeight="1">
      <c r="A5528" s="172"/>
    </row>
    <row r="5529" spans="1:1" s="173" customFormat="1" ht="12" hidden="1" customHeight="1">
      <c r="A5529" s="172"/>
    </row>
    <row r="5530" spans="1:1" s="173" customFormat="1" ht="12" hidden="1" customHeight="1">
      <c r="A5530" s="172"/>
    </row>
    <row r="5531" spans="1:1" s="173" customFormat="1" ht="12" hidden="1" customHeight="1">
      <c r="A5531" s="172"/>
    </row>
    <row r="5532" spans="1:1" s="173" customFormat="1" ht="12" hidden="1" customHeight="1">
      <c r="A5532" s="172"/>
    </row>
    <row r="5533" spans="1:1" s="173" customFormat="1" ht="12" hidden="1" customHeight="1">
      <c r="A5533" s="172"/>
    </row>
    <row r="5534" spans="1:1" s="173" customFormat="1" ht="12" hidden="1" customHeight="1">
      <c r="A5534" s="172"/>
    </row>
    <row r="5535" spans="1:1" s="173" customFormat="1" ht="12" hidden="1" customHeight="1">
      <c r="A5535" s="172"/>
    </row>
    <row r="5536" spans="1:1" s="173" customFormat="1" ht="12" hidden="1" customHeight="1">
      <c r="A5536" s="172"/>
    </row>
    <row r="5537" spans="1:1" s="173" customFormat="1" ht="12" hidden="1" customHeight="1">
      <c r="A5537" s="172"/>
    </row>
    <row r="5538" spans="1:1" s="173" customFormat="1" ht="12" hidden="1" customHeight="1">
      <c r="A5538" s="172"/>
    </row>
    <row r="5539" spans="1:1" s="173" customFormat="1" ht="12" hidden="1" customHeight="1">
      <c r="A5539" s="172"/>
    </row>
    <row r="5540" spans="1:1" s="173" customFormat="1" ht="12" hidden="1" customHeight="1">
      <c r="A5540" s="172"/>
    </row>
    <row r="5541" spans="1:1" s="173" customFormat="1" ht="12" hidden="1" customHeight="1">
      <c r="A5541" s="172"/>
    </row>
    <row r="5542" spans="1:1" s="173" customFormat="1" ht="12" hidden="1" customHeight="1">
      <c r="A5542" s="172"/>
    </row>
    <row r="5543" spans="1:1" s="173" customFormat="1" ht="12" hidden="1" customHeight="1">
      <c r="A5543" s="172"/>
    </row>
    <row r="5544" spans="1:1" s="173" customFormat="1" ht="12" hidden="1" customHeight="1">
      <c r="A5544" s="172"/>
    </row>
    <row r="5545" spans="1:1" s="173" customFormat="1" ht="12" hidden="1" customHeight="1">
      <c r="A5545" s="172"/>
    </row>
    <row r="5546" spans="1:1" s="173" customFormat="1" ht="12" hidden="1" customHeight="1">
      <c r="A5546" s="172"/>
    </row>
    <row r="5547" spans="1:1" s="173" customFormat="1" ht="12" hidden="1" customHeight="1">
      <c r="A5547" s="172"/>
    </row>
    <row r="5548" spans="1:1" s="173" customFormat="1" ht="12" hidden="1" customHeight="1">
      <c r="A5548" s="172"/>
    </row>
    <row r="5549" spans="1:1" s="173" customFormat="1" ht="12" hidden="1" customHeight="1">
      <c r="A5549" s="172"/>
    </row>
    <row r="5550" spans="1:1" s="173" customFormat="1" ht="12" hidden="1" customHeight="1">
      <c r="A5550" s="172"/>
    </row>
    <row r="5551" spans="1:1" s="173" customFormat="1" ht="12" hidden="1" customHeight="1">
      <c r="A5551" s="172"/>
    </row>
    <row r="5552" spans="1:1" s="173" customFormat="1" ht="12" hidden="1" customHeight="1">
      <c r="A5552" s="172"/>
    </row>
    <row r="5553" spans="1:1" s="173" customFormat="1" ht="12" hidden="1" customHeight="1">
      <c r="A5553" s="172"/>
    </row>
    <row r="5554" spans="1:1" s="173" customFormat="1" ht="12" hidden="1" customHeight="1">
      <c r="A5554" s="172"/>
    </row>
    <row r="5555" spans="1:1" s="173" customFormat="1" ht="12" hidden="1" customHeight="1">
      <c r="A5555" s="172"/>
    </row>
    <row r="5556" spans="1:1" s="173" customFormat="1" ht="12" hidden="1" customHeight="1">
      <c r="A5556" s="172"/>
    </row>
    <row r="5557" spans="1:1" s="173" customFormat="1" ht="12" hidden="1" customHeight="1">
      <c r="A5557" s="172"/>
    </row>
    <row r="5558" spans="1:1" s="173" customFormat="1" ht="12" hidden="1" customHeight="1">
      <c r="A5558" s="172"/>
    </row>
    <row r="5559" spans="1:1" s="173" customFormat="1" ht="12" hidden="1" customHeight="1">
      <c r="A5559" s="172"/>
    </row>
    <row r="5560" spans="1:1" s="173" customFormat="1" ht="12" hidden="1" customHeight="1">
      <c r="A5560" s="172"/>
    </row>
    <row r="5561" spans="1:1" s="173" customFormat="1" ht="12" hidden="1" customHeight="1">
      <c r="A5561" s="172"/>
    </row>
    <row r="5562" spans="1:1" s="173" customFormat="1" ht="12" hidden="1" customHeight="1">
      <c r="A5562" s="172"/>
    </row>
    <row r="5563" spans="1:1" s="173" customFormat="1" ht="12" hidden="1" customHeight="1">
      <c r="A5563" s="172"/>
    </row>
    <row r="5564" spans="1:1" s="173" customFormat="1" ht="12" hidden="1" customHeight="1">
      <c r="A5564" s="172"/>
    </row>
    <row r="5565" spans="1:1" s="173" customFormat="1" ht="12" hidden="1" customHeight="1">
      <c r="A5565" s="172"/>
    </row>
    <row r="5566" spans="1:1" s="173" customFormat="1" ht="12" hidden="1" customHeight="1">
      <c r="A5566" s="172"/>
    </row>
    <row r="5567" spans="1:1" s="173" customFormat="1" ht="12" hidden="1" customHeight="1">
      <c r="A5567" s="172"/>
    </row>
    <row r="5568" spans="1:1" s="173" customFormat="1" ht="12" hidden="1" customHeight="1">
      <c r="A5568" s="172"/>
    </row>
    <row r="5569" spans="1:1" s="173" customFormat="1" ht="12" hidden="1" customHeight="1">
      <c r="A5569" s="172"/>
    </row>
    <row r="5570" spans="1:1" s="173" customFormat="1" ht="12" hidden="1" customHeight="1">
      <c r="A5570" s="172"/>
    </row>
    <row r="5571" spans="1:1" s="173" customFormat="1" ht="12" hidden="1" customHeight="1">
      <c r="A5571" s="172"/>
    </row>
    <row r="5572" spans="1:1" s="173" customFormat="1" ht="12" hidden="1" customHeight="1">
      <c r="A5572" s="172"/>
    </row>
    <row r="5573" spans="1:1" s="173" customFormat="1" ht="12" hidden="1" customHeight="1">
      <c r="A5573" s="172"/>
    </row>
    <row r="5574" spans="1:1" s="173" customFormat="1" ht="12" hidden="1" customHeight="1">
      <c r="A5574" s="172"/>
    </row>
    <row r="5575" spans="1:1" s="173" customFormat="1" ht="12" hidden="1" customHeight="1">
      <c r="A5575" s="172"/>
    </row>
    <row r="5576" spans="1:1" s="173" customFormat="1" ht="12" hidden="1" customHeight="1">
      <c r="A5576" s="172"/>
    </row>
    <row r="5577" spans="1:1" s="173" customFormat="1" ht="12" hidden="1" customHeight="1">
      <c r="A5577" s="172"/>
    </row>
    <row r="5578" spans="1:1" s="173" customFormat="1" ht="12" hidden="1" customHeight="1">
      <c r="A5578" s="172"/>
    </row>
    <row r="5579" spans="1:1" s="173" customFormat="1" ht="12" hidden="1" customHeight="1">
      <c r="A5579" s="172"/>
    </row>
    <row r="5580" spans="1:1" s="173" customFormat="1" ht="12" hidden="1" customHeight="1">
      <c r="A5580" s="172"/>
    </row>
    <row r="5581" spans="1:1" s="173" customFormat="1" ht="12" hidden="1" customHeight="1">
      <c r="A5581" s="172"/>
    </row>
    <row r="5582" spans="1:1" s="173" customFormat="1" ht="12" hidden="1" customHeight="1">
      <c r="A5582" s="172"/>
    </row>
    <row r="5583" spans="1:1" s="173" customFormat="1" ht="12" hidden="1" customHeight="1">
      <c r="A5583" s="172"/>
    </row>
    <row r="5584" spans="1:1" s="173" customFormat="1" ht="12" hidden="1" customHeight="1">
      <c r="A5584" s="172"/>
    </row>
    <row r="5585" spans="1:1" s="173" customFormat="1" ht="12" hidden="1" customHeight="1">
      <c r="A5585" s="172"/>
    </row>
    <row r="5586" spans="1:1" s="173" customFormat="1" ht="12" hidden="1" customHeight="1">
      <c r="A5586" s="172"/>
    </row>
    <row r="5587" spans="1:1" s="173" customFormat="1" ht="12" hidden="1" customHeight="1">
      <c r="A5587" s="172"/>
    </row>
    <row r="5588" spans="1:1" s="173" customFormat="1" ht="12" hidden="1" customHeight="1">
      <c r="A5588" s="172"/>
    </row>
    <row r="5589" spans="1:1" s="173" customFormat="1" ht="12" hidden="1" customHeight="1">
      <c r="A5589" s="172"/>
    </row>
    <row r="5590" spans="1:1" s="173" customFormat="1" ht="12" hidden="1" customHeight="1">
      <c r="A5590" s="172"/>
    </row>
    <row r="5591" spans="1:1" s="173" customFormat="1" ht="12" hidden="1" customHeight="1">
      <c r="A5591" s="172"/>
    </row>
    <row r="5592" spans="1:1" s="173" customFormat="1" ht="12" hidden="1" customHeight="1">
      <c r="A5592" s="172"/>
    </row>
    <row r="5593" spans="1:1" s="173" customFormat="1" ht="12" hidden="1" customHeight="1">
      <c r="A5593" s="172"/>
    </row>
    <row r="5594" spans="1:1" s="173" customFormat="1" ht="12" hidden="1" customHeight="1">
      <c r="A5594" s="172"/>
    </row>
    <row r="5595" spans="1:1" s="173" customFormat="1" ht="12" hidden="1" customHeight="1">
      <c r="A5595" s="172"/>
    </row>
    <row r="5596" spans="1:1" s="173" customFormat="1" ht="12" hidden="1" customHeight="1">
      <c r="A5596" s="172"/>
    </row>
    <row r="5597" spans="1:1" s="173" customFormat="1" ht="12" hidden="1" customHeight="1">
      <c r="A5597" s="172"/>
    </row>
    <row r="5598" spans="1:1" s="173" customFormat="1" ht="12" hidden="1" customHeight="1">
      <c r="A5598" s="172"/>
    </row>
    <row r="5599" spans="1:1" s="173" customFormat="1" ht="12" hidden="1" customHeight="1">
      <c r="A5599" s="172"/>
    </row>
    <row r="5600" spans="1:1" s="173" customFormat="1" ht="12" hidden="1" customHeight="1">
      <c r="A5600" s="172"/>
    </row>
    <row r="5601" spans="1:1" s="173" customFormat="1" ht="12" hidden="1" customHeight="1">
      <c r="A5601" s="172"/>
    </row>
    <row r="5602" spans="1:1" s="173" customFormat="1" ht="12" hidden="1" customHeight="1">
      <c r="A5602" s="172"/>
    </row>
    <row r="5603" spans="1:1" s="173" customFormat="1" ht="12" hidden="1" customHeight="1">
      <c r="A5603" s="172"/>
    </row>
    <row r="5604" spans="1:1" s="173" customFormat="1" ht="12" hidden="1" customHeight="1">
      <c r="A5604" s="172"/>
    </row>
    <row r="5605" spans="1:1" s="173" customFormat="1" ht="12" hidden="1" customHeight="1">
      <c r="A5605" s="172"/>
    </row>
    <row r="5606" spans="1:1" s="173" customFormat="1" ht="12" hidden="1" customHeight="1">
      <c r="A5606" s="172"/>
    </row>
    <row r="5607" spans="1:1" s="173" customFormat="1" ht="12" hidden="1" customHeight="1">
      <c r="A5607" s="172"/>
    </row>
    <row r="5608" spans="1:1" s="173" customFormat="1" ht="12" hidden="1" customHeight="1">
      <c r="A5608" s="172"/>
    </row>
    <row r="5609" spans="1:1" s="173" customFormat="1" ht="12" hidden="1" customHeight="1">
      <c r="A5609" s="172"/>
    </row>
    <row r="5610" spans="1:1" s="173" customFormat="1" ht="12" hidden="1" customHeight="1">
      <c r="A5610" s="172"/>
    </row>
    <row r="5611" spans="1:1" s="173" customFormat="1" ht="12" hidden="1" customHeight="1">
      <c r="A5611" s="172"/>
    </row>
    <row r="5612" spans="1:1" s="173" customFormat="1" ht="12" hidden="1" customHeight="1">
      <c r="A5612" s="172"/>
    </row>
    <row r="5613" spans="1:1" s="173" customFormat="1" ht="12" hidden="1" customHeight="1">
      <c r="A5613" s="172"/>
    </row>
    <row r="5614" spans="1:1" s="173" customFormat="1" ht="12" hidden="1" customHeight="1">
      <c r="A5614" s="172"/>
    </row>
    <row r="5615" spans="1:1" s="173" customFormat="1" ht="12" hidden="1" customHeight="1">
      <c r="A5615" s="172"/>
    </row>
    <row r="5616" spans="1:1" s="173" customFormat="1" ht="12" hidden="1" customHeight="1">
      <c r="A5616" s="172"/>
    </row>
    <row r="5617" spans="1:1" s="173" customFormat="1" ht="12" hidden="1" customHeight="1">
      <c r="A5617" s="172"/>
    </row>
    <row r="5618" spans="1:1" s="173" customFormat="1" ht="12" hidden="1" customHeight="1">
      <c r="A5618" s="172"/>
    </row>
    <row r="5619" spans="1:1" s="173" customFormat="1" ht="12" hidden="1" customHeight="1">
      <c r="A5619" s="172"/>
    </row>
    <row r="5620" spans="1:1" s="173" customFormat="1" ht="12" hidden="1" customHeight="1">
      <c r="A5620" s="172"/>
    </row>
    <row r="5621" spans="1:1" s="173" customFormat="1" ht="12" hidden="1" customHeight="1">
      <c r="A5621" s="172"/>
    </row>
    <row r="5622" spans="1:1" s="173" customFormat="1" ht="12" hidden="1" customHeight="1">
      <c r="A5622" s="172"/>
    </row>
    <row r="5623" spans="1:1" s="173" customFormat="1" ht="12" hidden="1" customHeight="1">
      <c r="A5623" s="172"/>
    </row>
    <row r="5624" spans="1:1" s="173" customFormat="1" ht="12" hidden="1" customHeight="1">
      <c r="A5624" s="172"/>
    </row>
    <row r="5625" spans="1:1" s="173" customFormat="1" ht="12" hidden="1" customHeight="1">
      <c r="A5625" s="172"/>
    </row>
    <row r="5626" spans="1:1" s="173" customFormat="1" ht="12" hidden="1" customHeight="1">
      <c r="A5626" s="172"/>
    </row>
    <row r="5627" spans="1:1" s="173" customFormat="1" ht="12" hidden="1" customHeight="1">
      <c r="A5627" s="172"/>
    </row>
    <row r="5628" spans="1:1" s="173" customFormat="1" ht="12" hidden="1" customHeight="1">
      <c r="A5628" s="172"/>
    </row>
    <row r="5629" spans="1:1" s="173" customFormat="1" ht="12" hidden="1" customHeight="1">
      <c r="A5629" s="172"/>
    </row>
    <row r="5630" spans="1:1" s="173" customFormat="1" ht="12" hidden="1" customHeight="1">
      <c r="A5630" s="172"/>
    </row>
    <row r="5631" spans="1:1" s="173" customFormat="1" ht="12" hidden="1" customHeight="1">
      <c r="A5631" s="172"/>
    </row>
    <row r="5632" spans="1:1" s="173" customFormat="1" ht="12" hidden="1" customHeight="1">
      <c r="A5632" s="172"/>
    </row>
    <row r="5633" spans="1:1" s="173" customFormat="1" ht="12" hidden="1" customHeight="1">
      <c r="A5633" s="172"/>
    </row>
    <row r="5634" spans="1:1" s="173" customFormat="1" ht="12" hidden="1" customHeight="1">
      <c r="A5634" s="172"/>
    </row>
    <row r="5635" spans="1:1" s="173" customFormat="1" ht="12" hidden="1" customHeight="1">
      <c r="A5635" s="172"/>
    </row>
    <row r="5636" spans="1:1" s="173" customFormat="1" ht="12" hidden="1" customHeight="1">
      <c r="A5636" s="172"/>
    </row>
    <row r="5637" spans="1:1" s="173" customFormat="1" ht="12" hidden="1" customHeight="1">
      <c r="A5637" s="172"/>
    </row>
    <row r="5638" spans="1:1" s="173" customFormat="1" ht="12" hidden="1" customHeight="1">
      <c r="A5638" s="172"/>
    </row>
    <row r="5639" spans="1:1" s="173" customFormat="1" ht="12" hidden="1" customHeight="1">
      <c r="A5639" s="172"/>
    </row>
    <row r="5640" spans="1:1" s="173" customFormat="1" ht="12" hidden="1" customHeight="1">
      <c r="A5640" s="172"/>
    </row>
    <row r="5641" spans="1:1" s="173" customFormat="1" ht="12" hidden="1" customHeight="1">
      <c r="A5641" s="172"/>
    </row>
    <row r="5642" spans="1:1" s="173" customFormat="1" ht="12" hidden="1" customHeight="1">
      <c r="A5642" s="172"/>
    </row>
    <row r="5643" spans="1:1" s="173" customFormat="1" ht="12" hidden="1" customHeight="1">
      <c r="A5643" s="172"/>
    </row>
    <row r="5644" spans="1:1" s="173" customFormat="1" ht="12" hidden="1" customHeight="1">
      <c r="A5644" s="172"/>
    </row>
    <row r="5645" spans="1:1" s="173" customFormat="1" ht="12" hidden="1" customHeight="1">
      <c r="A5645" s="172"/>
    </row>
    <row r="5646" spans="1:1" s="173" customFormat="1" ht="12" hidden="1" customHeight="1">
      <c r="A5646" s="172"/>
    </row>
    <row r="5647" spans="1:1" s="173" customFormat="1" ht="12" hidden="1" customHeight="1">
      <c r="A5647" s="172"/>
    </row>
    <row r="5648" spans="1:1" s="173" customFormat="1" ht="12" hidden="1" customHeight="1">
      <c r="A5648" s="172"/>
    </row>
    <row r="5649" spans="1:1" s="173" customFormat="1" ht="12" hidden="1" customHeight="1">
      <c r="A5649" s="172"/>
    </row>
    <row r="5650" spans="1:1" s="173" customFormat="1" ht="12" hidden="1" customHeight="1">
      <c r="A5650" s="172"/>
    </row>
    <row r="5651" spans="1:1" s="173" customFormat="1" ht="12" hidden="1" customHeight="1">
      <c r="A5651" s="172"/>
    </row>
    <row r="5652" spans="1:1" s="173" customFormat="1" ht="12" hidden="1" customHeight="1">
      <c r="A5652" s="172"/>
    </row>
    <row r="5653" spans="1:1" s="173" customFormat="1" ht="12" hidden="1" customHeight="1">
      <c r="A5653" s="172"/>
    </row>
    <row r="5654" spans="1:1" s="173" customFormat="1" ht="12" hidden="1" customHeight="1">
      <c r="A5654" s="172"/>
    </row>
    <row r="5655" spans="1:1" s="173" customFormat="1" ht="12" hidden="1" customHeight="1">
      <c r="A5655" s="172"/>
    </row>
    <row r="5656" spans="1:1" s="173" customFormat="1" ht="12" hidden="1" customHeight="1">
      <c r="A5656" s="172"/>
    </row>
    <row r="5657" spans="1:1" s="173" customFormat="1" ht="12" hidden="1" customHeight="1">
      <c r="A5657" s="172"/>
    </row>
    <row r="5658" spans="1:1" s="173" customFormat="1" ht="12" hidden="1" customHeight="1">
      <c r="A5658" s="172"/>
    </row>
    <row r="5659" spans="1:1" s="173" customFormat="1" ht="12" hidden="1" customHeight="1">
      <c r="A5659" s="172"/>
    </row>
    <row r="5660" spans="1:1" s="173" customFormat="1" ht="12" hidden="1" customHeight="1">
      <c r="A5660" s="172"/>
    </row>
    <row r="5661" spans="1:1" s="173" customFormat="1" ht="12" hidden="1" customHeight="1">
      <c r="A5661" s="172"/>
    </row>
    <row r="5662" spans="1:1" s="173" customFormat="1" ht="12" hidden="1" customHeight="1">
      <c r="A5662" s="172"/>
    </row>
    <row r="5663" spans="1:1" s="173" customFormat="1" ht="12" hidden="1" customHeight="1">
      <c r="A5663" s="172"/>
    </row>
    <row r="5664" spans="1:1" s="173" customFormat="1" ht="12" hidden="1" customHeight="1">
      <c r="A5664" s="172"/>
    </row>
    <row r="5665" spans="1:1" s="173" customFormat="1" ht="12" hidden="1" customHeight="1">
      <c r="A5665" s="172"/>
    </row>
    <row r="5666" spans="1:1" s="173" customFormat="1" ht="12" hidden="1" customHeight="1">
      <c r="A5666" s="172"/>
    </row>
    <row r="5667" spans="1:1" s="173" customFormat="1" ht="12" hidden="1" customHeight="1">
      <c r="A5667" s="172"/>
    </row>
    <row r="5668" spans="1:1" s="173" customFormat="1" ht="12" hidden="1" customHeight="1">
      <c r="A5668" s="172"/>
    </row>
    <row r="5669" spans="1:1" s="173" customFormat="1" ht="12" hidden="1" customHeight="1">
      <c r="A5669" s="172"/>
    </row>
    <row r="5670" spans="1:1" s="173" customFormat="1" ht="12" hidden="1" customHeight="1">
      <c r="A5670" s="172"/>
    </row>
    <row r="5671" spans="1:1" s="173" customFormat="1" ht="12" hidden="1" customHeight="1">
      <c r="A5671" s="172"/>
    </row>
    <row r="5672" spans="1:1" s="173" customFormat="1" ht="12" hidden="1" customHeight="1">
      <c r="A5672" s="172"/>
    </row>
    <row r="5673" spans="1:1" s="173" customFormat="1" ht="12" hidden="1" customHeight="1">
      <c r="A5673" s="172"/>
    </row>
    <row r="5674" spans="1:1" s="173" customFormat="1" ht="12" hidden="1" customHeight="1">
      <c r="A5674" s="172"/>
    </row>
    <row r="5675" spans="1:1" s="173" customFormat="1" ht="12" hidden="1" customHeight="1">
      <c r="A5675" s="172"/>
    </row>
    <row r="5676" spans="1:1" s="173" customFormat="1" ht="12" hidden="1" customHeight="1">
      <c r="A5676" s="172"/>
    </row>
    <row r="5677" spans="1:1" s="173" customFormat="1" ht="12" hidden="1" customHeight="1">
      <c r="A5677" s="172"/>
    </row>
    <row r="5678" spans="1:1" s="173" customFormat="1" ht="12" hidden="1" customHeight="1">
      <c r="A5678" s="172"/>
    </row>
    <row r="5679" spans="1:1" s="173" customFormat="1" ht="12" hidden="1" customHeight="1">
      <c r="A5679" s="172"/>
    </row>
    <row r="5680" spans="1:1" s="173" customFormat="1" ht="12" hidden="1" customHeight="1">
      <c r="A5680" s="172"/>
    </row>
    <row r="5681" spans="1:1" s="173" customFormat="1" ht="12" hidden="1" customHeight="1">
      <c r="A5681" s="172"/>
    </row>
    <row r="5682" spans="1:1" s="173" customFormat="1" ht="12" hidden="1" customHeight="1">
      <c r="A5682" s="172"/>
    </row>
    <row r="5683" spans="1:1" s="173" customFormat="1" ht="12" hidden="1" customHeight="1">
      <c r="A5683" s="172"/>
    </row>
    <row r="5684" spans="1:1" s="173" customFormat="1" ht="12" hidden="1" customHeight="1">
      <c r="A5684" s="172"/>
    </row>
    <row r="5685" spans="1:1" s="173" customFormat="1" ht="12" hidden="1" customHeight="1">
      <c r="A5685" s="172"/>
    </row>
    <row r="5686" spans="1:1" s="173" customFormat="1" ht="12" hidden="1" customHeight="1">
      <c r="A5686" s="172"/>
    </row>
    <row r="5687" spans="1:1" s="173" customFormat="1" ht="12" hidden="1" customHeight="1">
      <c r="A5687" s="172"/>
    </row>
    <row r="5688" spans="1:1" s="173" customFormat="1" ht="12" hidden="1" customHeight="1">
      <c r="A5688" s="172"/>
    </row>
    <row r="5689" spans="1:1" s="173" customFormat="1" ht="12" hidden="1" customHeight="1">
      <c r="A5689" s="172"/>
    </row>
    <row r="5690" spans="1:1" s="173" customFormat="1" ht="12" hidden="1" customHeight="1">
      <c r="A5690" s="172"/>
    </row>
    <row r="5691" spans="1:1" s="173" customFormat="1" ht="12" hidden="1" customHeight="1">
      <c r="A5691" s="172"/>
    </row>
    <row r="5692" spans="1:1" s="173" customFormat="1" ht="12" hidden="1" customHeight="1">
      <c r="A5692" s="172"/>
    </row>
    <row r="5693" spans="1:1" s="173" customFormat="1" ht="12" hidden="1" customHeight="1">
      <c r="A5693" s="172"/>
    </row>
    <row r="5694" spans="1:1" s="173" customFormat="1" ht="12" hidden="1" customHeight="1">
      <c r="A5694" s="172"/>
    </row>
    <row r="5695" spans="1:1" s="173" customFormat="1" ht="12" hidden="1" customHeight="1">
      <c r="A5695" s="172"/>
    </row>
    <row r="5696" spans="1:1" s="173" customFormat="1" ht="12" hidden="1" customHeight="1">
      <c r="A5696" s="172"/>
    </row>
    <row r="5697" spans="1:1" s="173" customFormat="1" ht="12" hidden="1" customHeight="1">
      <c r="A5697" s="172"/>
    </row>
    <row r="5698" spans="1:1" s="173" customFormat="1" ht="12" hidden="1" customHeight="1">
      <c r="A5698" s="172"/>
    </row>
    <row r="5699" spans="1:1" s="173" customFormat="1" ht="12" hidden="1" customHeight="1">
      <c r="A5699" s="172"/>
    </row>
    <row r="5700" spans="1:1" s="173" customFormat="1" ht="12" hidden="1" customHeight="1">
      <c r="A5700" s="172"/>
    </row>
    <row r="5701" spans="1:1" s="173" customFormat="1" ht="12" hidden="1" customHeight="1">
      <c r="A5701" s="172"/>
    </row>
    <row r="5702" spans="1:1" s="173" customFormat="1" ht="12" hidden="1" customHeight="1">
      <c r="A5702" s="172"/>
    </row>
    <row r="5703" spans="1:1" s="173" customFormat="1" ht="12" hidden="1" customHeight="1">
      <c r="A5703" s="172"/>
    </row>
    <row r="5704" spans="1:1" s="173" customFormat="1" ht="12" hidden="1" customHeight="1">
      <c r="A5704" s="172"/>
    </row>
    <row r="5705" spans="1:1" s="173" customFormat="1" ht="12" hidden="1" customHeight="1">
      <c r="A5705" s="172"/>
    </row>
    <row r="5706" spans="1:1" s="173" customFormat="1" ht="12" hidden="1" customHeight="1">
      <c r="A5706" s="172"/>
    </row>
    <row r="5707" spans="1:1" s="173" customFormat="1" ht="12" hidden="1" customHeight="1">
      <c r="A5707" s="172"/>
    </row>
    <row r="5708" spans="1:1" s="173" customFormat="1" ht="12" hidden="1" customHeight="1">
      <c r="A5708" s="172"/>
    </row>
    <row r="5709" spans="1:1" s="173" customFormat="1" ht="12" hidden="1" customHeight="1">
      <c r="A5709" s="172"/>
    </row>
    <row r="5710" spans="1:1" s="173" customFormat="1" ht="12" hidden="1" customHeight="1">
      <c r="A5710" s="172"/>
    </row>
    <row r="5711" spans="1:1" s="173" customFormat="1" ht="12" hidden="1" customHeight="1">
      <c r="A5711" s="172"/>
    </row>
    <row r="5712" spans="1:1" s="173" customFormat="1" ht="12" hidden="1" customHeight="1">
      <c r="A5712" s="172"/>
    </row>
    <row r="5713" spans="1:1" s="173" customFormat="1" ht="12" hidden="1" customHeight="1">
      <c r="A5713" s="172"/>
    </row>
    <row r="5714" spans="1:1" s="173" customFormat="1" ht="12" hidden="1" customHeight="1">
      <c r="A5714" s="172"/>
    </row>
    <row r="5715" spans="1:1" s="173" customFormat="1" ht="12" hidden="1" customHeight="1">
      <c r="A5715" s="172"/>
    </row>
    <row r="5716" spans="1:1" s="173" customFormat="1" ht="12" hidden="1" customHeight="1">
      <c r="A5716" s="172"/>
    </row>
    <row r="5717" spans="1:1" s="173" customFormat="1" ht="12" hidden="1" customHeight="1">
      <c r="A5717" s="172"/>
    </row>
    <row r="5718" spans="1:1" s="173" customFormat="1" ht="12" hidden="1" customHeight="1">
      <c r="A5718" s="172"/>
    </row>
    <row r="5719" spans="1:1" s="173" customFormat="1" ht="12" hidden="1" customHeight="1">
      <c r="A5719" s="172"/>
    </row>
    <row r="5720" spans="1:1" s="173" customFormat="1" ht="12" hidden="1" customHeight="1">
      <c r="A5720" s="172"/>
    </row>
    <row r="5721" spans="1:1" s="173" customFormat="1" ht="12" hidden="1" customHeight="1">
      <c r="A5721" s="172"/>
    </row>
    <row r="5722" spans="1:1" s="173" customFormat="1" ht="12" hidden="1" customHeight="1">
      <c r="A5722" s="172"/>
    </row>
    <row r="5723" spans="1:1" s="173" customFormat="1" ht="12" hidden="1" customHeight="1">
      <c r="A5723" s="172"/>
    </row>
    <row r="5724" spans="1:1" s="173" customFormat="1" ht="12" hidden="1" customHeight="1">
      <c r="A5724" s="172"/>
    </row>
    <row r="5725" spans="1:1" s="173" customFormat="1" ht="12" hidden="1" customHeight="1">
      <c r="A5725" s="172"/>
    </row>
    <row r="5726" spans="1:1" s="173" customFormat="1" ht="12" hidden="1" customHeight="1">
      <c r="A5726" s="172"/>
    </row>
    <row r="5727" spans="1:1" s="173" customFormat="1" ht="12" hidden="1" customHeight="1">
      <c r="A5727" s="172"/>
    </row>
    <row r="5728" spans="1:1" s="173" customFormat="1" ht="12" hidden="1" customHeight="1">
      <c r="A5728" s="172"/>
    </row>
    <row r="5729" spans="1:1" s="173" customFormat="1" ht="12" hidden="1" customHeight="1">
      <c r="A5729" s="172"/>
    </row>
    <row r="5730" spans="1:1" s="173" customFormat="1" ht="12" hidden="1" customHeight="1">
      <c r="A5730" s="172"/>
    </row>
    <row r="5731" spans="1:1" s="173" customFormat="1" ht="12" hidden="1" customHeight="1">
      <c r="A5731" s="172"/>
    </row>
    <row r="5732" spans="1:1" s="173" customFormat="1" ht="12" hidden="1" customHeight="1">
      <c r="A5732" s="172"/>
    </row>
    <row r="5733" spans="1:1" s="173" customFormat="1" ht="12" hidden="1" customHeight="1">
      <c r="A5733" s="172"/>
    </row>
    <row r="5734" spans="1:1" s="173" customFormat="1" ht="12" hidden="1" customHeight="1">
      <c r="A5734" s="172"/>
    </row>
    <row r="5735" spans="1:1" s="173" customFormat="1" ht="12" hidden="1" customHeight="1">
      <c r="A5735" s="172"/>
    </row>
    <row r="5736" spans="1:1" s="173" customFormat="1" ht="12" hidden="1" customHeight="1">
      <c r="A5736" s="172"/>
    </row>
    <row r="5737" spans="1:1" s="173" customFormat="1" ht="12" hidden="1" customHeight="1">
      <c r="A5737" s="172"/>
    </row>
    <row r="5738" spans="1:1" s="173" customFormat="1" ht="12" hidden="1" customHeight="1">
      <c r="A5738" s="172"/>
    </row>
    <row r="5739" spans="1:1" s="173" customFormat="1" ht="12" hidden="1" customHeight="1">
      <c r="A5739" s="172"/>
    </row>
    <row r="5740" spans="1:1" s="173" customFormat="1" ht="12" hidden="1" customHeight="1">
      <c r="A5740" s="172"/>
    </row>
    <row r="5741" spans="1:1" s="173" customFormat="1" ht="12" hidden="1" customHeight="1">
      <c r="A5741" s="172"/>
    </row>
    <row r="5742" spans="1:1" s="173" customFormat="1" ht="12" hidden="1" customHeight="1">
      <c r="A5742" s="172"/>
    </row>
    <row r="5743" spans="1:1" s="173" customFormat="1" ht="12" hidden="1" customHeight="1">
      <c r="A5743" s="172"/>
    </row>
    <row r="5744" spans="1:1" s="173" customFormat="1" ht="12" hidden="1" customHeight="1">
      <c r="A5744" s="172"/>
    </row>
    <row r="5745" spans="1:1" s="173" customFormat="1" ht="12" hidden="1" customHeight="1">
      <c r="A5745" s="172"/>
    </row>
    <row r="5746" spans="1:1" s="173" customFormat="1" ht="12" hidden="1" customHeight="1">
      <c r="A5746" s="172"/>
    </row>
    <row r="5747" spans="1:1" s="173" customFormat="1" ht="12" hidden="1" customHeight="1">
      <c r="A5747" s="172"/>
    </row>
    <row r="5748" spans="1:1" s="173" customFormat="1" ht="12" hidden="1" customHeight="1">
      <c r="A5748" s="172"/>
    </row>
    <row r="5749" spans="1:1" s="173" customFormat="1" ht="12" hidden="1" customHeight="1">
      <c r="A5749" s="172"/>
    </row>
    <row r="5750" spans="1:1" s="173" customFormat="1" ht="12" hidden="1" customHeight="1">
      <c r="A5750" s="172"/>
    </row>
    <row r="5751" spans="1:1" s="173" customFormat="1" ht="12" hidden="1" customHeight="1">
      <c r="A5751" s="172"/>
    </row>
    <row r="5752" spans="1:1" s="173" customFormat="1" ht="12" hidden="1" customHeight="1">
      <c r="A5752" s="172"/>
    </row>
    <row r="5753" spans="1:1" s="173" customFormat="1" ht="12" hidden="1" customHeight="1">
      <c r="A5753" s="172"/>
    </row>
    <row r="5754" spans="1:1" s="173" customFormat="1" ht="12" hidden="1" customHeight="1">
      <c r="A5754" s="172"/>
    </row>
    <row r="5755" spans="1:1" s="173" customFormat="1" ht="12" hidden="1" customHeight="1">
      <c r="A5755" s="172"/>
    </row>
    <row r="5756" spans="1:1" s="173" customFormat="1" ht="12" hidden="1" customHeight="1">
      <c r="A5756" s="172"/>
    </row>
    <row r="5757" spans="1:1" s="173" customFormat="1" ht="12" hidden="1" customHeight="1">
      <c r="A5757" s="172"/>
    </row>
    <row r="5758" spans="1:1" s="173" customFormat="1" ht="12" hidden="1" customHeight="1">
      <c r="A5758" s="172"/>
    </row>
    <row r="5759" spans="1:1" s="173" customFormat="1" ht="12" hidden="1" customHeight="1">
      <c r="A5759" s="172"/>
    </row>
    <row r="5760" spans="1:1" s="173" customFormat="1" ht="12" hidden="1" customHeight="1">
      <c r="A5760" s="172"/>
    </row>
    <row r="5761" spans="1:1" s="173" customFormat="1" ht="12" hidden="1" customHeight="1">
      <c r="A5761" s="172"/>
    </row>
    <row r="5762" spans="1:1" s="173" customFormat="1" ht="12" hidden="1" customHeight="1">
      <c r="A5762" s="172"/>
    </row>
    <row r="5763" spans="1:1" s="173" customFormat="1" ht="12" hidden="1" customHeight="1">
      <c r="A5763" s="172"/>
    </row>
    <row r="5764" spans="1:1" s="173" customFormat="1" ht="12" hidden="1" customHeight="1">
      <c r="A5764" s="172"/>
    </row>
    <row r="5765" spans="1:1" s="173" customFormat="1" ht="12" hidden="1" customHeight="1">
      <c r="A5765" s="172"/>
    </row>
    <row r="5766" spans="1:1" s="173" customFormat="1" ht="12" hidden="1" customHeight="1">
      <c r="A5766" s="172"/>
    </row>
    <row r="5767" spans="1:1" s="173" customFormat="1" ht="12" hidden="1" customHeight="1">
      <c r="A5767" s="172"/>
    </row>
    <row r="5768" spans="1:1" s="173" customFormat="1" ht="12" hidden="1" customHeight="1">
      <c r="A5768" s="172"/>
    </row>
    <row r="5769" spans="1:1" s="173" customFormat="1" ht="12" hidden="1" customHeight="1">
      <c r="A5769" s="172"/>
    </row>
    <row r="5770" spans="1:1" s="173" customFormat="1" ht="12" hidden="1" customHeight="1">
      <c r="A5770" s="172"/>
    </row>
    <row r="5771" spans="1:1" s="173" customFormat="1" ht="12" hidden="1" customHeight="1">
      <c r="A5771" s="172"/>
    </row>
    <row r="5772" spans="1:1" s="173" customFormat="1" ht="12" hidden="1" customHeight="1">
      <c r="A5772" s="172"/>
    </row>
    <row r="5773" spans="1:1" s="173" customFormat="1" ht="12" hidden="1" customHeight="1">
      <c r="A5773" s="172"/>
    </row>
    <row r="5774" spans="1:1" s="173" customFormat="1" ht="12" hidden="1" customHeight="1">
      <c r="A5774" s="172"/>
    </row>
    <row r="5775" spans="1:1" s="173" customFormat="1" ht="12" hidden="1" customHeight="1">
      <c r="A5775" s="172"/>
    </row>
    <row r="5776" spans="1:1" s="173" customFormat="1" ht="12" hidden="1" customHeight="1">
      <c r="A5776" s="172"/>
    </row>
    <row r="5777" spans="1:1" s="173" customFormat="1" ht="12" hidden="1" customHeight="1">
      <c r="A5777" s="172"/>
    </row>
    <row r="5778" spans="1:1" s="173" customFormat="1" ht="12" hidden="1" customHeight="1">
      <c r="A5778" s="172"/>
    </row>
    <row r="5779" spans="1:1" s="173" customFormat="1" ht="12" hidden="1" customHeight="1">
      <c r="A5779" s="172"/>
    </row>
    <row r="5780" spans="1:1" s="173" customFormat="1" ht="12" hidden="1" customHeight="1">
      <c r="A5780" s="172"/>
    </row>
    <row r="5781" spans="1:1" s="173" customFormat="1" ht="12" hidden="1" customHeight="1">
      <c r="A5781" s="172"/>
    </row>
    <row r="5782" spans="1:1" s="173" customFormat="1" ht="12" hidden="1" customHeight="1">
      <c r="A5782" s="172"/>
    </row>
    <row r="5783" spans="1:1" s="173" customFormat="1" ht="12" hidden="1" customHeight="1">
      <c r="A5783" s="172"/>
    </row>
    <row r="5784" spans="1:1" s="173" customFormat="1" ht="12" hidden="1" customHeight="1">
      <c r="A5784" s="172"/>
    </row>
    <row r="5785" spans="1:1" s="173" customFormat="1" ht="12" hidden="1" customHeight="1">
      <c r="A5785" s="172"/>
    </row>
    <row r="5786" spans="1:1" s="173" customFormat="1" ht="12" hidden="1" customHeight="1">
      <c r="A5786" s="172"/>
    </row>
    <row r="5787" spans="1:1" s="173" customFormat="1" ht="12" hidden="1" customHeight="1">
      <c r="A5787" s="172"/>
    </row>
    <row r="5788" spans="1:1" s="173" customFormat="1" ht="12" hidden="1" customHeight="1">
      <c r="A5788" s="172"/>
    </row>
    <row r="5789" spans="1:1" s="173" customFormat="1" ht="12" hidden="1" customHeight="1">
      <c r="A5789" s="172"/>
    </row>
    <row r="5790" spans="1:1" s="173" customFormat="1" ht="12" hidden="1" customHeight="1">
      <c r="A5790" s="172"/>
    </row>
    <row r="5791" spans="1:1" s="173" customFormat="1" ht="12" hidden="1" customHeight="1">
      <c r="A5791" s="172"/>
    </row>
    <row r="5792" spans="1:1" s="173" customFormat="1" ht="12" hidden="1" customHeight="1">
      <c r="A5792" s="172"/>
    </row>
    <row r="5793" spans="1:1" s="173" customFormat="1" ht="12" hidden="1" customHeight="1">
      <c r="A5793" s="172"/>
    </row>
    <row r="5794" spans="1:1" s="173" customFormat="1" ht="12" hidden="1" customHeight="1">
      <c r="A5794" s="172"/>
    </row>
    <row r="5795" spans="1:1" s="173" customFormat="1" ht="12" hidden="1" customHeight="1">
      <c r="A5795" s="172"/>
    </row>
    <row r="5796" spans="1:1" s="173" customFormat="1" ht="12" hidden="1" customHeight="1">
      <c r="A5796" s="172"/>
    </row>
    <row r="5797" spans="1:1" s="173" customFormat="1" ht="12" hidden="1" customHeight="1">
      <c r="A5797" s="172"/>
    </row>
    <row r="5798" spans="1:1" s="173" customFormat="1" ht="12" hidden="1" customHeight="1">
      <c r="A5798" s="172"/>
    </row>
    <row r="5799" spans="1:1" s="173" customFormat="1" ht="12" hidden="1" customHeight="1">
      <c r="A5799" s="172"/>
    </row>
    <row r="5800" spans="1:1" s="173" customFormat="1" ht="12" hidden="1" customHeight="1">
      <c r="A5800" s="172"/>
    </row>
    <row r="5801" spans="1:1" s="173" customFormat="1" ht="12" hidden="1" customHeight="1">
      <c r="A5801" s="172"/>
    </row>
    <row r="5802" spans="1:1" s="173" customFormat="1" ht="12" hidden="1" customHeight="1">
      <c r="A5802" s="172"/>
    </row>
    <row r="5803" spans="1:1" s="173" customFormat="1" ht="12" hidden="1" customHeight="1">
      <c r="A5803" s="172"/>
    </row>
    <row r="5804" spans="1:1" s="173" customFormat="1" ht="12" hidden="1" customHeight="1">
      <c r="A5804" s="172"/>
    </row>
    <row r="5805" spans="1:1" s="173" customFormat="1" ht="12" hidden="1" customHeight="1">
      <c r="A5805" s="172"/>
    </row>
    <row r="5806" spans="1:1" s="173" customFormat="1" ht="12" hidden="1" customHeight="1">
      <c r="A5806" s="172"/>
    </row>
    <row r="5807" spans="1:1" s="173" customFormat="1" ht="12" hidden="1" customHeight="1">
      <c r="A5807" s="172"/>
    </row>
    <row r="5808" spans="1:1" s="173" customFormat="1" ht="12" hidden="1" customHeight="1">
      <c r="A5808" s="172"/>
    </row>
    <row r="5809" spans="1:1" s="173" customFormat="1" ht="12" hidden="1" customHeight="1">
      <c r="A5809" s="172"/>
    </row>
    <row r="5810" spans="1:1" s="173" customFormat="1" ht="12" hidden="1" customHeight="1">
      <c r="A5810" s="172"/>
    </row>
    <row r="5811" spans="1:1" s="173" customFormat="1" ht="12" hidden="1" customHeight="1">
      <c r="A5811" s="172"/>
    </row>
    <row r="5812" spans="1:1" s="173" customFormat="1" ht="12" hidden="1" customHeight="1">
      <c r="A5812" s="172"/>
    </row>
    <row r="5813" spans="1:1" s="173" customFormat="1" ht="12" hidden="1" customHeight="1">
      <c r="A5813" s="172"/>
    </row>
    <row r="5814" spans="1:1" s="173" customFormat="1" ht="12" hidden="1" customHeight="1">
      <c r="A5814" s="172"/>
    </row>
    <row r="5815" spans="1:1" s="173" customFormat="1" ht="12" hidden="1" customHeight="1">
      <c r="A5815" s="172"/>
    </row>
    <row r="5816" spans="1:1" s="173" customFormat="1" ht="12" hidden="1" customHeight="1">
      <c r="A5816" s="172"/>
    </row>
    <row r="5817" spans="1:1" s="173" customFormat="1" ht="12" hidden="1" customHeight="1">
      <c r="A5817" s="172"/>
    </row>
    <row r="5818" spans="1:1" s="173" customFormat="1" ht="12" hidden="1" customHeight="1">
      <c r="A5818" s="172"/>
    </row>
    <row r="5819" spans="1:1" s="173" customFormat="1" ht="12" hidden="1" customHeight="1">
      <c r="A5819" s="172"/>
    </row>
    <row r="5820" spans="1:1" s="173" customFormat="1" ht="12" hidden="1" customHeight="1">
      <c r="A5820" s="172"/>
    </row>
    <row r="5821" spans="1:1" s="173" customFormat="1" ht="12" hidden="1" customHeight="1">
      <c r="A5821" s="172"/>
    </row>
    <row r="5822" spans="1:1" s="173" customFormat="1" ht="12" hidden="1" customHeight="1">
      <c r="A5822" s="172"/>
    </row>
    <row r="5823" spans="1:1" s="173" customFormat="1" ht="12" hidden="1" customHeight="1">
      <c r="A5823" s="172"/>
    </row>
    <row r="5824" spans="1:1" s="173" customFormat="1" ht="12" hidden="1" customHeight="1">
      <c r="A5824" s="172"/>
    </row>
    <row r="5825" spans="1:1" s="173" customFormat="1" ht="12" hidden="1" customHeight="1">
      <c r="A5825" s="172"/>
    </row>
    <row r="5826" spans="1:1" s="173" customFormat="1" ht="12" hidden="1" customHeight="1">
      <c r="A5826" s="172"/>
    </row>
    <row r="5827" spans="1:1" s="173" customFormat="1" ht="12" hidden="1" customHeight="1">
      <c r="A5827" s="172"/>
    </row>
    <row r="5828" spans="1:1" s="173" customFormat="1" ht="12" hidden="1" customHeight="1">
      <c r="A5828" s="172"/>
    </row>
    <row r="5829" spans="1:1" s="173" customFormat="1" ht="12" hidden="1" customHeight="1">
      <c r="A5829" s="172"/>
    </row>
    <row r="5830" spans="1:1" s="173" customFormat="1" ht="12" hidden="1" customHeight="1">
      <c r="A5830" s="172"/>
    </row>
    <row r="5831" spans="1:1" s="173" customFormat="1" ht="12" hidden="1" customHeight="1">
      <c r="A5831" s="172"/>
    </row>
    <row r="5832" spans="1:1" s="173" customFormat="1" ht="12" hidden="1" customHeight="1">
      <c r="A5832" s="172"/>
    </row>
    <row r="5833" spans="1:1" s="173" customFormat="1" ht="12" hidden="1" customHeight="1">
      <c r="A5833" s="172"/>
    </row>
    <row r="5834" spans="1:1" s="173" customFormat="1" ht="12" hidden="1" customHeight="1">
      <c r="A5834" s="172"/>
    </row>
    <row r="5835" spans="1:1" s="173" customFormat="1" ht="12" hidden="1" customHeight="1">
      <c r="A5835" s="172"/>
    </row>
    <row r="5836" spans="1:1" s="173" customFormat="1" ht="12" hidden="1" customHeight="1">
      <c r="A5836" s="172"/>
    </row>
    <row r="5837" spans="1:1" s="173" customFormat="1" ht="12" hidden="1" customHeight="1">
      <c r="A5837" s="172"/>
    </row>
    <row r="5838" spans="1:1" s="173" customFormat="1" ht="12" hidden="1" customHeight="1">
      <c r="A5838" s="172"/>
    </row>
    <row r="5839" spans="1:1" s="173" customFormat="1" ht="12" hidden="1" customHeight="1">
      <c r="A5839" s="172"/>
    </row>
    <row r="5840" spans="1:1" s="173" customFormat="1" ht="12" hidden="1" customHeight="1">
      <c r="A5840" s="172"/>
    </row>
    <row r="5841" spans="1:1" s="173" customFormat="1" ht="12" hidden="1" customHeight="1">
      <c r="A5841" s="172"/>
    </row>
    <row r="5842" spans="1:1" s="173" customFormat="1" ht="12" hidden="1" customHeight="1">
      <c r="A5842" s="172"/>
    </row>
    <row r="5843" spans="1:1" s="173" customFormat="1" ht="12" hidden="1" customHeight="1">
      <c r="A5843" s="172"/>
    </row>
    <row r="5844" spans="1:1" s="173" customFormat="1" ht="12" hidden="1" customHeight="1">
      <c r="A5844" s="172"/>
    </row>
    <row r="5845" spans="1:1" s="173" customFormat="1" ht="12" hidden="1" customHeight="1">
      <c r="A5845" s="172"/>
    </row>
    <row r="5846" spans="1:1" s="173" customFormat="1" ht="12" hidden="1" customHeight="1">
      <c r="A5846" s="172"/>
    </row>
    <row r="5847" spans="1:1" s="173" customFormat="1" ht="12" hidden="1" customHeight="1">
      <c r="A5847" s="172"/>
    </row>
    <row r="5848" spans="1:1" s="173" customFormat="1" ht="12" hidden="1" customHeight="1">
      <c r="A5848" s="172"/>
    </row>
    <row r="5849" spans="1:1" s="173" customFormat="1" ht="12" hidden="1" customHeight="1">
      <c r="A5849" s="172"/>
    </row>
    <row r="5850" spans="1:1" s="173" customFormat="1" ht="12" hidden="1" customHeight="1">
      <c r="A5850" s="172"/>
    </row>
    <row r="5851" spans="1:1" s="173" customFormat="1" ht="12" hidden="1" customHeight="1">
      <c r="A5851" s="172"/>
    </row>
    <row r="5852" spans="1:1" s="173" customFormat="1" ht="12" hidden="1" customHeight="1">
      <c r="A5852" s="172"/>
    </row>
    <row r="5853" spans="1:1" s="173" customFormat="1" ht="12" hidden="1" customHeight="1">
      <c r="A5853" s="172"/>
    </row>
    <row r="5854" spans="1:1" s="173" customFormat="1" ht="12" hidden="1" customHeight="1">
      <c r="A5854" s="172"/>
    </row>
    <row r="5855" spans="1:1" s="173" customFormat="1" ht="12" hidden="1" customHeight="1">
      <c r="A5855" s="172"/>
    </row>
    <row r="5856" spans="1:1" s="173" customFormat="1" ht="12" hidden="1" customHeight="1">
      <c r="A5856" s="172"/>
    </row>
    <row r="5857" spans="1:1" s="173" customFormat="1" ht="12" hidden="1" customHeight="1">
      <c r="A5857" s="172"/>
    </row>
    <row r="5858" spans="1:1" s="173" customFormat="1" ht="12" hidden="1" customHeight="1">
      <c r="A5858" s="172"/>
    </row>
    <row r="5859" spans="1:1" s="173" customFormat="1" ht="12" hidden="1" customHeight="1">
      <c r="A5859" s="172"/>
    </row>
    <row r="5860" spans="1:1" s="173" customFormat="1" ht="12" hidden="1" customHeight="1">
      <c r="A5860" s="172"/>
    </row>
    <row r="5861" spans="1:1" s="173" customFormat="1" ht="12" hidden="1" customHeight="1">
      <c r="A5861" s="172"/>
    </row>
    <row r="5862" spans="1:1" s="173" customFormat="1" ht="12" hidden="1" customHeight="1">
      <c r="A5862" s="172"/>
    </row>
    <row r="5863" spans="1:1" s="173" customFormat="1" ht="12" hidden="1" customHeight="1">
      <c r="A5863" s="172"/>
    </row>
    <row r="5864" spans="1:1" s="173" customFormat="1" ht="12" hidden="1" customHeight="1">
      <c r="A5864" s="172"/>
    </row>
    <row r="5865" spans="1:1" s="173" customFormat="1" ht="12" hidden="1" customHeight="1">
      <c r="A5865" s="172"/>
    </row>
    <row r="5866" spans="1:1" s="173" customFormat="1" ht="12" hidden="1" customHeight="1">
      <c r="A5866" s="172"/>
    </row>
    <row r="5867" spans="1:1" s="173" customFormat="1" ht="12" hidden="1" customHeight="1">
      <c r="A5867" s="172"/>
    </row>
    <row r="5868" spans="1:1" s="173" customFormat="1" ht="12" hidden="1" customHeight="1">
      <c r="A5868" s="172"/>
    </row>
    <row r="5869" spans="1:1" s="173" customFormat="1" ht="12" hidden="1" customHeight="1">
      <c r="A5869" s="172"/>
    </row>
    <row r="5870" spans="1:1" s="173" customFormat="1" ht="12" hidden="1" customHeight="1">
      <c r="A5870" s="172"/>
    </row>
    <row r="5871" spans="1:1" s="173" customFormat="1" ht="12" hidden="1" customHeight="1">
      <c r="A5871" s="172"/>
    </row>
    <row r="5872" spans="1:1" s="173" customFormat="1" ht="12" hidden="1" customHeight="1">
      <c r="A5872" s="172"/>
    </row>
    <row r="5873" spans="1:1" s="173" customFormat="1" ht="12" hidden="1" customHeight="1">
      <c r="A5873" s="172"/>
    </row>
    <row r="5874" spans="1:1" s="173" customFormat="1" ht="12" hidden="1" customHeight="1">
      <c r="A5874" s="172"/>
    </row>
    <row r="5875" spans="1:1" s="173" customFormat="1" ht="12" hidden="1" customHeight="1">
      <c r="A5875" s="172"/>
    </row>
    <row r="5876" spans="1:1" s="173" customFormat="1" ht="12" hidden="1" customHeight="1">
      <c r="A5876" s="172"/>
    </row>
    <row r="5877" spans="1:1" s="173" customFormat="1" ht="12" hidden="1" customHeight="1">
      <c r="A5877" s="172"/>
    </row>
    <row r="5878" spans="1:1" s="173" customFormat="1" ht="12" hidden="1" customHeight="1">
      <c r="A5878" s="172"/>
    </row>
    <row r="5879" spans="1:1" s="173" customFormat="1" ht="12" hidden="1" customHeight="1">
      <c r="A5879" s="172"/>
    </row>
    <row r="5880" spans="1:1" s="173" customFormat="1" ht="12" hidden="1" customHeight="1">
      <c r="A5880" s="172"/>
    </row>
    <row r="5881" spans="1:1" s="173" customFormat="1" ht="12" hidden="1" customHeight="1">
      <c r="A5881" s="172"/>
    </row>
    <row r="5882" spans="1:1" s="173" customFormat="1" ht="12" hidden="1" customHeight="1">
      <c r="A5882" s="172"/>
    </row>
    <row r="5883" spans="1:1" s="173" customFormat="1" ht="12" hidden="1" customHeight="1">
      <c r="A5883" s="172"/>
    </row>
    <row r="5884" spans="1:1" s="173" customFormat="1" ht="12" hidden="1" customHeight="1">
      <c r="A5884" s="172"/>
    </row>
    <row r="5885" spans="1:1" s="173" customFormat="1" ht="12" hidden="1" customHeight="1">
      <c r="A5885" s="172"/>
    </row>
    <row r="5886" spans="1:1" s="173" customFormat="1" ht="12" hidden="1" customHeight="1">
      <c r="A5886" s="172"/>
    </row>
    <row r="5887" spans="1:1" s="173" customFormat="1" ht="12" hidden="1" customHeight="1">
      <c r="A5887" s="172"/>
    </row>
    <row r="5888" spans="1:1" s="173" customFormat="1" ht="12" hidden="1" customHeight="1">
      <c r="A5888" s="172"/>
    </row>
    <row r="5889" spans="1:1" s="173" customFormat="1" ht="12" hidden="1" customHeight="1">
      <c r="A5889" s="172"/>
    </row>
    <row r="5890" spans="1:1" s="173" customFormat="1" ht="12" hidden="1" customHeight="1">
      <c r="A5890" s="172"/>
    </row>
    <row r="5891" spans="1:1" s="173" customFormat="1" ht="12" hidden="1" customHeight="1">
      <c r="A5891" s="172"/>
    </row>
    <row r="5892" spans="1:1" s="173" customFormat="1" ht="12" hidden="1" customHeight="1">
      <c r="A5892" s="172"/>
    </row>
    <row r="5893" spans="1:1" s="173" customFormat="1" ht="12" hidden="1" customHeight="1">
      <c r="A5893" s="172"/>
    </row>
    <row r="5894" spans="1:1" s="173" customFormat="1" ht="12" hidden="1" customHeight="1">
      <c r="A5894" s="172"/>
    </row>
    <row r="5895" spans="1:1" s="173" customFormat="1" ht="12" hidden="1" customHeight="1">
      <c r="A5895" s="172"/>
    </row>
    <row r="5896" spans="1:1" s="173" customFormat="1" ht="12" hidden="1" customHeight="1">
      <c r="A5896" s="172"/>
    </row>
    <row r="5897" spans="1:1" s="173" customFormat="1" ht="12" hidden="1" customHeight="1">
      <c r="A5897" s="172"/>
    </row>
    <row r="5898" spans="1:1" s="173" customFormat="1" ht="12" hidden="1" customHeight="1">
      <c r="A5898" s="172"/>
    </row>
    <row r="5899" spans="1:1" s="173" customFormat="1" ht="12" hidden="1" customHeight="1">
      <c r="A5899" s="172"/>
    </row>
    <row r="5900" spans="1:1" s="173" customFormat="1" ht="12" hidden="1" customHeight="1">
      <c r="A5900" s="172"/>
    </row>
    <row r="5901" spans="1:1" s="173" customFormat="1" ht="12" hidden="1" customHeight="1">
      <c r="A5901" s="172"/>
    </row>
    <row r="5902" spans="1:1" s="173" customFormat="1" ht="12" hidden="1" customHeight="1">
      <c r="A5902" s="172"/>
    </row>
    <row r="5903" spans="1:1" s="173" customFormat="1" ht="12" hidden="1" customHeight="1">
      <c r="A5903" s="172"/>
    </row>
    <row r="5904" spans="1:1" s="173" customFormat="1" ht="12" hidden="1" customHeight="1">
      <c r="A5904" s="172"/>
    </row>
    <row r="5905" spans="1:1" s="173" customFormat="1" ht="12" hidden="1" customHeight="1">
      <c r="A5905" s="172"/>
    </row>
    <row r="5906" spans="1:1" s="173" customFormat="1" ht="12" hidden="1" customHeight="1">
      <c r="A5906" s="172"/>
    </row>
    <row r="5907" spans="1:1" s="173" customFormat="1" ht="12" hidden="1" customHeight="1">
      <c r="A5907" s="172"/>
    </row>
    <row r="5908" spans="1:1" s="173" customFormat="1" ht="12" hidden="1" customHeight="1">
      <c r="A5908" s="172"/>
    </row>
    <row r="5909" spans="1:1" s="173" customFormat="1" ht="12" hidden="1" customHeight="1">
      <c r="A5909" s="172"/>
    </row>
    <row r="5910" spans="1:1" s="173" customFormat="1" ht="12" hidden="1" customHeight="1">
      <c r="A5910" s="172"/>
    </row>
    <row r="5911" spans="1:1" s="173" customFormat="1" ht="12" hidden="1" customHeight="1">
      <c r="A5911" s="172"/>
    </row>
    <row r="5912" spans="1:1" s="173" customFormat="1" ht="12" hidden="1" customHeight="1">
      <c r="A5912" s="172"/>
    </row>
    <row r="5913" spans="1:1" s="173" customFormat="1" ht="12" hidden="1" customHeight="1">
      <c r="A5913" s="172"/>
    </row>
    <row r="5914" spans="1:1" s="173" customFormat="1" ht="12" hidden="1" customHeight="1">
      <c r="A5914" s="172"/>
    </row>
    <row r="5915" spans="1:1" s="173" customFormat="1" ht="12" hidden="1" customHeight="1">
      <c r="A5915" s="172"/>
    </row>
    <row r="5916" spans="1:1" s="173" customFormat="1" ht="12" hidden="1" customHeight="1">
      <c r="A5916" s="172"/>
    </row>
    <row r="5917" spans="1:1" s="173" customFormat="1" ht="12" hidden="1" customHeight="1">
      <c r="A5917" s="172"/>
    </row>
    <row r="5918" spans="1:1" s="173" customFormat="1" ht="12" hidden="1" customHeight="1">
      <c r="A5918" s="172"/>
    </row>
    <row r="5919" spans="1:1" s="173" customFormat="1" ht="12" hidden="1" customHeight="1">
      <c r="A5919" s="172"/>
    </row>
    <row r="5920" spans="1:1" s="173" customFormat="1" ht="12" hidden="1" customHeight="1">
      <c r="A5920" s="172"/>
    </row>
    <row r="5921" spans="1:1" s="173" customFormat="1" ht="12" hidden="1" customHeight="1">
      <c r="A5921" s="172"/>
    </row>
    <row r="5922" spans="1:1" s="173" customFormat="1" ht="12" hidden="1" customHeight="1">
      <c r="A5922" s="172"/>
    </row>
    <row r="5923" spans="1:1" s="173" customFormat="1" ht="12" hidden="1" customHeight="1">
      <c r="A5923" s="172"/>
    </row>
    <row r="5924" spans="1:1" s="173" customFormat="1" ht="12" hidden="1" customHeight="1">
      <c r="A5924" s="172"/>
    </row>
    <row r="5925" spans="1:1" s="173" customFormat="1" ht="12" hidden="1" customHeight="1">
      <c r="A5925" s="172"/>
    </row>
    <row r="5926" spans="1:1" s="173" customFormat="1" ht="12" hidden="1" customHeight="1">
      <c r="A5926" s="172"/>
    </row>
    <row r="5927" spans="1:1" s="173" customFormat="1" ht="12" hidden="1" customHeight="1">
      <c r="A5927" s="172"/>
    </row>
    <row r="5928" spans="1:1" s="173" customFormat="1" ht="12" hidden="1" customHeight="1">
      <c r="A5928" s="172"/>
    </row>
    <row r="5929" spans="1:1" s="173" customFormat="1" ht="12" hidden="1" customHeight="1">
      <c r="A5929" s="172"/>
    </row>
    <row r="5930" spans="1:1" s="173" customFormat="1" ht="12" hidden="1" customHeight="1">
      <c r="A5930" s="172"/>
    </row>
    <row r="5931" spans="1:1" s="173" customFormat="1" ht="12" hidden="1" customHeight="1">
      <c r="A5931" s="172"/>
    </row>
    <row r="5932" spans="1:1" s="173" customFormat="1" ht="12" hidden="1" customHeight="1">
      <c r="A5932" s="172"/>
    </row>
    <row r="5933" spans="1:1" s="173" customFormat="1" ht="12" hidden="1" customHeight="1">
      <c r="A5933" s="172"/>
    </row>
    <row r="5934" spans="1:1" s="173" customFormat="1" ht="12" hidden="1" customHeight="1">
      <c r="A5934" s="172"/>
    </row>
    <row r="5935" spans="1:1" s="173" customFormat="1" ht="12" hidden="1" customHeight="1">
      <c r="A5935" s="172"/>
    </row>
    <row r="5936" spans="1:1" s="173" customFormat="1" ht="12" hidden="1" customHeight="1">
      <c r="A5936" s="172"/>
    </row>
    <row r="5937" spans="1:1" s="173" customFormat="1" ht="12" hidden="1" customHeight="1">
      <c r="A5937" s="172"/>
    </row>
    <row r="5938" spans="1:1" s="173" customFormat="1" ht="12" hidden="1" customHeight="1">
      <c r="A5938" s="172"/>
    </row>
    <row r="5939" spans="1:1" s="173" customFormat="1" ht="12" hidden="1" customHeight="1">
      <c r="A5939" s="172"/>
    </row>
    <row r="5940" spans="1:1" s="173" customFormat="1" ht="12" hidden="1" customHeight="1">
      <c r="A5940" s="172"/>
    </row>
    <row r="5941" spans="1:1" s="173" customFormat="1" ht="12" hidden="1" customHeight="1">
      <c r="A5941" s="172"/>
    </row>
    <row r="5942" spans="1:1" s="173" customFormat="1" ht="12" hidden="1" customHeight="1">
      <c r="A5942" s="172"/>
    </row>
    <row r="5943" spans="1:1" s="173" customFormat="1" ht="12" hidden="1" customHeight="1">
      <c r="A5943" s="172"/>
    </row>
    <row r="5944" spans="1:1" s="173" customFormat="1" ht="12" hidden="1" customHeight="1">
      <c r="A5944" s="172"/>
    </row>
    <row r="5945" spans="1:1" s="173" customFormat="1" ht="12" hidden="1" customHeight="1">
      <c r="A5945" s="172"/>
    </row>
    <row r="5946" spans="1:1" s="173" customFormat="1" ht="12" hidden="1" customHeight="1">
      <c r="A5946" s="172"/>
    </row>
    <row r="5947" spans="1:1" s="173" customFormat="1" ht="12" hidden="1" customHeight="1">
      <c r="A5947" s="172"/>
    </row>
    <row r="5948" spans="1:1" s="173" customFormat="1" ht="12" hidden="1" customHeight="1">
      <c r="A5948" s="172"/>
    </row>
    <row r="5949" spans="1:1" s="173" customFormat="1" ht="12" hidden="1" customHeight="1">
      <c r="A5949" s="172"/>
    </row>
    <row r="5950" spans="1:1" s="173" customFormat="1" ht="12" hidden="1" customHeight="1">
      <c r="A5950" s="172"/>
    </row>
    <row r="5951" spans="1:1" s="173" customFormat="1" ht="12" hidden="1" customHeight="1">
      <c r="A5951" s="172"/>
    </row>
    <row r="5952" spans="1:1" s="173" customFormat="1" ht="12" hidden="1" customHeight="1">
      <c r="A5952" s="172"/>
    </row>
    <row r="5953" spans="1:1" s="173" customFormat="1" ht="12" hidden="1" customHeight="1">
      <c r="A5953" s="172"/>
    </row>
    <row r="5954" spans="1:1" s="173" customFormat="1" ht="12" hidden="1" customHeight="1">
      <c r="A5954" s="172"/>
    </row>
    <row r="5955" spans="1:1" s="173" customFormat="1" ht="12" hidden="1" customHeight="1">
      <c r="A5955" s="172"/>
    </row>
    <row r="5956" spans="1:1" s="173" customFormat="1" ht="12" hidden="1" customHeight="1">
      <c r="A5956" s="172"/>
    </row>
    <row r="5957" spans="1:1" s="173" customFormat="1" ht="12" hidden="1" customHeight="1">
      <c r="A5957" s="172"/>
    </row>
    <row r="5958" spans="1:1" s="173" customFormat="1" ht="12" hidden="1" customHeight="1">
      <c r="A5958" s="172"/>
    </row>
    <row r="5959" spans="1:1" s="173" customFormat="1" ht="12" hidden="1" customHeight="1">
      <c r="A5959" s="172"/>
    </row>
    <row r="5960" spans="1:1" s="173" customFormat="1" ht="12" hidden="1" customHeight="1">
      <c r="A5960" s="172"/>
    </row>
    <row r="5961" spans="1:1" s="173" customFormat="1" ht="12" hidden="1" customHeight="1">
      <c r="A5961" s="172"/>
    </row>
    <row r="5962" spans="1:1" s="173" customFormat="1" ht="12" hidden="1" customHeight="1">
      <c r="A5962" s="172"/>
    </row>
    <row r="5963" spans="1:1" s="173" customFormat="1" ht="12" hidden="1" customHeight="1">
      <c r="A5963" s="172"/>
    </row>
    <row r="5964" spans="1:1" s="173" customFormat="1" ht="12" hidden="1" customHeight="1">
      <c r="A5964" s="172"/>
    </row>
    <row r="5965" spans="1:1" s="173" customFormat="1" ht="12" hidden="1" customHeight="1">
      <c r="A5965" s="172"/>
    </row>
    <row r="5966" spans="1:1" s="173" customFormat="1" ht="12" hidden="1" customHeight="1">
      <c r="A5966" s="172"/>
    </row>
    <row r="5967" spans="1:1" s="173" customFormat="1" ht="12" hidden="1" customHeight="1">
      <c r="A5967" s="172"/>
    </row>
    <row r="5968" spans="1:1" s="173" customFormat="1" ht="12" hidden="1" customHeight="1">
      <c r="A5968" s="172"/>
    </row>
    <row r="5969" spans="1:1" s="173" customFormat="1" ht="12" hidden="1" customHeight="1">
      <c r="A5969" s="172"/>
    </row>
    <row r="5970" spans="1:1" s="173" customFormat="1" ht="12" hidden="1" customHeight="1">
      <c r="A5970" s="172"/>
    </row>
    <row r="5971" spans="1:1" s="173" customFormat="1" ht="12" hidden="1" customHeight="1">
      <c r="A5971" s="172"/>
    </row>
    <row r="5972" spans="1:1" s="173" customFormat="1" ht="12" hidden="1" customHeight="1">
      <c r="A5972" s="172"/>
    </row>
    <row r="5973" spans="1:1" s="173" customFormat="1" ht="12" hidden="1" customHeight="1">
      <c r="A5973" s="172"/>
    </row>
    <row r="5974" spans="1:1" s="173" customFormat="1" ht="12" hidden="1" customHeight="1">
      <c r="A5974" s="172"/>
    </row>
    <row r="5975" spans="1:1" s="173" customFormat="1" ht="12" hidden="1" customHeight="1">
      <c r="A5975" s="172"/>
    </row>
    <row r="5976" spans="1:1" s="173" customFormat="1" ht="12" hidden="1" customHeight="1">
      <c r="A5976" s="172"/>
    </row>
    <row r="5977" spans="1:1" s="173" customFormat="1" ht="12" hidden="1" customHeight="1">
      <c r="A5977" s="172"/>
    </row>
    <row r="5978" spans="1:1" s="173" customFormat="1" ht="12" hidden="1" customHeight="1">
      <c r="A5978" s="172"/>
    </row>
    <row r="5979" spans="1:1" s="173" customFormat="1" ht="12" hidden="1" customHeight="1">
      <c r="A5979" s="172"/>
    </row>
    <row r="5980" spans="1:1" s="173" customFormat="1" ht="12" hidden="1" customHeight="1">
      <c r="A5980" s="172"/>
    </row>
    <row r="5981" spans="1:1" s="173" customFormat="1" ht="12" hidden="1" customHeight="1">
      <c r="A5981" s="172"/>
    </row>
    <row r="5982" spans="1:1" s="173" customFormat="1" ht="12" hidden="1" customHeight="1">
      <c r="A5982" s="172"/>
    </row>
    <row r="5983" spans="1:1" s="173" customFormat="1" ht="12" hidden="1" customHeight="1">
      <c r="A5983" s="172"/>
    </row>
    <row r="5984" spans="1:1" s="173" customFormat="1" ht="12" hidden="1" customHeight="1">
      <c r="A5984" s="172"/>
    </row>
    <row r="5985" spans="1:1" s="173" customFormat="1" ht="12" hidden="1" customHeight="1">
      <c r="A5985" s="172"/>
    </row>
    <row r="5986" spans="1:1" s="173" customFormat="1" ht="12" hidden="1" customHeight="1">
      <c r="A5986" s="172"/>
    </row>
    <row r="5987" spans="1:1" s="173" customFormat="1" ht="12" hidden="1" customHeight="1">
      <c r="A5987" s="172"/>
    </row>
    <row r="5988" spans="1:1" s="173" customFormat="1" ht="12" hidden="1" customHeight="1">
      <c r="A5988" s="172"/>
    </row>
    <row r="5989" spans="1:1" s="173" customFormat="1" ht="12" hidden="1" customHeight="1">
      <c r="A5989" s="172"/>
    </row>
    <row r="5990" spans="1:1" s="173" customFormat="1" ht="12" hidden="1" customHeight="1">
      <c r="A5990" s="172"/>
    </row>
    <row r="5991" spans="1:1" s="173" customFormat="1" ht="12" hidden="1" customHeight="1">
      <c r="A5991" s="172"/>
    </row>
    <row r="5992" spans="1:1" s="173" customFormat="1" ht="12" hidden="1" customHeight="1">
      <c r="A5992" s="172"/>
    </row>
    <row r="5993" spans="1:1" s="173" customFormat="1" ht="12" hidden="1" customHeight="1">
      <c r="A5993" s="172"/>
    </row>
    <row r="5994" spans="1:1" s="173" customFormat="1" ht="12" hidden="1" customHeight="1">
      <c r="A5994" s="172"/>
    </row>
    <row r="5995" spans="1:1" s="173" customFormat="1" ht="12" hidden="1" customHeight="1">
      <c r="A5995" s="172"/>
    </row>
    <row r="5996" spans="1:1" s="173" customFormat="1" ht="12" hidden="1" customHeight="1">
      <c r="A5996" s="172"/>
    </row>
    <row r="5997" spans="1:1" s="173" customFormat="1" ht="12" hidden="1" customHeight="1">
      <c r="A5997" s="172"/>
    </row>
    <row r="5998" spans="1:1" s="173" customFormat="1" ht="12" hidden="1" customHeight="1">
      <c r="A5998" s="172"/>
    </row>
    <row r="5999" spans="1:1" s="173" customFormat="1" ht="12" hidden="1" customHeight="1">
      <c r="A5999" s="172"/>
    </row>
    <row r="6000" spans="1:1" s="173" customFormat="1" ht="12" hidden="1" customHeight="1">
      <c r="A6000" s="172"/>
    </row>
    <row r="6001" spans="1:1" s="173" customFormat="1" ht="12" hidden="1" customHeight="1">
      <c r="A6001" s="172"/>
    </row>
    <row r="6002" spans="1:1" s="173" customFormat="1" ht="12" hidden="1" customHeight="1">
      <c r="A6002" s="172"/>
    </row>
    <row r="6003" spans="1:1" s="173" customFormat="1" ht="12" hidden="1" customHeight="1">
      <c r="A6003" s="172"/>
    </row>
    <row r="6004" spans="1:1" s="173" customFormat="1" ht="12" hidden="1" customHeight="1">
      <c r="A6004" s="172"/>
    </row>
    <row r="6005" spans="1:1" s="173" customFormat="1" ht="12" hidden="1" customHeight="1">
      <c r="A6005" s="172"/>
    </row>
    <row r="6006" spans="1:1" s="173" customFormat="1" ht="12" hidden="1" customHeight="1">
      <c r="A6006" s="172"/>
    </row>
    <row r="6007" spans="1:1" s="173" customFormat="1" ht="12" hidden="1" customHeight="1">
      <c r="A6007" s="172"/>
    </row>
    <row r="6008" spans="1:1" s="173" customFormat="1" ht="12" hidden="1" customHeight="1">
      <c r="A6008" s="172"/>
    </row>
    <row r="6009" spans="1:1" s="173" customFormat="1" ht="12" hidden="1" customHeight="1">
      <c r="A6009" s="172"/>
    </row>
    <row r="6010" spans="1:1" s="173" customFormat="1" ht="12" hidden="1" customHeight="1">
      <c r="A6010" s="172"/>
    </row>
    <row r="6011" spans="1:1" s="173" customFormat="1" ht="12" hidden="1" customHeight="1">
      <c r="A6011" s="172"/>
    </row>
    <row r="6012" spans="1:1" s="173" customFormat="1" ht="12" hidden="1" customHeight="1">
      <c r="A6012" s="172"/>
    </row>
    <row r="6013" spans="1:1" s="173" customFormat="1" ht="12" hidden="1" customHeight="1">
      <c r="A6013" s="172"/>
    </row>
    <row r="6014" spans="1:1" s="173" customFormat="1" ht="12" hidden="1" customHeight="1">
      <c r="A6014" s="172"/>
    </row>
    <row r="6015" spans="1:1" s="173" customFormat="1" ht="12" hidden="1" customHeight="1">
      <c r="A6015" s="172"/>
    </row>
    <row r="6016" spans="1:1" s="173" customFormat="1" ht="12" hidden="1" customHeight="1">
      <c r="A6016" s="172"/>
    </row>
    <row r="6017" spans="1:1" s="173" customFormat="1" ht="12" hidden="1" customHeight="1">
      <c r="A6017" s="172"/>
    </row>
    <row r="6018" spans="1:1" s="173" customFormat="1" ht="12" hidden="1" customHeight="1">
      <c r="A6018" s="172"/>
    </row>
    <row r="6019" spans="1:1" s="173" customFormat="1" ht="12" hidden="1" customHeight="1">
      <c r="A6019" s="172"/>
    </row>
    <row r="6020" spans="1:1" s="173" customFormat="1" ht="12" hidden="1" customHeight="1">
      <c r="A6020" s="172"/>
    </row>
    <row r="6021" spans="1:1" s="173" customFormat="1" ht="12" hidden="1" customHeight="1">
      <c r="A6021" s="172"/>
    </row>
    <row r="6022" spans="1:1" s="173" customFormat="1" ht="12" hidden="1" customHeight="1">
      <c r="A6022" s="172"/>
    </row>
    <row r="6023" spans="1:1" s="173" customFormat="1" ht="12" hidden="1" customHeight="1">
      <c r="A6023" s="172"/>
    </row>
    <row r="6024" spans="1:1" s="173" customFormat="1" ht="12" hidden="1" customHeight="1">
      <c r="A6024" s="172"/>
    </row>
    <row r="6025" spans="1:1" s="173" customFormat="1" ht="12" hidden="1" customHeight="1">
      <c r="A6025" s="172"/>
    </row>
    <row r="6026" spans="1:1" s="173" customFormat="1" ht="12" hidden="1" customHeight="1">
      <c r="A6026" s="172"/>
    </row>
    <row r="6027" spans="1:1" s="173" customFormat="1" ht="12" hidden="1" customHeight="1">
      <c r="A6027" s="172"/>
    </row>
    <row r="6028" spans="1:1" s="173" customFormat="1" ht="12" hidden="1" customHeight="1">
      <c r="A6028" s="172"/>
    </row>
    <row r="6029" spans="1:1" s="173" customFormat="1" ht="12" hidden="1" customHeight="1">
      <c r="A6029" s="172"/>
    </row>
    <row r="6030" spans="1:1" s="173" customFormat="1" ht="12" hidden="1" customHeight="1">
      <c r="A6030" s="172"/>
    </row>
    <row r="6031" spans="1:1" s="173" customFormat="1" ht="12" hidden="1" customHeight="1">
      <c r="A6031" s="172"/>
    </row>
    <row r="6032" spans="1:1" s="173" customFormat="1" ht="12" hidden="1" customHeight="1">
      <c r="A6032" s="172"/>
    </row>
    <row r="6033" spans="1:1" s="173" customFormat="1" ht="12" hidden="1" customHeight="1">
      <c r="A6033" s="172"/>
    </row>
    <row r="6034" spans="1:1" s="173" customFormat="1" ht="12" hidden="1" customHeight="1">
      <c r="A6034" s="172"/>
    </row>
    <row r="6035" spans="1:1" s="173" customFormat="1" ht="12" hidden="1" customHeight="1">
      <c r="A6035" s="172"/>
    </row>
    <row r="6036" spans="1:1" s="173" customFormat="1" ht="12" hidden="1" customHeight="1">
      <c r="A6036" s="172"/>
    </row>
    <row r="6037" spans="1:1" s="173" customFormat="1" ht="12" hidden="1" customHeight="1">
      <c r="A6037" s="172"/>
    </row>
    <row r="6038" spans="1:1" s="173" customFormat="1" ht="12" hidden="1" customHeight="1">
      <c r="A6038" s="172"/>
    </row>
    <row r="6039" spans="1:1" s="173" customFormat="1" ht="12" hidden="1" customHeight="1">
      <c r="A6039" s="172"/>
    </row>
    <row r="6040" spans="1:1" s="173" customFormat="1" ht="12" hidden="1" customHeight="1">
      <c r="A6040" s="172"/>
    </row>
    <row r="6041" spans="1:1" s="173" customFormat="1" ht="12" hidden="1" customHeight="1">
      <c r="A6041" s="172"/>
    </row>
    <row r="6042" spans="1:1" s="173" customFormat="1" ht="12" hidden="1" customHeight="1">
      <c r="A6042" s="172"/>
    </row>
    <row r="6043" spans="1:1" s="173" customFormat="1" ht="12" hidden="1" customHeight="1">
      <c r="A6043" s="172"/>
    </row>
    <row r="6044" spans="1:1" s="173" customFormat="1" ht="12" hidden="1" customHeight="1">
      <c r="A6044" s="172"/>
    </row>
    <row r="6045" spans="1:1" s="173" customFormat="1" ht="12" hidden="1" customHeight="1">
      <c r="A6045" s="172"/>
    </row>
    <row r="6046" spans="1:1" s="173" customFormat="1" ht="12" hidden="1" customHeight="1">
      <c r="A6046" s="172"/>
    </row>
    <row r="6047" spans="1:1" s="173" customFormat="1" ht="12" hidden="1" customHeight="1">
      <c r="A6047" s="172"/>
    </row>
    <row r="6048" spans="1:1" s="173" customFormat="1" ht="12" hidden="1" customHeight="1">
      <c r="A6048" s="172"/>
    </row>
    <row r="6049" spans="1:1" s="173" customFormat="1" ht="12" hidden="1" customHeight="1">
      <c r="A6049" s="172"/>
    </row>
    <row r="6050" spans="1:1" s="173" customFormat="1" ht="12" hidden="1" customHeight="1">
      <c r="A6050" s="172"/>
    </row>
    <row r="6051" spans="1:1" s="173" customFormat="1" ht="12" hidden="1" customHeight="1">
      <c r="A6051" s="172"/>
    </row>
    <row r="6052" spans="1:1" s="173" customFormat="1" ht="12" hidden="1" customHeight="1">
      <c r="A6052" s="172"/>
    </row>
    <row r="6053" spans="1:1" s="173" customFormat="1" ht="12" hidden="1" customHeight="1">
      <c r="A6053" s="172"/>
    </row>
    <row r="6054" spans="1:1" s="173" customFormat="1" ht="12" hidden="1" customHeight="1">
      <c r="A6054" s="172"/>
    </row>
    <row r="6055" spans="1:1" s="173" customFormat="1" ht="12" hidden="1" customHeight="1">
      <c r="A6055" s="172"/>
    </row>
    <row r="6056" spans="1:1" s="173" customFormat="1" ht="12" hidden="1" customHeight="1">
      <c r="A6056" s="172"/>
    </row>
    <row r="6057" spans="1:1" s="173" customFormat="1" ht="12" hidden="1" customHeight="1">
      <c r="A6057" s="172"/>
    </row>
    <row r="6058" spans="1:1" s="173" customFormat="1" ht="12" hidden="1" customHeight="1">
      <c r="A6058" s="172"/>
    </row>
    <row r="6059" spans="1:1" s="173" customFormat="1" ht="12" hidden="1" customHeight="1">
      <c r="A6059" s="172"/>
    </row>
    <row r="6060" spans="1:1" s="173" customFormat="1" ht="12" hidden="1" customHeight="1">
      <c r="A6060" s="172"/>
    </row>
    <row r="6061" spans="1:1" s="173" customFormat="1" ht="12" hidden="1" customHeight="1">
      <c r="A6061" s="172"/>
    </row>
    <row r="6062" spans="1:1" s="173" customFormat="1" ht="12" hidden="1" customHeight="1">
      <c r="A6062" s="172"/>
    </row>
    <row r="6063" spans="1:1" s="173" customFormat="1" ht="12" hidden="1" customHeight="1">
      <c r="A6063" s="172"/>
    </row>
    <row r="6064" spans="1:1" s="173" customFormat="1" ht="12" hidden="1" customHeight="1">
      <c r="A6064" s="172"/>
    </row>
    <row r="6065" spans="1:1" s="173" customFormat="1" ht="12" hidden="1" customHeight="1">
      <c r="A6065" s="172"/>
    </row>
    <row r="6066" spans="1:1" s="173" customFormat="1" ht="12" hidden="1" customHeight="1">
      <c r="A6066" s="172"/>
    </row>
    <row r="6067" spans="1:1" s="173" customFormat="1" ht="12" hidden="1" customHeight="1">
      <c r="A6067" s="172"/>
    </row>
    <row r="6068" spans="1:1" s="173" customFormat="1" ht="12" hidden="1" customHeight="1">
      <c r="A6068" s="172"/>
    </row>
    <row r="6069" spans="1:1" s="173" customFormat="1" ht="12" hidden="1" customHeight="1">
      <c r="A6069" s="172"/>
    </row>
    <row r="6070" spans="1:1" s="173" customFormat="1" ht="12" hidden="1" customHeight="1">
      <c r="A6070" s="172"/>
    </row>
    <row r="6071" spans="1:1" s="173" customFormat="1" ht="12" hidden="1" customHeight="1">
      <c r="A6071" s="172"/>
    </row>
    <row r="6072" spans="1:1" s="173" customFormat="1" ht="12" hidden="1" customHeight="1">
      <c r="A6072" s="172"/>
    </row>
    <row r="6073" spans="1:1" s="173" customFormat="1" ht="12" hidden="1" customHeight="1">
      <c r="A6073" s="172"/>
    </row>
    <row r="6074" spans="1:1" s="173" customFormat="1" ht="12" hidden="1" customHeight="1">
      <c r="A6074" s="172"/>
    </row>
    <row r="6075" spans="1:1" s="173" customFormat="1" ht="12" hidden="1" customHeight="1">
      <c r="A6075" s="172"/>
    </row>
    <row r="6076" spans="1:1" s="173" customFormat="1" ht="12" hidden="1" customHeight="1">
      <c r="A6076" s="172"/>
    </row>
    <row r="6077" spans="1:1" s="173" customFormat="1" ht="12" hidden="1" customHeight="1">
      <c r="A6077" s="172"/>
    </row>
    <row r="6078" spans="1:1" s="173" customFormat="1" ht="12" hidden="1" customHeight="1">
      <c r="A6078" s="172"/>
    </row>
    <row r="6079" spans="1:1" s="173" customFormat="1" ht="12" hidden="1" customHeight="1">
      <c r="A6079" s="172"/>
    </row>
    <row r="6080" spans="1:1" s="173" customFormat="1" ht="12" hidden="1" customHeight="1">
      <c r="A6080" s="172"/>
    </row>
    <row r="6081" spans="1:1" s="173" customFormat="1" ht="12" hidden="1" customHeight="1">
      <c r="A6081" s="172"/>
    </row>
    <row r="6082" spans="1:1" s="173" customFormat="1" ht="12" hidden="1" customHeight="1">
      <c r="A6082" s="172"/>
    </row>
    <row r="6083" spans="1:1" s="173" customFormat="1" ht="12" hidden="1" customHeight="1">
      <c r="A6083" s="172"/>
    </row>
    <row r="6084" spans="1:1" s="173" customFormat="1" ht="12" hidden="1" customHeight="1">
      <c r="A6084" s="172"/>
    </row>
    <row r="6085" spans="1:1" s="173" customFormat="1" ht="12" hidden="1" customHeight="1">
      <c r="A6085" s="172"/>
    </row>
    <row r="6086" spans="1:1" s="173" customFormat="1" ht="12" hidden="1" customHeight="1">
      <c r="A6086" s="172"/>
    </row>
    <row r="6087" spans="1:1" s="173" customFormat="1" ht="12" hidden="1" customHeight="1">
      <c r="A6087" s="172"/>
    </row>
    <row r="6088" spans="1:1" s="173" customFormat="1" ht="12" hidden="1" customHeight="1">
      <c r="A6088" s="172"/>
    </row>
    <row r="6089" spans="1:1" s="173" customFormat="1" ht="12" hidden="1" customHeight="1">
      <c r="A6089" s="172"/>
    </row>
    <row r="6090" spans="1:1" s="173" customFormat="1" ht="12" hidden="1" customHeight="1">
      <c r="A6090" s="172"/>
    </row>
    <row r="6091" spans="1:1" s="173" customFormat="1" ht="12" hidden="1" customHeight="1">
      <c r="A6091" s="172"/>
    </row>
    <row r="6092" spans="1:1" s="173" customFormat="1" ht="12" hidden="1" customHeight="1">
      <c r="A6092" s="172"/>
    </row>
    <row r="6093" spans="1:1" s="173" customFormat="1" ht="12" hidden="1" customHeight="1">
      <c r="A6093" s="172"/>
    </row>
    <row r="6094" spans="1:1" s="173" customFormat="1" ht="12" hidden="1" customHeight="1">
      <c r="A6094" s="172"/>
    </row>
    <row r="6095" spans="1:1" s="173" customFormat="1" ht="12" hidden="1" customHeight="1">
      <c r="A6095" s="172"/>
    </row>
    <row r="6096" spans="1:1" s="173" customFormat="1" ht="12" hidden="1" customHeight="1">
      <c r="A6096" s="172"/>
    </row>
    <row r="6097" spans="1:1" s="173" customFormat="1" ht="12" hidden="1" customHeight="1">
      <c r="A6097" s="172"/>
    </row>
    <row r="6098" spans="1:1" s="173" customFormat="1" ht="12" hidden="1" customHeight="1">
      <c r="A6098" s="172"/>
    </row>
    <row r="6099" spans="1:1" s="173" customFormat="1" ht="12" hidden="1" customHeight="1">
      <c r="A6099" s="172"/>
    </row>
    <row r="6100" spans="1:1" s="173" customFormat="1" ht="12" hidden="1" customHeight="1">
      <c r="A6100" s="172"/>
    </row>
    <row r="6101" spans="1:1" s="173" customFormat="1" ht="12" hidden="1" customHeight="1">
      <c r="A6101" s="172"/>
    </row>
    <row r="6102" spans="1:1" s="173" customFormat="1" ht="12" hidden="1" customHeight="1">
      <c r="A6102" s="172"/>
    </row>
    <row r="6103" spans="1:1" s="173" customFormat="1" ht="12" hidden="1" customHeight="1">
      <c r="A6103" s="172"/>
    </row>
    <row r="6104" spans="1:1" s="173" customFormat="1" ht="12" hidden="1" customHeight="1">
      <c r="A6104" s="172"/>
    </row>
    <row r="6105" spans="1:1" s="173" customFormat="1" ht="12" hidden="1" customHeight="1">
      <c r="A6105" s="172"/>
    </row>
    <row r="6106" spans="1:1" s="173" customFormat="1" ht="12" hidden="1" customHeight="1">
      <c r="A6106" s="172"/>
    </row>
    <row r="6107" spans="1:1" s="173" customFormat="1" ht="12" hidden="1" customHeight="1">
      <c r="A6107" s="172"/>
    </row>
    <row r="6108" spans="1:1" s="173" customFormat="1" ht="12" hidden="1" customHeight="1">
      <c r="A6108" s="172"/>
    </row>
    <row r="6109" spans="1:1" s="173" customFormat="1" ht="12" hidden="1" customHeight="1">
      <c r="A6109" s="172"/>
    </row>
    <row r="6110" spans="1:1" s="173" customFormat="1" ht="12" hidden="1" customHeight="1">
      <c r="A6110" s="172"/>
    </row>
    <row r="6111" spans="1:1" s="173" customFormat="1" ht="12" hidden="1" customHeight="1">
      <c r="A6111" s="172"/>
    </row>
    <row r="6112" spans="1:1" s="173" customFormat="1" ht="12" hidden="1" customHeight="1">
      <c r="A6112" s="172"/>
    </row>
    <row r="6113" spans="1:1" s="173" customFormat="1" ht="12" hidden="1" customHeight="1">
      <c r="A6113" s="172"/>
    </row>
    <row r="6114" spans="1:1" s="173" customFormat="1" ht="12" hidden="1" customHeight="1">
      <c r="A6114" s="172"/>
    </row>
    <row r="6115" spans="1:1" s="173" customFormat="1" ht="12" hidden="1" customHeight="1">
      <c r="A6115" s="172"/>
    </row>
    <row r="6116" spans="1:1" s="173" customFormat="1" ht="12" hidden="1" customHeight="1">
      <c r="A6116" s="172"/>
    </row>
    <row r="6117" spans="1:1" s="173" customFormat="1" ht="12" hidden="1" customHeight="1">
      <c r="A6117" s="172"/>
    </row>
    <row r="6118" spans="1:1" s="173" customFormat="1" ht="12" hidden="1" customHeight="1">
      <c r="A6118" s="172"/>
    </row>
    <row r="6119" spans="1:1" s="173" customFormat="1" ht="12" hidden="1" customHeight="1">
      <c r="A6119" s="172"/>
    </row>
    <row r="6120" spans="1:1" s="173" customFormat="1" ht="12" hidden="1" customHeight="1">
      <c r="A6120" s="172"/>
    </row>
    <row r="6121" spans="1:1" s="173" customFormat="1" ht="12" hidden="1" customHeight="1">
      <c r="A6121" s="172"/>
    </row>
    <row r="6122" spans="1:1" s="173" customFormat="1" ht="12" hidden="1" customHeight="1">
      <c r="A6122" s="172"/>
    </row>
    <row r="6123" spans="1:1" s="173" customFormat="1" ht="12" hidden="1" customHeight="1">
      <c r="A6123" s="172"/>
    </row>
    <row r="6124" spans="1:1" s="173" customFormat="1" ht="12" hidden="1" customHeight="1">
      <c r="A6124" s="172"/>
    </row>
    <row r="6125" spans="1:1" s="173" customFormat="1" ht="12" hidden="1" customHeight="1">
      <c r="A6125" s="172"/>
    </row>
    <row r="6126" spans="1:1" s="173" customFormat="1" ht="12" hidden="1" customHeight="1">
      <c r="A6126" s="172"/>
    </row>
    <row r="6127" spans="1:1" s="173" customFormat="1" ht="12" hidden="1" customHeight="1">
      <c r="A6127" s="172"/>
    </row>
    <row r="6128" spans="1:1" s="173" customFormat="1" ht="12" hidden="1" customHeight="1">
      <c r="A6128" s="172"/>
    </row>
    <row r="6129" spans="1:1" s="173" customFormat="1" ht="12" hidden="1" customHeight="1">
      <c r="A6129" s="172"/>
    </row>
    <row r="6130" spans="1:1" s="173" customFormat="1" ht="12" hidden="1" customHeight="1">
      <c r="A6130" s="172"/>
    </row>
    <row r="6131" spans="1:1" s="173" customFormat="1" ht="12" hidden="1" customHeight="1">
      <c r="A6131" s="172"/>
    </row>
    <row r="6132" spans="1:1" s="173" customFormat="1" ht="12" hidden="1" customHeight="1">
      <c r="A6132" s="172"/>
    </row>
    <row r="6133" spans="1:1" s="173" customFormat="1" ht="12" hidden="1" customHeight="1">
      <c r="A6133" s="172"/>
    </row>
    <row r="6134" spans="1:1" s="173" customFormat="1" ht="12" hidden="1" customHeight="1">
      <c r="A6134" s="172"/>
    </row>
    <row r="6135" spans="1:1" s="173" customFormat="1" ht="12" hidden="1" customHeight="1">
      <c r="A6135" s="172"/>
    </row>
    <row r="6136" spans="1:1" s="173" customFormat="1" ht="12" hidden="1" customHeight="1">
      <c r="A6136" s="172"/>
    </row>
    <row r="6137" spans="1:1" s="173" customFormat="1" ht="12" hidden="1" customHeight="1">
      <c r="A6137" s="172"/>
    </row>
    <row r="6138" spans="1:1" s="173" customFormat="1" ht="12" hidden="1" customHeight="1">
      <c r="A6138" s="172"/>
    </row>
    <row r="6139" spans="1:1" s="173" customFormat="1" ht="12" hidden="1" customHeight="1">
      <c r="A6139" s="172"/>
    </row>
    <row r="6140" spans="1:1" s="173" customFormat="1" ht="12" hidden="1" customHeight="1">
      <c r="A6140" s="172"/>
    </row>
    <row r="6141" spans="1:1" s="173" customFormat="1" ht="12" hidden="1" customHeight="1">
      <c r="A6141" s="172"/>
    </row>
    <row r="6142" spans="1:1" s="173" customFormat="1" ht="12" hidden="1" customHeight="1">
      <c r="A6142" s="172"/>
    </row>
    <row r="6143" spans="1:1" s="173" customFormat="1" ht="12" hidden="1" customHeight="1">
      <c r="A6143" s="172"/>
    </row>
    <row r="6144" spans="1:1" s="173" customFormat="1" ht="12" hidden="1" customHeight="1">
      <c r="A6144" s="172"/>
    </row>
    <row r="6145" spans="1:1" s="173" customFormat="1" ht="12" hidden="1" customHeight="1">
      <c r="A6145" s="172"/>
    </row>
    <row r="6146" spans="1:1" s="173" customFormat="1" ht="12" hidden="1" customHeight="1">
      <c r="A6146" s="172"/>
    </row>
    <row r="6147" spans="1:1" s="173" customFormat="1" ht="12" hidden="1" customHeight="1">
      <c r="A6147" s="172"/>
    </row>
    <row r="6148" spans="1:1" s="173" customFormat="1" ht="12" hidden="1" customHeight="1">
      <c r="A6148" s="172"/>
    </row>
    <row r="6149" spans="1:1" s="173" customFormat="1" ht="12" hidden="1" customHeight="1">
      <c r="A6149" s="172"/>
    </row>
    <row r="6150" spans="1:1" s="173" customFormat="1" ht="12" hidden="1" customHeight="1">
      <c r="A6150" s="172"/>
    </row>
    <row r="6151" spans="1:1" s="173" customFormat="1" ht="12" hidden="1" customHeight="1">
      <c r="A6151" s="172"/>
    </row>
    <row r="6152" spans="1:1" s="173" customFormat="1" ht="12" hidden="1" customHeight="1">
      <c r="A6152" s="172"/>
    </row>
    <row r="6153" spans="1:1" s="173" customFormat="1" ht="12" hidden="1" customHeight="1">
      <c r="A6153" s="172"/>
    </row>
    <row r="6154" spans="1:1" s="173" customFormat="1" ht="12" hidden="1" customHeight="1">
      <c r="A6154" s="172"/>
    </row>
    <row r="6155" spans="1:1" s="173" customFormat="1" ht="12" hidden="1" customHeight="1">
      <c r="A6155" s="172"/>
    </row>
    <row r="6156" spans="1:1" s="173" customFormat="1" ht="12" hidden="1" customHeight="1">
      <c r="A6156" s="172"/>
    </row>
    <row r="6157" spans="1:1" s="173" customFormat="1" ht="12" hidden="1" customHeight="1">
      <c r="A6157" s="172"/>
    </row>
    <row r="6158" spans="1:1" s="173" customFormat="1" ht="12" hidden="1" customHeight="1">
      <c r="A6158" s="172"/>
    </row>
    <row r="6159" spans="1:1" s="173" customFormat="1" ht="12" hidden="1" customHeight="1">
      <c r="A6159" s="172"/>
    </row>
    <row r="6160" spans="1:1" s="173" customFormat="1" ht="12" hidden="1" customHeight="1">
      <c r="A6160" s="172"/>
    </row>
    <row r="6161" spans="1:1" s="173" customFormat="1" ht="12" hidden="1" customHeight="1">
      <c r="A6161" s="172"/>
    </row>
    <row r="6162" spans="1:1" s="173" customFormat="1" ht="12" hidden="1" customHeight="1">
      <c r="A6162" s="172"/>
    </row>
    <row r="6163" spans="1:1" s="173" customFormat="1" ht="12" hidden="1" customHeight="1">
      <c r="A6163" s="172"/>
    </row>
    <row r="6164" spans="1:1" s="173" customFormat="1" ht="12" hidden="1" customHeight="1">
      <c r="A6164" s="172"/>
    </row>
    <row r="6165" spans="1:1" s="173" customFormat="1" ht="12" hidden="1" customHeight="1">
      <c r="A6165" s="172"/>
    </row>
    <row r="6166" spans="1:1" s="173" customFormat="1" ht="12" hidden="1" customHeight="1">
      <c r="A6166" s="172"/>
    </row>
    <row r="6167" spans="1:1" s="173" customFormat="1" ht="12" hidden="1" customHeight="1">
      <c r="A6167" s="172"/>
    </row>
    <row r="6168" spans="1:1" s="173" customFormat="1" ht="12" hidden="1" customHeight="1">
      <c r="A6168" s="172"/>
    </row>
    <row r="6169" spans="1:1" s="173" customFormat="1" ht="12" hidden="1" customHeight="1">
      <c r="A6169" s="172"/>
    </row>
    <row r="6170" spans="1:1" s="173" customFormat="1" ht="12" hidden="1" customHeight="1">
      <c r="A6170" s="172"/>
    </row>
    <row r="6171" spans="1:1" s="173" customFormat="1" ht="12" hidden="1" customHeight="1">
      <c r="A6171" s="172"/>
    </row>
    <row r="6172" spans="1:1" s="173" customFormat="1" ht="12" hidden="1" customHeight="1">
      <c r="A6172" s="172"/>
    </row>
    <row r="6173" spans="1:1" s="173" customFormat="1" ht="12" hidden="1" customHeight="1">
      <c r="A6173" s="172"/>
    </row>
    <row r="6174" spans="1:1" s="173" customFormat="1" ht="12" hidden="1" customHeight="1">
      <c r="A6174" s="172"/>
    </row>
    <row r="6175" spans="1:1" s="173" customFormat="1" ht="12" hidden="1" customHeight="1">
      <c r="A6175" s="172"/>
    </row>
    <row r="6176" spans="1:1" s="173" customFormat="1" ht="12" hidden="1" customHeight="1">
      <c r="A6176" s="172"/>
    </row>
    <row r="6177" spans="1:1" s="173" customFormat="1" ht="12" hidden="1" customHeight="1">
      <c r="A6177" s="172"/>
    </row>
    <row r="6178" spans="1:1" s="173" customFormat="1" ht="12" hidden="1" customHeight="1">
      <c r="A6178" s="172"/>
    </row>
    <row r="6179" spans="1:1" s="173" customFormat="1" ht="12" hidden="1" customHeight="1">
      <c r="A6179" s="172"/>
    </row>
    <row r="6180" spans="1:1" s="173" customFormat="1" ht="12" hidden="1" customHeight="1">
      <c r="A6180" s="172"/>
    </row>
    <row r="6181" spans="1:1" s="173" customFormat="1" ht="12" hidden="1" customHeight="1">
      <c r="A6181" s="172"/>
    </row>
    <row r="6182" spans="1:1" s="173" customFormat="1" ht="12" hidden="1" customHeight="1">
      <c r="A6182" s="172"/>
    </row>
    <row r="6183" spans="1:1" s="173" customFormat="1" ht="12" hidden="1" customHeight="1">
      <c r="A6183" s="172"/>
    </row>
    <row r="6184" spans="1:1" s="173" customFormat="1" ht="12" hidden="1" customHeight="1">
      <c r="A6184" s="172"/>
    </row>
    <row r="6185" spans="1:1" s="173" customFormat="1" ht="12" hidden="1" customHeight="1">
      <c r="A6185" s="172"/>
    </row>
    <row r="6186" spans="1:1" s="173" customFormat="1" ht="12" hidden="1" customHeight="1">
      <c r="A6186" s="172"/>
    </row>
    <row r="6187" spans="1:1" s="173" customFormat="1" ht="12" hidden="1" customHeight="1">
      <c r="A6187" s="172"/>
    </row>
    <row r="6188" spans="1:1" s="173" customFormat="1" ht="12" hidden="1" customHeight="1">
      <c r="A6188" s="172"/>
    </row>
    <row r="6189" spans="1:1" s="173" customFormat="1" ht="12" hidden="1" customHeight="1">
      <c r="A6189" s="172"/>
    </row>
    <row r="6190" spans="1:1" s="173" customFormat="1" ht="12" hidden="1" customHeight="1">
      <c r="A6190" s="172"/>
    </row>
    <row r="6191" spans="1:1" s="173" customFormat="1" ht="12" hidden="1" customHeight="1">
      <c r="A6191" s="172"/>
    </row>
    <row r="6192" spans="1:1" s="173" customFormat="1" ht="12" hidden="1" customHeight="1">
      <c r="A6192" s="172"/>
    </row>
    <row r="6193" spans="1:1" s="173" customFormat="1" ht="12" hidden="1" customHeight="1">
      <c r="A6193" s="172"/>
    </row>
    <row r="6194" spans="1:1" s="173" customFormat="1" ht="12" hidden="1" customHeight="1">
      <c r="A6194" s="172"/>
    </row>
    <row r="6195" spans="1:1" s="173" customFormat="1" ht="12" hidden="1" customHeight="1">
      <c r="A6195" s="172"/>
    </row>
    <row r="6196" spans="1:1" s="173" customFormat="1" ht="12" hidden="1" customHeight="1">
      <c r="A6196" s="172"/>
    </row>
    <row r="6197" spans="1:1" s="173" customFormat="1" ht="12" hidden="1" customHeight="1">
      <c r="A6197" s="172"/>
    </row>
    <row r="6198" spans="1:1" s="173" customFormat="1" ht="12" hidden="1" customHeight="1">
      <c r="A6198" s="172"/>
    </row>
    <row r="6199" spans="1:1" s="173" customFormat="1" ht="12" hidden="1" customHeight="1">
      <c r="A6199" s="172"/>
    </row>
    <row r="6200" spans="1:1" s="173" customFormat="1" ht="12" hidden="1" customHeight="1">
      <c r="A6200" s="172"/>
    </row>
    <row r="6201" spans="1:1" s="173" customFormat="1" ht="12" hidden="1" customHeight="1">
      <c r="A6201" s="172"/>
    </row>
    <row r="6202" spans="1:1" s="173" customFormat="1" ht="12" hidden="1" customHeight="1">
      <c r="A6202" s="172"/>
    </row>
    <row r="6203" spans="1:1" s="173" customFormat="1" ht="12" hidden="1" customHeight="1">
      <c r="A6203" s="172"/>
    </row>
    <row r="6204" spans="1:1" s="173" customFormat="1" ht="12" hidden="1" customHeight="1">
      <c r="A6204" s="172"/>
    </row>
    <row r="6205" spans="1:1" s="173" customFormat="1" ht="12" hidden="1" customHeight="1">
      <c r="A6205" s="172"/>
    </row>
    <row r="6206" spans="1:1" s="173" customFormat="1" ht="12" hidden="1" customHeight="1">
      <c r="A6206" s="172"/>
    </row>
    <row r="6207" spans="1:1" s="173" customFormat="1" ht="12" hidden="1" customHeight="1">
      <c r="A6207" s="172"/>
    </row>
    <row r="6208" spans="1:1" s="173" customFormat="1" ht="12" hidden="1" customHeight="1">
      <c r="A6208" s="172"/>
    </row>
    <row r="6209" spans="1:1" s="173" customFormat="1" ht="12" hidden="1" customHeight="1">
      <c r="A6209" s="172"/>
    </row>
    <row r="6210" spans="1:1" s="173" customFormat="1" ht="12" hidden="1" customHeight="1">
      <c r="A6210" s="172"/>
    </row>
    <row r="6211" spans="1:1" s="173" customFormat="1" ht="12" hidden="1" customHeight="1">
      <c r="A6211" s="172"/>
    </row>
    <row r="6212" spans="1:1" s="173" customFormat="1" ht="12" hidden="1" customHeight="1">
      <c r="A6212" s="172"/>
    </row>
    <row r="6213" spans="1:1" s="173" customFormat="1" ht="12" hidden="1" customHeight="1">
      <c r="A6213" s="172"/>
    </row>
    <row r="6214" spans="1:1" s="173" customFormat="1" ht="12" hidden="1" customHeight="1">
      <c r="A6214" s="172"/>
    </row>
    <row r="6215" spans="1:1" s="173" customFormat="1" ht="12" hidden="1" customHeight="1">
      <c r="A6215" s="172"/>
    </row>
    <row r="6216" spans="1:1" s="173" customFormat="1" ht="12" hidden="1" customHeight="1">
      <c r="A6216" s="172"/>
    </row>
    <row r="6217" spans="1:1" s="173" customFormat="1" ht="12" hidden="1" customHeight="1">
      <c r="A6217" s="172"/>
    </row>
    <row r="6218" spans="1:1" s="173" customFormat="1" ht="12" hidden="1" customHeight="1">
      <c r="A6218" s="172"/>
    </row>
    <row r="6219" spans="1:1" s="173" customFormat="1" ht="12" hidden="1" customHeight="1">
      <c r="A6219" s="172"/>
    </row>
    <row r="6220" spans="1:1" s="173" customFormat="1" ht="12" hidden="1" customHeight="1">
      <c r="A6220" s="172"/>
    </row>
    <row r="6221" spans="1:1" s="173" customFormat="1" ht="12" hidden="1" customHeight="1">
      <c r="A6221" s="172"/>
    </row>
    <row r="6222" spans="1:1" s="173" customFormat="1" ht="12" hidden="1" customHeight="1">
      <c r="A6222" s="172"/>
    </row>
    <row r="6223" spans="1:1" s="173" customFormat="1" ht="12" hidden="1" customHeight="1">
      <c r="A6223" s="172"/>
    </row>
    <row r="6224" spans="1:1" s="173" customFormat="1" ht="12" hidden="1" customHeight="1">
      <c r="A6224" s="172"/>
    </row>
    <row r="6225" spans="1:1" s="173" customFormat="1" ht="12" hidden="1" customHeight="1">
      <c r="A6225" s="172"/>
    </row>
    <row r="6226" spans="1:1" s="173" customFormat="1" ht="12" hidden="1" customHeight="1">
      <c r="A6226" s="172"/>
    </row>
    <row r="6227" spans="1:1" s="173" customFormat="1" ht="12" hidden="1" customHeight="1">
      <c r="A6227" s="172"/>
    </row>
    <row r="6228" spans="1:1" s="173" customFormat="1" ht="12" hidden="1" customHeight="1">
      <c r="A6228" s="172"/>
    </row>
    <row r="6229" spans="1:1" s="173" customFormat="1" ht="12" hidden="1" customHeight="1">
      <c r="A6229" s="172"/>
    </row>
    <row r="6230" spans="1:1" s="173" customFormat="1" ht="12" hidden="1" customHeight="1">
      <c r="A6230" s="172"/>
    </row>
    <row r="6231" spans="1:1" s="173" customFormat="1" ht="12" hidden="1" customHeight="1">
      <c r="A6231" s="172"/>
    </row>
    <row r="6232" spans="1:1" s="173" customFormat="1" ht="12" hidden="1" customHeight="1">
      <c r="A6232" s="172"/>
    </row>
    <row r="6233" spans="1:1" s="173" customFormat="1" ht="12" hidden="1" customHeight="1">
      <c r="A6233" s="172"/>
    </row>
    <row r="6234" spans="1:1" s="173" customFormat="1" ht="12" hidden="1" customHeight="1">
      <c r="A6234" s="172"/>
    </row>
    <row r="6235" spans="1:1" s="173" customFormat="1" ht="12" hidden="1" customHeight="1">
      <c r="A6235" s="172"/>
    </row>
    <row r="6236" spans="1:1" s="173" customFormat="1" ht="12" hidden="1" customHeight="1">
      <c r="A6236" s="172"/>
    </row>
    <row r="6237" spans="1:1" s="173" customFormat="1" ht="12" hidden="1" customHeight="1">
      <c r="A6237" s="172"/>
    </row>
    <row r="6238" spans="1:1" s="173" customFormat="1" ht="12" hidden="1" customHeight="1">
      <c r="A6238" s="172"/>
    </row>
    <row r="6239" spans="1:1" s="173" customFormat="1" ht="12" hidden="1" customHeight="1">
      <c r="A6239" s="172"/>
    </row>
    <row r="6240" spans="1:1" s="173" customFormat="1" ht="12" hidden="1" customHeight="1">
      <c r="A6240" s="172"/>
    </row>
    <row r="6241" spans="1:1" s="173" customFormat="1" ht="12" hidden="1" customHeight="1">
      <c r="A6241" s="172"/>
    </row>
    <row r="6242" spans="1:1" s="173" customFormat="1" ht="12" hidden="1" customHeight="1">
      <c r="A6242" s="172"/>
    </row>
    <row r="6243" spans="1:1" s="173" customFormat="1" ht="12" hidden="1" customHeight="1">
      <c r="A6243" s="172"/>
    </row>
    <row r="6244" spans="1:1" s="173" customFormat="1" ht="12" hidden="1" customHeight="1">
      <c r="A6244" s="172"/>
    </row>
    <row r="6245" spans="1:1" s="173" customFormat="1" ht="12" hidden="1" customHeight="1">
      <c r="A6245" s="172"/>
    </row>
    <row r="6246" spans="1:1" s="173" customFormat="1" ht="12" hidden="1" customHeight="1">
      <c r="A6246" s="172"/>
    </row>
    <row r="6247" spans="1:1" s="173" customFormat="1" ht="12" hidden="1" customHeight="1">
      <c r="A6247" s="172"/>
    </row>
    <row r="6248" spans="1:1" s="173" customFormat="1" ht="12" hidden="1" customHeight="1">
      <c r="A6248" s="172"/>
    </row>
    <row r="6249" spans="1:1" s="173" customFormat="1" ht="12" hidden="1" customHeight="1">
      <c r="A6249" s="172"/>
    </row>
    <row r="6250" spans="1:1" s="173" customFormat="1" ht="12" hidden="1" customHeight="1">
      <c r="A6250" s="172"/>
    </row>
    <row r="6251" spans="1:1" s="173" customFormat="1" ht="12" hidden="1" customHeight="1">
      <c r="A6251" s="172"/>
    </row>
    <row r="6252" spans="1:1" s="173" customFormat="1" ht="12" hidden="1" customHeight="1">
      <c r="A6252" s="172"/>
    </row>
    <row r="6253" spans="1:1" s="173" customFormat="1" ht="12" hidden="1" customHeight="1">
      <c r="A6253" s="172"/>
    </row>
    <row r="6254" spans="1:1" s="173" customFormat="1" ht="12" hidden="1" customHeight="1">
      <c r="A6254" s="172"/>
    </row>
    <row r="6255" spans="1:1" s="173" customFormat="1" ht="12" hidden="1" customHeight="1">
      <c r="A6255" s="172"/>
    </row>
    <row r="6256" spans="1:1" s="173" customFormat="1" ht="12" hidden="1" customHeight="1">
      <c r="A6256" s="172"/>
    </row>
    <row r="6257" spans="1:1" s="173" customFormat="1" ht="12" hidden="1" customHeight="1">
      <c r="A6257" s="172"/>
    </row>
    <row r="6258" spans="1:1" s="173" customFormat="1" ht="12" hidden="1" customHeight="1">
      <c r="A6258" s="172"/>
    </row>
    <row r="6259" spans="1:1" s="173" customFormat="1" ht="12" hidden="1" customHeight="1">
      <c r="A6259" s="172"/>
    </row>
    <row r="6260" spans="1:1" s="173" customFormat="1" ht="12" hidden="1" customHeight="1">
      <c r="A6260" s="172"/>
    </row>
    <row r="6261" spans="1:1" s="173" customFormat="1" ht="12" hidden="1" customHeight="1">
      <c r="A6261" s="172"/>
    </row>
    <row r="6262" spans="1:1" s="173" customFormat="1" ht="12" hidden="1" customHeight="1">
      <c r="A6262" s="172"/>
    </row>
    <row r="6263" spans="1:1" s="173" customFormat="1" ht="12" hidden="1" customHeight="1">
      <c r="A6263" s="172"/>
    </row>
    <row r="6264" spans="1:1" s="173" customFormat="1" ht="12" hidden="1" customHeight="1">
      <c r="A6264" s="172"/>
    </row>
    <row r="6265" spans="1:1" s="173" customFormat="1" ht="12" hidden="1" customHeight="1">
      <c r="A6265" s="172"/>
    </row>
    <row r="6266" spans="1:1" s="173" customFormat="1" ht="12" hidden="1" customHeight="1">
      <c r="A6266" s="172"/>
    </row>
    <row r="6267" spans="1:1" s="173" customFormat="1" ht="12" hidden="1" customHeight="1">
      <c r="A6267" s="172"/>
    </row>
    <row r="6268" spans="1:1" s="173" customFormat="1" ht="12" hidden="1" customHeight="1">
      <c r="A6268" s="172"/>
    </row>
    <row r="6269" spans="1:1" s="173" customFormat="1" ht="12" hidden="1" customHeight="1">
      <c r="A6269" s="172"/>
    </row>
    <row r="6270" spans="1:1" s="173" customFormat="1" ht="12" hidden="1" customHeight="1">
      <c r="A6270" s="172"/>
    </row>
    <row r="6271" spans="1:1" s="173" customFormat="1" ht="12" hidden="1" customHeight="1">
      <c r="A6271" s="172"/>
    </row>
    <row r="6272" spans="1:1" s="173" customFormat="1" ht="12" hidden="1" customHeight="1">
      <c r="A6272" s="172"/>
    </row>
    <row r="6273" spans="1:1" s="173" customFormat="1" ht="12" hidden="1" customHeight="1">
      <c r="A6273" s="172"/>
    </row>
    <row r="6274" spans="1:1" s="173" customFormat="1" ht="12" hidden="1" customHeight="1">
      <c r="A6274" s="172"/>
    </row>
    <row r="6275" spans="1:1" s="173" customFormat="1" ht="12" hidden="1" customHeight="1">
      <c r="A6275" s="172"/>
    </row>
    <row r="6276" spans="1:1" s="173" customFormat="1" ht="12" hidden="1" customHeight="1">
      <c r="A6276" s="172"/>
    </row>
    <row r="6277" spans="1:1" s="173" customFormat="1" ht="12" hidden="1" customHeight="1">
      <c r="A6277" s="172"/>
    </row>
    <row r="6278" spans="1:1" s="173" customFormat="1" ht="12" hidden="1" customHeight="1">
      <c r="A6278" s="172"/>
    </row>
    <row r="6279" spans="1:1" s="173" customFormat="1" ht="12" hidden="1" customHeight="1">
      <c r="A6279" s="172"/>
    </row>
    <row r="6280" spans="1:1" s="173" customFormat="1" ht="12" hidden="1" customHeight="1">
      <c r="A6280" s="172"/>
    </row>
    <row r="6281" spans="1:1" s="173" customFormat="1" ht="12" hidden="1" customHeight="1">
      <c r="A6281" s="172"/>
    </row>
    <row r="6282" spans="1:1" s="173" customFormat="1" ht="12" hidden="1" customHeight="1">
      <c r="A6282" s="172"/>
    </row>
    <row r="6283" spans="1:1" s="173" customFormat="1" ht="12" hidden="1" customHeight="1">
      <c r="A6283" s="172"/>
    </row>
    <row r="6284" spans="1:1" s="173" customFormat="1" ht="12" hidden="1" customHeight="1">
      <c r="A6284" s="172"/>
    </row>
    <row r="6285" spans="1:1" s="173" customFormat="1" ht="12" hidden="1" customHeight="1">
      <c r="A6285" s="172"/>
    </row>
    <row r="6286" spans="1:1" s="173" customFormat="1" ht="12" hidden="1" customHeight="1">
      <c r="A6286" s="172"/>
    </row>
    <row r="6287" spans="1:1" s="173" customFormat="1" ht="12" hidden="1" customHeight="1">
      <c r="A6287" s="172"/>
    </row>
    <row r="6288" spans="1:1" s="173" customFormat="1" ht="12" hidden="1" customHeight="1">
      <c r="A6288" s="172"/>
    </row>
    <row r="6289" spans="1:1" s="173" customFormat="1" ht="12" hidden="1" customHeight="1">
      <c r="A6289" s="172"/>
    </row>
    <row r="6290" spans="1:1" s="173" customFormat="1" ht="12" hidden="1" customHeight="1">
      <c r="A6290" s="172"/>
    </row>
    <row r="6291" spans="1:1" s="173" customFormat="1" ht="12" hidden="1" customHeight="1">
      <c r="A6291" s="172"/>
    </row>
    <row r="6292" spans="1:1" s="173" customFormat="1" ht="12" hidden="1" customHeight="1">
      <c r="A6292" s="172"/>
    </row>
    <row r="6293" spans="1:1" s="173" customFormat="1" ht="12" hidden="1" customHeight="1">
      <c r="A6293" s="172"/>
    </row>
    <row r="6294" spans="1:1" s="173" customFormat="1" ht="12" hidden="1" customHeight="1">
      <c r="A6294" s="172"/>
    </row>
    <row r="6295" spans="1:1" s="173" customFormat="1" ht="12" hidden="1" customHeight="1">
      <c r="A6295" s="172"/>
    </row>
    <row r="6296" spans="1:1" s="173" customFormat="1" ht="12" hidden="1" customHeight="1">
      <c r="A6296" s="172"/>
    </row>
    <row r="6297" spans="1:1" s="173" customFormat="1" ht="12" hidden="1" customHeight="1">
      <c r="A6297" s="172"/>
    </row>
    <row r="6298" spans="1:1" s="173" customFormat="1" ht="12" hidden="1" customHeight="1">
      <c r="A6298" s="172"/>
    </row>
    <row r="6299" spans="1:1" s="173" customFormat="1" ht="12" hidden="1" customHeight="1">
      <c r="A6299" s="172"/>
    </row>
    <row r="6300" spans="1:1" s="173" customFormat="1" ht="12" hidden="1" customHeight="1">
      <c r="A6300" s="172"/>
    </row>
    <row r="6301" spans="1:1" s="173" customFormat="1" ht="12" hidden="1" customHeight="1">
      <c r="A6301" s="172"/>
    </row>
    <row r="6302" spans="1:1" s="173" customFormat="1" ht="12" hidden="1" customHeight="1">
      <c r="A6302" s="172"/>
    </row>
    <row r="6303" spans="1:1" s="173" customFormat="1" ht="12" hidden="1" customHeight="1">
      <c r="A6303" s="172"/>
    </row>
    <row r="6304" spans="1:1" s="173" customFormat="1" ht="12" hidden="1" customHeight="1">
      <c r="A6304" s="172"/>
    </row>
    <row r="6305" spans="1:1" s="173" customFormat="1" ht="12" hidden="1" customHeight="1">
      <c r="A6305" s="172"/>
    </row>
    <row r="6306" spans="1:1" s="173" customFormat="1" ht="12" hidden="1" customHeight="1">
      <c r="A6306" s="172"/>
    </row>
    <row r="6307" spans="1:1" s="173" customFormat="1" ht="12" hidden="1" customHeight="1">
      <c r="A6307" s="172"/>
    </row>
    <row r="6308" spans="1:1" s="173" customFormat="1" ht="12" hidden="1" customHeight="1">
      <c r="A6308" s="172"/>
    </row>
    <row r="6309" spans="1:1" s="173" customFormat="1" ht="12" hidden="1" customHeight="1">
      <c r="A6309" s="172"/>
    </row>
    <row r="6310" spans="1:1" s="173" customFormat="1" ht="12" hidden="1" customHeight="1">
      <c r="A6310" s="172"/>
    </row>
    <row r="6311" spans="1:1" s="173" customFormat="1" ht="12" hidden="1" customHeight="1">
      <c r="A6311" s="172"/>
    </row>
    <row r="6312" spans="1:1" s="173" customFormat="1" ht="12" hidden="1" customHeight="1">
      <c r="A6312" s="172"/>
    </row>
    <row r="6313" spans="1:1" s="173" customFormat="1" ht="12" hidden="1" customHeight="1">
      <c r="A6313" s="172"/>
    </row>
    <row r="6314" spans="1:1" s="173" customFormat="1" ht="12" hidden="1" customHeight="1">
      <c r="A6314" s="172"/>
    </row>
    <row r="6315" spans="1:1" s="173" customFormat="1" ht="12" hidden="1" customHeight="1">
      <c r="A6315" s="172"/>
    </row>
    <row r="6316" spans="1:1" s="173" customFormat="1" ht="12" hidden="1" customHeight="1">
      <c r="A6316" s="172"/>
    </row>
    <row r="6317" spans="1:1" s="173" customFormat="1" ht="12" hidden="1" customHeight="1">
      <c r="A6317" s="172"/>
    </row>
    <row r="6318" spans="1:1" s="173" customFormat="1" ht="12" hidden="1" customHeight="1">
      <c r="A6318" s="172"/>
    </row>
    <row r="6319" spans="1:1" s="173" customFormat="1" ht="12" hidden="1" customHeight="1">
      <c r="A6319" s="172"/>
    </row>
    <row r="6320" spans="1:1" s="173" customFormat="1" ht="12" hidden="1" customHeight="1">
      <c r="A6320" s="172"/>
    </row>
    <row r="6321" spans="1:1" s="173" customFormat="1" ht="12" hidden="1" customHeight="1">
      <c r="A6321" s="172"/>
    </row>
    <row r="6322" spans="1:1" s="173" customFormat="1" ht="12" hidden="1" customHeight="1">
      <c r="A6322" s="172"/>
    </row>
    <row r="6323" spans="1:1" s="173" customFormat="1" ht="12" hidden="1" customHeight="1">
      <c r="A6323" s="172"/>
    </row>
    <row r="6324" spans="1:1" s="173" customFormat="1" ht="12" hidden="1" customHeight="1">
      <c r="A6324" s="172"/>
    </row>
    <row r="6325" spans="1:1" s="173" customFormat="1" ht="12" hidden="1" customHeight="1">
      <c r="A6325" s="172"/>
    </row>
    <row r="6326" spans="1:1" s="173" customFormat="1" ht="12" hidden="1" customHeight="1">
      <c r="A6326" s="172"/>
    </row>
    <row r="6327" spans="1:1" s="173" customFormat="1" ht="12" hidden="1" customHeight="1">
      <c r="A6327" s="172"/>
    </row>
    <row r="6328" spans="1:1" s="173" customFormat="1" ht="12" hidden="1" customHeight="1">
      <c r="A6328" s="172"/>
    </row>
    <row r="6329" spans="1:1" s="173" customFormat="1" ht="12" hidden="1" customHeight="1">
      <c r="A6329" s="172"/>
    </row>
    <row r="6330" spans="1:1" s="173" customFormat="1" ht="12" hidden="1" customHeight="1">
      <c r="A6330" s="172"/>
    </row>
    <row r="6331" spans="1:1" s="173" customFormat="1" ht="12" hidden="1" customHeight="1">
      <c r="A6331" s="172"/>
    </row>
    <row r="6332" spans="1:1" s="173" customFormat="1" ht="12" hidden="1" customHeight="1">
      <c r="A6332" s="172"/>
    </row>
    <row r="6333" spans="1:1" s="173" customFormat="1" ht="12" hidden="1" customHeight="1">
      <c r="A6333" s="172"/>
    </row>
    <row r="6334" spans="1:1" s="173" customFormat="1" ht="12" hidden="1" customHeight="1">
      <c r="A6334" s="172"/>
    </row>
    <row r="6335" spans="1:1" s="173" customFormat="1" ht="12" hidden="1" customHeight="1">
      <c r="A6335" s="172"/>
    </row>
    <row r="6336" spans="1:1" s="173" customFormat="1" ht="12" hidden="1" customHeight="1">
      <c r="A6336" s="172"/>
    </row>
    <row r="6337" spans="1:1" s="173" customFormat="1" ht="12" hidden="1" customHeight="1">
      <c r="A6337" s="172"/>
    </row>
    <row r="6338" spans="1:1" s="173" customFormat="1" ht="12" hidden="1" customHeight="1">
      <c r="A6338" s="172"/>
    </row>
    <row r="6339" spans="1:1" s="173" customFormat="1" ht="12" hidden="1" customHeight="1">
      <c r="A6339" s="172"/>
    </row>
    <row r="6340" spans="1:1" s="173" customFormat="1" ht="12" hidden="1" customHeight="1">
      <c r="A6340" s="172"/>
    </row>
    <row r="6341" spans="1:1" s="173" customFormat="1" ht="12" hidden="1" customHeight="1">
      <c r="A6341" s="172"/>
    </row>
    <row r="6342" spans="1:1" s="173" customFormat="1" ht="12" hidden="1" customHeight="1">
      <c r="A6342" s="172"/>
    </row>
    <row r="6343" spans="1:1" s="173" customFormat="1" ht="12" hidden="1" customHeight="1">
      <c r="A6343" s="172"/>
    </row>
    <row r="6344" spans="1:1" s="173" customFormat="1" ht="12" hidden="1" customHeight="1">
      <c r="A6344" s="172"/>
    </row>
    <row r="6345" spans="1:1" s="173" customFormat="1" ht="12" hidden="1" customHeight="1">
      <c r="A6345" s="172"/>
    </row>
    <row r="6346" spans="1:1" s="173" customFormat="1" ht="12" hidden="1" customHeight="1">
      <c r="A6346" s="172"/>
    </row>
    <row r="6347" spans="1:1" s="173" customFormat="1" ht="12" hidden="1" customHeight="1">
      <c r="A6347" s="172"/>
    </row>
    <row r="6348" spans="1:1" s="173" customFormat="1" ht="12" hidden="1" customHeight="1">
      <c r="A6348" s="172"/>
    </row>
    <row r="6349" spans="1:1" s="173" customFormat="1" ht="12" hidden="1" customHeight="1">
      <c r="A6349" s="172"/>
    </row>
    <row r="6350" spans="1:1" s="173" customFormat="1" ht="12" hidden="1" customHeight="1">
      <c r="A6350" s="172"/>
    </row>
    <row r="6351" spans="1:1" s="173" customFormat="1" ht="12" hidden="1" customHeight="1">
      <c r="A6351" s="172"/>
    </row>
    <row r="6352" spans="1:1" s="173" customFormat="1" ht="12" hidden="1" customHeight="1">
      <c r="A6352" s="172"/>
    </row>
    <row r="6353" spans="1:1" s="173" customFormat="1" ht="12" hidden="1" customHeight="1">
      <c r="A6353" s="172"/>
    </row>
    <row r="6354" spans="1:1" s="173" customFormat="1" ht="12" hidden="1" customHeight="1">
      <c r="A6354" s="172"/>
    </row>
    <row r="6355" spans="1:1" s="173" customFormat="1" ht="12" hidden="1" customHeight="1">
      <c r="A6355" s="172"/>
    </row>
    <row r="6356" spans="1:1" s="173" customFormat="1" ht="12" hidden="1" customHeight="1">
      <c r="A6356" s="172"/>
    </row>
    <row r="6357" spans="1:1" s="173" customFormat="1" ht="12" hidden="1" customHeight="1">
      <c r="A6357" s="172"/>
    </row>
    <row r="6358" spans="1:1" s="173" customFormat="1" ht="12" hidden="1" customHeight="1">
      <c r="A6358" s="172"/>
    </row>
    <row r="6359" spans="1:1" s="173" customFormat="1" ht="12" hidden="1" customHeight="1">
      <c r="A6359" s="172"/>
    </row>
    <row r="6360" spans="1:1" s="173" customFormat="1" ht="12" hidden="1" customHeight="1">
      <c r="A6360" s="172"/>
    </row>
    <row r="6361" spans="1:1" s="173" customFormat="1" ht="12" hidden="1" customHeight="1">
      <c r="A6361" s="172"/>
    </row>
    <row r="6362" spans="1:1" s="173" customFormat="1" ht="12" hidden="1" customHeight="1">
      <c r="A6362" s="172"/>
    </row>
    <row r="6363" spans="1:1" s="173" customFormat="1" ht="12" hidden="1" customHeight="1">
      <c r="A6363" s="172"/>
    </row>
    <row r="6364" spans="1:1" s="173" customFormat="1" ht="12" hidden="1" customHeight="1">
      <c r="A6364" s="172"/>
    </row>
    <row r="6365" spans="1:1" s="173" customFormat="1" ht="12" hidden="1" customHeight="1">
      <c r="A6365" s="172"/>
    </row>
    <row r="6366" spans="1:1" s="173" customFormat="1" ht="12" hidden="1" customHeight="1">
      <c r="A6366" s="172"/>
    </row>
    <row r="6367" spans="1:1" s="173" customFormat="1" ht="12" hidden="1" customHeight="1">
      <c r="A6367" s="172"/>
    </row>
    <row r="6368" spans="1:1" s="173" customFormat="1" ht="12" hidden="1" customHeight="1">
      <c r="A6368" s="172"/>
    </row>
    <row r="6369" spans="1:1" s="173" customFormat="1" ht="12" hidden="1" customHeight="1">
      <c r="A6369" s="172"/>
    </row>
    <row r="6370" spans="1:1" s="173" customFormat="1" ht="12" hidden="1" customHeight="1">
      <c r="A6370" s="172"/>
    </row>
    <row r="6371" spans="1:1" s="173" customFormat="1" ht="12" hidden="1" customHeight="1">
      <c r="A6371" s="172"/>
    </row>
    <row r="6372" spans="1:1" s="173" customFormat="1" ht="12" hidden="1" customHeight="1">
      <c r="A6372" s="172"/>
    </row>
    <row r="6373" spans="1:1" s="173" customFormat="1" ht="12" hidden="1" customHeight="1">
      <c r="A6373" s="172"/>
    </row>
    <row r="6374" spans="1:1" s="173" customFormat="1" ht="12" hidden="1" customHeight="1">
      <c r="A6374" s="172"/>
    </row>
    <row r="6375" spans="1:1" s="173" customFormat="1" ht="12" hidden="1" customHeight="1">
      <c r="A6375" s="172"/>
    </row>
    <row r="6376" spans="1:1" s="173" customFormat="1" ht="12" hidden="1" customHeight="1">
      <c r="A6376" s="172"/>
    </row>
    <row r="6377" spans="1:1" s="173" customFormat="1" ht="12" hidden="1" customHeight="1">
      <c r="A6377" s="172"/>
    </row>
    <row r="6378" spans="1:1" s="173" customFormat="1" ht="12" hidden="1" customHeight="1">
      <c r="A6378" s="172"/>
    </row>
    <row r="6379" spans="1:1" s="173" customFormat="1" ht="12" hidden="1" customHeight="1">
      <c r="A6379" s="172"/>
    </row>
    <row r="6380" spans="1:1" s="173" customFormat="1" ht="12" hidden="1" customHeight="1">
      <c r="A6380" s="172"/>
    </row>
    <row r="6381" spans="1:1" s="173" customFormat="1" ht="12" hidden="1" customHeight="1">
      <c r="A6381" s="172"/>
    </row>
    <row r="6382" spans="1:1" s="173" customFormat="1" ht="12" hidden="1" customHeight="1">
      <c r="A6382" s="172"/>
    </row>
    <row r="6383" spans="1:1" s="173" customFormat="1" ht="12" hidden="1" customHeight="1">
      <c r="A6383" s="172"/>
    </row>
    <row r="6384" spans="1:1" s="173" customFormat="1" ht="12" hidden="1" customHeight="1">
      <c r="A6384" s="172"/>
    </row>
    <row r="6385" spans="1:1" s="173" customFormat="1" ht="12" hidden="1" customHeight="1">
      <c r="A6385" s="172"/>
    </row>
    <row r="6386" spans="1:1" s="173" customFormat="1" ht="12" hidden="1" customHeight="1">
      <c r="A6386" s="172"/>
    </row>
    <row r="6387" spans="1:1" s="173" customFormat="1" ht="12" hidden="1" customHeight="1">
      <c r="A6387" s="172"/>
    </row>
    <row r="6388" spans="1:1" s="173" customFormat="1" ht="12" hidden="1" customHeight="1">
      <c r="A6388" s="172"/>
    </row>
    <row r="6389" spans="1:1" s="173" customFormat="1" ht="12" hidden="1" customHeight="1">
      <c r="A6389" s="172"/>
    </row>
    <row r="6390" spans="1:1" s="173" customFormat="1" ht="12" hidden="1" customHeight="1">
      <c r="A6390" s="172"/>
    </row>
    <row r="6391" spans="1:1" s="173" customFormat="1" ht="12" hidden="1" customHeight="1">
      <c r="A6391" s="172"/>
    </row>
    <row r="6392" spans="1:1" s="173" customFormat="1" ht="12" hidden="1" customHeight="1">
      <c r="A6392" s="172"/>
    </row>
    <row r="6393" spans="1:1" s="173" customFormat="1" ht="12" hidden="1" customHeight="1">
      <c r="A6393" s="172"/>
    </row>
    <row r="6394" spans="1:1" s="173" customFormat="1" ht="12" hidden="1" customHeight="1">
      <c r="A6394" s="172"/>
    </row>
    <row r="6395" spans="1:1" s="173" customFormat="1" ht="12" hidden="1" customHeight="1">
      <c r="A6395" s="172"/>
    </row>
    <row r="6396" spans="1:1" s="173" customFormat="1" ht="12" hidden="1" customHeight="1">
      <c r="A6396" s="172"/>
    </row>
    <row r="6397" spans="1:1" s="173" customFormat="1" ht="12" hidden="1" customHeight="1">
      <c r="A6397" s="172"/>
    </row>
    <row r="6398" spans="1:1" s="173" customFormat="1" ht="12" hidden="1" customHeight="1">
      <c r="A6398" s="172"/>
    </row>
    <row r="6399" spans="1:1" s="173" customFormat="1" ht="12" hidden="1" customHeight="1">
      <c r="A6399" s="172"/>
    </row>
    <row r="6400" spans="1:1" s="173" customFormat="1" ht="12" hidden="1" customHeight="1">
      <c r="A6400" s="172"/>
    </row>
    <row r="6401" spans="1:1" s="173" customFormat="1" ht="12" hidden="1" customHeight="1">
      <c r="A6401" s="172"/>
    </row>
    <row r="6402" spans="1:1" s="173" customFormat="1" ht="12" hidden="1" customHeight="1">
      <c r="A6402" s="172"/>
    </row>
    <row r="6403" spans="1:1" s="173" customFormat="1" ht="12" hidden="1" customHeight="1">
      <c r="A6403" s="172"/>
    </row>
    <row r="6404" spans="1:1" s="173" customFormat="1" ht="12" hidden="1" customHeight="1">
      <c r="A6404" s="172"/>
    </row>
    <row r="6405" spans="1:1" s="173" customFormat="1" ht="12" hidden="1" customHeight="1">
      <c r="A6405" s="172"/>
    </row>
    <row r="6406" spans="1:1" s="173" customFormat="1" ht="12" hidden="1" customHeight="1">
      <c r="A6406" s="172"/>
    </row>
    <row r="6407" spans="1:1" s="173" customFormat="1" ht="12" hidden="1" customHeight="1">
      <c r="A6407" s="172"/>
    </row>
    <row r="6408" spans="1:1" s="173" customFormat="1" ht="12" hidden="1" customHeight="1">
      <c r="A6408" s="172"/>
    </row>
    <row r="6409" spans="1:1" s="173" customFormat="1" ht="12" hidden="1" customHeight="1">
      <c r="A6409" s="172"/>
    </row>
    <row r="6410" spans="1:1" s="173" customFormat="1" ht="12" hidden="1" customHeight="1">
      <c r="A6410" s="172"/>
    </row>
    <row r="6411" spans="1:1" s="173" customFormat="1" ht="12" hidden="1" customHeight="1">
      <c r="A6411" s="172"/>
    </row>
    <row r="6412" spans="1:1" s="173" customFormat="1" ht="12" hidden="1" customHeight="1">
      <c r="A6412" s="172"/>
    </row>
    <row r="6413" spans="1:1" s="173" customFormat="1" ht="12" hidden="1" customHeight="1">
      <c r="A6413" s="172"/>
    </row>
    <row r="6414" spans="1:1" s="173" customFormat="1" ht="12" hidden="1" customHeight="1">
      <c r="A6414" s="172"/>
    </row>
    <row r="6415" spans="1:1" s="173" customFormat="1" ht="12" hidden="1" customHeight="1">
      <c r="A6415" s="172"/>
    </row>
    <row r="6416" spans="1:1" s="173" customFormat="1" ht="12" hidden="1" customHeight="1">
      <c r="A6416" s="172"/>
    </row>
    <row r="6417" spans="1:1" s="173" customFormat="1" ht="12" hidden="1" customHeight="1">
      <c r="A6417" s="172"/>
    </row>
    <row r="6418" spans="1:1" s="173" customFormat="1" ht="12" hidden="1" customHeight="1">
      <c r="A6418" s="172"/>
    </row>
    <row r="6419" spans="1:1" s="173" customFormat="1" ht="12" hidden="1" customHeight="1">
      <c r="A6419" s="172"/>
    </row>
    <row r="6420" spans="1:1" s="173" customFormat="1" ht="12" hidden="1" customHeight="1">
      <c r="A6420" s="172"/>
    </row>
    <row r="6421" spans="1:1" s="173" customFormat="1" ht="12" hidden="1" customHeight="1">
      <c r="A6421" s="172"/>
    </row>
    <row r="6422" spans="1:1" s="173" customFormat="1" ht="12" hidden="1" customHeight="1">
      <c r="A6422" s="172"/>
    </row>
    <row r="6423" spans="1:1" s="173" customFormat="1" ht="12" hidden="1" customHeight="1">
      <c r="A6423" s="172"/>
    </row>
    <row r="6424" spans="1:1" s="173" customFormat="1" ht="12" hidden="1" customHeight="1">
      <c r="A6424" s="172"/>
    </row>
    <row r="6425" spans="1:1" s="173" customFormat="1" ht="12" hidden="1" customHeight="1">
      <c r="A6425" s="172"/>
    </row>
    <row r="6426" spans="1:1" s="173" customFormat="1" ht="12" hidden="1" customHeight="1">
      <c r="A6426" s="172"/>
    </row>
    <row r="6427" spans="1:1" s="173" customFormat="1" ht="12" hidden="1" customHeight="1">
      <c r="A6427" s="172"/>
    </row>
    <row r="6428" spans="1:1" s="173" customFormat="1" ht="12" hidden="1" customHeight="1">
      <c r="A6428" s="172"/>
    </row>
    <row r="6429" spans="1:1" s="173" customFormat="1" ht="12" hidden="1" customHeight="1">
      <c r="A6429" s="172"/>
    </row>
    <row r="6430" spans="1:1" s="173" customFormat="1" ht="12" hidden="1" customHeight="1">
      <c r="A6430" s="172"/>
    </row>
    <row r="6431" spans="1:1" s="173" customFormat="1" ht="12" hidden="1" customHeight="1">
      <c r="A6431" s="172"/>
    </row>
    <row r="6432" spans="1:1" s="173" customFormat="1" ht="12" hidden="1" customHeight="1">
      <c r="A6432" s="172"/>
    </row>
    <row r="6433" spans="1:1" s="173" customFormat="1" ht="12" hidden="1" customHeight="1">
      <c r="A6433" s="172"/>
    </row>
    <row r="6434" spans="1:1" s="173" customFormat="1" ht="12" hidden="1" customHeight="1">
      <c r="A6434" s="172"/>
    </row>
    <row r="6435" spans="1:1" s="173" customFormat="1" ht="12" hidden="1" customHeight="1">
      <c r="A6435" s="172"/>
    </row>
    <row r="6436" spans="1:1" s="173" customFormat="1" ht="12" hidden="1" customHeight="1">
      <c r="A6436" s="172"/>
    </row>
    <row r="6437" spans="1:1" s="173" customFormat="1" ht="12" hidden="1" customHeight="1">
      <c r="A6437" s="172"/>
    </row>
    <row r="6438" spans="1:1" s="173" customFormat="1" ht="12" hidden="1" customHeight="1">
      <c r="A6438" s="172"/>
    </row>
    <row r="6439" spans="1:1" s="173" customFormat="1" ht="12" hidden="1" customHeight="1">
      <c r="A6439" s="172"/>
    </row>
    <row r="6440" spans="1:1" s="173" customFormat="1" ht="12" hidden="1" customHeight="1">
      <c r="A6440" s="172"/>
    </row>
    <row r="6441" spans="1:1" s="173" customFormat="1" ht="12" hidden="1" customHeight="1">
      <c r="A6441" s="172"/>
    </row>
    <row r="6442" spans="1:1" s="173" customFormat="1" ht="12" hidden="1" customHeight="1">
      <c r="A6442" s="172"/>
    </row>
    <row r="6443" spans="1:1" s="173" customFormat="1" ht="12" hidden="1" customHeight="1">
      <c r="A6443" s="172"/>
    </row>
    <row r="6444" spans="1:1" s="173" customFormat="1" ht="12" hidden="1" customHeight="1">
      <c r="A6444" s="172"/>
    </row>
    <row r="6445" spans="1:1" s="173" customFormat="1" ht="12" hidden="1" customHeight="1">
      <c r="A6445" s="172"/>
    </row>
    <row r="6446" spans="1:1" s="173" customFormat="1" ht="12" hidden="1" customHeight="1">
      <c r="A6446" s="172"/>
    </row>
    <row r="6447" spans="1:1" s="173" customFormat="1" ht="12" hidden="1" customHeight="1">
      <c r="A6447" s="172"/>
    </row>
    <row r="6448" spans="1:1" s="173" customFormat="1" ht="12" hidden="1" customHeight="1">
      <c r="A6448" s="172"/>
    </row>
    <row r="6449" spans="1:1" s="173" customFormat="1" ht="12" hidden="1" customHeight="1">
      <c r="A6449" s="172"/>
    </row>
    <row r="6450" spans="1:1" s="173" customFormat="1" ht="12" hidden="1" customHeight="1">
      <c r="A6450" s="172"/>
    </row>
    <row r="6451" spans="1:1" s="173" customFormat="1" ht="12" hidden="1" customHeight="1">
      <c r="A6451" s="172"/>
    </row>
    <row r="6452" spans="1:1" s="173" customFormat="1" ht="12" hidden="1" customHeight="1">
      <c r="A6452" s="172"/>
    </row>
    <row r="6453" spans="1:1" s="173" customFormat="1" ht="12" hidden="1" customHeight="1">
      <c r="A6453" s="172"/>
    </row>
    <row r="6454" spans="1:1" s="173" customFormat="1" ht="12" hidden="1" customHeight="1">
      <c r="A6454" s="172"/>
    </row>
    <row r="6455" spans="1:1" s="173" customFormat="1" ht="12" hidden="1" customHeight="1">
      <c r="A6455" s="172"/>
    </row>
    <row r="6456" spans="1:1" s="173" customFormat="1" ht="12" hidden="1" customHeight="1">
      <c r="A6456" s="172"/>
    </row>
    <row r="6457" spans="1:1" s="173" customFormat="1" ht="12" hidden="1" customHeight="1">
      <c r="A6457" s="172"/>
    </row>
    <row r="6458" spans="1:1" s="173" customFormat="1" ht="12" hidden="1" customHeight="1">
      <c r="A6458" s="172"/>
    </row>
    <row r="6459" spans="1:1" s="173" customFormat="1" ht="12" hidden="1" customHeight="1">
      <c r="A6459" s="172"/>
    </row>
    <row r="6460" spans="1:1" s="173" customFormat="1" ht="12" hidden="1" customHeight="1">
      <c r="A6460" s="172"/>
    </row>
    <row r="6461" spans="1:1" s="173" customFormat="1" ht="12" hidden="1" customHeight="1">
      <c r="A6461" s="172"/>
    </row>
    <row r="6462" spans="1:1" s="173" customFormat="1" ht="12" hidden="1" customHeight="1">
      <c r="A6462" s="172"/>
    </row>
    <row r="6463" spans="1:1" s="173" customFormat="1" ht="12" hidden="1" customHeight="1">
      <c r="A6463" s="172"/>
    </row>
    <row r="6464" spans="1:1" s="173" customFormat="1" ht="12" hidden="1" customHeight="1">
      <c r="A6464" s="172"/>
    </row>
    <row r="6465" spans="1:1" s="173" customFormat="1" ht="12" hidden="1" customHeight="1">
      <c r="A6465" s="172"/>
    </row>
    <row r="6466" spans="1:1" s="173" customFormat="1" ht="12" hidden="1" customHeight="1">
      <c r="A6466" s="172"/>
    </row>
    <row r="6467" spans="1:1" s="173" customFormat="1" ht="12" hidden="1" customHeight="1">
      <c r="A6467" s="172"/>
    </row>
    <row r="6468" spans="1:1" s="173" customFormat="1" ht="12" hidden="1" customHeight="1">
      <c r="A6468" s="172"/>
    </row>
    <row r="6469" spans="1:1" s="173" customFormat="1" ht="12" hidden="1" customHeight="1">
      <c r="A6469" s="172"/>
    </row>
    <row r="6470" spans="1:1" s="173" customFormat="1" ht="12" hidden="1" customHeight="1">
      <c r="A6470" s="172"/>
    </row>
    <row r="6471" spans="1:1" s="173" customFormat="1" ht="12" hidden="1" customHeight="1">
      <c r="A6471" s="172"/>
    </row>
    <row r="6472" spans="1:1" s="173" customFormat="1" ht="12" hidden="1" customHeight="1">
      <c r="A6472" s="172"/>
    </row>
    <row r="6473" spans="1:1" s="173" customFormat="1" ht="12" hidden="1" customHeight="1">
      <c r="A6473" s="172"/>
    </row>
    <row r="6474" spans="1:1" s="173" customFormat="1" ht="12" hidden="1" customHeight="1">
      <c r="A6474" s="172"/>
    </row>
    <row r="6475" spans="1:1" s="173" customFormat="1" ht="12" hidden="1" customHeight="1">
      <c r="A6475" s="172"/>
    </row>
    <row r="6476" spans="1:1" s="173" customFormat="1" ht="12" hidden="1" customHeight="1">
      <c r="A6476" s="172"/>
    </row>
    <row r="6477" spans="1:1" s="173" customFormat="1" ht="12" hidden="1" customHeight="1">
      <c r="A6477" s="172"/>
    </row>
    <row r="6478" spans="1:1" s="173" customFormat="1" ht="12" hidden="1" customHeight="1">
      <c r="A6478" s="172"/>
    </row>
    <row r="6479" spans="1:1" s="173" customFormat="1" ht="12" hidden="1" customHeight="1">
      <c r="A6479" s="172"/>
    </row>
    <row r="6480" spans="1:1" s="173" customFormat="1" ht="12" hidden="1" customHeight="1">
      <c r="A6480" s="172"/>
    </row>
    <row r="6481" spans="1:1" s="173" customFormat="1" ht="12" hidden="1" customHeight="1">
      <c r="A6481" s="172"/>
    </row>
    <row r="6482" spans="1:1" s="173" customFormat="1" ht="12" hidden="1" customHeight="1">
      <c r="A6482" s="172"/>
    </row>
    <row r="6483" spans="1:1" s="173" customFormat="1" ht="12" hidden="1" customHeight="1">
      <c r="A6483" s="172"/>
    </row>
    <row r="6484" spans="1:1" s="173" customFormat="1" ht="12" hidden="1" customHeight="1">
      <c r="A6484" s="172"/>
    </row>
    <row r="6485" spans="1:1" s="173" customFormat="1" ht="12" hidden="1" customHeight="1">
      <c r="A6485" s="172"/>
    </row>
    <row r="6486" spans="1:1" s="173" customFormat="1" ht="12" hidden="1" customHeight="1">
      <c r="A6486" s="172"/>
    </row>
    <row r="6487" spans="1:1" s="173" customFormat="1" ht="12" hidden="1" customHeight="1">
      <c r="A6487" s="172"/>
    </row>
    <row r="6488" spans="1:1" s="173" customFormat="1" ht="12" hidden="1" customHeight="1">
      <c r="A6488" s="172"/>
    </row>
    <row r="6489" spans="1:1" s="173" customFormat="1" ht="12" hidden="1" customHeight="1">
      <c r="A6489" s="172"/>
    </row>
    <row r="6490" spans="1:1" s="173" customFormat="1" ht="12" hidden="1" customHeight="1">
      <c r="A6490" s="172"/>
    </row>
    <row r="6491" spans="1:1" s="173" customFormat="1" ht="12" hidden="1" customHeight="1">
      <c r="A6491" s="172"/>
    </row>
    <row r="6492" spans="1:1" s="173" customFormat="1" ht="12" hidden="1" customHeight="1">
      <c r="A6492" s="172"/>
    </row>
    <row r="6493" spans="1:1" s="173" customFormat="1" ht="12" hidden="1" customHeight="1">
      <c r="A6493" s="172"/>
    </row>
    <row r="6494" spans="1:1" s="173" customFormat="1" ht="12" hidden="1" customHeight="1">
      <c r="A6494" s="172"/>
    </row>
    <row r="6495" spans="1:1" s="173" customFormat="1" ht="12" hidden="1" customHeight="1">
      <c r="A6495" s="172"/>
    </row>
    <row r="6496" spans="1:1" s="173" customFormat="1" ht="12" hidden="1" customHeight="1">
      <c r="A6496" s="172"/>
    </row>
    <row r="6497" spans="1:1" s="173" customFormat="1" ht="12" hidden="1" customHeight="1">
      <c r="A6497" s="172"/>
    </row>
    <row r="6498" spans="1:1" s="173" customFormat="1" ht="12" hidden="1" customHeight="1">
      <c r="A6498" s="172"/>
    </row>
    <row r="6499" spans="1:1" s="173" customFormat="1" ht="12" hidden="1" customHeight="1">
      <c r="A6499" s="172"/>
    </row>
    <row r="6500" spans="1:1" s="173" customFormat="1" ht="12" hidden="1" customHeight="1">
      <c r="A6500" s="172"/>
    </row>
    <row r="6501" spans="1:1" s="173" customFormat="1" ht="12" hidden="1" customHeight="1">
      <c r="A6501" s="172"/>
    </row>
    <row r="6502" spans="1:1" s="173" customFormat="1" ht="12" hidden="1" customHeight="1">
      <c r="A6502" s="172"/>
    </row>
    <row r="6503" spans="1:1" s="173" customFormat="1" ht="12" hidden="1" customHeight="1">
      <c r="A6503" s="172"/>
    </row>
    <row r="6504" spans="1:1" s="173" customFormat="1" ht="12" hidden="1" customHeight="1">
      <c r="A6504" s="172"/>
    </row>
    <row r="6505" spans="1:1" s="173" customFormat="1" ht="12" hidden="1" customHeight="1">
      <c r="A6505" s="172"/>
    </row>
    <row r="6506" spans="1:1" s="173" customFormat="1" ht="12" hidden="1" customHeight="1">
      <c r="A6506" s="172"/>
    </row>
    <row r="6507" spans="1:1" s="173" customFormat="1" ht="12" hidden="1" customHeight="1">
      <c r="A6507" s="172"/>
    </row>
    <row r="6508" spans="1:1" s="173" customFormat="1" ht="12" hidden="1" customHeight="1">
      <c r="A6508" s="172"/>
    </row>
    <row r="6509" spans="1:1" s="173" customFormat="1" ht="12" hidden="1" customHeight="1">
      <c r="A6509" s="172"/>
    </row>
    <row r="6510" spans="1:1" s="173" customFormat="1" ht="12" hidden="1" customHeight="1">
      <c r="A6510" s="172"/>
    </row>
    <row r="6511" spans="1:1" s="173" customFormat="1" ht="12" hidden="1" customHeight="1">
      <c r="A6511" s="172"/>
    </row>
    <row r="6512" spans="1:1" s="173" customFormat="1" ht="12" hidden="1" customHeight="1">
      <c r="A6512" s="172"/>
    </row>
    <row r="6513" spans="1:1" s="173" customFormat="1" ht="12" hidden="1" customHeight="1">
      <c r="A6513" s="172"/>
    </row>
    <row r="6514" spans="1:1" s="173" customFormat="1" ht="12" hidden="1" customHeight="1">
      <c r="A6514" s="172"/>
    </row>
    <row r="6515" spans="1:1" s="173" customFormat="1" ht="12" hidden="1" customHeight="1">
      <c r="A6515" s="172"/>
    </row>
    <row r="6516" spans="1:1" s="173" customFormat="1" ht="12" hidden="1" customHeight="1">
      <c r="A6516" s="172"/>
    </row>
    <row r="6517" spans="1:1" s="173" customFormat="1" ht="12" hidden="1" customHeight="1">
      <c r="A6517" s="172"/>
    </row>
    <row r="6518" spans="1:1" s="173" customFormat="1" ht="12" hidden="1" customHeight="1">
      <c r="A6518" s="172"/>
    </row>
    <row r="6519" spans="1:1" s="173" customFormat="1" ht="12" hidden="1" customHeight="1">
      <c r="A6519" s="172"/>
    </row>
    <row r="6520" spans="1:1" s="173" customFormat="1" ht="12" hidden="1" customHeight="1">
      <c r="A6520" s="172"/>
    </row>
    <row r="6521" spans="1:1" s="173" customFormat="1" ht="12" hidden="1" customHeight="1">
      <c r="A6521" s="172"/>
    </row>
    <row r="6522" spans="1:1" s="173" customFormat="1" ht="12" hidden="1" customHeight="1">
      <c r="A6522" s="172"/>
    </row>
    <row r="6523" spans="1:1" s="173" customFormat="1" ht="12" hidden="1" customHeight="1">
      <c r="A6523" s="172"/>
    </row>
    <row r="6524" spans="1:1" s="173" customFormat="1" ht="12" hidden="1" customHeight="1">
      <c r="A6524" s="172"/>
    </row>
    <row r="6525" spans="1:1" s="173" customFormat="1" ht="12" hidden="1" customHeight="1">
      <c r="A6525" s="172"/>
    </row>
    <row r="6526" spans="1:1" s="173" customFormat="1" ht="12" hidden="1" customHeight="1">
      <c r="A6526" s="172"/>
    </row>
    <row r="6527" spans="1:1" s="173" customFormat="1" ht="12" hidden="1" customHeight="1">
      <c r="A6527" s="172"/>
    </row>
    <row r="6528" spans="1:1" s="173" customFormat="1" ht="12" hidden="1" customHeight="1">
      <c r="A6528" s="172"/>
    </row>
    <row r="6529" spans="1:1" s="173" customFormat="1" ht="12" hidden="1" customHeight="1">
      <c r="A6529" s="172"/>
    </row>
    <row r="6530" spans="1:1" s="173" customFormat="1" ht="12" hidden="1" customHeight="1">
      <c r="A6530" s="172"/>
    </row>
    <row r="6531" spans="1:1" s="173" customFormat="1" ht="12" hidden="1" customHeight="1">
      <c r="A6531" s="172"/>
    </row>
    <row r="6532" spans="1:1" s="173" customFormat="1" ht="12" hidden="1" customHeight="1">
      <c r="A6532" s="172"/>
    </row>
    <row r="6533" spans="1:1" s="173" customFormat="1" ht="12" hidden="1" customHeight="1">
      <c r="A6533" s="172"/>
    </row>
    <row r="6534" spans="1:1" s="173" customFormat="1" ht="12" hidden="1" customHeight="1">
      <c r="A6534" s="172"/>
    </row>
    <row r="6535" spans="1:1" s="173" customFormat="1" ht="12" hidden="1" customHeight="1">
      <c r="A6535" s="172"/>
    </row>
    <row r="6536" spans="1:1" s="173" customFormat="1" ht="12" hidden="1" customHeight="1">
      <c r="A6536" s="172"/>
    </row>
    <row r="6537" spans="1:1" s="173" customFormat="1" ht="12" hidden="1" customHeight="1">
      <c r="A6537" s="172"/>
    </row>
    <row r="6538" spans="1:1" s="173" customFormat="1" ht="12" hidden="1" customHeight="1">
      <c r="A6538" s="172"/>
    </row>
    <row r="6539" spans="1:1" s="173" customFormat="1" ht="12" hidden="1" customHeight="1">
      <c r="A6539" s="172"/>
    </row>
    <row r="6540" spans="1:1" s="173" customFormat="1" ht="12" hidden="1" customHeight="1">
      <c r="A6540" s="172"/>
    </row>
    <row r="6541" spans="1:1" s="173" customFormat="1" ht="12" hidden="1" customHeight="1">
      <c r="A6541" s="172"/>
    </row>
    <row r="6542" spans="1:1" s="173" customFormat="1" ht="12" hidden="1" customHeight="1">
      <c r="A6542" s="172"/>
    </row>
    <row r="6543" spans="1:1" s="173" customFormat="1" ht="12" hidden="1" customHeight="1">
      <c r="A6543" s="172"/>
    </row>
    <row r="6544" spans="1:1" s="173" customFormat="1" ht="12" hidden="1" customHeight="1">
      <c r="A6544" s="172"/>
    </row>
    <row r="6545" spans="1:1" s="173" customFormat="1" ht="12" hidden="1" customHeight="1">
      <c r="A6545" s="172"/>
    </row>
    <row r="6546" spans="1:1" s="173" customFormat="1" ht="12" hidden="1" customHeight="1">
      <c r="A6546" s="172"/>
    </row>
    <row r="6547" spans="1:1" s="173" customFormat="1" ht="12" hidden="1" customHeight="1">
      <c r="A6547" s="172"/>
    </row>
    <row r="6548" spans="1:1" s="173" customFormat="1" ht="12" hidden="1" customHeight="1">
      <c r="A6548" s="172"/>
    </row>
    <row r="6549" spans="1:1" s="173" customFormat="1" ht="12" hidden="1" customHeight="1">
      <c r="A6549" s="172"/>
    </row>
    <row r="6550" spans="1:1" s="173" customFormat="1" ht="12" hidden="1" customHeight="1">
      <c r="A6550" s="172"/>
    </row>
    <row r="6551" spans="1:1" s="173" customFormat="1" ht="12" hidden="1" customHeight="1">
      <c r="A6551" s="172"/>
    </row>
    <row r="6552" spans="1:1" s="173" customFormat="1" ht="12" hidden="1" customHeight="1">
      <c r="A6552" s="172"/>
    </row>
    <row r="6553" spans="1:1" s="173" customFormat="1" ht="12" hidden="1" customHeight="1">
      <c r="A6553" s="172"/>
    </row>
    <row r="6554" spans="1:1" s="173" customFormat="1" ht="12" hidden="1" customHeight="1">
      <c r="A6554" s="172"/>
    </row>
    <row r="6555" spans="1:1" s="173" customFormat="1" ht="12" hidden="1" customHeight="1">
      <c r="A6555" s="172"/>
    </row>
    <row r="6556" spans="1:1" s="173" customFormat="1" ht="12" hidden="1" customHeight="1">
      <c r="A6556" s="172"/>
    </row>
    <row r="6557" spans="1:1" s="173" customFormat="1" ht="12" hidden="1" customHeight="1">
      <c r="A6557" s="172"/>
    </row>
    <row r="6558" spans="1:1" s="173" customFormat="1" ht="12" hidden="1" customHeight="1">
      <c r="A6558" s="172"/>
    </row>
    <row r="6559" spans="1:1" s="173" customFormat="1" ht="12" hidden="1" customHeight="1">
      <c r="A6559" s="172"/>
    </row>
    <row r="6560" spans="1:1" s="173" customFormat="1" ht="12" hidden="1" customHeight="1">
      <c r="A6560" s="172"/>
    </row>
    <row r="6561" spans="1:1" s="173" customFormat="1" ht="12" hidden="1" customHeight="1">
      <c r="A6561" s="172"/>
    </row>
    <row r="6562" spans="1:1" s="173" customFormat="1" ht="12" hidden="1" customHeight="1">
      <c r="A6562" s="172"/>
    </row>
    <row r="6563" spans="1:1" s="173" customFormat="1" ht="12" hidden="1" customHeight="1">
      <c r="A6563" s="172"/>
    </row>
    <row r="6564" spans="1:1" s="173" customFormat="1" ht="12" hidden="1" customHeight="1">
      <c r="A6564" s="172"/>
    </row>
    <row r="6565" spans="1:1" s="173" customFormat="1" ht="12" hidden="1" customHeight="1">
      <c r="A6565" s="172"/>
    </row>
    <row r="6566" spans="1:1" s="173" customFormat="1" ht="12" hidden="1" customHeight="1">
      <c r="A6566" s="172"/>
    </row>
    <row r="6567" spans="1:1" s="173" customFormat="1" ht="12" hidden="1" customHeight="1">
      <c r="A6567" s="172"/>
    </row>
    <row r="6568" spans="1:1" s="173" customFormat="1" ht="12" hidden="1" customHeight="1">
      <c r="A6568" s="172"/>
    </row>
    <row r="6569" spans="1:1" s="173" customFormat="1" ht="12" hidden="1" customHeight="1">
      <c r="A6569" s="172"/>
    </row>
    <row r="6570" spans="1:1" s="173" customFormat="1" ht="12" hidden="1" customHeight="1">
      <c r="A6570" s="172"/>
    </row>
    <row r="6571" spans="1:1" s="173" customFormat="1" ht="12" hidden="1" customHeight="1">
      <c r="A6571" s="172"/>
    </row>
    <row r="6572" spans="1:1" s="173" customFormat="1" ht="12" hidden="1" customHeight="1">
      <c r="A6572" s="172"/>
    </row>
    <row r="6573" spans="1:1" s="173" customFormat="1" ht="12" hidden="1" customHeight="1">
      <c r="A6573" s="172"/>
    </row>
    <row r="6574" spans="1:1" s="173" customFormat="1" ht="12" hidden="1" customHeight="1">
      <c r="A6574" s="172"/>
    </row>
    <row r="6575" spans="1:1" s="173" customFormat="1" ht="12" hidden="1" customHeight="1">
      <c r="A6575" s="172"/>
    </row>
    <row r="6576" spans="1:1" s="173" customFormat="1" ht="12" hidden="1" customHeight="1">
      <c r="A6576" s="172"/>
    </row>
    <row r="6577" spans="1:1" s="173" customFormat="1" ht="12" hidden="1" customHeight="1">
      <c r="A6577" s="172"/>
    </row>
    <row r="6578" spans="1:1" s="173" customFormat="1" ht="12" hidden="1" customHeight="1">
      <c r="A6578" s="172"/>
    </row>
    <row r="6579" spans="1:1" s="173" customFormat="1" ht="12" hidden="1" customHeight="1">
      <c r="A6579" s="172"/>
    </row>
    <row r="6580" spans="1:1" s="173" customFormat="1" ht="12" hidden="1" customHeight="1">
      <c r="A6580" s="172"/>
    </row>
    <row r="6581" spans="1:1" s="173" customFormat="1" ht="12" hidden="1" customHeight="1">
      <c r="A6581" s="172"/>
    </row>
    <row r="6582" spans="1:1" s="173" customFormat="1" ht="12" hidden="1" customHeight="1">
      <c r="A6582" s="172"/>
    </row>
    <row r="6583" spans="1:1" s="173" customFormat="1" ht="12" hidden="1" customHeight="1">
      <c r="A6583" s="172"/>
    </row>
    <row r="6584" spans="1:1" s="173" customFormat="1" ht="12" hidden="1" customHeight="1">
      <c r="A6584" s="172"/>
    </row>
    <row r="6585" spans="1:1" s="173" customFormat="1" ht="12" hidden="1" customHeight="1">
      <c r="A6585" s="172"/>
    </row>
    <row r="6586" spans="1:1" s="173" customFormat="1" ht="12" hidden="1" customHeight="1">
      <c r="A6586" s="172"/>
    </row>
    <row r="6587" spans="1:1" s="173" customFormat="1" ht="12" hidden="1" customHeight="1">
      <c r="A6587" s="172"/>
    </row>
    <row r="6588" spans="1:1" s="173" customFormat="1" ht="12" hidden="1" customHeight="1">
      <c r="A6588" s="172"/>
    </row>
    <row r="6589" spans="1:1" s="173" customFormat="1" ht="12" hidden="1" customHeight="1">
      <c r="A6589" s="172"/>
    </row>
    <row r="6590" spans="1:1" s="173" customFormat="1" ht="12" hidden="1" customHeight="1">
      <c r="A6590" s="172"/>
    </row>
    <row r="6591" spans="1:1" s="173" customFormat="1" ht="12" hidden="1" customHeight="1">
      <c r="A6591" s="172"/>
    </row>
    <row r="6592" spans="1:1" s="173" customFormat="1" ht="12" hidden="1" customHeight="1">
      <c r="A6592" s="172"/>
    </row>
    <row r="6593" spans="1:1" s="173" customFormat="1" ht="12" hidden="1" customHeight="1">
      <c r="A6593" s="172"/>
    </row>
    <row r="6594" spans="1:1" s="173" customFormat="1" ht="12" hidden="1" customHeight="1">
      <c r="A6594" s="172"/>
    </row>
    <row r="6595" spans="1:1" s="173" customFormat="1" ht="12" hidden="1" customHeight="1">
      <c r="A6595" s="172"/>
    </row>
    <row r="6596" spans="1:1" s="173" customFormat="1" ht="12" hidden="1" customHeight="1">
      <c r="A6596" s="172"/>
    </row>
    <row r="6597" spans="1:1" s="173" customFormat="1" ht="12" hidden="1" customHeight="1">
      <c r="A6597" s="172"/>
    </row>
    <row r="6598" spans="1:1" s="173" customFormat="1" ht="12" hidden="1" customHeight="1">
      <c r="A6598" s="172"/>
    </row>
    <row r="6599" spans="1:1" s="173" customFormat="1" ht="12" hidden="1" customHeight="1">
      <c r="A6599" s="172"/>
    </row>
    <row r="6600" spans="1:1" s="173" customFormat="1" ht="12" hidden="1" customHeight="1">
      <c r="A6600" s="172"/>
    </row>
    <row r="6601" spans="1:1" s="173" customFormat="1" ht="12" hidden="1" customHeight="1">
      <c r="A6601" s="172"/>
    </row>
    <row r="6602" spans="1:1" s="173" customFormat="1" ht="12" hidden="1" customHeight="1">
      <c r="A6602" s="172"/>
    </row>
    <row r="6603" spans="1:1" s="173" customFormat="1" ht="12" hidden="1" customHeight="1">
      <c r="A6603" s="172"/>
    </row>
    <row r="6604" spans="1:1" s="173" customFormat="1" ht="12" hidden="1" customHeight="1">
      <c r="A6604" s="172"/>
    </row>
    <row r="6605" spans="1:1" s="173" customFormat="1" ht="12" hidden="1" customHeight="1">
      <c r="A6605" s="172"/>
    </row>
    <row r="6606" spans="1:1" s="173" customFormat="1" ht="12" hidden="1" customHeight="1">
      <c r="A6606" s="172"/>
    </row>
    <row r="6607" spans="1:1" s="173" customFormat="1" ht="12" hidden="1" customHeight="1">
      <c r="A6607" s="172"/>
    </row>
    <row r="6608" spans="1:1" s="173" customFormat="1" ht="12" hidden="1" customHeight="1">
      <c r="A6608" s="172"/>
    </row>
    <row r="6609" spans="1:1" s="173" customFormat="1" ht="12" hidden="1" customHeight="1">
      <c r="A6609" s="172"/>
    </row>
    <row r="6610" spans="1:1" s="173" customFormat="1" ht="12" hidden="1" customHeight="1">
      <c r="A6610" s="172"/>
    </row>
    <row r="6611" spans="1:1" s="173" customFormat="1" ht="12" hidden="1" customHeight="1">
      <c r="A6611" s="172"/>
    </row>
    <row r="6612" spans="1:1" s="173" customFormat="1" ht="12" hidden="1" customHeight="1">
      <c r="A6612" s="172"/>
    </row>
    <row r="6613" spans="1:1" s="173" customFormat="1" ht="12" hidden="1" customHeight="1">
      <c r="A6613" s="172"/>
    </row>
    <row r="6614" spans="1:1" s="173" customFormat="1" ht="12" hidden="1" customHeight="1">
      <c r="A6614" s="172"/>
    </row>
    <row r="6615" spans="1:1" s="173" customFormat="1" ht="12" hidden="1" customHeight="1">
      <c r="A6615" s="172"/>
    </row>
    <row r="6616" spans="1:1" s="173" customFormat="1" ht="12" hidden="1" customHeight="1">
      <c r="A6616" s="172"/>
    </row>
    <row r="6617" spans="1:1" s="173" customFormat="1" ht="12" hidden="1" customHeight="1">
      <c r="A6617" s="172"/>
    </row>
    <row r="6618" spans="1:1" s="173" customFormat="1" ht="12" hidden="1" customHeight="1">
      <c r="A6618" s="172"/>
    </row>
    <row r="6619" spans="1:1" s="173" customFormat="1" ht="12" hidden="1" customHeight="1">
      <c r="A6619" s="172"/>
    </row>
    <row r="6620" spans="1:1" s="173" customFormat="1" ht="12" hidden="1" customHeight="1">
      <c r="A6620" s="172"/>
    </row>
    <row r="6621" spans="1:1" s="173" customFormat="1" ht="12" hidden="1" customHeight="1">
      <c r="A6621" s="172"/>
    </row>
    <row r="6622" spans="1:1" s="173" customFormat="1" ht="12" hidden="1" customHeight="1">
      <c r="A6622" s="172"/>
    </row>
    <row r="6623" spans="1:1" s="173" customFormat="1" ht="12" hidden="1" customHeight="1">
      <c r="A6623" s="172"/>
    </row>
    <row r="6624" spans="1:1" s="173" customFormat="1" ht="12" hidden="1" customHeight="1">
      <c r="A6624" s="172"/>
    </row>
    <row r="6625" spans="1:1" s="173" customFormat="1" ht="12" hidden="1" customHeight="1">
      <c r="A6625" s="172"/>
    </row>
    <row r="6626" spans="1:1" s="173" customFormat="1" ht="12" hidden="1" customHeight="1">
      <c r="A6626" s="172"/>
    </row>
    <row r="6627" spans="1:1" s="173" customFormat="1" ht="12" hidden="1" customHeight="1">
      <c r="A6627" s="172"/>
    </row>
    <row r="6628" spans="1:1" s="173" customFormat="1" ht="12" hidden="1" customHeight="1">
      <c r="A6628" s="172"/>
    </row>
    <row r="6629" spans="1:1" s="173" customFormat="1" ht="12" hidden="1" customHeight="1">
      <c r="A6629" s="172"/>
    </row>
    <row r="6630" spans="1:1" s="173" customFormat="1" ht="12" hidden="1" customHeight="1">
      <c r="A6630" s="172"/>
    </row>
    <row r="6631" spans="1:1" s="173" customFormat="1" ht="12" hidden="1" customHeight="1">
      <c r="A6631" s="172"/>
    </row>
    <row r="6632" spans="1:1" s="173" customFormat="1" ht="12" hidden="1" customHeight="1">
      <c r="A6632" s="172"/>
    </row>
    <row r="6633" spans="1:1" s="173" customFormat="1" ht="12" hidden="1" customHeight="1">
      <c r="A6633" s="172"/>
    </row>
    <row r="6634" spans="1:1" s="173" customFormat="1" ht="12" hidden="1" customHeight="1">
      <c r="A6634" s="172"/>
    </row>
    <row r="6635" spans="1:1" s="173" customFormat="1" ht="12" hidden="1" customHeight="1">
      <c r="A6635" s="172"/>
    </row>
    <row r="6636" spans="1:1" s="173" customFormat="1" ht="12" hidden="1" customHeight="1">
      <c r="A6636" s="172"/>
    </row>
    <row r="6637" spans="1:1" s="173" customFormat="1" ht="12" hidden="1" customHeight="1">
      <c r="A6637" s="172"/>
    </row>
    <row r="6638" spans="1:1" s="173" customFormat="1" ht="12" hidden="1" customHeight="1">
      <c r="A6638" s="172"/>
    </row>
    <row r="6639" spans="1:1" s="173" customFormat="1" ht="12" hidden="1" customHeight="1">
      <c r="A6639" s="172"/>
    </row>
    <row r="6640" spans="1:1" s="173" customFormat="1" ht="12" hidden="1" customHeight="1">
      <c r="A6640" s="172"/>
    </row>
    <row r="6641" spans="1:1" s="173" customFormat="1" ht="12" hidden="1" customHeight="1">
      <c r="A6641" s="172"/>
    </row>
    <row r="6642" spans="1:1" s="173" customFormat="1" ht="12" hidden="1" customHeight="1">
      <c r="A6642" s="172"/>
    </row>
    <row r="6643" spans="1:1" s="173" customFormat="1" ht="12" hidden="1" customHeight="1">
      <c r="A6643" s="172"/>
    </row>
    <row r="6644" spans="1:1" s="173" customFormat="1" ht="12" hidden="1" customHeight="1">
      <c r="A6644" s="172"/>
    </row>
    <row r="6645" spans="1:1" s="173" customFormat="1" ht="12" hidden="1" customHeight="1">
      <c r="A6645" s="172"/>
    </row>
    <row r="6646" spans="1:1" s="173" customFormat="1" ht="12" hidden="1" customHeight="1">
      <c r="A6646" s="172"/>
    </row>
    <row r="6647" spans="1:1" s="173" customFormat="1" ht="12" hidden="1" customHeight="1">
      <c r="A6647" s="172"/>
    </row>
    <row r="6648" spans="1:1" s="173" customFormat="1" ht="12" hidden="1" customHeight="1">
      <c r="A6648" s="172"/>
    </row>
    <row r="6649" spans="1:1" s="173" customFormat="1" ht="12" hidden="1" customHeight="1">
      <c r="A6649" s="172"/>
    </row>
    <row r="6650" spans="1:1" s="173" customFormat="1" ht="12" hidden="1" customHeight="1">
      <c r="A6650" s="172"/>
    </row>
    <row r="6651" spans="1:1" s="173" customFormat="1" ht="12" hidden="1" customHeight="1">
      <c r="A6651" s="172"/>
    </row>
    <row r="6652" spans="1:1" s="173" customFormat="1" ht="12" hidden="1" customHeight="1">
      <c r="A6652" s="172"/>
    </row>
    <row r="6653" spans="1:1" s="173" customFormat="1" ht="12" hidden="1" customHeight="1">
      <c r="A6653" s="172"/>
    </row>
    <row r="6654" spans="1:1" s="173" customFormat="1" ht="12" hidden="1" customHeight="1">
      <c r="A6654" s="172"/>
    </row>
    <row r="6655" spans="1:1" s="173" customFormat="1" ht="12" hidden="1" customHeight="1">
      <c r="A6655" s="172"/>
    </row>
    <row r="6656" spans="1:1" s="173" customFormat="1" ht="12" hidden="1" customHeight="1">
      <c r="A6656" s="172"/>
    </row>
    <row r="6657" spans="1:1" s="173" customFormat="1" ht="12" hidden="1" customHeight="1">
      <c r="A6657" s="172"/>
    </row>
    <row r="6658" spans="1:1" s="173" customFormat="1" ht="12" hidden="1" customHeight="1">
      <c r="A6658" s="172"/>
    </row>
    <row r="6659" spans="1:1" s="173" customFormat="1" ht="12" hidden="1" customHeight="1">
      <c r="A6659" s="172"/>
    </row>
    <row r="6660" spans="1:1" s="173" customFormat="1" ht="12" hidden="1" customHeight="1">
      <c r="A6660" s="172"/>
    </row>
    <row r="6661" spans="1:1" s="173" customFormat="1" ht="12" hidden="1" customHeight="1">
      <c r="A6661" s="172"/>
    </row>
    <row r="6662" spans="1:1" s="173" customFormat="1" ht="12" hidden="1" customHeight="1">
      <c r="A6662" s="172"/>
    </row>
    <row r="6663" spans="1:1" s="173" customFormat="1" ht="12" hidden="1" customHeight="1">
      <c r="A6663" s="172"/>
    </row>
    <row r="6664" spans="1:1" s="173" customFormat="1" ht="12" hidden="1" customHeight="1">
      <c r="A6664" s="172"/>
    </row>
    <row r="6665" spans="1:1" s="173" customFormat="1" ht="12" hidden="1" customHeight="1">
      <c r="A6665" s="172"/>
    </row>
    <row r="6666" spans="1:1" s="173" customFormat="1" ht="12" hidden="1" customHeight="1">
      <c r="A6666" s="172"/>
    </row>
    <row r="6667" spans="1:1" s="173" customFormat="1" ht="12" hidden="1" customHeight="1">
      <c r="A6667" s="172"/>
    </row>
    <row r="6668" spans="1:1" s="173" customFormat="1" ht="12" hidden="1" customHeight="1">
      <c r="A6668" s="172"/>
    </row>
    <row r="6669" spans="1:1" s="173" customFormat="1" ht="12" hidden="1" customHeight="1">
      <c r="A6669" s="172"/>
    </row>
    <row r="6670" spans="1:1" s="173" customFormat="1" ht="12" hidden="1" customHeight="1">
      <c r="A6670" s="172"/>
    </row>
    <row r="6671" spans="1:1" s="173" customFormat="1" ht="12" hidden="1" customHeight="1">
      <c r="A6671" s="172"/>
    </row>
    <row r="6672" spans="1:1" s="173" customFormat="1" ht="12" hidden="1" customHeight="1">
      <c r="A6672" s="172"/>
    </row>
    <row r="6673" spans="1:1" s="173" customFormat="1" ht="12" hidden="1" customHeight="1">
      <c r="A6673" s="172"/>
    </row>
    <row r="6674" spans="1:1" s="173" customFormat="1" ht="12" hidden="1" customHeight="1">
      <c r="A6674" s="172"/>
    </row>
    <row r="6675" spans="1:1" s="173" customFormat="1" ht="12" hidden="1" customHeight="1">
      <c r="A6675" s="172"/>
    </row>
    <row r="6676" spans="1:1" s="173" customFormat="1" ht="12" hidden="1" customHeight="1">
      <c r="A6676" s="172"/>
    </row>
    <row r="6677" spans="1:1" s="173" customFormat="1" ht="12" hidden="1" customHeight="1">
      <c r="A6677" s="172"/>
    </row>
    <row r="6678" spans="1:1" s="173" customFormat="1" ht="12" hidden="1" customHeight="1">
      <c r="A6678" s="172"/>
    </row>
    <row r="6679" spans="1:1" s="173" customFormat="1" ht="12" hidden="1" customHeight="1">
      <c r="A6679" s="172"/>
    </row>
    <row r="6680" spans="1:1" s="173" customFormat="1" ht="12" hidden="1" customHeight="1">
      <c r="A6680" s="172"/>
    </row>
    <row r="6681" spans="1:1" s="173" customFormat="1" ht="12" hidden="1" customHeight="1">
      <c r="A6681" s="172"/>
    </row>
    <row r="6682" spans="1:1" s="173" customFormat="1" ht="12" hidden="1" customHeight="1">
      <c r="A6682" s="172"/>
    </row>
    <row r="6683" spans="1:1" s="173" customFormat="1" ht="12" hidden="1" customHeight="1">
      <c r="A6683" s="172"/>
    </row>
    <row r="6684" spans="1:1" s="173" customFormat="1" ht="12" hidden="1" customHeight="1">
      <c r="A6684" s="172"/>
    </row>
    <row r="6685" spans="1:1" s="173" customFormat="1" ht="12" hidden="1" customHeight="1">
      <c r="A6685" s="172"/>
    </row>
    <row r="6686" spans="1:1" s="173" customFormat="1" ht="12" hidden="1" customHeight="1">
      <c r="A6686" s="172"/>
    </row>
    <row r="6687" spans="1:1" s="173" customFormat="1" ht="12" hidden="1" customHeight="1">
      <c r="A6687" s="172"/>
    </row>
    <row r="6688" spans="1:1" s="173" customFormat="1" ht="12" hidden="1" customHeight="1">
      <c r="A6688" s="172"/>
    </row>
    <row r="6689" spans="1:1" s="173" customFormat="1" ht="12" hidden="1" customHeight="1">
      <c r="A6689" s="172"/>
    </row>
    <row r="6690" spans="1:1" s="173" customFormat="1" ht="12" hidden="1" customHeight="1">
      <c r="A6690" s="172"/>
    </row>
    <row r="6691" spans="1:1" s="173" customFormat="1" ht="12" hidden="1" customHeight="1">
      <c r="A6691" s="172"/>
    </row>
    <row r="6692" spans="1:1" s="173" customFormat="1" ht="12" hidden="1" customHeight="1">
      <c r="A6692" s="172"/>
    </row>
    <row r="6693" spans="1:1" s="173" customFormat="1" ht="12" hidden="1" customHeight="1">
      <c r="A6693" s="172"/>
    </row>
    <row r="6694" spans="1:1" s="173" customFormat="1" ht="12" hidden="1" customHeight="1">
      <c r="A6694" s="172"/>
    </row>
    <row r="6695" spans="1:1" s="173" customFormat="1" ht="12" hidden="1" customHeight="1">
      <c r="A6695" s="172"/>
    </row>
    <row r="6696" spans="1:1" s="173" customFormat="1" ht="12" hidden="1" customHeight="1">
      <c r="A6696" s="172"/>
    </row>
    <row r="6697" spans="1:1" s="173" customFormat="1" ht="12" hidden="1" customHeight="1">
      <c r="A6697" s="172"/>
    </row>
    <row r="6698" spans="1:1" s="173" customFormat="1" ht="12" hidden="1" customHeight="1">
      <c r="A6698" s="172"/>
    </row>
    <row r="6699" spans="1:1" s="173" customFormat="1" ht="12" hidden="1" customHeight="1">
      <c r="A6699" s="172"/>
    </row>
    <row r="6700" spans="1:1" s="173" customFormat="1" ht="12" hidden="1" customHeight="1">
      <c r="A6700" s="172"/>
    </row>
    <row r="6701" spans="1:1" s="173" customFormat="1" ht="12" hidden="1" customHeight="1">
      <c r="A6701" s="172"/>
    </row>
    <row r="6702" spans="1:1" s="173" customFormat="1" ht="12" hidden="1" customHeight="1">
      <c r="A6702" s="172"/>
    </row>
    <row r="6703" spans="1:1" s="173" customFormat="1" ht="12" hidden="1" customHeight="1">
      <c r="A6703" s="172"/>
    </row>
    <row r="6704" spans="1:1" s="173" customFormat="1" ht="12" hidden="1" customHeight="1">
      <c r="A6704" s="172"/>
    </row>
    <row r="6705" spans="1:1" s="173" customFormat="1" ht="12" hidden="1" customHeight="1">
      <c r="A6705" s="172"/>
    </row>
    <row r="6706" spans="1:1" s="173" customFormat="1" ht="12" hidden="1" customHeight="1">
      <c r="A6706" s="172"/>
    </row>
    <row r="6707" spans="1:1" s="173" customFormat="1" ht="12" hidden="1" customHeight="1">
      <c r="A6707" s="172"/>
    </row>
    <row r="6708" spans="1:1" s="173" customFormat="1" ht="12" hidden="1" customHeight="1">
      <c r="A6708" s="172"/>
    </row>
    <row r="6709" spans="1:1" s="173" customFormat="1" ht="12" hidden="1" customHeight="1">
      <c r="A6709" s="172"/>
    </row>
    <row r="6710" spans="1:1" s="173" customFormat="1" ht="12" hidden="1" customHeight="1">
      <c r="A6710" s="172"/>
    </row>
    <row r="6711" spans="1:1" s="173" customFormat="1" ht="12" hidden="1" customHeight="1">
      <c r="A6711" s="172"/>
    </row>
    <row r="6712" spans="1:1" s="173" customFormat="1" ht="12" hidden="1" customHeight="1">
      <c r="A6712" s="172"/>
    </row>
    <row r="6713" spans="1:1" s="173" customFormat="1" ht="12" hidden="1" customHeight="1">
      <c r="A6713" s="172"/>
    </row>
    <row r="6714" spans="1:1" s="173" customFormat="1" ht="12" hidden="1" customHeight="1">
      <c r="A6714" s="172"/>
    </row>
    <row r="6715" spans="1:1" s="173" customFormat="1" ht="12" hidden="1" customHeight="1">
      <c r="A6715" s="172"/>
    </row>
    <row r="6716" spans="1:1" s="173" customFormat="1" ht="12" hidden="1" customHeight="1">
      <c r="A6716" s="172"/>
    </row>
    <row r="6717" spans="1:1" s="173" customFormat="1" ht="12" hidden="1" customHeight="1">
      <c r="A6717" s="172"/>
    </row>
    <row r="6718" spans="1:1" s="173" customFormat="1" ht="12" hidden="1" customHeight="1">
      <c r="A6718" s="172"/>
    </row>
    <row r="6719" spans="1:1" s="173" customFormat="1" ht="12" hidden="1" customHeight="1">
      <c r="A6719" s="172"/>
    </row>
    <row r="6720" spans="1:1" s="173" customFormat="1" ht="12" hidden="1" customHeight="1">
      <c r="A6720" s="172"/>
    </row>
    <row r="6721" spans="1:1" s="173" customFormat="1" ht="12" hidden="1" customHeight="1">
      <c r="A6721" s="172"/>
    </row>
    <row r="6722" spans="1:1" s="173" customFormat="1" ht="12" hidden="1" customHeight="1">
      <c r="A6722" s="172"/>
    </row>
    <row r="6723" spans="1:1" s="173" customFormat="1" ht="12" hidden="1" customHeight="1">
      <c r="A6723" s="172"/>
    </row>
    <row r="6724" spans="1:1" s="173" customFormat="1" ht="12" hidden="1" customHeight="1">
      <c r="A6724" s="172"/>
    </row>
    <row r="6725" spans="1:1" s="173" customFormat="1" ht="12" hidden="1" customHeight="1">
      <c r="A6725" s="172"/>
    </row>
    <row r="6726" spans="1:1" s="173" customFormat="1" ht="12" hidden="1" customHeight="1">
      <c r="A6726" s="172"/>
    </row>
    <row r="6727" spans="1:1" s="173" customFormat="1" ht="12" hidden="1" customHeight="1">
      <c r="A6727" s="172"/>
    </row>
    <row r="6728" spans="1:1" s="173" customFormat="1" ht="12" hidden="1" customHeight="1">
      <c r="A6728" s="172"/>
    </row>
    <row r="6729" spans="1:1" s="173" customFormat="1" ht="12" hidden="1" customHeight="1">
      <c r="A6729" s="172"/>
    </row>
    <row r="6730" spans="1:1" s="173" customFormat="1" ht="12" hidden="1" customHeight="1">
      <c r="A6730" s="172"/>
    </row>
    <row r="6731" spans="1:1" s="173" customFormat="1" ht="12" hidden="1" customHeight="1">
      <c r="A6731" s="172"/>
    </row>
    <row r="6732" spans="1:1" s="173" customFormat="1" ht="12" hidden="1" customHeight="1">
      <c r="A6732" s="172"/>
    </row>
    <row r="6733" spans="1:1" s="173" customFormat="1" ht="12" hidden="1" customHeight="1">
      <c r="A6733" s="172"/>
    </row>
    <row r="6734" spans="1:1" s="173" customFormat="1" ht="12" hidden="1" customHeight="1">
      <c r="A6734" s="172"/>
    </row>
    <row r="6735" spans="1:1" s="173" customFormat="1" ht="12" hidden="1" customHeight="1">
      <c r="A6735" s="172"/>
    </row>
    <row r="6736" spans="1:1" s="173" customFormat="1" ht="12" hidden="1" customHeight="1">
      <c r="A6736" s="172"/>
    </row>
    <row r="6737" spans="1:1" s="173" customFormat="1" ht="12" hidden="1" customHeight="1">
      <c r="A6737" s="172"/>
    </row>
    <row r="6738" spans="1:1" s="173" customFormat="1" ht="12" hidden="1" customHeight="1">
      <c r="A6738" s="172"/>
    </row>
    <row r="6739" spans="1:1" s="173" customFormat="1" ht="12" hidden="1" customHeight="1">
      <c r="A6739" s="172"/>
    </row>
    <row r="6740" spans="1:1" s="173" customFormat="1" ht="12" hidden="1" customHeight="1">
      <c r="A6740" s="172"/>
    </row>
    <row r="6741" spans="1:1" s="173" customFormat="1" ht="12" hidden="1" customHeight="1">
      <c r="A6741" s="172"/>
    </row>
    <row r="6742" spans="1:1" s="173" customFormat="1" ht="12" hidden="1" customHeight="1">
      <c r="A6742" s="172"/>
    </row>
    <row r="6743" spans="1:1" s="173" customFormat="1" ht="12" hidden="1" customHeight="1">
      <c r="A6743" s="172"/>
    </row>
    <row r="6744" spans="1:1" s="173" customFormat="1" ht="12" hidden="1" customHeight="1">
      <c r="A6744" s="172"/>
    </row>
    <row r="6745" spans="1:1" s="173" customFormat="1" ht="12" hidden="1" customHeight="1">
      <c r="A6745" s="172"/>
    </row>
    <row r="6746" spans="1:1" s="173" customFormat="1" ht="12" hidden="1" customHeight="1">
      <c r="A6746" s="172"/>
    </row>
    <row r="6747" spans="1:1" s="173" customFormat="1" ht="12" hidden="1" customHeight="1">
      <c r="A6747" s="172"/>
    </row>
    <row r="6748" spans="1:1" s="173" customFormat="1" ht="12" hidden="1" customHeight="1">
      <c r="A6748" s="172"/>
    </row>
    <row r="6749" spans="1:1" s="173" customFormat="1" ht="12" hidden="1" customHeight="1">
      <c r="A6749" s="172"/>
    </row>
    <row r="6750" spans="1:1" s="173" customFormat="1" ht="12" hidden="1" customHeight="1">
      <c r="A6750" s="172"/>
    </row>
    <row r="6751" spans="1:1" s="173" customFormat="1" ht="12" hidden="1" customHeight="1">
      <c r="A6751" s="172"/>
    </row>
    <row r="6752" spans="1:1" s="173" customFormat="1" ht="12" hidden="1" customHeight="1">
      <c r="A6752" s="172"/>
    </row>
    <row r="6753" spans="1:1" s="173" customFormat="1" ht="12" hidden="1" customHeight="1">
      <c r="A6753" s="172"/>
    </row>
    <row r="6754" spans="1:1" s="173" customFormat="1" ht="12" hidden="1" customHeight="1">
      <c r="A6754" s="172"/>
    </row>
    <row r="6755" spans="1:1" s="173" customFormat="1" ht="12" hidden="1" customHeight="1">
      <c r="A6755" s="172"/>
    </row>
    <row r="6756" spans="1:1" s="173" customFormat="1" ht="12" hidden="1" customHeight="1">
      <c r="A6756" s="172"/>
    </row>
    <row r="6757" spans="1:1" s="173" customFormat="1" ht="12" hidden="1" customHeight="1">
      <c r="A6757" s="172"/>
    </row>
    <row r="6758" spans="1:1" s="173" customFormat="1" ht="12" hidden="1" customHeight="1">
      <c r="A6758" s="172"/>
    </row>
    <row r="6759" spans="1:1" s="173" customFormat="1" ht="12" hidden="1" customHeight="1">
      <c r="A6759" s="172"/>
    </row>
    <row r="6760" spans="1:1" s="173" customFormat="1" ht="12" hidden="1" customHeight="1">
      <c r="A6760" s="172"/>
    </row>
    <row r="6761" spans="1:1" s="173" customFormat="1" ht="12" hidden="1" customHeight="1">
      <c r="A6761" s="172"/>
    </row>
    <row r="6762" spans="1:1" s="173" customFormat="1" ht="12" hidden="1" customHeight="1">
      <c r="A6762" s="172"/>
    </row>
    <row r="6763" spans="1:1" s="173" customFormat="1" ht="12" hidden="1" customHeight="1">
      <c r="A6763" s="172"/>
    </row>
    <row r="6764" spans="1:1" s="173" customFormat="1" ht="12" hidden="1" customHeight="1">
      <c r="A6764" s="172"/>
    </row>
    <row r="6765" spans="1:1" s="173" customFormat="1" ht="12" hidden="1" customHeight="1">
      <c r="A6765" s="172"/>
    </row>
    <row r="6766" spans="1:1" s="173" customFormat="1" ht="12" hidden="1" customHeight="1">
      <c r="A6766" s="172"/>
    </row>
    <row r="6767" spans="1:1" s="173" customFormat="1" ht="12" hidden="1" customHeight="1">
      <c r="A6767" s="172"/>
    </row>
    <row r="6768" spans="1:1" s="173" customFormat="1" ht="12" hidden="1" customHeight="1">
      <c r="A6768" s="172"/>
    </row>
    <row r="6769" spans="1:1" s="173" customFormat="1" ht="12" hidden="1" customHeight="1">
      <c r="A6769" s="172"/>
    </row>
    <row r="6770" spans="1:1" s="173" customFormat="1" ht="12" hidden="1" customHeight="1">
      <c r="A6770" s="172"/>
    </row>
    <row r="6771" spans="1:1" s="173" customFormat="1" ht="12" hidden="1" customHeight="1">
      <c r="A6771" s="172"/>
    </row>
    <row r="6772" spans="1:1" s="173" customFormat="1" ht="12" hidden="1" customHeight="1">
      <c r="A6772" s="172"/>
    </row>
    <row r="6773" spans="1:1" s="173" customFormat="1" ht="12" hidden="1" customHeight="1">
      <c r="A6773" s="172"/>
    </row>
    <row r="6774" spans="1:1" s="173" customFormat="1" ht="12" hidden="1" customHeight="1">
      <c r="A6774" s="172"/>
    </row>
    <row r="6775" spans="1:1" s="173" customFormat="1" ht="12" hidden="1" customHeight="1">
      <c r="A6775" s="172"/>
    </row>
    <row r="6776" spans="1:1" s="173" customFormat="1" ht="12" hidden="1" customHeight="1">
      <c r="A6776" s="172"/>
    </row>
    <row r="6777" spans="1:1" s="173" customFormat="1" ht="12" hidden="1" customHeight="1">
      <c r="A6777" s="172"/>
    </row>
    <row r="6778" spans="1:1" s="173" customFormat="1" ht="12" hidden="1" customHeight="1">
      <c r="A6778" s="172"/>
    </row>
    <row r="6779" spans="1:1" s="173" customFormat="1" ht="12" hidden="1" customHeight="1">
      <c r="A6779" s="172"/>
    </row>
    <row r="6780" spans="1:1" s="173" customFormat="1" ht="12" hidden="1" customHeight="1">
      <c r="A6780" s="172"/>
    </row>
    <row r="6781" spans="1:1" s="173" customFormat="1" ht="12" hidden="1" customHeight="1">
      <c r="A6781" s="172"/>
    </row>
    <row r="6782" spans="1:1" s="173" customFormat="1" ht="12" hidden="1" customHeight="1">
      <c r="A6782" s="172"/>
    </row>
    <row r="6783" spans="1:1" s="173" customFormat="1" ht="12" hidden="1" customHeight="1">
      <c r="A6783" s="172"/>
    </row>
    <row r="6784" spans="1:1" s="173" customFormat="1" ht="12" hidden="1" customHeight="1">
      <c r="A6784" s="172"/>
    </row>
    <row r="6785" spans="1:1" s="173" customFormat="1" ht="12" hidden="1" customHeight="1">
      <c r="A6785" s="172"/>
    </row>
    <row r="6786" spans="1:1" s="173" customFormat="1" ht="12" hidden="1" customHeight="1">
      <c r="A6786" s="172"/>
    </row>
    <row r="6787" spans="1:1" s="173" customFormat="1" ht="12" hidden="1" customHeight="1">
      <c r="A6787" s="172"/>
    </row>
    <row r="6788" spans="1:1" s="173" customFormat="1" ht="12" hidden="1" customHeight="1">
      <c r="A6788" s="172"/>
    </row>
    <row r="6789" spans="1:1" s="173" customFormat="1" ht="12" hidden="1" customHeight="1">
      <c r="A6789" s="172"/>
    </row>
    <row r="6790" spans="1:1" s="173" customFormat="1" ht="12" hidden="1" customHeight="1">
      <c r="A6790" s="172"/>
    </row>
    <row r="6791" spans="1:1" s="173" customFormat="1" ht="12" hidden="1" customHeight="1">
      <c r="A6791" s="172"/>
    </row>
    <row r="6792" spans="1:1" s="173" customFormat="1" ht="12" hidden="1" customHeight="1">
      <c r="A6792" s="172"/>
    </row>
    <row r="6793" spans="1:1" s="173" customFormat="1" ht="12" hidden="1" customHeight="1">
      <c r="A6793" s="172"/>
    </row>
    <row r="6794" spans="1:1" s="173" customFormat="1" ht="12" hidden="1" customHeight="1">
      <c r="A6794" s="172"/>
    </row>
    <row r="6795" spans="1:1" s="173" customFormat="1" ht="12" hidden="1" customHeight="1">
      <c r="A6795" s="172"/>
    </row>
    <row r="6796" spans="1:1" s="173" customFormat="1" ht="12" hidden="1" customHeight="1">
      <c r="A6796" s="172"/>
    </row>
    <row r="6797" spans="1:1" s="173" customFormat="1" ht="12" hidden="1" customHeight="1">
      <c r="A6797" s="172"/>
    </row>
    <row r="6798" spans="1:1" s="173" customFormat="1" ht="12" hidden="1" customHeight="1">
      <c r="A6798" s="172"/>
    </row>
    <row r="6799" spans="1:1" s="173" customFormat="1" ht="12" hidden="1" customHeight="1">
      <c r="A6799" s="172"/>
    </row>
    <row r="6800" spans="1:1" s="173" customFormat="1" ht="12" hidden="1" customHeight="1">
      <c r="A6800" s="172"/>
    </row>
    <row r="6801" spans="1:1" s="173" customFormat="1" ht="12" hidden="1" customHeight="1">
      <c r="A6801" s="172"/>
    </row>
    <row r="6802" spans="1:1" s="173" customFormat="1" ht="12" hidden="1" customHeight="1">
      <c r="A6802" s="172"/>
    </row>
    <row r="6803" spans="1:1" s="173" customFormat="1" ht="12" hidden="1" customHeight="1">
      <c r="A6803" s="172"/>
    </row>
    <row r="6804" spans="1:1" s="173" customFormat="1" ht="12" hidden="1" customHeight="1">
      <c r="A6804" s="172"/>
    </row>
    <row r="6805" spans="1:1" s="173" customFormat="1" ht="12" hidden="1" customHeight="1">
      <c r="A6805" s="172"/>
    </row>
    <row r="6806" spans="1:1" s="173" customFormat="1" ht="12" hidden="1" customHeight="1">
      <c r="A6806" s="172"/>
    </row>
    <row r="6807" spans="1:1" s="173" customFormat="1" ht="12" hidden="1" customHeight="1">
      <c r="A6807" s="172"/>
    </row>
    <row r="6808" spans="1:1" s="173" customFormat="1" ht="12" hidden="1" customHeight="1">
      <c r="A6808" s="172"/>
    </row>
    <row r="6809" spans="1:1" s="173" customFormat="1" ht="12" hidden="1" customHeight="1">
      <c r="A6809" s="172"/>
    </row>
    <row r="6810" spans="1:1" s="173" customFormat="1" ht="12" hidden="1" customHeight="1">
      <c r="A6810" s="172"/>
    </row>
    <row r="6811" spans="1:1" s="173" customFormat="1" ht="12" hidden="1" customHeight="1">
      <c r="A6811" s="172"/>
    </row>
    <row r="6812" spans="1:1" s="173" customFormat="1" ht="12" hidden="1" customHeight="1">
      <c r="A6812" s="172"/>
    </row>
    <row r="6813" spans="1:1" s="173" customFormat="1" ht="12" hidden="1" customHeight="1">
      <c r="A6813" s="172"/>
    </row>
    <row r="6814" spans="1:1" s="173" customFormat="1" ht="12" hidden="1" customHeight="1">
      <c r="A6814" s="172"/>
    </row>
    <row r="6815" spans="1:1" s="173" customFormat="1" ht="12" hidden="1" customHeight="1">
      <c r="A6815" s="172"/>
    </row>
    <row r="6816" spans="1:1" s="173" customFormat="1" ht="12" hidden="1" customHeight="1">
      <c r="A6816" s="172"/>
    </row>
    <row r="6817" spans="1:1" s="173" customFormat="1" ht="12" hidden="1" customHeight="1">
      <c r="A6817" s="172"/>
    </row>
    <row r="6818" spans="1:1" s="173" customFormat="1" ht="12" hidden="1" customHeight="1">
      <c r="A6818" s="172"/>
    </row>
    <row r="6819" spans="1:1" s="173" customFormat="1" ht="12" hidden="1" customHeight="1">
      <c r="A6819" s="172"/>
    </row>
    <row r="6820" spans="1:1" s="173" customFormat="1" ht="12" hidden="1" customHeight="1">
      <c r="A6820" s="172"/>
    </row>
    <row r="6821" spans="1:1" s="173" customFormat="1" ht="12" hidden="1" customHeight="1">
      <c r="A6821" s="172"/>
    </row>
    <row r="6822" spans="1:1" s="173" customFormat="1" ht="12" hidden="1" customHeight="1">
      <c r="A6822" s="172"/>
    </row>
    <row r="6823" spans="1:1" s="173" customFormat="1" ht="12" hidden="1" customHeight="1">
      <c r="A6823" s="172"/>
    </row>
    <row r="6824" spans="1:1" s="173" customFormat="1" ht="12" hidden="1" customHeight="1">
      <c r="A6824" s="172"/>
    </row>
    <row r="6825" spans="1:1" s="173" customFormat="1" ht="12" hidden="1" customHeight="1">
      <c r="A6825" s="172"/>
    </row>
    <row r="6826" spans="1:1" s="173" customFormat="1" ht="12" hidden="1" customHeight="1">
      <c r="A6826" s="172"/>
    </row>
    <row r="6827" spans="1:1" s="173" customFormat="1" ht="12" hidden="1" customHeight="1">
      <c r="A6827" s="172"/>
    </row>
    <row r="6828" spans="1:1" s="173" customFormat="1" ht="12" hidden="1" customHeight="1">
      <c r="A6828" s="172"/>
    </row>
    <row r="6829" spans="1:1" s="173" customFormat="1" ht="12" hidden="1" customHeight="1">
      <c r="A6829" s="172"/>
    </row>
    <row r="6830" spans="1:1" s="173" customFormat="1" ht="12" hidden="1" customHeight="1">
      <c r="A6830" s="172"/>
    </row>
    <row r="6831" spans="1:1" s="173" customFormat="1" ht="12" hidden="1" customHeight="1">
      <c r="A6831" s="172"/>
    </row>
    <row r="6832" spans="1:1" s="173" customFormat="1" ht="12" hidden="1" customHeight="1">
      <c r="A6832" s="172"/>
    </row>
    <row r="6833" spans="1:1" s="173" customFormat="1" ht="12" hidden="1" customHeight="1">
      <c r="A6833" s="172"/>
    </row>
    <row r="6834" spans="1:1" s="173" customFormat="1" ht="12" hidden="1" customHeight="1">
      <c r="A6834" s="172"/>
    </row>
    <row r="6835" spans="1:1" s="173" customFormat="1" ht="12" hidden="1" customHeight="1">
      <c r="A6835" s="172"/>
    </row>
    <row r="6836" spans="1:1" s="173" customFormat="1" ht="12" hidden="1" customHeight="1">
      <c r="A6836" s="172"/>
    </row>
    <row r="6837" spans="1:1" s="173" customFormat="1" ht="12" hidden="1" customHeight="1">
      <c r="A6837" s="172"/>
    </row>
    <row r="6838" spans="1:1" s="173" customFormat="1" ht="12" hidden="1" customHeight="1">
      <c r="A6838" s="172"/>
    </row>
    <row r="6839" spans="1:1" s="173" customFormat="1" ht="12" hidden="1" customHeight="1">
      <c r="A6839" s="172"/>
    </row>
    <row r="6840" spans="1:1" s="173" customFormat="1" ht="12" hidden="1" customHeight="1">
      <c r="A6840" s="172"/>
    </row>
    <row r="6841" spans="1:1" s="173" customFormat="1" ht="12" hidden="1" customHeight="1">
      <c r="A6841" s="172"/>
    </row>
    <row r="6842" spans="1:1" s="173" customFormat="1" ht="12" hidden="1" customHeight="1">
      <c r="A6842" s="172"/>
    </row>
    <row r="6843" spans="1:1" s="173" customFormat="1" ht="12" hidden="1" customHeight="1">
      <c r="A6843" s="172"/>
    </row>
    <row r="6844" spans="1:1" s="173" customFormat="1" ht="12" hidden="1" customHeight="1">
      <c r="A6844" s="172"/>
    </row>
    <row r="6845" spans="1:1" s="173" customFormat="1" ht="12" hidden="1" customHeight="1">
      <c r="A6845" s="172"/>
    </row>
    <row r="6846" spans="1:1" s="173" customFormat="1" ht="12" hidden="1" customHeight="1">
      <c r="A6846" s="172"/>
    </row>
    <row r="6847" spans="1:1" s="173" customFormat="1" ht="12" hidden="1" customHeight="1">
      <c r="A6847" s="172"/>
    </row>
    <row r="6848" spans="1:1" s="173" customFormat="1" ht="12" hidden="1" customHeight="1">
      <c r="A6848" s="172"/>
    </row>
    <row r="6849" spans="1:1" s="173" customFormat="1" ht="12" hidden="1" customHeight="1">
      <c r="A6849" s="172"/>
    </row>
    <row r="6850" spans="1:1" s="173" customFormat="1" ht="12" hidden="1" customHeight="1">
      <c r="A6850" s="172"/>
    </row>
    <row r="6851" spans="1:1" s="173" customFormat="1" ht="12" hidden="1" customHeight="1">
      <c r="A6851" s="172"/>
    </row>
    <row r="6852" spans="1:1" s="173" customFormat="1" ht="12" hidden="1" customHeight="1">
      <c r="A6852" s="172"/>
    </row>
    <row r="6853" spans="1:1" s="173" customFormat="1" ht="12" hidden="1" customHeight="1">
      <c r="A6853" s="172"/>
    </row>
    <row r="6854" spans="1:1" s="173" customFormat="1" ht="12" hidden="1" customHeight="1">
      <c r="A6854" s="172"/>
    </row>
    <row r="6855" spans="1:1" s="173" customFormat="1" ht="12" hidden="1" customHeight="1">
      <c r="A6855" s="172"/>
    </row>
    <row r="6856" spans="1:1" s="173" customFormat="1" ht="12" hidden="1" customHeight="1">
      <c r="A6856" s="172"/>
    </row>
    <row r="6857" spans="1:1" s="173" customFormat="1" ht="12" hidden="1" customHeight="1">
      <c r="A6857" s="172"/>
    </row>
    <row r="6858" spans="1:1" s="173" customFormat="1" ht="12" hidden="1" customHeight="1">
      <c r="A6858" s="172"/>
    </row>
    <row r="6859" spans="1:1" s="173" customFormat="1" ht="12" hidden="1" customHeight="1">
      <c r="A6859" s="172"/>
    </row>
    <row r="6860" spans="1:1" s="173" customFormat="1" ht="12" hidden="1" customHeight="1">
      <c r="A6860" s="172"/>
    </row>
    <row r="6861" spans="1:1" s="173" customFormat="1" ht="12" hidden="1" customHeight="1">
      <c r="A6861" s="172"/>
    </row>
    <row r="6862" spans="1:1" s="173" customFormat="1" ht="12" hidden="1" customHeight="1">
      <c r="A6862" s="172"/>
    </row>
    <row r="6863" spans="1:1" s="173" customFormat="1" ht="12" hidden="1" customHeight="1">
      <c r="A6863" s="172"/>
    </row>
    <row r="6864" spans="1:1" s="173" customFormat="1" ht="12" hidden="1" customHeight="1">
      <c r="A6864" s="172"/>
    </row>
    <row r="6865" spans="1:1" s="173" customFormat="1" ht="12" hidden="1" customHeight="1">
      <c r="A6865" s="172"/>
    </row>
    <row r="6866" spans="1:1" s="173" customFormat="1" ht="12" hidden="1" customHeight="1">
      <c r="A6866" s="172"/>
    </row>
    <row r="6867" spans="1:1" s="173" customFormat="1" ht="12" hidden="1" customHeight="1">
      <c r="A6867" s="172"/>
    </row>
    <row r="6868" spans="1:1" s="173" customFormat="1" ht="12" hidden="1" customHeight="1">
      <c r="A6868" s="172"/>
    </row>
    <row r="6869" spans="1:1" s="173" customFormat="1" ht="12" hidden="1" customHeight="1">
      <c r="A6869" s="172"/>
    </row>
    <row r="6870" spans="1:1" s="173" customFormat="1" ht="12" hidden="1" customHeight="1">
      <c r="A6870" s="172"/>
    </row>
    <row r="6871" spans="1:1" s="173" customFormat="1" ht="12" hidden="1" customHeight="1">
      <c r="A6871" s="172"/>
    </row>
    <row r="6872" spans="1:1" s="173" customFormat="1" ht="12" hidden="1" customHeight="1">
      <c r="A6872" s="172"/>
    </row>
    <row r="6873" spans="1:1" s="173" customFormat="1" ht="12" hidden="1" customHeight="1">
      <c r="A6873" s="172"/>
    </row>
    <row r="6874" spans="1:1" s="173" customFormat="1" ht="12" hidden="1" customHeight="1">
      <c r="A6874" s="172"/>
    </row>
    <row r="6875" spans="1:1" s="173" customFormat="1" ht="12" hidden="1" customHeight="1">
      <c r="A6875" s="172"/>
    </row>
    <row r="6876" spans="1:1" s="173" customFormat="1" ht="12" hidden="1" customHeight="1">
      <c r="A6876" s="172"/>
    </row>
    <row r="6877" spans="1:1" s="173" customFormat="1" ht="12" hidden="1" customHeight="1">
      <c r="A6877" s="172"/>
    </row>
    <row r="6878" spans="1:1" s="173" customFormat="1" ht="12" hidden="1" customHeight="1">
      <c r="A6878" s="172"/>
    </row>
    <row r="6879" spans="1:1" s="173" customFormat="1" ht="12" hidden="1" customHeight="1">
      <c r="A6879" s="172"/>
    </row>
    <row r="6880" spans="1:1" s="173" customFormat="1" ht="12" hidden="1" customHeight="1">
      <c r="A6880" s="172"/>
    </row>
    <row r="6881" spans="1:1" s="173" customFormat="1" ht="12" hidden="1" customHeight="1">
      <c r="A6881" s="172"/>
    </row>
    <row r="6882" spans="1:1" s="173" customFormat="1" ht="12" hidden="1" customHeight="1">
      <c r="A6882" s="172"/>
    </row>
    <row r="6883" spans="1:1" s="173" customFormat="1" ht="12" hidden="1" customHeight="1">
      <c r="A6883" s="172"/>
    </row>
    <row r="6884" spans="1:1" s="173" customFormat="1" ht="12" hidden="1" customHeight="1">
      <c r="A6884" s="172"/>
    </row>
    <row r="6885" spans="1:1" s="173" customFormat="1" ht="12" hidden="1" customHeight="1">
      <c r="A6885" s="172"/>
    </row>
    <row r="6886" spans="1:1" s="173" customFormat="1" ht="12" hidden="1" customHeight="1">
      <c r="A6886" s="172"/>
    </row>
    <row r="6887" spans="1:1" s="173" customFormat="1" ht="12" hidden="1" customHeight="1">
      <c r="A6887" s="172"/>
    </row>
    <row r="6888" spans="1:1" s="173" customFormat="1" ht="12" hidden="1" customHeight="1">
      <c r="A6888" s="172"/>
    </row>
    <row r="6889" spans="1:1" s="173" customFormat="1" ht="12" hidden="1" customHeight="1">
      <c r="A6889" s="172"/>
    </row>
    <row r="6890" spans="1:1" s="173" customFormat="1" ht="12" hidden="1" customHeight="1">
      <c r="A6890" s="172"/>
    </row>
    <row r="6891" spans="1:1" s="173" customFormat="1" ht="12" hidden="1" customHeight="1">
      <c r="A6891" s="172"/>
    </row>
    <row r="6892" spans="1:1" s="173" customFormat="1" ht="12" hidden="1" customHeight="1">
      <c r="A6892" s="172"/>
    </row>
    <row r="6893" spans="1:1" s="173" customFormat="1" ht="12" hidden="1" customHeight="1">
      <c r="A6893" s="172"/>
    </row>
    <row r="6894" spans="1:1" s="173" customFormat="1" ht="12" hidden="1" customHeight="1">
      <c r="A6894" s="172"/>
    </row>
    <row r="6895" spans="1:1" s="173" customFormat="1" ht="12" hidden="1" customHeight="1">
      <c r="A6895" s="172"/>
    </row>
    <row r="6896" spans="1:1" s="173" customFormat="1" ht="12" hidden="1" customHeight="1">
      <c r="A6896" s="172"/>
    </row>
    <row r="6897" spans="1:1" s="173" customFormat="1" ht="12" hidden="1" customHeight="1">
      <c r="A6897" s="172"/>
    </row>
    <row r="6898" spans="1:1" s="173" customFormat="1" ht="12" hidden="1" customHeight="1">
      <c r="A6898" s="172"/>
    </row>
    <row r="6899" spans="1:1" s="173" customFormat="1" ht="12" hidden="1" customHeight="1">
      <c r="A6899" s="172"/>
    </row>
    <row r="6900" spans="1:1" s="173" customFormat="1" ht="12" hidden="1" customHeight="1">
      <c r="A6900" s="172"/>
    </row>
    <row r="6901" spans="1:1" s="173" customFormat="1" ht="12" hidden="1" customHeight="1">
      <c r="A6901" s="172"/>
    </row>
    <row r="6902" spans="1:1" s="173" customFormat="1" ht="12" hidden="1" customHeight="1">
      <c r="A6902" s="172"/>
    </row>
    <row r="6903" spans="1:1" s="173" customFormat="1" ht="12" hidden="1" customHeight="1">
      <c r="A6903" s="172"/>
    </row>
    <row r="6904" spans="1:1" s="173" customFormat="1" ht="12" hidden="1" customHeight="1">
      <c r="A6904" s="172"/>
    </row>
    <row r="6905" spans="1:1" s="173" customFormat="1" ht="12" hidden="1" customHeight="1">
      <c r="A6905" s="172"/>
    </row>
    <row r="6906" spans="1:1" s="173" customFormat="1" ht="12" hidden="1" customHeight="1">
      <c r="A6906" s="172"/>
    </row>
    <row r="6907" spans="1:1" s="173" customFormat="1" ht="12" hidden="1" customHeight="1">
      <c r="A6907" s="172"/>
    </row>
    <row r="6908" spans="1:1" s="173" customFormat="1" ht="12" hidden="1" customHeight="1">
      <c r="A6908" s="172"/>
    </row>
    <row r="6909" spans="1:1" s="173" customFormat="1" ht="12" hidden="1" customHeight="1">
      <c r="A6909" s="172"/>
    </row>
    <row r="6910" spans="1:1" s="173" customFormat="1" ht="12" hidden="1" customHeight="1">
      <c r="A6910" s="172"/>
    </row>
    <row r="6911" spans="1:1" s="173" customFormat="1" ht="12" hidden="1" customHeight="1">
      <c r="A6911" s="172"/>
    </row>
    <row r="6912" spans="1:1" s="173" customFormat="1" ht="12" hidden="1" customHeight="1">
      <c r="A6912" s="172"/>
    </row>
    <row r="6913" spans="1:1" s="173" customFormat="1" ht="12" hidden="1" customHeight="1">
      <c r="A6913" s="172"/>
    </row>
    <row r="6914" spans="1:1" s="173" customFormat="1" ht="12" hidden="1" customHeight="1">
      <c r="A6914" s="172"/>
    </row>
    <row r="6915" spans="1:1" s="173" customFormat="1" ht="12" hidden="1" customHeight="1">
      <c r="A6915" s="172"/>
    </row>
    <row r="6916" spans="1:1" s="173" customFormat="1" ht="12" hidden="1" customHeight="1">
      <c r="A6916" s="172"/>
    </row>
    <row r="6917" spans="1:1" s="173" customFormat="1" ht="12" hidden="1" customHeight="1">
      <c r="A6917" s="172"/>
    </row>
    <row r="6918" spans="1:1" s="173" customFormat="1" ht="12" hidden="1" customHeight="1">
      <c r="A6918" s="172"/>
    </row>
    <row r="6919" spans="1:1" s="173" customFormat="1" ht="12" hidden="1" customHeight="1">
      <c r="A6919" s="172"/>
    </row>
    <row r="6920" spans="1:1" s="173" customFormat="1" ht="12" hidden="1" customHeight="1">
      <c r="A6920" s="172"/>
    </row>
    <row r="6921" spans="1:1" s="173" customFormat="1" ht="12" hidden="1" customHeight="1">
      <c r="A6921" s="172"/>
    </row>
    <row r="6922" spans="1:1" s="173" customFormat="1" ht="12" hidden="1" customHeight="1">
      <c r="A6922" s="172"/>
    </row>
    <row r="6923" spans="1:1" s="173" customFormat="1" ht="12" hidden="1" customHeight="1">
      <c r="A6923" s="172"/>
    </row>
    <row r="6924" spans="1:1" s="173" customFormat="1" ht="12" hidden="1" customHeight="1">
      <c r="A6924" s="172"/>
    </row>
    <row r="6925" spans="1:1" s="173" customFormat="1" ht="12" hidden="1" customHeight="1">
      <c r="A6925" s="172"/>
    </row>
    <row r="6926" spans="1:1" s="173" customFormat="1" ht="12" hidden="1" customHeight="1">
      <c r="A6926" s="172"/>
    </row>
    <row r="6927" spans="1:1" s="173" customFormat="1" ht="12" hidden="1" customHeight="1">
      <c r="A6927" s="172"/>
    </row>
    <row r="6928" spans="1:1" s="173" customFormat="1" ht="12" hidden="1" customHeight="1">
      <c r="A6928" s="172"/>
    </row>
    <row r="6929" spans="1:1" s="173" customFormat="1" ht="12" hidden="1" customHeight="1">
      <c r="A6929" s="172"/>
    </row>
    <row r="6930" spans="1:1" s="173" customFormat="1" ht="12" hidden="1" customHeight="1">
      <c r="A6930" s="172"/>
    </row>
    <row r="6931" spans="1:1" s="173" customFormat="1" ht="12" hidden="1" customHeight="1">
      <c r="A6931" s="172"/>
    </row>
    <row r="6932" spans="1:1" s="173" customFormat="1" ht="12" hidden="1" customHeight="1">
      <c r="A6932" s="172"/>
    </row>
    <row r="6933" spans="1:1" s="173" customFormat="1" ht="12" hidden="1" customHeight="1">
      <c r="A6933" s="172"/>
    </row>
    <row r="6934" spans="1:1" s="173" customFormat="1" ht="12" hidden="1" customHeight="1">
      <c r="A6934" s="172"/>
    </row>
    <row r="6935" spans="1:1" s="173" customFormat="1" ht="12" hidden="1" customHeight="1">
      <c r="A6935" s="172"/>
    </row>
    <row r="6936" spans="1:1" s="173" customFormat="1" ht="12" hidden="1" customHeight="1">
      <c r="A6936" s="172"/>
    </row>
    <row r="6937" spans="1:1" s="173" customFormat="1" ht="12" hidden="1" customHeight="1">
      <c r="A6937" s="172"/>
    </row>
    <row r="6938" spans="1:1" s="173" customFormat="1" ht="12" hidden="1" customHeight="1">
      <c r="A6938" s="172"/>
    </row>
    <row r="6939" spans="1:1" s="173" customFormat="1" ht="12" hidden="1" customHeight="1">
      <c r="A6939" s="172"/>
    </row>
    <row r="6940" spans="1:1" s="173" customFormat="1" ht="12" hidden="1" customHeight="1">
      <c r="A6940" s="172"/>
    </row>
    <row r="6941" spans="1:1" s="173" customFormat="1" ht="12" hidden="1" customHeight="1">
      <c r="A6941" s="172"/>
    </row>
    <row r="6942" spans="1:1" s="173" customFormat="1" ht="12" hidden="1" customHeight="1">
      <c r="A6942" s="172"/>
    </row>
    <row r="6943" spans="1:1" s="173" customFormat="1" ht="12" hidden="1" customHeight="1">
      <c r="A6943" s="172"/>
    </row>
    <row r="6944" spans="1:1" s="173" customFormat="1" ht="12" hidden="1" customHeight="1">
      <c r="A6944" s="172"/>
    </row>
    <row r="6945" spans="1:1" s="173" customFormat="1" ht="12" hidden="1" customHeight="1">
      <c r="A6945" s="172"/>
    </row>
    <row r="6946" spans="1:1" s="173" customFormat="1" ht="12" hidden="1" customHeight="1">
      <c r="A6946" s="172"/>
    </row>
    <row r="6947" spans="1:1" s="173" customFormat="1" ht="12" hidden="1" customHeight="1">
      <c r="A6947" s="172"/>
    </row>
    <row r="6948" spans="1:1" s="173" customFormat="1" ht="12" hidden="1" customHeight="1">
      <c r="A6948" s="172"/>
    </row>
    <row r="6949" spans="1:1" s="173" customFormat="1" ht="12" hidden="1" customHeight="1">
      <c r="A6949" s="172"/>
    </row>
    <row r="6950" spans="1:1" s="173" customFormat="1" ht="12" hidden="1" customHeight="1">
      <c r="A6950" s="172"/>
    </row>
    <row r="6951" spans="1:1" s="173" customFormat="1" ht="12" hidden="1" customHeight="1">
      <c r="A6951" s="172"/>
    </row>
    <row r="6952" spans="1:1" s="173" customFormat="1" ht="12" hidden="1" customHeight="1">
      <c r="A6952" s="172"/>
    </row>
    <row r="6953" spans="1:1" s="173" customFormat="1" ht="12" hidden="1" customHeight="1">
      <c r="A6953" s="172"/>
    </row>
    <row r="6954" spans="1:1" s="173" customFormat="1" ht="12" hidden="1" customHeight="1">
      <c r="A6954" s="172"/>
    </row>
    <row r="6955" spans="1:1" s="173" customFormat="1" ht="12" hidden="1" customHeight="1">
      <c r="A6955" s="172"/>
    </row>
    <row r="6956" spans="1:1" s="173" customFormat="1" ht="12" hidden="1" customHeight="1">
      <c r="A6956" s="172"/>
    </row>
    <row r="6957" spans="1:1" s="173" customFormat="1" ht="12" hidden="1" customHeight="1">
      <c r="A6957" s="172"/>
    </row>
    <row r="6958" spans="1:1" s="173" customFormat="1" ht="12" hidden="1" customHeight="1">
      <c r="A6958" s="172"/>
    </row>
    <row r="6959" spans="1:1" s="173" customFormat="1" ht="12" hidden="1" customHeight="1">
      <c r="A6959" s="172"/>
    </row>
    <row r="6960" spans="1:1" s="173" customFormat="1" ht="12" hidden="1" customHeight="1">
      <c r="A6960" s="172"/>
    </row>
    <row r="6961" spans="1:1" s="173" customFormat="1" ht="12" hidden="1" customHeight="1">
      <c r="A6961" s="172"/>
    </row>
    <row r="6962" spans="1:1" s="173" customFormat="1" ht="12" hidden="1" customHeight="1">
      <c r="A6962" s="172"/>
    </row>
    <row r="6963" spans="1:1" s="173" customFormat="1" ht="12" hidden="1" customHeight="1">
      <c r="A6963" s="172"/>
    </row>
    <row r="6964" spans="1:1" s="173" customFormat="1" ht="12" hidden="1" customHeight="1">
      <c r="A6964" s="172"/>
    </row>
    <row r="6965" spans="1:1" s="173" customFormat="1" ht="12" hidden="1" customHeight="1">
      <c r="A6965" s="172"/>
    </row>
    <row r="6966" spans="1:1" s="173" customFormat="1" ht="12" hidden="1" customHeight="1">
      <c r="A6966" s="172"/>
    </row>
    <row r="6967" spans="1:1" s="173" customFormat="1" ht="12" hidden="1" customHeight="1">
      <c r="A6967" s="172"/>
    </row>
    <row r="6968" spans="1:1" s="173" customFormat="1" ht="12" hidden="1" customHeight="1">
      <c r="A6968" s="172"/>
    </row>
    <row r="6969" spans="1:1" s="173" customFormat="1" ht="12" hidden="1" customHeight="1">
      <c r="A6969" s="172"/>
    </row>
    <row r="6970" spans="1:1" s="173" customFormat="1" ht="12" hidden="1" customHeight="1">
      <c r="A6970" s="172"/>
    </row>
    <row r="6971" spans="1:1" s="173" customFormat="1" ht="12" hidden="1" customHeight="1">
      <c r="A6971" s="172"/>
    </row>
    <row r="6972" spans="1:1" s="173" customFormat="1" ht="12" hidden="1" customHeight="1">
      <c r="A6972" s="172"/>
    </row>
    <row r="6973" spans="1:1" s="173" customFormat="1" ht="12" hidden="1" customHeight="1">
      <c r="A6973" s="172"/>
    </row>
    <row r="6974" spans="1:1" s="173" customFormat="1" ht="12" hidden="1" customHeight="1">
      <c r="A6974" s="172"/>
    </row>
    <row r="6975" spans="1:1" s="173" customFormat="1" ht="12" hidden="1" customHeight="1">
      <c r="A6975" s="172"/>
    </row>
    <row r="6976" spans="1:1" s="173" customFormat="1" ht="12" hidden="1" customHeight="1">
      <c r="A6976" s="172"/>
    </row>
    <row r="6977" spans="1:1" s="173" customFormat="1" ht="12" hidden="1" customHeight="1">
      <c r="A6977" s="172"/>
    </row>
    <row r="6978" spans="1:1" s="173" customFormat="1" ht="12" hidden="1" customHeight="1">
      <c r="A6978" s="172"/>
    </row>
    <row r="6979" spans="1:1" s="173" customFormat="1" ht="12" hidden="1" customHeight="1">
      <c r="A6979" s="172"/>
    </row>
    <row r="6980" spans="1:1" s="173" customFormat="1" ht="12" hidden="1" customHeight="1">
      <c r="A6980" s="172"/>
    </row>
    <row r="6981" spans="1:1" s="173" customFormat="1" ht="12" hidden="1" customHeight="1">
      <c r="A6981" s="172"/>
    </row>
    <row r="6982" spans="1:1" s="173" customFormat="1" ht="12" hidden="1" customHeight="1">
      <c r="A6982" s="172"/>
    </row>
    <row r="6983" spans="1:1" s="173" customFormat="1" ht="12" hidden="1" customHeight="1">
      <c r="A6983" s="172"/>
    </row>
    <row r="6984" spans="1:1" s="173" customFormat="1" ht="12" hidden="1" customHeight="1">
      <c r="A6984" s="172"/>
    </row>
    <row r="6985" spans="1:1" s="173" customFormat="1" ht="12" hidden="1" customHeight="1">
      <c r="A6985" s="172"/>
    </row>
    <row r="6986" spans="1:1" s="173" customFormat="1" ht="12" hidden="1" customHeight="1">
      <c r="A6986" s="172"/>
    </row>
    <row r="6987" spans="1:1" s="173" customFormat="1" ht="12" hidden="1" customHeight="1">
      <c r="A6987" s="172"/>
    </row>
    <row r="6988" spans="1:1" s="173" customFormat="1" ht="12" hidden="1" customHeight="1">
      <c r="A6988" s="172"/>
    </row>
    <row r="6989" spans="1:1" s="173" customFormat="1" ht="12" hidden="1" customHeight="1">
      <c r="A6989" s="172"/>
    </row>
    <row r="6990" spans="1:1" s="173" customFormat="1" ht="12" hidden="1" customHeight="1">
      <c r="A6990" s="172"/>
    </row>
    <row r="6991" spans="1:1" s="173" customFormat="1" ht="12" hidden="1" customHeight="1">
      <c r="A6991" s="172"/>
    </row>
    <row r="6992" spans="1:1" s="173" customFormat="1" ht="12" hidden="1" customHeight="1">
      <c r="A6992" s="172"/>
    </row>
    <row r="6993" spans="1:1" s="173" customFormat="1" ht="12" hidden="1" customHeight="1">
      <c r="A6993" s="172"/>
    </row>
    <row r="6994" spans="1:1" s="173" customFormat="1" ht="12" hidden="1" customHeight="1">
      <c r="A6994" s="172"/>
    </row>
    <row r="6995" spans="1:1" s="173" customFormat="1" ht="12" hidden="1" customHeight="1">
      <c r="A6995" s="172"/>
    </row>
    <row r="6996" spans="1:1" s="173" customFormat="1" ht="12" hidden="1" customHeight="1">
      <c r="A6996" s="172"/>
    </row>
    <row r="6997" spans="1:1" s="173" customFormat="1" ht="12" hidden="1" customHeight="1">
      <c r="A6997" s="172"/>
    </row>
    <row r="6998" spans="1:1" s="173" customFormat="1" ht="12" hidden="1" customHeight="1">
      <c r="A6998" s="172"/>
    </row>
    <row r="6999" spans="1:1" s="173" customFormat="1" ht="12" hidden="1" customHeight="1">
      <c r="A6999" s="172"/>
    </row>
    <row r="7000" spans="1:1" s="173" customFormat="1" ht="12" hidden="1" customHeight="1">
      <c r="A7000" s="172"/>
    </row>
    <row r="7001" spans="1:1" s="173" customFormat="1" ht="12" hidden="1" customHeight="1">
      <c r="A7001" s="172"/>
    </row>
    <row r="7002" spans="1:1" s="173" customFormat="1" ht="12" hidden="1" customHeight="1">
      <c r="A7002" s="172"/>
    </row>
    <row r="7003" spans="1:1" s="173" customFormat="1" ht="12" hidden="1" customHeight="1">
      <c r="A7003" s="172"/>
    </row>
    <row r="7004" spans="1:1" s="173" customFormat="1" ht="12" hidden="1" customHeight="1">
      <c r="A7004" s="172"/>
    </row>
    <row r="7005" spans="1:1" s="173" customFormat="1" ht="12" hidden="1" customHeight="1">
      <c r="A7005" s="172"/>
    </row>
    <row r="7006" spans="1:1" s="173" customFormat="1" ht="12" hidden="1" customHeight="1">
      <c r="A7006" s="172"/>
    </row>
    <row r="7007" spans="1:1" s="173" customFormat="1" ht="12" hidden="1" customHeight="1">
      <c r="A7007" s="172"/>
    </row>
    <row r="7008" spans="1:1" s="173" customFormat="1" ht="12" hidden="1" customHeight="1">
      <c r="A7008" s="172"/>
    </row>
    <row r="7009" spans="1:1" s="173" customFormat="1" ht="12" hidden="1" customHeight="1">
      <c r="A7009" s="172"/>
    </row>
    <row r="7010" spans="1:1" s="173" customFormat="1" ht="12" hidden="1" customHeight="1">
      <c r="A7010" s="172"/>
    </row>
    <row r="7011" spans="1:1" s="173" customFormat="1" ht="12" hidden="1" customHeight="1">
      <c r="A7011" s="172"/>
    </row>
    <row r="7012" spans="1:1" s="173" customFormat="1" ht="12" hidden="1" customHeight="1">
      <c r="A7012" s="172"/>
    </row>
    <row r="7013" spans="1:1" s="173" customFormat="1" ht="12" hidden="1" customHeight="1">
      <c r="A7013" s="172"/>
    </row>
    <row r="7014" spans="1:1" s="173" customFormat="1" ht="12" hidden="1" customHeight="1">
      <c r="A7014" s="172"/>
    </row>
    <row r="7015" spans="1:1" s="173" customFormat="1" ht="12" hidden="1" customHeight="1">
      <c r="A7015" s="172"/>
    </row>
    <row r="7016" spans="1:1" s="173" customFormat="1" ht="12" hidden="1" customHeight="1">
      <c r="A7016" s="172"/>
    </row>
    <row r="7017" spans="1:1" s="173" customFormat="1" ht="12" hidden="1" customHeight="1">
      <c r="A7017" s="172"/>
    </row>
    <row r="7018" spans="1:1" s="173" customFormat="1" ht="12" hidden="1" customHeight="1">
      <c r="A7018" s="172"/>
    </row>
    <row r="7019" spans="1:1" s="173" customFormat="1" ht="12" hidden="1" customHeight="1">
      <c r="A7019" s="172"/>
    </row>
    <row r="7020" spans="1:1" s="173" customFormat="1" ht="12" hidden="1" customHeight="1">
      <c r="A7020" s="172"/>
    </row>
    <row r="7021" spans="1:1" s="173" customFormat="1" ht="12" hidden="1" customHeight="1">
      <c r="A7021" s="172"/>
    </row>
    <row r="7022" spans="1:1" s="173" customFormat="1" ht="12" hidden="1" customHeight="1">
      <c r="A7022" s="172"/>
    </row>
    <row r="7023" spans="1:1" s="173" customFormat="1" ht="12" hidden="1" customHeight="1">
      <c r="A7023" s="172"/>
    </row>
    <row r="7024" spans="1:1" s="173" customFormat="1" ht="12" hidden="1" customHeight="1">
      <c r="A7024" s="172"/>
    </row>
    <row r="7025" spans="1:1" s="173" customFormat="1" ht="12" hidden="1" customHeight="1">
      <c r="A7025" s="172"/>
    </row>
    <row r="7026" spans="1:1" s="173" customFormat="1" ht="12" hidden="1" customHeight="1">
      <c r="A7026" s="172"/>
    </row>
    <row r="7027" spans="1:1" s="173" customFormat="1" ht="12" hidden="1" customHeight="1">
      <c r="A7027" s="172"/>
    </row>
    <row r="7028" spans="1:1" s="173" customFormat="1" ht="12" hidden="1" customHeight="1">
      <c r="A7028" s="172"/>
    </row>
    <row r="7029" spans="1:1" s="173" customFormat="1" ht="12" hidden="1" customHeight="1">
      <c r="A7029" s="172"/>
    </row>
    <row r="7030" spans="1:1" s="173" customFormat="1" ht="12" hidden="1" customHeight="1">
      <c r="A7030" s="172"/>
    </row>
    <row r="7031" spans="1:1" s="173" customFormat="1" ht="12" hidden="1" customHeight="1">
      <c r="A7031" s="172"/>
    </row>
    <row r="7032" spans="1:1" s="173" customFormat="1" ht="12" hidden="1" customHeight="1">
      <c r="A7032" s="172"/>
    </row>
    <row r="7033" spans="1:1" s="173" customFormat="1" ht="12" hidden="1" customHeight="1">
      <c r="A7033" s="172"/>
    </row>
    <row r="7034" spans="1:1" s="173" customFormat="1" ht="12" hidden="1" customHeight="1">
      <c r="A7034" s="172"/>
    </row>
    <row r="7035" spans="1:1" s="173" customFormat="1" ht="12" hidden="1" customHeight="1">
      <c r="A7035" s="172"/>
    </row>
    <row r="7036" spans="1:1" s="173" customFormat="1" ht="12" hidden="1" customHeight="1">
      <c r="A7036" s="172"/>
    </row>
    <row r="7037" spans="1:1" s="173" customFormat="1" ht="12" hidden="1" customHeight="1">
      <c r="A7037" s="172"/>
    </row>
    <row r="7038" spans="1:1" s="173" customFormat="1" ht="12" hidden="1" customHeight="1">
      <c r="A7038" s="172"/>
    </row>
    <row r="7039" spans="1:1" s="173" customFormat="1" ht="12" hidden="1" customHeight="1">
      <c r="A7039" s="172"/>
    </row>
    <row r="7040" spans="1:1" s="173" customFormat="1" ht="12" hidden="1" customHeight="1">
      <c r="A7040" s="172"/>
    </row>
    <row r="7041" spans="1:1" s="173" customFormat="1" ht="12" hidden="1" customHeight="1">
      <c r="A7041" s="172"/>
    </row>
    <row r="7042" spans="1:1" s="173" customFormat="1" ht="12" hidden="1" customHeight="1">
      <c r="A7042" s="172"/>
    </row>
    <row r="7043" spans="1:1" s="173" customFormat="1" ht="12" hidden="1" customHeight="1">
      <c r="A7043" s="172"/>
    </row>
    <row r="7044" spans="1:1" s="173" customFormat="1" ht="12" hidden="1" customHeight="1">
      <c r="A7044" s="172"/>
    </row>
    <row r="7045" spans="1:1" s="173" customFormat="1" ht="12" hidden="1" customHeight="1">
      <c r="A7045" s="172"/>
    </row>
    <row r="7046" spans="1:1" s="173" customFormat="1" ht="12" hidden="1" customHeight="1">
      <c r="A7046" s="172"/>
    </row>
    <row r="7047" spans="1:1" s="173" customFormat="1" ht="12" hidden="1" customHeight="1">
      <c r="A7047" s="172"/>
    </row>
    <row r="7048" spans="1:1" s="173" customFormat="1" ht="12" hidden="1" customHeight="1">
      <c r="A7048" s="172"/>
    </row>
    <row r="7049" spans="1:1" s="173" customFormat="1" ht="12" hidden="1" customHeight="1">
      <c r="A7049" s="172"/>
    </row>
    <row r="7050" spans="1:1" s="173" customFormat="1" ht="12" hidden="1" customHeight="1">
      <c r="A7050" s="172"/>
    </row>
    <row r="7051" spans="1:1" s="173" customFormat="1" ht="12" hidden="1" customHeight="1">
      <c r="A7051" s="172"/>
    </row>
    <row r="7052" spans="1:1" s="173" customFormat="1" ht="12" hidden="1" customHeight="1">
      <c r="A7052" s="172"/>
    </row>
    <row r="7053" spans="1:1" s="173" customFormat="1" ht="12" hidden="1" customHeight="1">
      <c r="A7053" s="172"/>
    </row>
    <row r="7054" spans="1:1" s="173" customFormat="1" ht="12" hidden="1" customHeight="1">
      <c r="A7054" s="172"/>
    </row>
    <row r="7055" spans="1:1" s="173" customFormat="1" ht="12" hidden="1" customHeight="1">
      <c r="A7055" s="172"/>
    </row>
    <row r="7056" spans="1:1" s="173" customFormat="1" ht="12" hidden="1" customHeight="1">
      <c r="A7056" s="172"/>
    </row>
    <row r="7057" spans="1:1" s="173" customFormat="1" ht="12" hidden="1" customHeight="1">
      <c r="A7057" s="172"/>
    </row>
    <row r="7058" spans="1:1" s="173" customFormat="1" ht="12" hidden="1" customHeight="1">
      <c r="A7058" s="172"/>
    </row>
    <row r="7059" spans="1:1" s="173" customFormat="1" ht="12" hidden="1" customHeight="1">
      <c r="A7059" s="172"/>
    </row>
    <row r="7060" spans="1:1" s="173" customFormat="1" ht="12" hidden="1" customHeight="1">
      <c r="A7060" s="172"/>
    </row>
    <row r="7061" spans="1:1" s="173" customFormat="1" ht="12" hidden="1" customHeight="1">
      <c r="A7061" s="172"/>
    </row>
    <row r="7062" spans="1:1" s="173" customFormat="1" ht="12" hidden="1" customHeight="1">
      <c r="A7062" s="172"/>
    </row>
    <row r="7063" spans="1:1" s="173" customFormat="1" ht="12" hidden="1" customHeight="1">
      <c r="A7063" s="172"/>
    </row>
    <row r="7064" spans="1:1" s="173" customFormat="1" ht="12" hidden="1" customHeight="1">
      <c r="A7064" s="172"/>
    </row>
    <row r="7065" spans="1:1" s="173" customFormat="1" ht="12" hidden="1" customHeight="1">
      <c r="A7065" s="172"/>
    </row>
    <row r="7066" spans="1:1" s="173" customFormat="1" ht="12" hidden="1" customHeight="1">
      <c r="A7066" s="172"/>
    </row>
    <row r="7067" spans="1:1" s="173" customFormat="1" ht="12" hidden="1" customHeight="1">
      <c r="A7067" s="172"/>
    </row>
    <row r="7068" spans="1:1" s="173" customFormat="1" ht="12" hidden="1" customHeight="1">
      <c r="A7068" s="172"/>
    </row>
    <row r="7069" spans="1:1" s="173" customFormat="1" ht="12" hidden="1" customHeight="1">
      <c r="A7069" s="172"/>
    </row>
    <row r="7070" spans="1:1" s="173" customFormat="1" ht="12" hidden="1" customHeight="1">
      <c r="A7070" s="172"/>
    </row>
    <row r="7071" spans="1:1" s="173" customFormat="1" ht="12" hidden="1" customHeight="1">
      <c r="A7071" s="172"/>
    </row>
    <row r="7072" spans="1:1" s="173" customFormat="1" ht="12" hidden="1" customHeight="1">
      <c r="A7072" s="172"/>
    </row>
    <row r="7073" spans="1:1" s="173" customFormat="1" ht="12" hidden="1" customHeight="1">
      <c r="A7073" s="172"/>
    </row>
    <row r="7074" spans="1:1" s="173" customFormat="1" ht="12" hidden="1" customHeight="1">
      <c r="A7074" s="172"/>
    </row>
    <row r="7075" spans="1:1" s="173" customFormat="1" ht="12" hidden="1" customHeight="1">
      <c r="A7075" s="172"/>
    </row>
    <row r="7076" spans="1:1" s="173" customFormat="1" ht="12" hidden="1" customHeight="1">
      <c r="A7076" s="172"/>
    </row>
    <row r="7077" spans="1:1" s="173" customFormat="1" ht="12" hidden="1" customHeight="1">
      <c r="A7077" s="172"/>
    </row>
    <row r="7078" spans="1:1" s="173" customFormat="1" ht="12" hidden="1" customHeight="1">
      <c r="A7078" s="172"/>
    </row>
    <row r="7079" spans="1:1" s="173" customFormat="1" ht="12" hidden="1" customHeight="1">
      <c r="A7079" s="172"/>
    </row>
    <row r="7080" spans="1:1" s="173" customFormat="1" ht="12" hidden="1" customHeight="1">
      <c r="A7080" s="172"/>
    </row>
    <row r="7081" spans="1:1" s="173" customFormat="1" ht="12" hidden="1" customHeight="1">
      <c r="A7081" s="172"/>
    </row>
    <row r="7082" spans="1:1" s="173" customFormat="1" ht="12" hidden="1" customHeight="1">
      <c r="A7082" s="172"/>
    </row>
    <row r="7083" spans="1:1" s="173" customFormat="1" ht="12" hidden="1" customHeight="1">
      <c r="A7083" s="172"/>
    </row>
    <row r="7084" spans="1:1" s="173" customFormat="1" ht="12" hidden="1" customHeight="1">
      <c r="A7084" s="172"/>
    </row>
    <row r="7085" spans="1:1" s="173" customFormat="1" ht="12" hidden="1" customHeight="1">
      <c r="A7085" s="172"/>
    </row>
    <row r="7086" spans="1:1" s="173" customFormat="1" ht="12" hidden="1" customHeight="1">
      <c r="A7086" s="172"/>
    </row>
    <row r="7087" spans="1:1" s="173" customFormat="1" ht="12" hidden="1" customHeight="1">
      <c r="A7087" s="172"/>
    </row>
    <row r="7088" spans="1:1" s="173" customFormat="1" ht="12" hidden="1" customHeight="1">
      <c r="A7088" s="172"/>
    </row>
    <row r="7089" spans="1:1" s="173" customFormat="1" ht="12" hidden="1" customHeight="1">
      <c r="A7089" s="172"/>
    </row>
    <row r="7090" spans="1:1" s="173" customFormat="1" ht="12" hidden="1" customHeight="1">
      <c r="A7090" s="172"/>
    </row>
    <row r="7091" spans="1:1" s="173" customFormat="1" ht="12" hidden="1" customHeight="1">
      <c r="A7091" s="172"/>
    </row>
    <row r="7092" spans="1:1" s="173" customFormat="1" ht="12" hidden="1" customHeight="1">
      <c r="A7092" s="172"/>
    </row>
    <row r="7093" spans="1:1" s="173" customFormat="1" ht="12" hidden="1" customHeight="1">
      <c r="A7093" s="172"/>
    </row>
    <row r="7094" spans="1:1" s="173" customFormat="1" ht="12" hidden="1" customHeight="1">
      <c r="A7094" s="172"/>
    </row>
    <row r="7095" spans="1:1" s="173" customFormat="1" ht="12" hidden="1" customHeight="1">
      <c r="A7095" s="172"/>
    </row>
    <row r="7096" spans="1:1" s="173" customFormat="1" ht="12" hidden="1" customHeight="1">
      <c r="A7096" s="172"/>
    </row>
    <row r="7097" spans="1:1" s="173" customFormat="1" ht="12" hidden="1" customHeight="1">
      <c r="A7097" s="172"/>
    </row>
    <row r="7098" spans="1:1" s="173" customFormat="1" ht="12" hidden="1" customHeight="1">
      <c r="A7098" s="172"/>
    </row>
    <row r="7099" spans="1:1" s="173" customFormat="1" ht="12" hidden="1" customHeight="1">
      <c r="A7099" s="172"/>
    </row>
    <row r="7100" spans="1:1" s="173" customFormat="1" ht="12" hidden="1" customHeight="1">
      <c r="A7100" s="172"/>
    </row>
    <row r="7101" spans="1:1" s="173" customFormat="1" ht="12" hidden="1" customHeight="1">
      <c r="A7101" s="172"/>
    </row>
    <row r="7102" spans="1:1" s="173" customFormat="1" ht="12" hidden="1" customHeight="1">
      <c r="A7102" s="172"/>
    </row>
    <row r="7103" spans="1:1" s="173" customFormat="1" ht="12" hidden="1" customHeight="1">
      <c r="A7103" s="172"/>
    </row>
    <row r="7104" spans="1:1" s="173" customFormat="1" ht="12" hidden="1" customHeight="1">
      <c r="A7104" s="172"/>
    </row>
    <row r="7105" spans="1:1" s="173" customFormat="1" ht="12" hidden="1" customHeight="1">
      <c r="A7105" s="172"/>
    </row>
    <row r="7106" spans="1:1" s="173" customFormat="1" ht="12" hidden="1" customHeight="1">
      <c r="A7106" s="172"/>
    </row>
    <row r="7107" spans="1:1" s="173" customFormat="1" ht="12" hidden="1" customHeight="1">
      <c r="A7107" s="172"/>
    </row>
    <row r="7108" spans="1:1" s="173" customFormat="1" ht="12" hidden="1" customHeight="1">
      <c r="A7108" s="172"/>
    </row>
    <row r="7109" spans="1:1" s="173" customFormat="1" ht="12" hidden="1" customHeight="1">
      <c r="A7109" s="172"/>
    </row>
    <row r="7110" spans="1:1" s="173" customFormat="1" ht="12" hidden="1" customHeight="1">
      <c r="A7110" s="172"/>
    </row>
    <row r="7111" spans="1:1" s="173" customFormat="1" ht="12" hidden="1" customHeight="1">
      <c r="A7111" s="172"/>
    </row>
    <row r="7112" spans="1:1" s="173" customFormat="1" ht="12" hidden="1" customHeight="1">
      <c r="A7112" s="172"/>
    </row>
    <row r="7113" spans="1:1" s="173" customFormat="1" ht="12" hidden="1" customHeight="1">
      <c r="A7113" s="172"/>
    </row>
    <row r="7114" spans="1:1" s="173" customFormat="1" ht="12" hidden="1" customHeight="1">
      <c r="A7114" s="172"/>
    </row>
    <row r="7115" spans="1:1" s="173" customFormat="1" ht="12" hidden="1" customHeight="1">
      <c r="A7115" s="172"/>
    </row>
    <row r="7116" spans="1:1" s="173" customFormat="1" ht="12" hidden="1" customHeight="1">
      <c r="A7116" s="172"/>
    </row>
    <row r="7117" spans="1:1" s="173" customFormat="1" ht="12" hidden="1" customHeight="1">
      <c r="A7117" s="172"/>
    </row>
    <row r="7118" spans="1:1" s="173" customFormat="1" ht="12" hidden="1" customHeight="1">
      <c r="A7118" s="172"/>
    </row>
    <row r="7119" spans="1:1" s="173" customFormat="1" ht="12" hidden="1" customHeight="1">
      <c r="A7119" s="172"/>
    </row>
    <row r="7120" spans="1:1" s="173" customFormat="1" ht="12" hidden="1" customHeight="1">
      <c r="A7120" s="172"/>
    </row>
    <row r="7121" spans="1:1" s="173" customFormat="1" ht="12" hidden="1" customHeight="1">
      <c r="A7121" s="172"/>
    </row>
    <row r="7122" spans="1:1" s="173" customFormat="1" ht="12" hidden="1" customHeight="1">
      <c r="A7122" s="172"/>
    </row>
    <row r="7123" spans="1:1" s="173" customFormat="1" ht="12" hidden="1" customHeight="1">
      <c r="A7123" s="172"/>
    </row>
    <row r="7124" spans="1:1" s="173" customFormat="1" ht="12" hidden="1" customHeight="1">
      <c r="A7124" s="172"/>
    </row>
    <row r="7125" spans="1:1" s="173" customFormat="1" ht="12" hidden="1" customHeight="1">
      <c r="A7125" s="172"/>
    </row>
    <row r="7126" spans="1:1" s="173" customFormat="1" ht="12" hidden="1" customHeight="1">
      <c r="A7126" s="172"/>
    </row>
    <row r="7127" spans="1:1" s="173" customFormat="1" ht="12" hidden="1" customHeight="1">
      <c r="A7127" s="172"/>
    </row>
    <row r="7128" spans="1:1" s="173" customFormat="1" ht="12" hidden="1" customHeight="1">
      <c r="A7128" s="172"/>
    </row>
    <row r="7129" spans="1:1" s="173" customFormat="1" ht="12" hidden="1" customHeight="1">
      <c r="A7129" s="172"/>
    </row>
    <row r="7130" spans="1:1" s="173" customFormat="1" ht="12" hidden="1" customHeight="1">
      <c r="A7130" s="172"/>
    </row>
    <row r="7131" spans="1:1" s="173" customFormat="1" ht="12" hidden="1" customHeight="1">
      <c r="A7131" s="172"/>
    </row>
    <row r="7132" spans="1:1" s="173" customFormat="1" ht="12" hidden="1" customHeight="1">
      <c r="A7132" s="172"/>
    </row>
    <row r="7133" spans="1:1" s="173" customFormat="1" ht="12" hidden="1" customHeight="1">
      <c r="A7133" s="172"/>
    </row>
    <row r="7134" spans="1:1" s="173" customFormat="1" ht="12" hidden="1" customHeight="1">
      <c r="A7134" s="172"/>
    </row>
    <row r="7135" spans="1:1" s="173" customFormat="1" ht="12" hidden="1" customHeight="1">
      <c r="A7135" s="172"/>
    </row>
    <row r="7136" spans="1:1" s="173" customFormat="1" ht="12" hidden="1" customHeight="1">
      <c r="A7136" s="172"/>
    </row>
    <row r="7137" spans="1:1" s="173" customFormat="1" ht="12" hidden="1" customHeight="1">
      <c r="A7137" s="172"/>
    </row>
    <row r="7138" spans="1:1" s="173" customFormat="1" ht="12" hidden="1" customHeight="1">
      <c r="A7138" s="172"/>
    </row>
    <row r="7139" spans="1:1" s="173" customFormat="1" ht="12" hidden="1" customHeight="1">
      <c r="A7139" s="172"/>
    </row>
    <row r="7140" spans="1:1" s="173" customFormat="1" ht="12" hidden="1" customHeight="1">
      <c r="A7140" s="172"/>
    </row>
    <row r="7141" spans="1:1" s="173" customFormat="1" ht="12" hidden="1" customHeight="1">
      <c r="A7141" s="172"/>
    </row>
    <row r="7142" spans="1:1" s="173" customFormat="1" ht="12" hidden="1" customHeight="1">
      <c r="A7142" s="172"/>
    </row>
    <row r="7143" spans="1:1" s="173" customFormat="1" ht="12" hidden="1" customHeight="1">
      <c r="A7143" s="172"/>
    </row>
    <row r="7144" spans="1:1" s="173" customFormat="1" ht="12" hidden="1" customHeight="1">
      <c r="A7144" s="172"/>
    </row>
    <row r="7145" spans="1:1" s="173" customFormat="1" ht="12" hidden="1" customHeight="1">
      <c r="A7145" s="172"/>
    </row>
    <row r="7146" spans="1:1" s="173" customFormat="1" ht="12" hidden="1" customHeight="1">
      <c r="A7146" s="172"/>
    </row>
    <row r="7147" spans="1:1" s="173" customFormat="1" ht="12" hidden="1" customHeight="1">
      <c r="A7147" s="172"/>
    </row>
    <row r="7148" spans="1:1" s="173" customFormat="1" ht="12" hidden="1" customHeight="1">
      <c r="A7148" s="172"/>
    </row>
    <row r="7149" spans="1:1" s="173" customFormat="1" ht="12" hidden="1" customHeight="1">
      <c r="A7149" s="172"/>
    </row>
    <row r="7150" spans="1:1" s="173" customFormat="1" ht="12" hidden="1" customHeight="1">
      <c r="A7150" s="172"/>
    </row>
    <row r="7151" spans="1:1" s="173" customFormat="1" ht="12" hidden="1" customHeight="1">
      <c r="A7151" s="172"/>
    </row>
    <row r="7152" spans="1:1" s="173" customFormat="1" ht="12" hidden="1" customHeight="1">
      <c r="A7152" s="172"/>
    </row>
    <row r="7153" spans="1:1" s="173" customFormat="1" ht="12" hidden="1" customHeight="1">
      <c r="A7153" s="172"/>
    </row>
    <row r="7154" spans="1:1" s="173" customFormat="1" ht="12" hidden="1" customHeight="1">
      <c r="A7154" s="172"/>
    </row>
    <row r="7155" spans="1:1" s="173" customFormat="1" ht="12" hidden="1" customHeight="1">
      <c r="A7155" s="172"/>
    </row>
    <row r="7156" spans="1:1" s="173" customFormat="1" ht="12" hidden="1" customHeight="1">
      <c r="A7156" s="172"/>
    </row>
    <row r="7157" spans="1:1" s="173" customFormat="1" ht="12" hidden="1" customHeight="1">
      <c r="A7157" s="172"/>
    </row>
    <row r="7158" spans="1:1" s="173" customFormat="1" ht="12" hidden="1" customHeight="1">
      <c r="A7158" s="172"/>
    </row>
    <row r="7159" spans="1:1" s="173" customFormat="1" ht="12" hidden="1" customHeight="1">
      <c r="A7159" s="172"/>
    </row>
    <row r="7160" spans="1:1" s="173" customFormat="1" ht="12" hidden="1" customHeight="1">
      <c r="A7160" s="172"/>
    </row>
    <row r="7161" spans="1:1" s="173" customFormat="1" ht="12" hidden="1" customHeight="1">
      <c r="A7161" s="172"/>
    </row>
    <row r="7162" spans="1:1" s="173" customFormat="1" ht="12" hidden="1" customHeight="1">
      <c r="A7162" s="172"/>
    </row>
    <row r="7163" spans="1:1" s="173" customFormat="1" ht="12" hidden="1" customHeight="1">
      <c r="A7163" s="172"/>
    </row>
    <row r="7164" spans="1:1" s="173" customFormat="1" ht="12" hidden="1" customHeight="1">
      <c r="A7164" s="172"/>
    </row>
    <row r="7165" spans="1:1" s="173" customFormat="1" ht="12" hidden="1" customHeight="1">
      <c r="A7165" s="172"/>
    </row>
    <row r="7166" spans="1:1" s="173" customFormat="1" ht="12" hidden="1" customHeight="1">
      <c r="A7166" s="172"/>
    </row>
    <row r="7167" spans="1:1" s="173" customFormat="1" ht="12" hidden="1" customHeight="1">
      <c r="A7167" s="172"/>
    </row>
    <row r="7168" spans="1:1" s="173" customFormat="1" ht="12" hidden="1" customHeight="1">
      <c r="A7168" s="172"/>
    </row>
    <row r="7169" spans="1:1" s="173" customFormat="1" ht="12" hidden="1" customHeight="1">
      <c r="A7169" s="172"/>
    </row>
    <row r="7170" spans="1:1" s="173" customFormat="1" ht="12" hidden="1" customHeight="1">
      <c r="A7170" s="172"/>
    </row>
    <row r="7171" spans="1:1" s="173" customFormat="1" ht="12" hidden="1" customHeight="1">
      <c r="A7171" s="172"/>
    </row>
    <row r="7172" spans="1:1" s="173" customFormat="1" ht="12" hidden="1" customHeight="1">
      <c r="A7172" s="172"/>
    </row>
    <row r="7173" spans="1:1" s="173" customFormat="1" ht="12" hidden="1" customHeight="1">
      <c r="A7173" s="172"/>
    </row>
    <row r="7174" spans="1:1" s="173" customFormat="1" ht="12" hidden="1" customHeight="1">
      <c r="A7174" s="172"/>
    </row>
    <row r="7175" spans="1:1" s="173" customFormat="1" ht="12" hidden="1" customHeight="1">
      <c r="A7175" s="172"/>
    </row>
    <row r="7176" spans="1:1" s="173" customFormat="1" ht="12" hidden="1" customHeight="1">
      <c r="A7176" s="172"/>
    </row>
    <row r="7177" spans="1:1" s="173" customFormat="1" ht="12" hidden="1" customHeight="1">
      <c r="A7177" s="172"/>
    </row>
    <row r="7178" spans="1:1" s="173" customFormat="1" ht="12" hidden="1" customHeight="1">
      <c r="A7178" s="172"/>
    </row>
    <row r="7179" spans="1:1" s="173" customFormat="1" ht="12" hidden="1" customHeight="1">
      <c r="A7179" s="172"/>
    </row>
    <row r="7180" spans="1:1" s="173" customFormat="1" ht="12" hidden="1" customHeight="1">
      <c r="A7180" s="172"/>
    </row>
    <row r="7181" spans="1:1" s="173" customFormat="1" ht="12" hidden="1" customHeight="1">
      <c r="A7181" s="172"/>
    </row>
    <row r="7182" spans="1:1" s="173" customFormat="1" ht="12" hidden="1" customHeight="1">
      <c r="A7182" s="172"/>
    </row>
    <row r="7183" spans="1:1" s="173" customFormat="1" ht="12" hidden="1" customHeight="1">
      <c r="A7183" s="172"/>
    </row>
    <row r="7184" spans="1:1" s="173" customFormat="1" ht="12" hidden="1" customHeight="1">
      <c r="A7184" s="172"/>
    </row>
    <row r="7185" spans="1:1" s="173" customFormat="1" ht="12" hidden="1" customHeight="1">
      <c r="A7185" s="172"/>
    </row>
    <row r="7186" spans="1:1" s="173" customFormat="1" ht="12" hidden="1" customHeight="1">
      <c r="A7186" s="172"/>
    </row>
    <row r="7187" spans="1:1" s="173" customFormat="1" ht="12" hidden="1" customHeight="1">
      <c r="A7187" s="172"/>
    </row>
    <row r="7188" spans="1:1" s="173" customFormat="1" ht="12" hidden="1" customHeight="1">
      <c r="A7188" s="172"/>
    </row>
    <row r="7189" spans="1:1" s="173" customFormat="1" ht="12" hidden="1" customHeight="1">
      <c r="A7189" s="172"/>
    </row>
    <row r="7190" spans="1:1" s="173" customFormat="1" ht="12" hidden="1" customHeight="1">
      <c r="A7190" s="172"/>
    </row>
    <row r="7191" spans="1:1" s="173" customFormat="1" ht="12" hidden="1" customHeight="1">
      <c r="A7191" s="172"/>
    </row>
    <row r="7192" spans="1:1" s="173" customFormat="1" ht="12" hidden="1" customHeight="1">
      <c r="A7192" s="172"/>
    </row>
    <row r="7193" spans="1:1" s="173" customFormat="1" ht="12" hidden="1" customHeight="1">
      <c r="A7193" s="172"/>
    </row>
    <row r="7194" spans="1:1" s="173" customFormat="1" ht="12" hidden="1" customHeight="1">
      <c r="A7194" s="172"/>
    </row>
    <row r="7195" spans="1:1" s="173" customFormat="1" ht="12" hidden="1" customHeight="1">
      <c r="A7195" s="172"/>
    </row>
    <row r="7196" spans="1:1" s="173" customFormat="1" ht="12" hidden="1" customHeight="1">
      <c r="A7196" s="172"/>
    </row>
    <row r="7197" spans="1:1" s="173" customFormat="1" ht="12" hidden="1" customHeight="1">
      <c r="A7197" s="172"/>
    </row>
    <row r="7198" spans="1:1" s="173" customFormat="1" ht="12" hidden="1" customHeight="1">
      <c r="A7198" s="172"/>
    </row>
    <row r="7199" spans="1:1" s="173" customFormat="1" ht="12" hidden="1" customHeight="1">
      <c r="A7199" s="172"/>
    </row>
    <row r="7200" spans="1:1" s="173" customFormat="1" ht="12" hidden="1" customHeight="1">
      <c r="A7200" s="172"/>
    </row>
    <row r="7201" spans="1:1" s="173" customFormat="1" ht="12" hidden="1" customHeight="1">
      <c r="A7201" s="172"/>
    </row>
    <row r="7202" spans="1:1" s="173" customFormat="1" ht="12" hidden="1" customHeight="1">
      <c r="A7202" s="172"/>
    </row>
    <row r="7203" spans="1:1" s="173" customFormat="1" ht="12" hidden="1" customHeight="1">
      <c r="A7203" s="172"/>
    </row>
    <row r="7204" spans="1:1" s="173" customFormat="1" ht="12" hidden="1" customHeight="1">
      <c r="A7204" s="172"/>
    </row>
    <row r="7205" spans="1:1" s="173" customFormat="1" ht="12" hidden="1" customHeight="1">
      <c r="A7205" s="172"/>
    </row>
    <row r="7206" spans="1:1" s="173" customFormat="1" ht="12" hidden="1" customHeight="1">
      <c r="A7206" s="172"/>
    </row>
    <row r="7207" spans="1:1" s="173" customFormat="1" ht="12" hidden="1" customHeight="1">
      <c r="A7207" s="172"/>
    </row>
    <row r="7208" spans="1:1" s="173" customFormat="1" ht="12" hidden="1" customHeight="1">
      <c r="A7208" s="172"/>
    </row>
    <row r="7209" spans="1:1" s="173" customFormat="1" ht="12" hidden="1" customHeight="1">
      <c r="A7209" s="172"/>
    </row>
    <row r="7210" spans="1:1" s="173" customFormat="1" ht="12" hidden="1" customHeight="1">
      <c r="A7210" s="172"/>
    </row>
    <row r="7211" spans="1:1" s="173" customFormat="1" ht="12" hidden="1" customHeight="1">
      <c r="A7211" s="172"/>
    </row>
    <row r="7212" spans="1:1" s="173" customFormat="1" ht="12" hidden="1" customHeight="1">
      <c r="A7212" s="172"/>
    </row>
    <row r="7213" spans="1:1" s="173" customFormat="1" ht="12" hidden="1" customHeight="1">
      <c r="A7213" s="172"/>
    </row>
    <row r="7214" spans="1:1" s="173" customFormat="1" ht="12" hidden="1" customHeight="1">
      <c r="A7214" s="172"/>
    </row>
    <row r="7215" spans="1:1" s="173" customFormat="1" ht="12" hidden="1" customHeight="1">
      <c r="A7215" s="172"/>
    </row>
    <row r="7216" spans="1:1" s="173" customFormat="1" ht="12" hidden="1" customHeight="1">
      <c r="A7216" s="172"/>
    </row>
    <row r="7217" spans="1:1" s="173" customFormat="1" ht="12" hidden="1" customHeight="1">
      <c r="A7217" s="172"/>
    </row>
    <row r="7218" spans="1:1" s="173" customFormat="1" ht="12" hidden="1" customHeight="1">
      <c r="A7218" s="172"/>
    </row>
    <row r="7219" spans="1:1" s="173" customFormat="1" ht="12" hidden="1" customHeight="1">
      <c r="A7219" s="172"/>
    </row>
    <row r="7220" spans="1:1" s="173" customFormat="1" ht="12" hidden="1" customHeight="1">
      <c r="A7220" s="172"/>
    </row>
    <row r="7221" spans="1:1" s="173" customFormat="1" ht="12" hidden="1" customHeight="1">
      <c r="A7221" s="172"/>
    </row>
    <row r="7222" spans="1:1" s="173" customFormat="1" ht="12" hidden="1" customHeight="1">
      <c r="A7222" s="172"/>
    </row>
    <row r="7223" spans="1:1" s="173" customFormat="1" ht="12" hidden="1" customHeight="1">
      <c r="A7223" s="172"/>
    </row>
    <row r="7224" spans="1:1" s="173" customFormat="1" ht="12" hidden="1" customHeight="1">
      <c r="A7224" s="172"/>
    </row>
    <row r="7225" spans="1:1" s="173" customFormat="1" ht="12" hidden="1" customHeight="1">
      <c r="A7225" s="172"/>
    </row>
    <row r="7226" spans="1:1" s="173" customFormat="1" ht="12" hidden="1" customHeight="1">
      <c r="A7226" s="172"/>
    </row>
    <row r="7227" spans="1:1" s="173" customFormat="1" ht="12" hidden="1" customHeight="1">
      <c r="A7227" s="172"/>
    </row>
    <row r="7228" spans="1:1" s="173" customFormat="1" ht="12" hidden="1" customHeight="1">
      <c r="A7228" s="172"/>
    </row>
    <row r="7229" spans="1:1" s="173" customFormat="1" ht="12" hidden="1" customHeight="1">
      <c r="A7229" s="172"/>
    </row>
    <row r="7230" spans="1:1" s="173" customFormat="1" ht="12" hidden="1" customHeight="1">
      <c r="A7230" s="172"/>
    </row>
    <row r="7231" spans="1:1" s="173" customFormat="1" ht="12" hidden="1" customHeight="1">
      <c r="A7231" s="172"/>
    </row>
    <row r="7232" spans="1:1" s="173" customFormat="1" ht="12" hidden="1" customHeight="1">
      <c r="A7232" s="172"/>
    </row>
    <row r="7233" spans="1:1" s="173" customFormat="1" ht="12" hidden="1" customHeight="1">
      <c r="A7233" s="172"/>
    </row>
    <row r="7234" spans="1:1" s="173" customFormat="1" ht="12" hidden="1" customHeight="1">
      <c r="A7234" s="172"/>
    </row>
    <row r="7235" spans="1:1" s="173" customFormat="1" ht="12" hidden="1" customHeight="1">
      <c r="A7235" s="172"/>
    </row>
    <row r="7236" spans="1:1" s="173" customFormat="1" ht="12" hidden="1" customHeight="1">
      <c r="A7236" s="172"/>
    </row>
    <row r="7237" spans="1:1" s="173" customFormat="1" ht="12" hidden="1" customHeight="1">
      <c r="A7237" s="172"/>
    </row>
    <row r="7238" spans="1:1" s="173" customFormat="1" ht="12" hidden="1" customHeight="1">
      <c r="A7238" s="172"/>
    </row>
    <row r="7239" spans="1:1" s="173" customFormat="1" ht="12" hidden="1" customHeight="1">
      <c r="A7239" s="172"/>
    </row>
    <row r="7240" spans="1:1" s="173" customFormat="1" ht="12" hidden="1" customHeight="1">
      <c r="A7240" s="172"/>
    </row>
    <row r="7241" spans="1:1" s="173" customFormat="1" ht="12" hidden="1" customHeight="1">
      <c r="A7241" s="172"/>
    </row>
    <row r="7242" spans="1:1" s="173" customFormat="1" ht="12" hidden="1" customHeight="1">
      <c r="A7242" s="172"/>
    </row>
    <row r="7243" spans="1:1" s="173" customFormat="1" ht="12" hidden="1" customHeight="1">
      <c r="A7243" s="172"/>
    </row>
    <row r="7244" spans="1:1" s="173" customFormat="1" ht="12" hidden="1" customHeight="1">
      <c r="A7244" s="172"/>
    </row>
    <row r="7245" spans="1:1" s="173" customFormat="1" ht="12" hidden="1" customHeight="1">
      <c r="A7245" s="172"/>
    </row>
    <row r="7246" spans="1:1" s="173" customFormat="1" ht="12" hidden="1" customHeight="1">
      <c r="A7246" s="172"/>
    </row>
    <row r="7247" spans="1:1" s="173" customFormat="1" ht="12" hidden="1" customHeight="1">
      <c r="A7247" s="172"/>
    </row>
    <row r="7248" spans="1:1" s="173" customFormat="1" ht="12" hidden="1" customHeight="1">
      <c r="A7248" s="172"/>
    </row>
    <row r="7249" spans="1:1" s="173" customFormat="1" ht="12" hidden="1" customHeight="1">
      <c r="A7249" s="172"/>
    </row>
    <row r="7250" spans="1:1" s="173" customFormat="1" ht="12" hidden="1" customHeight="1">
      <c r="A7250" s="172"/>
    </row>
    <row r="7251" spans="1:1" s="173" customFormat="1" ht="12" hidden="1" customHeight="1">
      <c r="A7251" s="172"/>
    </row>
    <row r="7252" spans="1:1" s="173" customFormat="1" ht="12" hidden="1" customHeight="1">
      <c r="A7252" s="172"/>
    </row>
    <row r="7253" spans="1:1" s="173" customFormat="1" ht="12" hidden="1" customHeight="1">
      <c r="A7253" s="172"/>
    </row>
    <row r="7254" spans="1:1" s="173" customFormat="1" ht="12" hidden="1" customHeight="1">
      <c r="A7254" s="172"/>
    </row>
    <row r="7255" spans="1:1" s="173" customFormat="1" ht="12" hidden="1" customHeight="1">
      <c r="A7255" s="172"/>
    </row>
    <row r="7256" spans="1:1" s="173" customFormat="1" ht="12" hidden="1" customHeight="1">
      <c r="A7256" s="172"/>
    </row>
    <row r="7257" spans="1:1" s="173" customFormat="1" ht="12" hidden="1" customHeight="1">
      <c r="A7257" s="172"/>
    </row>
    <row r="7258" spans="1:1" s="173" customFormat="1" ht="12" hidden="1" customHeight="1">
      <c r="A7258" s="172"/>
    </row>
    <row r="7259" spans="1:1" s="173" customFormat="1" ht="12" hidden="1" customHeight="1">
      <c r="A7259" s="172"/>
    </row>
    <row r="7260" spans="1:1" s="173" customFormat="1" ht="12" hidden="1" customHeight="1">
      <c r="A7260" s="172"/>
    </row>
    <row r="7261" spans="1:1" s="173" customFormat="1" ht="12" hidden="1" customHeight="1">
      <c r="A7261" s="172"/>
    </row>
    <row r="7262" spans="1:1" s="173" customFormat="1" ht="12" hidden="1" customHeight="1">
      <c r="A7262" s="172"/>
    </row>
    <row r="7263" spans="1:1" s="173" customFormat="1" ht="12" hidden="1" customHeight="1">
      <c r="A7263" s="172"/>
    </row>
    <row r="7264" spans="1:1" s="173" customFormat="1" ht="12" hidden="1" customHeight="1">
      <c r="A7264" s="172"/>
    </row>
    <row r="7265" spans="1:1" s="173" customFormat="1" ht="12" hidden="1" customHeight="1">
      <c r="A7265" s="172"/>
    </row>
    <row r="7266" spans="1:1" s="173" customFormat="1" ht="12" hidden="1" customHeight="1">
      <c r="A7266" s="172"/>
    </row>
    <row r="7267" spans="1:1" s="173" customFormat="1" ht="12" hidden="1" customHeight="1">
      <c r="A7267" s="172"/>
    </row>
    <row r="7268" spans="1:1" s="173" customFormat="1" ht="12" hidden="1" customHeight="1">
      <c r="A7268" s="172"/>
    </row>
    <row r="7269" spans="1:1" s="173" customFormat="1" ht="12" hidden="1" customHeight="1">
      <c r="A7269" s="172"/>
    </row>
    <row r="7270" spans="1:1" s="173" customFormat="1" ht="12" hidden="1" customHeight="1">
      <c r="A7270" s="172"/>
    </row>
    <row r="7271" spans="1:1" s="173" customFormat="1" ht="12" hidden="1" customHeight="1">
      <c r="A7271" s="172"/>
    </row>
    <row r="7272" spans="1:1" s="173" customFormat="1" ht="12" hidden="1" customHeight="1">
      <c r="A7272" s="172"/>
    </row>
    <row r="7273" spans="1:1" s="173" customFormat="1" ht="12" hidden="1" customHeight="1">
      <c r="A7273" s="172"/>
    </row>
    <row r="7274" spans="1:1" s="173" customFormat="1" ht="12" hidden="1" customHeight="1">
      <c r="A7274" s="172"/>
    </row>
    <row r="7275" spans="1:1" s="173" customFormat="1" ht="12" hidden="1" customHeight="1">
      <c r="A7275" s="172"/>
    </row>
    <row r="7276" spans="1:1" s="173" customFormat="1" ht="12" hidden="1" customHeight="1">
      <c r="A7276" s="172"/>
    </row>
    <row r="7277" spans="1:1" s="173" customFormat="1" ht="12" hidden="1" customHeight="1">
      <c r="A7277" s="172"/>
    </row>
    <row r="7278" spans="1:1" s="173" customFormat="1" ht="12" hidden="1" customHeight="1">
      <c r="A7278" s="172"/>
    </row>
    <row r="7279" spans="1:1" s="173" customFormat="1" ht="12" hidden="1" customHeight="1">
      <c r="A7279" s="172"/>
    </row>
    <row r="7280" spans="1:1" s="173" customFormat="1" ht="12" hidden="1" customHeight="1">
      <c r="A7280" s="172"/>
    </row>
    <row r="7281" spans="1:1" s="173" customFormat="1" ht="12" hidden="1" customHeight="1">
      <c r="A7281" s="172"/>
    </row>
    <row r="7282" spans="1:1" s="173" customFormat="1" ht="12" hidden="1" customHeight="1">
      <c r="A7282" s="172"/>
    </row>
    <row r="7283" spans="1:1" s="173" customFormat="1" ht="12" hidden="1" customHeight="1">
      <c r="A7283" s="172"/>
    </row>
    <row r="7284" spans="1:1" s="173" customFormat="1" ht="12" hidden="1" customHeight="1">
      <c r="A7284" s="172"/>
    </row>
    <row r="7285" spans="1:1" s="173" customFormat="1" ht="12" hidden="1" customHeight="1">
      <c r="A7285" s="172"/>
    </row>
    <row r="7286" spans="1:1" s="173" customFormat="1" ht="12" hidden="1" customHeight="1">
      <c r="A7286" s="172"/>
    </row>
    <row r="7287" spans="1:1" s="173" customFormat="1" ht="12" hidden="1" customHeight="1">
      <c r="A7287" s="172"/>
    </row>
    <row r="7288" spans="1:1" s="173" customFormat="1" ht="12" hidden="1" customHeight="1">
      <c r="A7288" s="172"/>
    </row>
    <row r="7289" spans="1:1" s="173" customFormat="1" ht="12" hidden="1" customHeight="1">
      <c r="A7289" s="172"/>
    </row>
    <row r="7290" spans="1:1" s="173" customFormat="1" ht="12" hidden="1" customHeight="1">
      <c r="A7290" s="172"/>
    </row>
    <row r="7291" spans="1:1" s="173" customFormat="1" ht="12" hidden="1" customHeight="1">
      <c r="A7291" s="172"/>
    </row>
    <row r="7292" spans="1:1" s="173" customFormat="1" ht="12" hidden="1" customHeight="1">
      <c r="A7292" s="172"/>
    </row>
    <row r="7293" spans="1:1" s="173" customFormat="1" ht="12" hidden="1" customHeight="1">
      <c r="A7293" s="172"/>
    </row>
    <row r="7294" spans="1:1" s="173" customFormat="1" ht="12" hidden="1" customHeight="1">
      <c r="A7294" s="172"/>
    </row>
    <row r="7295" spans="1:1" s="173" customFormat="1" ht="12" hidden="1" customHeight="1">
      <c r="A7295" s="172"/>
    </row>
    <row r="7296" spans="1:1" s="173" customFormat="1" ht="12" hidden="1" customHeight="1">
      <c r="A7296" s="172"/>
    </row>
    <row r="7297" spans="1:1" s="173" customFormat="1" ht="12" hidden="1" customHeight="1">
      <c r="A7297" s="172"/>
    </row>
    <row r="7298" spans="1:1" s="173" customFormat="1" ht="12" hidden="1" customHeight="1">
      <c r="A7298" s="172"/>
    </row>
    <row r="7299" spans="1:1" s="173" customFormat="1" ht="12" hidden="1" customHeight="1">
      <c r="A7299" s="172"/>
    </row>
    <row r="7300" spans="1:1" s="173" customFormat="1" ht="12" hidden="1" customHeight="1">
      <c r="A7300" s="172"/>
    </row>
    <row r="7301" spans="1:1" s="173" customFormat="1" ht="12" hidden="1" customHeight="1">
      <c r="A7301" s="172"/>
    </row>
    <row r="7302" spans="1:1" s="173" customFormat="1" ht="12" hidden="1" customHeight="1">
      <c r="A7302" s="172"/>
    </row>
    <row r="7303" spans="1:1" s="173" customFormat="1" ht="12" hidden="1" customHeight="1">
      <c r="A7303" s="172"/>
    </row>
    <row r="7304" spans="1:1" s="173" customFormat="1" ht="12" hidden="1" customHeight="1">
      <c r="A7304" s="172"/>
    </row>
    <row r="7305" spans="1:1" s="173" customFormat="1" ht="12" hidden="1" customHeight="1">
      <c r="A7305" s="172"/>
    </row>
    <row r="7306" spans="1:1" s="173" customFormat="1" ht="12" hidden="1" customHeight="1">
      <c r="A7306" s="172"/>
    </row>
    <row r="7307" spans="1:1" s="173" customFormat="1" ht="12" hidden="1" customHeight="1">
      <c r="A7307" s="172"/>
    </row>
    <row r="7308" spans="1:1" s="173" customFormat="1" ht="12" hidden="1" customHeight="1">
      <c r="A7308" s="172"/>
    </row>
    <row r="7309" spans="1:1" s="173" customFormat="1" ht="12" hidden="1" customHeight="1">
      <c r="A7309" s="172"/>
    </row>
    <row r="7310" spans="1:1" s="173" customFormat="1" ht="12" hidden="1" customHeight="1">
      <c r="A7310" s="172"/>
    </row>
    <row r="7311" spans="1:1" s="173" customFormat="1" ht="12" hidden="1" customHeight="1">
      <c r="A7311" s="172"/>
    </row>
    <row r="7312" spans="1:1" s="173" customFormat="1" ht="12" hidden="1" customHeight="1">
      <c r="A7312" s="172"/>
    </row>
    <row r="7313" spans="1:1" s="173" customFormat="1" ht="12" hidden="1" customHeight="1">
      <c r="A7313" s="172"/>
    </row>
    <row r="7314" spans="1:1" s="173" customFormat="1" ht="12" hidden="1" customHeight="1">
      <c r="A7314" s="172"/>
    </row>
    <row r="7315" spans="1:1" s="173" customFormat="1" ht="12" hidden="1" customHeight="1">
      <c r="A7315" s="172"/>
    </row>
    <row r="7316" spans="1:1" s="173" customFormat="1" ht="12" hidden="1" customHeight="1">
      <c r="A7316" s="172"/>
    </row>
    <row r="7317" spans="1:1" s="173" customFormat="1" ht="12" hidden="1" customHeight="1">
      <c r="A7317" s="172"/>
    </row>
    <row r="7318" spans="1:1" s="173" customFormat="1" ht="12" hidden="1" customHeight="1">
      <c r="A7318" s="172"/>
    </row>
    <row r="7319" spans="1:1" s="173" customFormat="1" ht="12" hidden="1" customHeight="1">
      <c r="A7319" s="172"/>
    </row>
    <row r="7320" spans="1:1" s="173" customFormat="1" ht="12" hidden="1" customHeight="1">
      <c r="A7320" s="172"/>
    </row>
    <row r="7321" spans="1:1" s="173" customFormat="1" ht="12" hidden="1" customHeight="1">
      <c r="A7321" s="172"/>
    </row>
    <row r="7322" spans="1:1" s="173" customFormat="1" ht="12" hidden="1" customHeight="1">
      <c r="A7322" s="172"/>
    </row>
    <row r="7323" spans="1:1" s="173" customFormat="1" ht="12" hidden="1" customHeight="1">
      <c r="A7323" s="172"/>
    </row>
    <row r="7324" spans="1:1" s="173" customFormat="1" ht="12" hidden="1" customHeight="1">
      <c r="A7324" s="172"/>
    </row>
    <row r="7325" spans="1:1" s="173" customFormat="1" ht="12" hidden="1" customHeight="1">
      <c r="A7325" s="172"/>
    </row>
    <row r="7326" spans="1:1" s="173" customFormat="1" ht="12" hidden="1" customHeight="1">
      <c r="A7326" s="172"/>
    </row>
    <row r="7327" spans="1:1" s="173" customFormat="1" ht="12" hidden="1" customHeight="1">
      <c r="A7327" s="172"/>
    </row>
    <row r="7328" spans="1:1" s="173" customFormat="1" ht="12" hidden="1" customHeight="1">
      <c r="A7328" s="172"/>
    </row>
    <row r="7329" spans="1:1" s="173" customFormat="1" ht="12" hidden="1" customHeight="1">
      <c r="A7329" s="172"/>
    </row>
    <row r="7330" spans="1:1" s="173" customFormat="1" ht="12" hidden="1" customHeight="1">
      <c r="A7330" s="172"/>
    </row>
    <row r="7331" spans="1:1" s="173" customFormat="1" ht="12" hidden="1" customHeight="1">
      <c r="A7331" s="172"/>
    </row>
    <row r="7332" spans="1:1" s="173" customFormat="1" ht="12" hidden="1" customHeight="1">
      <c r="A7332" s="172"/>
    </row>
    <row r="7333" spans="1:1" s="173" customFormat="1" ht="12" hidden="1" customHeight="1">
      <c r="A7333" s="172"/>
    </row>
    <row r="7334" spans="1:1" s="173" customFormat="1" ht="12" hidden="1" customHeight="1">
      <c r="A7334" s="172"/>
    </row>
    <row r="7335" spans="1:1" s="173" customFormat="1" ht="12" hidden="1" customHeight="1">
      <c r="A7335" s="172"/>
    </row>
    <row r="7336" spans="1:1" s="173" customFormat="1" ht="12" hidden="1" customHeight="1">
      <c r="A7336" s="172"/>
    </row>
    <row r="7337" spans="1:1" s="173" customFormat="1" ht="12" hidden="1" customHeight="1">
      <c r="A7337" s="172"/>
    </row>
    <row r="7338" spans="1:1" s="173" customFormat="1" ht="12" hidden="1" customHeight="1">
      <c r="A7338" s="172"/>
    </row>
    <row r="7339" spans="1:1" s="173" customFormat="1" ht="12" hidden="1" customHeight="1">
      <c r="A7339" s="172"/>
    </row>
    <row r="7340" spans="1:1" s="173" customFormat="1" ht="12" hidden="1" customHeight="1">
      <c r="A7340" s="172"/>
    </row>
    <row r="7341" spans="1:1" s="173" customFormat="1" ht="12" hidden="1" customHeight="1">
      <c r="A7341" s="172"/>
    </row>
    <row r="7342" spans="1:1" s="173" customFormat="1" ht="12" hidden="1" customHeight="1">
      <c r="A7342" s="172"/>
    </row>
    <row r="7343" spans="1:1" s="173" customFormat="1" ht="12" hidden="1" customHeight="1">
      <c r="A7343" s="172"/>
    </row>
    <row r="7344" spans="1:1" s="173" customFormat="1" ht="12" hidden="1" customHeight="1">
      <c r="A7344" s="172"/>
    </row>
    <row r="7345" spans="1:1" s="173" customFormat="1" ht="12" hidden="1" customHeight="1">
      <c r="A7345" s="172"/>
    </row>
    <row r="7346" spans="1:1" s="173" customFormat="1" ht="12" hidden="1" customHeight="1">
      <c r="A7346" s="172"/>
    </row>
    <row r="7347" spans="1:1" s="173" customFormat="1" ht="12" hidden="1" customHeight="1">
      <c r="A7347" s="172"/>
    </row>
    <row r="7348" spans="1:1" s="173" customFormat="1" ht="12" hidden="1" customHeight="1">
      <c r="A7348" s="172"/>
    </row>
    <row r="7349" spans="1:1" s="173" customFormat="1" ht="12" hidden="1" customHeight="1">
      <c r="A7349" s="172"/>
    </row>
    <row r="7350" spans="1:1" s="173" customFormat="1" ht="12" hidden="1" customHeight="1">
      <c r="A7350" s="172"/>
    </row>
    <row r="7351" spans="1:1" s="173" customFormat="1" ht="12" hidden="1" customHeight="1">
      <c r="A7351" s="172"/>
    </row>
    <row r="7352" spans="1:1" s="173" customFormat="1" ht="12" hidden="1" customHeight="1">
      <c r="A7352" s="172"/>
    </row>
    <row r="7353" spans="1:1" s="173" customFormat="1" ht="12" hidden="1" customHeight="1">
      <c r="A7353" s="172"/>
    </row>
    <row r="7354" spans="1:1" s="173" customFormat="1" ht="12" hidden="1" customHeight="1">
      <c r="A7354" s="172"/>
    </row>
    <row r="7355" spans="1:1" s="173" customFormat="1" ht="12" hidden="1" customHeight="1">
      <c r="A7355" s="172"/>
    </row>
    <row r="7356" spans="1:1" s="173" customFormat="1" ht="12" hidden="1" customHeight="1">
      <c r="A7356" s="172"/>
    </row>
    <row r="7357" spans="1:1" s="173" customFormat="1" ht="12" hidden="1" customHeight="1">
      <c r="A7357" s="172"/>
    </row>
    <row r="7358" spans="1:1" s="173" customFormat="1" ht="12" hidden="1" customHeight="1">
      <c r="A7358" s="172"/>
    </row>
    <row r="7359" spans="1:1" s="173" customFormat="1" ht="12" hidden="1" customHeight="1">
      <c r="A7359" s="172"/>
    </row>
    <row r="7360" spans="1:1" s="173" customFormat="1" ht="12" hidden="1" customHeight="1">
      <c r="A7360" s="172"/>
    </row>
    <row r="7361" spans="1:1" s="173" customFormat="1" ht="12" hidden="1" customHeight="1">
      <c r="A7361" s="172"/>
    </row>
    <row r="7362" spans="1:1" s="173" customFormat="1" ht="12" hidden="1" customHeight="1">
      <c r="A7362" s="172"/>
    </row>
    <row r="7363" spans="1:1" s="173" customFormat="1" ht="12" hidden="1" customHeight="1">
      <c r="A7363" s="172"/>
    </row>
    <row r="7364" spans="1:1" s="173" customFormat="1" ht="12" hidden="1" customHeight="1">
      <c r="A7364" s="172"/>
    </row>
    <row r="7365" spans="1:1" s="173" customFormat="1" ht="12" hidden="1" customHeight="1">
      <c r="A7365" s="172"/>
    </row>
    <row r="7366" spans="1:1" s="173" customFormat="1" ht="12" hidden="1" customHeight="1">
      <c r="A7366" s="172"/>
    </row>
    <row r="7367" spans="1:1" s="173" customFormat="1" ht="12" hidden="1" customHeight="1">
      <c r="A7367" s="172"/>
    </row>
    <row r="7368" spans="1:1" s="173" customFormat="1" ht="12" hidden="1" customHeight="1">
      <c r="A7368" s="172"/>
    </row>
    <row r="7369" spans="1:1" s="173" customFormat="1" ht="12" hidden="1" customHeight="1">
      <c r="A7369" s="172"/>
    </row>
    <row r="7370" spans="1:1" s="173" customFormat="1" ht="12" hidden="1" customHeight="1">
      <c r="A7370" s="172"/>
    </row>
    <row r="7371" spans="1:1" s="173" customFormat="1" ht="12" hidden="1" customHeight="1">
      <c r="A7371" s="172"/>
    </row>
    <row r="7372" spans="1:1" s="173" customFormat="1" ht="12" hidden="1" customHeight="1">
      <c r="A7372" s="172"/>
    </row>
    <row r="7373" spans="1:1" s="173" customFormat="1" ht="12" hidden="1" customHeight="1">
      <c r="A7373" s="172"/>
    </row>
    <row r="7374" spans="1:1" s="173" customFormat="1" ht="12" hidden="1" customHeight="1">
      <c r="A7374" s="172"/>
    </row>
    <row r="7375" spans="1:1" s="173" customFormat="1" ht="12" hidden="1" customHeight="1">
      <c r="A7375" s="172"/>
    </row>
    <row r="7376" spans="1:1" s="173" customFormat="1" ht="12" hidden="1" customHeight="1">
      <c r="A7376" s="172"/>
    </row>
    <row r="7377" spans="1:1" s="173" customFormat="1" ht="12" hidden="1" customHeight="1">
      <c r="A7377" s="172"/>
    </row>
    <row r="7378" spans="1:1" s="173" customFormat="1" ht="12" hidden="1" customHeight="1">
      <c r="A7378" s="172"/>
    </row>
    <row r="7379" spans="1:1" s="173" customFormat="1" ht="12" hidden="1" customHeight="1">
      <c r="A7379" s="172"/>
    </row>
    <row r="7380" spans="1:1" s="173" customFormat="1" ht="12" hidden="1" customHeight="1">
      <c r="A7380" s="172"/>
    </row>
    <row r="7381" spans="1:1" s="173" customFormat="1" ht="12" hidden="1" customHeight="1">
      <c r="A7381" s="172"/>
    </row>
    <row r="7382" spans="1:1" s="173" customFormat="1" ht="12" hidden="1" customHeight="1">
      <c r="A7382" s="172"/>
    </row>
    <row r="7383" spans="1:1" s="173" customFormat="1" ht="12" hidden="1" customHeight="1">
      <c r="A7383" s="172"/>
    </row>
    <row r="7384" spans="1:1" s="173" customFormat="1" ht="12" hidden="1" customHeight="1">
      <c r="A7384" s="172"/>
    </row>
    <row r="7385" spans="1:1" s="173" customFormat="1" ht="12" hidden="1" customHeight="1">
      <c r="A7385" s="172"/>
    </row>
    <row r="7386" spans="1:1" s="173" customFormat="1" ht="12" hidden="1" customHeight="1">
      <c r="A7386" s="172"/>
    </row>
    <row r="7387" spans="1:1" s="173" customFormat="1" ht="12" hidden="1" customHeight="1">
      <c r="A7387" s="172"/>
    </row>
    <row r="7388" spans="1:1" s="173" customFormat="1" ht="12" hidden="1" customHeight="1">
      <c r="A7388" s="172"/>
    </row>
    <row r="7389" spans="1:1" s="173" customFormat="1" ht="12" hidden="1" customHeight="1">
      <c r="A7389" s="172"/>
    </row>
    <row r="7390" spans="1:1" s="173" customFormat="1" ht="12" hidden="1" customHeight="1">
      <c r="A7390" s="172"/>
    </row>
    <row r="7391" spans="1:1" s="173" customFormat="1" ht="12" hidden="1" customHeight="1">
      <c r="A7391" s="172"/>
    </row>
    <row r="7392" spans="1:1" s="173" customFormat="1" ht="12" hidden="1" customHeight="1">
      <c r="A7392" s="172"/>
    </row>
    <row r="7393" spans="1:1" s="173" customFormat="1" ht="12" hidden="1" customHeight="1">
      <c r="A7393" s="172"/>
    </row>
    <row r="7394" spans="1:1" s="173" customFormat="1" ht="12" hidden="1" customHeight="1">
      <c r="A7394" s="172"/>
    </row>
    <row r="7395" spans="1:1" s="173" customFormat="1" ht="12" hidden="1" customHeight="1">
      <c r="A7395" s="172"/>
    </row>
    <row r="7396" spans="1:1" s="173" customFormat="1" ht="12" hidden="1" customHeight="1">
      <c r="A7396" s="172"/>
    </row>
    <row r="7397" spans="1:1" s="173" customFormat="1" ht="12" hidden="1" customHeight="1">
      <c r="A7397" s="172"/>
    </row>
    <row r="7398" spans="1:1" s="173" customFormat="1" ht="12" hidden="1" customHeight="1">
      <c r="A7398" s="172"/>
    </row>
    <row r="7399" spans="1:1" s="173" customFormat="1" ht="12" hidden="1" customHeight="1">
      <c r="A7399" s="172"/>
    </row>
    <row r="7400" spans="1:1" s="173" customFormat="1" ht="12" hidden="1" customHeight="1">
      <c r="A7400" s="172"/>
    </row>
    <row r="7401" spans="1:1" s="173" customFormat="1" ht="12" hidden="1" customHeight="1">
      <c r="A7401" s="172"/>
    </row>
    <row r="7402" spans="1:1" s="173" customFormat="1" ht="12" hidden="1" customHeight="1">
      <c r="A7402" s="172"/>
    </row>
    <row r="7403" spans="1:1" s="173" customFormat="1" ht="12" hidden="1" customHeight="1">
      <c r="A7403" s="172"/>
    </row>
    <row r="7404" spans="1:1" s="173" customFormat="1" ht="12" hidden="1" customHeight="1">
      <c r="A7404" s="172"/>
    </row>
    <row r="7405" spans="1:1" s="173" customFormat="1" ht="12" hidden="1" customHeight="1">
      <c r="A7405" s="172"/>
    </row>
    <row r="7406" spans="1:1" s="173" customFormat="1" ht="12" hidden="1" customHeight="1">
      <c r="A7406" s="172"/>
    </row>
    <row r="7407" spans="1:1" s="173" customFormat="1" ht="12" hidden="1" customHeight="1">
      <c r="A7407" s="172"/>
    </row>
    <row r="7408" spans="1:1" s="173" customFormat="1" ht="12" hidden="1" customHeight="1">
      <c r="A7408" s="172"/>
    </row>
    <row r="7409" spans="1:1" s="173" customFormat="1" ht="12" hidden="1" customHeight="1">
      <c r="A7409" s="172"/>
    </row>
    <row r="7410" spans="1:1" s="173" customFormat="1" ht="12" hidden="1" customHeight="1">
      <c r="A7410" s="172"/>
    </row>
    <row r="7411" spans="1:1" s="173" customFormat="1" ht="12" hidden="1" customHeight="1">
      <c r="A7411" s="172"/>
    </row>
    <row r="7412" spans="1:1" s="173" customFormat="1" ht="12" hidden="1" customHeight="1">
      <c r="A7412" s="172"/>
    </row>
    <row r="7413" spans="1:1" s="173" customFormat="1" ht="12" hidden="1" customHeight="1">
      <c r="A7413" s="172"/>
    </row>
    <row r="7414" spans="1:1" s="173" customFormat="1" ht="12" hidden="1" customHeight="1">
      <c r="A7414" s="172"/>
    </row>
    <row r="7415" spans="1:1" s="173" customFormat="1" ht="12" hidden="1" customHeight="1">
      <c r="A7415" s="172"/>
    </row>
    <row r="7416" spans="1:1" s="173" customFormat="1" ht="12" hidden="1" customHeight="1">
      <c r="A7416" s="172"/>
    </row>
    <row r="7417" spans="1:1" s="173" customFormat="1" ht="12" hidden="1" customHeight="1">
      <c r="A7417" s="172"/>
    </row>
    <row r="7418" spans="1:1" s="173" customFormat="1" ht="12" hidden="1" customHeight="1">
      <c r="A7418" s="172"/>
    </row>
    <row r="7419" spans="1:1" s="173" customFormat="1" ht="12" hidden="1" customHeight="1">
      <c r="A7419" s="172"/>
    </row>
    <row r="7420" spans="1:1" s="173" customFormat="1" ht="12" hidden="1" customHeight="1">
      <c r="A7420" s="172"/>
    </row>
    <row r="7421" spans="1:1" s="173" customFormat="1" ht="12" hidden="1" customHeight="1">
      <c r="A7421" s="172"/>
    </row>
    <row r="7422" spans="1:1" s="173" customFormat="1" ht="12" hidden="1" customHeight="1">
      <c r="A7422" s="172"/>
    </row>
    <row r="7423" spans="1:1" s="173" customFormat="1" ht="12" hidden="1" customHeight="1">
      <c r="A7423" s="172"/>
    </row>
    <row r="7424" spans="1:1" s="173" customFormat="1" ht="12" hidden="1" customHeight="1">
      <c r="A7424" s="172"/>
    </row>
    <row r="7425" spans="1:1" s="173" customFormat="1" ht="12" hidden="1" customHeight="1">
      <c r="A7425" s="172"/>
    </row>
    <row r="7426" spans="1:1" s="173" customFormat="1" ht="12" hidden="1" customHeight="1">
      <c r="A7426" s="172"/>
    </row>
    <row r="7427" spans="1:1" s="173" customFormat="1" ht="12" hidden="1" customHeight="1">
      <c r="A7427" s="172"/>
    </row>
    <row r="7428" spans="1:1" s="173" customFormat="1" ht="12" hidden="1" customHeight="1">
      <c r="A7428" s="172"/>
    </row>
    <row r="7429" spans="1:1" s="173" customFormat="1" ht="12" hidden="1" customHeight="1">
      <c r="A7429" s="172"/>
    </row>
    <row r="7430" spans="1:1" s="173" customFormat="1" ht="12" hidden="1" customHeight="1">
      <c r="A7430" s="172"/>
    </row>
    <row r="7431" spans="1:1" s="173" customFormat="1" ht="12" hidden="1" customHeight="1">
      <c r="A7431" s="172"/>
    </row>
    <row r="7432" spans="1:1" s="173" customFormat="1" ht="12" hidden="1" customHeight="1">
      <c r="A7432" s="172"/>
    </row>
    <row r="7433" spans="1:1" s="173" customFormat="1" ht="12" hidden="1" customHeight="1">
      <c r="A7433" s="172"/>
    </row>
    <row r="7434" spans="1:1" s="173" customFormat="1" ht="12" hidden="1" customHeight="1">
      <c r="A7434" s="172"/>
    </row>
    <row r="7435" spans="1:1" s="173" customFormat="1" ht="12" hidden="1" customHeight="1">
      <c r="A7435" s="172"/>
    </row>
    <row r="7436" spans="1:1" s="173" customFormat="1" ht="12" hidden="1" customHeight="1">
      <c r="A7436" s="172"/>
    </row>
    <row r="7437" spans="1:1" s="173" customFormat="1" ht="12" hidden="1" customHeight="1">
      <c r="A7437" s="172"/>
    </row>
    <row r="7438" spans="1:1" s="173" customFormat="1" ht="12" hidden="1" customHeight="1">
      <c r="A7438" s="172"/>
    </row>
    <row r="7439" spans="1:1" s="173" customFormat="1" ht="12" hidden="1" customHeight="1">
      <c r="A7439" s="172"/>
    </row>
    <row r="7440" spans="1:1" s="173" customFormat="1" ht="12" hidden="1" customHeight="1">
      <c r="A7440" s="172"/>
    </row>
    <row r="7441" spans="1:1" s="173" customFormat="1" ht="12" hidden="1" customHeight="1">
      <c r="A7441" s="172"/>
    </row>
    <row r="7442" spans="1:1" s="173" customFormat="1" ht="12" hidden="1" customHeight="1">
      <c r="A7442" s="172"/>
    </row>
    <row r="7443" spans="1:1" s="173" customFormat="1" ht="12" hidden="1" customHeight="1">
      <c r="A7443" s="172"/>
    </row>
    <row r="7444" spans="1:1" s="173" customFormat="1" ht="12" hidden="1" customHeight="1">
      <c r="A7444" s="172"/>
    </row>
    <row r="7445" spans="1:1" s="173" customFormat="1" ht="12" hidden="1" customHeight="1">
      <c r="A7445" s="172"/>
    </row>
    <row r="7446" spans="1:1" s="173" customFormat="1" ht="12" hidden="1" customHeight="1">
      <c r="A7446" s="172"/>
    </row>
    <row r="7447" spans="1:1" s="173" customFormat="1" ht="12" hidden="1" customHeight="1">
      <c r="A7447" s="172"/>
    </row>
    <row r="7448" spans="1:1" s="173" customFormat="1" ht="12" hidden="1" customHeight="1">
      <c r="A7448" s="172"/>
    </row>
    <row r="7449" spans="1:1" s="173" customFormat="1" ht="12" hidden="1" customHeight="1">
      <c r="A7449" s="172"/>
    </row>
    <row r="7450" spans="1:1" s="173" customFormat="1" ht="12" hidden="1" customHeight="1">
      <c r="A7450" s="172"/>
    </row>
    <row r="7451" spans="1:1" s="173" customFormat="1" ht="12" hidden="1" customHeight="1">
      <c r="A7451" s="172"/>
    </row>
    <row r="7452" spans="1:1" s="173" customFormat="1" ht="12" hidden="1" customHeight="1">
      <c r="A7452" s="172"/>
    </row>
    <row r="7453" spans="1:1" s="173" customFormat="1" ht="12" hidden="1" customHeight="1">
      <c r="A7453" s="172"/>
    </row>
    <row r="7454" spans="1:1" s="173" customFormat="1" ht="12" hidden="1" customHeight="1">
      <c r="A7454" s="172"/>
    </row>
    <row r="7455" spans="1:1" s="173" customFormat="1" ht="12" hidden="1" customHeight="1">
      <c r="A7455" s="172"/>
    </row>
    <row r="7456" spans="1:1" s="173" customFormat="1" ht="12" hidden="1" customHeight="1">
      <c r="A7456" s="172"/>
    </row>
    <row r="7457" spans="1:1" s="173" customFormat="1" ht="12" hidden="1" customHeight="1">
      <c r="A7457" s="172"/>
    </row>
    <row r="7458" spans="1:1" s="173" customFormat="1" ht="12" hidden="1" customHeight="1">
      <c r="A7458" s="172"/>
    </row>
    <row r="7459" spans="1:1" s="173" customFormat="1" ht="12" hidden="1" customHeight="1">
      <c r="A7459" s="172"/>
    </row>
    <row r="7460" spans="1:1" s="173" customFormat="1" ht="12" hidden="1" customHeight="1">
      <c r="A7460" s="172"/>
    </row>
    <row r="7461" spans="1:1" s="173" customFormat="1" ht="12" hidden="1" customHeight="1">
      <c r="A7461" s="172"/>
    </row>
    <row r="7462" spans="1:1" s="173" customFormat="1" ht="12" hidden="1" customHeight="1">
      <c r="A7462" s="172"/>
    </row>
    <row r="7463" spans="1:1" s="173" customFormat="1" ht="12" hidden="1" customHeight="1">
      <c r="A7463" s="172"/>
    </row>
    <row r="7464" spans="1:1" s="173" customFormat="1" ht="12" hidden="1" customHeight="1">
      <c r="A7464" s="172"/>
    </row>
    <row r="7465" spans="1:1" s="173" customFormat="1" ht="12" hidden="1" customHeight="1">
      <c r="A7465" s="172"/>
    </row>
    <row r="7466" spans="1:1" s="173" customFormat="1" ht="12" hidden="1" customHeight="1">
      <c r="A7466" s="172"/>
    </row>
    <row r="7467" spans="1:1" s="173" customFormat="1" ht="12" hidden="1" customHeight="1">
      <c r="A7467" s="172"/>
    </row>
    <row r="7468" spans="1:1" s="173" customFormat="1" ht="12" hidden="1" customHeight="1">
      <c r="A7468" s="172"/>
    </row>
    <row r="7469" spans="1:1" s="173" customFormat="1" ht="12" hidden="1" customHeight="1">
      <c r="A7469" s="172"/>
    </row>
    <row r="7470" spans="1:1" s="173" customFormat="1" ht="12" hidden="1" customHeight="1">
      <c r="A7470" s="172"/>
    </row>
    <row r="7471" spans="1:1" s="173" customFormat="1" ht="12" hidden="1" customHeight="1">
      <c r="A7471" s="172"/>
    </row>
    <row r="7472" spans="1:1" s="173" customFormat="1" ht="12" hidden="1" customHeight="1">
      <c r="A7472" s="172"/>
    </row>
    <row r="7473" spans="1:1" s="173" customFormat="1" ht="12" hidden="1" customHeight="1">
      <c r="A7473" s="172"/>
    </row>
    <row r="7474" spans="1:1" s="173" customFormat="1" ht="12" hidden="1" customHeight="1">
      <c r="A7474" s="172"/>
    </row>
    <row r="7475" spans="1:1" s="173" customFormat="1" ht="12" hidden="1" customHeight="1">
      <c r="A7475" s="172"/>
    </row>
    <row r="7476" spans="1:1" s="173" customFormat="1" ht="12" hidden="1" customHeight="1">
      <c r="A7476" s="172"/>
    </row>
    <row r="7477" spans="1:1" s="173" customFormat="1" ht="12" hidden="1" customHeight="1">
      <c r="A7477" s="172"/>
    </row>
    <row r="7478" spans="1:1" s="173" customFormat="1" ht="12" hidden="1" customHeight="1">
      <c r="A7478" s="172"/>
    </row>
    <row r="7479" spans="1:1" s="173" customFormat="1" ht="12" hidden="1" customHeight="1">
      <c r="A7479" s="172"/>
    </row>
    <row r="7480" spans="1:1" s="173" customFormat="1" ht="12" hidden="1" customHeight="1">
      <c r="A7480" s="172"/>
    </row>
    <row r="7481" spans="1:1" s="173" customFormat="1" ht="12" hidden="1" customHeight="1">
      <c r="A7481" s="172"/>
    </row>
    <row r="7482" spans="1:1" s="173" customFormat="1" ht="12" hidden="1" customHeight="1">
      <c r="A7482" s="172"/>
    </row>
    <row r="7483" spans="1:1" s="173" customFormat="1" ht="12" hidden="1" customHeight="1">
      <c r="A7483" s="172"/>
    </row>
    <row r="7484" spans="1:1" s="173" customFormat="1" ht="12" hidden="1" customHeight="1">
      <c r="A7484" s="172"/>
    </row>
    <row r="7485" spans="1:1" s="173" customFormat="1" ht="12" hidden="1" customHeight="1">
      <c r="A7485" s="172"/>
    </row>
    <row r="7486" spans="1:1" s="173" customFormat="1" ht="12" hidden="1" customHeight="1">
      <c r="A7486" s="172"/>
    </row>
    <row r="7487" spans="1:1" s="173" customFormat="1" ht="12" hidden="1" customHeight="1">
      <c r="A7487" s="172"/>
    </row>
    <row r="7488" spans="1:1" s="173" customFormat="1" ht="12" hidden="1" customHeight="1">
      <c r="A7488" s="172"/>
    </row>
    <row r="7489" spans="1:1" s="173" customFormat="1" ht="12" hidden="1" customHeight="1">
      <c r="A7489" s="172"/>
    </row>
    <row r="7490" spans="1:1" s="173" customFormat="1" ht="12" hidden="1" customHeight="1">
      <c r="A7490" s="172"/>
    </row>
    <row r="7491" spans="1:1" s="173" customFormat="1" ht="12" hidden="1" customHeight="1">
      <c r="A7491" s="172"/>
    </row>
    <row r="7492" spans="1:1" s="173" customFormat="1" ht="12" hidden="1" customHeight="1">
      <c r="A7492" s="172"/>
    </row>
    <row r="7493" spans="1:1" s="173" customFormat="1" ht="12" hidden="1" customHeight="1">
      <c r="A7493" s="172"/>
    </row>
    <row r="7494" spans="1:1" s="173" customFormat="1" ht="12" hidden="1" customHeight="1">
      <c r="A7494" s="172"/>
    </row>
    <row r="7495" spans="1:1" s="173" customFormat="1" ht="12" hidden="1" customHeight="1">
      <c r="A7495" s="172"/>
    </row>
    <row r="7496" spans="1:1" s="173" customFormat="1" ht="12" hidden="1" customHeight="1">
      <c r="A7496" s="172"/>
    </row>
    <row r="7497" spans="1:1" s="173" customFormat="1" ht="12" hidden="1" customHeight="1">
      <c r="A7497" s="172"/>
    </row>
    <row r="7498" spans="1:1" s="173" customFormat="1" ht="12" hidden="1" customHeight="1">
      <c r="A7498" s="172"/>
    </row>
    <row r="7499" spans="1:1" s="173" customFormat="1" ht="12" hidden="1" customHeight="1">
      <c r="A7499" s="172"/>
    </row>
    <row r="7500" spans="1:1" s="173" customFormat="1" ht="12" hidden="1" customHeight="1">
      <c r="A7500" s="172"/>
    </row>
    <row r="7501" spans="1:1" s="173" customFormat="1" ht="12" hidden="1" customHeight="1">
      <c r="A7501" s="172"/>
    </row>
    <row r="7502" spans="1:1" s="173" customFormat="1" ht="12" hidden="1" customHeight="1">
      <c r="A7502" s="172"/>
    </row>
    <row r="7503" spans="1:1" s="173" customFormat="1" ht="12" hidden="1" customHeight="1">
      <c r="A7503" s="172"/>
    </row>
    <row r="7504" spans="1:1" s="173" customFormat="1" ht="12" hidden="1" customHeight="1">
      <c r="A7504" s="172"/>
    </row>
    <row r="7505" spans="1:1" s="173" customFormat="1" ht="12" hidden="1" customHeight="1">
      <c r="A7505" s="172"/>
    </row>
    <row r="7506" spans="1:1" s="173" customFormat="1" ht="12" hidden="1" customHeight="1">
      <c r="A7506" s="172"/>
    </row>
    <row r="7507" spans="1:1" s="173" customFormat="1" ht="12" hidden="1" customHeight="1">
      <c r="A7507" s="172"/>
    </row>
    <row r="7508" spans="1:1" s="173" customFormat="1" ht="12" hidden="1" customHeight="1">
      <c r="A7508" s="172"/>
    </row>
    <row r="7509" spans="1:1" s="173" customFormat="1" ht="12" hidden="1" customHeight="1">
      <c r="A7509" s="172"/>
    </row>
    <row r="7510" spans="1:1" s="173" customFormat="1" ht="12" hidden="1" customHeight="1">
      <c r="A7510" s="172"/>
    </row>
    <row r="7511" spans="1:1" s="173" customFormat="1" ht="12" hidden="1" customHeight="1">
      <c r="A7511" s="172"/>
    </row>
    <row r="7512" spans="1:1" s="173" customFormat="1" ht="12" hidden="1" customHeight="1">
      <c r="A7512" s="172"/>
    </row>
    <row r="7513" spans="1:1" s="173" customFormat="1" ht="12" hidden="1" customHeight="1">
      <c r="A7513" s="172"/>
    </row>
    <row r="7514" spans="1:1" s="173" customFormat="1" ht="12" hidden="1" customHeight="1">
      <c r="A7514" s="172"/>
    </row>
    <row r="7515" spans="1:1" s="173" customFormat="1" ht="12" hidden="1" customHeight="1">
      <c r="A7515" s="172"/>
    </row>
    <row r="7516" spans="1:1" s="173" customFormat="1" ht="12" hidden="1" customHeight="1">
      <c r="A7516" s="172"/>
    </row>
    <row r="7517" spans="1:1" s="173" customFormat="1" ht="12" hidden="1" customHeight="1">
      <c r="A7517" s="172"/>
    </row>
    <row r="7518" spans="1:1" s="173" customFormat="1" ht="12" hidden="1" customHeight="1">
      <c r="A7518" s="172"/>
    </row>
    <row r="7519" spans="1:1" s="173" customFormat="1" ht="12" hidden="1" customHeight="1">
      <c r="A7519" s="172"/>
    </row>
    <row r="7520" spans="1:1" s="173" customFormat="1" ht="12" hidden="1" customHeight="1">
      <c r="A7520" s="172"/>
    </row>
    <row r="7521" spans="1:1" s="173" customFormat="1" ht="12" hidden="1" customHeight="1">
      <c r="A7521" s="172"/>
    </row>
    <row r="7522" spans="1:1" s="173" customFormat="1" ht="12" hidden="1" customHeight="1">
      <c r="A7522" s="172"/>
    </row>
    <row r="7523" spans="1:1" s="173" customFormat="1" ht="12" hidden="1" customHeight="1">
      <c r="A7523" s="172"/>
    </row>
    <row r="7524" spans="1:1" s="173" customFormat="1" ht="12" hidden="1" customHeight="1">
      <c r="A7524" s="172"/>
    </row>
    <row r="7525" spans="1:1" s="173" customFormat="1" ht="12" hidden="1" customHeight="1">
      <c r="A7525" s="172"/>
    </row>
    <row r="7526" spans="1:1" s="173" customFormat="1" ht="12" hidden="1" customHeight="1">
      <c r="A7526" s="172"/>
    </row>
    <row r="7527" spans="1:1" s="173" customFormat="1" ht="12" hidden="1" customHeight="1">
      <c r="A7527" s="172"/>
    </row>
    <row r="7528" spans="1:1" s="173" customFormat="1" ht="12" hidden="1" customHeight="1">
      <c r="A7528" s="172"/>
    </row>
    <row r="7529" spans="1:1" s="173" customFormat="1" ht="12" hidden="1" customHeight="1">
      <c r="A7529" s="172"/>
    </row>
    <row r="7530" spans="1:1" s="173" customFormat="1" ht="12" hidden="1" customHeight="1">
      <c r="A7530" s="172"/>
    </row>
    <row r="7531" spans="1:1" s="173" customFormat="1" ht="12" hidden="1" customHeight="1">
      <c r="A7531" s="172"/>
    </row>
    <row r="7532" spans="1:1" s="173" customFormat="1" ht="12" hidden="1" customHeight="1">
      <c r="A7532" s="172"/>
    </row>
    <row r="7533" spans="1:1" s="173" customFormat="1" ht="12" hidden="1" customHeight="1">
      <c r="A7533" s="172"/>
    </row>
    <row r="7534" spans="1:1" s="173" customFormat="1" ht="12" hidden="1" customHeight="1">
      <c r="A7534" s="172"/>
    </row>
    <row r="7535" spans="1:1" s="173" customFormat="1" ht="12" hidden="1" customHeight="1">
      <c r="A7535" s="172"/>
    </row>
    <row r="7536" spans="1:1" s="173" customFormat="1" ht="12" hidden="1" customHeight="1">
      <c r="A7536" s="172"/>
    </row>
    <row r="7537" spans="1:1" s="173" customFormat="1" ht="12" hidden="1" customHeight="1">
      <c r="A7537" s="172"/>
    </row>
    <row r="7538" spans="1:1" s="173" customFormat="1" ht="12" hidden="1" customHeight="1">
      <c r="A7538" s="172"/>
    </row>
    <row r="7539" spans="1:1" s="173" customFormat="1" ht="12" hidden="1" customHeight="1">
      <c r="A7539" s="172"/>
    </row>
    <row r="7540" spans="1:1" s="173" customFormat="1" ht="12" hidden="1" customHeight="1">
      <c r="A7540" s="172"/>
    </row>
    <row r="7541" spans="1:1" s="173" customFormat="1" ht="12" hidden="1" customHeight="1">
      <c r="A7541" s="172"/>
    </row>
    <row r="7542" spans="1:1" s="173" customFormat="1" ht="12" hidden="1" customHeight="1">
      <c r="A7542" s="172"/>
    </row>
    <row r="7543" spans="1:1" s="173" customFormat="1" ht="12" hidden="1" customHeight="1">
      <c r="A7543" s="172"/>
    </row>
    <row r="7544" spans="1:1" s="173" customFormat="1" ht="12" hidden="1" customHeight="1">
      <c r="A7544" s="172"/>
    </row>
    <row r="7545" spans="1:1" s="173" customFormat="1" ht="12" hidden="1" customHeight="1">
      <c r="A7545" s="172"/>
    </row>
    <row r="7546" spans="1:1" s="173" customFormat="1" ht="12" hidden="1" customHeight="1">
      <c r="A7546" s="172"/>
    </row>
    <row r="7547" spans="1:1" s="173" customFormat="1" ht="12" hidden="1" customHeight="1">
      <c r="A7547" s="172"/>
    </row>
    <row r="7548" spans="1:1" s="173" customFormat="1" ht="12" hidden="1" customHeight="1">
      <c r="A7548" s="172"/>
    </row>
    <row r="7549" spans="1:1" s="173" customFormat="1" ht="12" hidden="1" customHeight="1">
      <c r="A7549" s="172"/>
    </row>
    <row r="7550" spans="1:1" s="173" customFormat="1" ht="12" hidden="1" customHeight="1">
      <c r="A7550" s="172"/>
    </row>
    <row r="7551" spans="1:1" s="173" customFormat="1" ht="12" hidden="1" customHeight="1">
      <c r="A7551" s="172"/>
    </row>
    <row r="7552" spans="1:1" s="173" customFormat="1" ht="12" hidden="1" customHeight="1">
      <c r="A7552" s="172"/>
    </row>
    <row r="7553" spans="1:1" s="173" customFormat="1" ht="12" hidden="1" customHeight="1">
      <c r="A7553" s="172"/>
    </row>
    <row r="7554" spans="1:1" s="173" customFormat="1" ht="12" hidden="1" customHeight="1">
      <c r="A7554" s="172"/>
    </row>
    <row r="7555" spans="1:1" s="173" customFormat="1" ht="12" hidden="1" customHeight="1">
      <c r="A7555" s="172"/>
    </row>
    <row r="7556" spans="1:1" s="173" customFormat="1" ht="12" hidden="1" customHeight="1">
      <c r="A7556" s="172"/>
    </row>
    <row r="7557" spans="1:1" s="173" customFormat="1" ht="12" hidden="1" customHeight="1">
      <c r="A7557" s="172"/>
    </row>
    <row r="7558" spans="1:1" s="173" customFormat="1" ht="12" hidden="1" customHeight="1">
      <c r="A7558" s="172"/>
    </row>
    <row r="7559" spans="1:1" s="173" customFormat="1" ht="12" hidden="1" customHeight="1">
      <c r="A7559" s="172"/>
    </row>
    <row r="7560" spans="1:1" s="173" customFormat="1" ht="12" hidden="1" customHeight="1">
      <c r="A7560" s="172"/>
    </row>
    <row r="7561" spans="1:1" s="173" customFormat="1" ht="12" hidden="1" customHeight="1">
      <c r="A7561" s="172"/>
    </row>
    <row r="7562" spans="1:1" s="173" customFormat="1" ht="12" hidden="1" customHeight="1">
      <c r="A7562" s="172"/>
    </row>
    <row r="7563" spans="1:1" s="173" customFormat="1" ht="12" hidden="1" customHeight="1">
      <c r="A7563" s="172"/>
    </row>
    <row r="7564" spans="1:1" s="173" customFormat="1" ht="12" hidden="1" customHeight="1">
      <c r="A7564" s="172"/>
    </row>
    <row r="7565" spans="1:1" s="173" customFormat="1" ht="12" hidden="1" customHeight="1">
      <c r="A7565" s="172"/>
    </row>
    <row r="7566" spans="1:1" s="173" customFormat="1" ht="12" hidden="1" customHeight="1">
      <c r="A7566" s="172"/>
    </row>
    <row r="7567" spans="1:1" s="173" customFormat="1" ht="12" hidden="1" customHeight="1">
      <c r="A7567" s="172"/>
    </row>
    <row r="7568" spans="1:1" s="173" customFormat="1" ht="12" hidden="1" customHeight="1">
      <c r="A7568" s="172"/>
    </row>
    <row r="7569" spans="1:1" s="173" customFormat="1" ht="12" hidden="1" customHeight="1">
      <c r="A7569" s="172"/>
    </row>
    <row r="7570" spans="1:1" s="173" customFormat="1" ht="12" hidden="1" customHeight="1">
      <c r="A7570" s="172"/>
    </row>
    <row r="7571" spans="1:1" s="173" customFormat="1" ht="12" hidden="1" customHeight="1">
      <c r="A7571" s="172"/>
    </row>
    <row r="7572" spans="1:1" s="173" customFormat="1" ht="12" hidden="1" customHeight="1">
      <c r="A7572" s="172"/>
    </row>
    <row r="7573" spans="1:1" s="173" customFormat="1" ht="12" hidden="1" customHeight="1">
      <c r="A7573" s="172"/>
    </row>
    <row r="7574" spans="1:1" s="173" customFormat="1" ht="12" hidden="1" customHeight="1">
      <c r="A7574" s="172"/>
    </row>
    <row r="7575" spans="1:1" s="173" customFormat="1" ht="12" hidden="1" customHeight="1">
      <c r="A7575" s="172"/>
    </row>
    <row r="7576" spans="1:1" s="173" customFormat="1" ht="12" hidden="1" customHeight="1">
      <c r="A7576" s="172"/>
    </row>
    <row r="7577" spans="1:1" s="173" customFormat="1" ht="12" hidden="1" customHeight="1">
      <c r="A7577" s="172"/>
    </row>
    <row r="7578" spans="1:1" s="173" customFormat="1" ht="12" hidden="1" customHeight="1">
      <c r="A7578" s="172"/>
    </row>
    <row r="7579" spans="1:1" s="173" customFormat="1" ht="12" hidden="1" customHeight="1">
      <c r="A7579" s="172"/>
    </row>
    <row r="7580" spans="1:1" s="173" customFormat="1" ht="12" hidden="1" customHeight="1">
      <c r="A7580" s="172"/>
    </row>
    <row r="7581" spans="1:1" s="173" customFormat="1" ht="12" hidden="1" customHeight="1">
      <c r="A7581" s="172"/>
    </row>
    <row r="7582" spans="1:1" s="173" customFormat="1" ht="12" hidden="1" customHeight="1">
      <c r="A7582" s="172"/>
    </row>
    <row r="7583" spans="1:1" s="173" customFormat="1" ht="12" hidden="1" customHeight="1">
      <c r="A7583" s="172"/>
    </row>
    <row r="7584" spans="1:1" s="173" customFormat="1" ht="12" hidden="1" customHeight="1">
      <c r="A7584" s="172"/>
    </row>
    <row r="7585" spans="1:1" s="173" customFormat="1" ht="12" hidden="1" customHeight="1">
      <c r="A7585" s="172"/>
    </row>
    <row r="7586" spans="1:1" s="173" customFormat="1" ht="12" hidden="1" customHeight="1">
      <c r="A7586" s="172"/>
    </row>
    <row r="7587" spans="1:1" s="173" customFormat="1" ht="12" hidden="1" customHeight="1">
      <c r="A7587" s="172"/>
    </row>
    <row r="7588" spans="1:1" s="173" customFormat="1" ht="12" hidden="1" customHeight="1">
      <c r="A7588" s="172"/>
    </row>
    <row r="7589" spans="1:1" s="173" customFormat="1" ht="12" hidden="1" customHeight="1">
      <c r="A7589" s="172"/>
    </row>
    <row r="7590" spans="1:1" s="173" customFormat="1" ht="12" hidden="1" customHeight="1">
      <c r="A7590" s="172"/>
    </row>
    <row r="7591" spans="1:1" s="173" customFormat="1" ht="12" hidden="1" customHeight="1">
      <c r="A7591" s="172"/>
    </row>
    <row r="7592" spans="1:1" s="173" customFormat="1" ht="12" hidden="1" customHeight="1">
      <c r="A7592" s="172"/>
    </row>
    <row r="7593" spans="1:1" s="173" customFormat="1" ht="12" hidden="1" customHeight="1">
      <c r="A7593" s="172"/>
    </row>
    <row r="7594" spans="1:1" s="173" customFormat="1" ht="12" hidden="1" customHeight="1">
      <c r="A7594" s="172"/>
    </row>
    <row r="7595" spans="1:1" s="173" customFormat="1" ht="12" hidden="1" customHeight="1">
      <c r="A7595" s="172"/>
    </row>
    <row r="7596" spans="1:1" s="173" customFormat="1" ht="12" hidden="1" customHeight="1">
      <c r="A7596" s="172"/>
    </row>
    <row r="7597" spans="1:1" s="173" customFormat="1" ht="12" hidden="1" customHeight="1">
      <c r="A7597" s="172"/>
    </row>
    <row r="7598" spans="1:1" s="173" customFormat="1" ht="12" hidden="1" customHeight="1">
      <c r="A7598" s="172"/>
    </row>
    <row r="7599" spans="1:1" s="173" customFormat="1" ht="12" hidden="1" customHeight="1">
      <c r="A7599" s="172"/>
    </row>
    <row r="7600" spans="1:1" s="173" customFormat="1" ht="12" hidden="1" customHeight="1">
      <c r="A7600" s="172"/>
    </row>
    <row r="7601" spans="1:1" s="173" customFormat="1" ht="12" hidden="1" customHeight="1">
      <c r="A7601" s="172"/>
    </row>
    <row r="7602" spans="1:1" s="173" customFormat="1" ht="12" hidden="1" customHeight="1">
      <c r="A7602" s="172"/>
    </row>
    <row r="7603" spans="1:1" s="173" customFormat="1" ht="12" hidden="1" customHeight="1">
      <c r="A7603" s="172"/>
    </row>
    <row r="7604" spans="1:1" s="173" customFormat="1" ht="12" hidden="1" customHeight="1">
      <c r="A7604" s="172"/>
    </row>
    <row r="7605" spans="1:1" s="173" customFormat="1" ht="12" hidden="1" customHeight="1">
      <c r="A7605" s="172"/>
    </row>
    <row r="7606" spans="1:1" s="173" customFormat="1" ht="12" hidden="1" customHeight="1">
      <c r="A7606" s="172"/>
    </row>
    <row r="7607" spans="1:1" s="173" customFormat="1" ht="12" hidden="1" customHeight="1">
      <c r="A7607" s="172"/>
    </row>
    <row r="7608" spans="1:1" s="173" customFormat="1" ht="12" hidden="1" customHeight="1">
      <c r="A7608" s="172"/>
    </row>
    <row r="7609" spans="1:1" s="173" customFormat="1" ht="12" hidden="1" customHeight="1">
      <c r="A7609" s="172"/>
    </row>
    <row r="7610" spans="1:1" s="173" customFormat="1" ht="12" hidden="1" customHeight="1">
      <c r="A7610" s="172"/>
    </row>
    <row r="7611" spans="1:1" s="173" customFormat="1" ht="12" hidden="1" customHeight="1">
      <c r="A7611" s="172"/>
    </row>
    <row r="7612" spans="1:1" s="173" customFormat="1" ht="12" hidden="1" customHeight="1">
      <c r="A7612" s="172"/>
    </row>
    <row r="7613" spans="1:1" s="173" customFormat="1" ht="12" hidden="1" customHeight="1">
      <c r="A7613" s="172"/>
    </row>
    <row r="7614" spans="1:1" s="173" customFormat="1" ht="12" hidden="1" customHeight="1">
      <c r="A7614" s="172"/>
    </row>
    <row r="7615" spans="1:1" s="173" customFormat="1" ht="12" hidden="1" customHeight="1">
      <c r="A7615" s="172"/>
    </row>
    <row r="7616" spans="1:1" s="173" customFormat="1" ht="12" hidden="1" customHeight="1">
      <c r="A7616" s="172"/>
    </row>
    <row r="7617" spans="1:1" s="173" customFormat="1" ht="12" hidden="1" customHeight="1">
      <c r="A7617" s="172"/>
    </row>
    <row r="7618" spans="1:1" s="173" customFormat="1" ht="12" hidden="1" customHeight="1">
      <c r="A7618" s="172"/>
    </row>
    <row r="7619" spans="1:1" s="173" customFormat="1" ht="12" hidden="1" customHeight="1">
      <c r="A7619" s="172"/>
    </row>
    <row r="7620" spans="1:1" s="173" customFormat="1" ht="12" hidden="1" customHeight="1">
      <c r="A7620" s="172"/>
    </row>
    <row r="7621" spans="1:1" s="173" customFormat="1" ht="12" hidden="1" customHeight="1">
      <c r="A7621" s="172"/>
    </row>
    <row r="7622" spans="1:1" s="173" customFormat="1" ht="12" hidden="1" customHeight="1">
      <c r="A7622" s="172"/>
    </row>
    <row r="7623" spans="1:1" s="173" customFormat="1" ht="12" hidden="1" customHeight="1">
      <c r="A7623" s="172"/>
    </row>
    <row r="7624" spans="1:1" s="173" customFormat="1" ht="12" hidden="1" customHeight="1">
      <c r="A7624" s="172"/>
    </row>
    <row r="7625" spans="1:1" s="173" customFormat="1" ht="12" hidden="1" customHeight="1">
      <c r="A7625" s="172"/>
    </row>
    <row r="7626" spans="1:1" s="173" customFormat="1" ht="12" hidden="1" customHeight="1">
      <c r="A7626" s="172"/>
    </row>
    <row r="7627" spans="1:1" s="173" customFormat="1" ht="12" hidden="1" customHeight="1">
      <c r="A7627" s="172"/>
    </row>
    <row r="7628" spans="1:1" s="173" customFormat="1" ht="12" hidden="1" customHeight="1">
      <c r="A7628" s="172"/>
    </row>
    <row r="7629" spans="1:1" s="173" customFormat="1" ht="12" hidden="1" customHeight="1">
      <c r="A7629" s="172"/>
    </row>
    <row r="7630" spans="1:1" s="173" customFormat="1" ht="12" hidden="1" customHeight="1">
      <c r="A7630" s="172"/>
    </row>
    <row r="7631" spans="1:1" s="173" customFormat="1" ht="12" hidden="1" customHeight="1">
      <c r="A7631" s="172"/>
    </row>
    <row r="7632" spans="1:1" s="173" customFormat="1" ht="12" hidden="1" customHeight="1">
      <c r="A7632" s="172"/>
    </row>
    <row r="7633" spans="1:1" s="173" customFormat="1" ht="12" hidden="1" customHeight="1">
      <c r="A7633" s="172"/>
    </row>
    <row r="7634" spans="1:1" s="173" customFormat="1" ht="12" hidden="1" customHeight="1">
      <c r="A7634" s="172"/>
    </row>
    <row r="7635" spans="1:1" s="173" customFormat="1" ht="12" hidden="1" customHeight="1">
      <c r="A7635" s="172"/>
    </row>
    <row r="7636" spans="1:1" s="173" customFormat="1" ht="12" hidden="1" customHeight="1">
      <c r="A7636" s="172"/>
    </row>
    <row r="7637" spans="1:1" s="173" customFormat="1" ht="12" hidden="1" customHeight="1">
      <c r="A7637" s="172"/>
    </row>
    <row r="7638" spans="1:1" s="173" customFormat="1" ht="12" hidden="1" customHeight="1">
      <c r="A7638" s="172"/>
    </row>
    <row r="7639" spans="1:1" s="173" customFormat="1" ht="12" hidden="1" customHeight="1">
      <c r="A7639" s="172"/>
    </row>
    <row r="7640" spans="1:1" s="173" customFormat="1" ht="12" hidden="1" customHeight="1">
      <c r="A7640" s="172"/>
    </row>
    <row r="7641" spans="1:1" s="173" customFormat="1" ht="12" hidden="1" customHeight="1">
      <c r="A7641" s="172"/>
    </row>
    <row r="7642" spans="1:1" s="173" customFormat="1" ht="12" hidden="1" customHeight="1">
      <c r="A7642" s="172"/>
    </row>
    <row r="7643" spans="1:1" s="173" customFormat="1" ht="12" hidden="1" customHeight="1">
      <c r="A7643" s="172"/>
    </row>
    <row r="7644" spans="1:1" s="173" customFormat="1" ht="12" hidden="1" customHeight="1">
      <c r="A7644" s="172"/>
    </row>
    <row r="7645" spans="1:1" s="173" customFormat="1" ht="12" hidden="1" customHeight="1">
      <c r="A7645" s="172"/>
    </row>
    <row r="7646" spans="1:1" s="173" customFormat="1" ht="12" hidden="1" customHeight="1">
      <c r="A7646" s="172"/>
    </row>
    <row r="7647" spans="1:1" s="173" customFormat="1" ht="12" hidden="1" customHeight="1">
      <c r="A7647" s="172"/>
    </row>
    <row r="7648" spans="1:1" s="173" customFormat="1" ht="12" hidden="1" customHeight="1">
      <c r="A7648" s="172"/>
    </row>
    <row r="7649" spans="1:1" s="173" customFormat="1" ht="12" hidden="1" customHeight="1">
      <c r="A7649" s="172"/>
    </row>
    <row r="7650" spans="1:1" s="173" customFormat="1" ht="12" hidden="1" customHeight="1">
      <c r="A7650" s="172"/>
    </row>
    <row r="7651" spans="1:1" s="173" customFormat="1" ht="12" hidden="1" customHeight="1">
      <c r="A7651" s="172"/>
    </row>
    <row r="7652" spans="1:1" s="173" customFormat="1" ht="12" hidden="1" customHeight="1">
      <c r="A7652" s="172"/>
    </row>
    <row r="7653" spans="1:1" s="173" customFormat="1" ht="12" hidden="1" customHeight="1">
      <c r="A7653" s="172"/>
    </row>
    <row r="7654" spans="1:1" s="173" customFormat="1" ht="12" hidden="1" customHeight="1">
      <c r="A7654" s="172"/>
    </row>
    <row r="7655" spans="1:1" s="173" customFormat="1" ht="12" hidden="1" customHeight="1">
      <c r="A7655" s="172"/>
    </row>
    <row r="7656" spans="1:1" s="173" customFormat="1" ht="12" hidden="1" customHeight="1">
      <c r="A7656" s="172"/>
    </row>
    <row r="7657" spans="1:1" s="173" customFormat="1" ht="12" hidden="1" customHeight="1">
      <c r="A7657" s="172"/>
    </row>
    <row r="7658" spans="1:1" s="173" customFormat="1" ht="12" hidden="1" customHeight="1">
      <c r="A7658" s="172"/>
    </row>
    <row r="7659" spans="1:1" s="173" customFormat="1" ht="12" hidden="1" customHeight="1">
      <c r="A7659" s="172"/>
    </row>
    <row r="7660" spans="1:1" s="173" customFormat="1" ht="12" hidden="1" customHeight="1">
      <c r="A7660" s="172"/>
    </row>
    <row r="7661" spans="1:1" s="173" customFormat="1" ht="12" hidden="1" customHeight="1">
      <c r="A7661" s="172"/>
    </row>
    <row r="7662" spans="1:1" s="173" customFormat="1" ht="12" hidden="1" customHeight="1">
      <c r="A7662" s="172"/>
    </row>
    <row r="7663" spans="1:1" s="173" customFormat="1" ht="12" hidden="1" customHeight="1">
      <c r="A7663" s="172"/>
    </row>
    <row r="7664" spans="1:1" s="173" customFormat="1" ht="12" hidden="1" customHeight="1">
      <c r="A7664" s="172"/>
    </row>
    <row r="7665" spans="1:1" s="173" customFormat="1" ht="12" hidden="1" customHeight="1">
      <c r="A7665" s="172"/>
    </row>
    <row r="7666" spans="1:1" s="173" customFormat="1" ht="12" hidden="1" customHeight="1">
      <c r="A7666" s="172"/>
    </row>
    <row r="7667" spans="1:1" s="173" customFormat="1" ht="12" hidden="1" customHeight="1">
      <c r="A7667" s="172"/>
    </row>
    <row r="7668" spans="1:1" s="173" customFormat="1" ht="12" hidden="1" customHeight="1">
      <c r="A7668" s="172"/>
    </row>
    <row r="7669" spans="1:1" s="173" customFormat="1" ht="12" hidden="1" customHeight="1">
      <c r="A7669" s="172"/>
    </row>
    <row r="7670" spans="1:1" s="173" customFormat="1" ht="12" hidden="1" customHeight="1">
      <c r="A7670" s="172"/>
    </row>
    <row r="7671" spans="1:1" s="173" customFormat="1" ht="12" hidden="1" customHeight="1">
      <c r="A7671" s="172"/>
    </row>
    <row r="7672" spans="1:1" s="173" customFormat="1" ht="12" hidden="1" customHeight="1">
      <c r="A7672" s="172"/>
    </row>
    <row r="7673" spans="1:1" s="173" customFormat="1" ht="12" hidden="1" customHeight="1">
      <c r="A7673" s="172"/>
    </row>
    <row r="7674" spans="1:1" s="173" customFormat="1" ht="12" hidden="1" customHeight="1">
      <c r="A7674" s="172"/>
    </row>
    <row r="7675" spans="1:1" s="173" customFormat="1" ht="12" hidden="1" customHeight="1">
      <c r="A7675" s="172"/>
    </row>
    <row r="7676" spans="1:1" s="173" customFormat="1" ht="12" hidden="1" customHeight="1">
      <c r="A7676" s="172"/>
    </row>
    <row r="7677" spans="1:1" s="173" customFormat="1" ht="12" hidden="1" customHeight="1">
      <c r="A7677" s="172"/>
    </row>
    <row r="7678" spans="1:1" s="173" customFormat="1" ht="12" hidden="1" customHeight="1">
      <c r="A7678" s="172"/>
    </row>
    <row r="7679" spans="1:1" s="173" customFormat="1" ht="12" hidden="1" customHeight="1">
      <c r="A7679" s="172"/>
    </row>
    <row r="7680" spans="1:1" s="173" customFormat="1" ht="12" hidden="1" customHeight="1">
      <c r="A7680" s="172"/>
    </row>
    <row r="7681" spans="1:1" s="173" customFormat="1" ht="12" hidden="1" customHeight="1">
      <c r="A7681" s="172"/>
    </row>
    <row r="7682" spans="1:1" s="173" customFormat="1" ht="12" hidden="1" customHeight="1">
      <c r="A7682" s="172"/>
    </row>
    <row r="7683" spans="1:1" s="173" customFormat="1" ht="12" hidden="1" customHeight="1">
      <c r="A7683" s="172"/>
    </row>
    <row r="7684" spans="1:1" s="173" customFormat="1" ht="12" hidden="1" customHeight="1">
      <c r="A7684" s="172"/>
    </row>
    <row r="7685" spans="1:1" s="173" customFormat="1" ht="12" hidden="1" customHeight="1">
      <c r="A7685" s="172"/>
    </row>
    <row r="7686" spans="1:1" s="173" customFormat="1" ht="12" hidden="1" customHeight="1">
      <c r="A7686" s="172"/>
    </row>
    <row r="7687" spans="1:1" s="173" customFormat="1" ht="12" hidden="1" customHeight="1">
      <c r="A7687" s="172"/>
    </row>
    <row r="7688" spans="1:1" s="173" customFormat="1" ht="12" hidden="1" customHeight="1">
      <c r="A7688" s="172"/>
    </row>
    <row r="7689" spans="1:1" s="173" customFormat="1" ht="12" hidden="1" customHeight="1">
      <c r="A7689" s="172"/>
    </row>
    <row r="7690" spans="1:1" s="173" customFormat="1" ht="12" hidden="1" customHeight="1">
      <c r="A7690" s="172"/>
    </row>
    <row r="7691" spans="1:1" s="173" customFormat="1" ht="12" hidden="1" customHeight="1">
      <c r="A7691" s="172"/>
    </row>
    <row r="7692" spans="1:1" s="173" customFormat="1" ht="12" hidden="1" customHeight="1">
      <c r="A7692" s="172"/>
    </row>
    <row r="7693" spans="1:1" s="173" customFormat="1" ht="12" hidden="1" customHeight="1">
      <c r="A7693" s="172"/>
    </row>
    <row r="7694" spans="1:1" s="173" customFormat="1" ht="12" hidden="1" customHeight="1">
      <c r="A7694" s="172"/>
    </row>
    <row r="7695" spans="1:1" s="173" customFormat="1" ht="12" hidden="1" customHeight="1">
      <c r="A7695" s="172"/>
    </row>
    <row r="7696" spans="1:1" s="173" customFormat="1" ht="12" hidden="1" customHeight="1">
      <c r="A7696" s="172"/>
    </row>
    <row r="7697" spans="1:1" s="173" customFormat="1" ht="12" hidden="1" customHeight="1">
      <c r="A7697" s="172"/>
    </row>
    <row r="7698" spans="1:1" s="173" customFormat="1" ht="12" hidden="1" customHeight="1">
      <c r="A7698" s="172"/>
    </row>
    <row r="7699" spans="1:1" s="173" customFormat="1" ht="12" hidden="1" customHeight="1">
      <c r="A7699" s="172"/>
    </row>
    <row r="7700" spans="1:1" s="173" customFormat="1" ht="12" hidden="1" customHeight="1">
      <c r="A7700" s="172"/>
    </row>
    <row r="7701" spans="1:1" s="173" customFormat="1" ht="12" hidden="1" customHeight="1">
      <c r="A7701" s="172"/>
    </row>
    <row r="7702" spans="1:1" s="173" customFormat="1" ht="12" hidden="1" customHeight="1">
      <c r="A7702" s="172"/>
    </row>
    <row r="7703" spans="1:1" s="173" customFormat="1" ht="12" hidden="1" customHeight="1">
      <c r="A7703" s="172"/>
    </row>
    <row r="7704" spans="1:1" s="173" customFormat="1" ht="12" hidden="1" customHeight="1">
      <c r="A7704" s="172"/>
    </row>
    <row r="7705" spans="1:1" s="173" customFormat="1" ht="12" hidden="1" customHeight="1">
      <c r="A7705" s="172"/>
    </row>
    <row r="7706" spans="1:1" s="173" customFormat="1" ht="12" hidden="1" customHeight="1">
      <c r="A7706" s="172"/>
    </row>
    <row r="7707" spans="1:1" s="173" customFormat="1" ht="12" hidden="1" customHeight="1">
      <c r="A7707" s="172"/>
    </row>
    <row r="7708" spans="1:1" s="173" customFormat="1" ht="12" hidden="1" customHeight="1">
      <c r="A7708" s="172"/>
    </row>
    <row r="7709" spans="1:1" s="173" customFormat="1" ht="12" hidden="1" customHeight="1">
      <c r="A7709" s="172"/>
    </row>
    <row r="7710" spans="1:1" s="173" customFormat="1" ht="12" hidden="1" customHeight="1">
      <c r="A7710" s="172"/>
    </row>
    <row r="7711" spans="1:1" s="173" customFormat="1" ht="12" hidden="1" customHeight="1">
      <c r="A7711" s="172"/>
    </row>
    <row r="7712" spans="1:1" s="173" customFormat="1" ht="12" hidden="1" customHeight="1">
      <c r="A7712" s="172"/>
    </row>
    <row r="7713" spans="1:1" s="173" customFormat="1" ht="12" hidden="1" customHeight="1">
      <c r="A7713" s="172"/>
    </row>
    <row r="7714" spans="1:1" s="173" customFormat="1" ht="12" hidden="1" customHeight="1">
      <c r="A7714" s="172"/>
    </row>
    <row r="7715" spans="1:1" s="173" customFormat="1" ht="12" hidden="1" customHeight="1">
      <c r="A7715" s="172"/>
    </row>
    <row r="7716" spans="1:1" s="173" customFormat="1" ht="12" hidden="1" customHeight="1">
      <c r="A7716" s="172"/>
    </row>
    <row r="7717" spans="1:1" s="173" customFormat="1" ht="12" hidden="1" customHeight="1">
      <c r="A7717" s="172"/>
    </row>
    <row r="7718" spans="1:1" s="173" customFormat="1" ht="12" hidden="1" customHeight="1">
      <c r="A7718" s="172"/>
    </row>
    <row r="7719" spans="1:1" s="173" customFormat="1" ht="12" hidden="1" customHeight="1">
      <c r="A7719" s="172"/>
    </row>
    <row r="7720" spans="1:1" s="173" customFormat="1" ht="12" hidden="1" customHeight="1">
      <c r="A7720" s="172"/>
    </row>
    <row r="7721" spans="1:1" s="173" customFormat="1" ht="12" hidden="1" customHeight="1">
      <c r="A7721" s="172"/>
    </row>
    <row r="7722" spans="1:1" s="173" customFormat="1" ht="12" hidden="1" customHeight="1">
      <c r="A7722" s="172"/>
    </row>
    <row r="7723" spans="1:1" s="173" customFormat="1" ht="12" hidden="1" customHeight="1">
      <c r="A7723" s="172"/>
    </row>
    <row r="7724" spans="1:1" s="173" customFormat="1" ht="12" hidden="1" customHeight="1">
      <c r="A7724" s="172"/>
    </row>
    <row r="7725" spans="1:1" s="173" customFormat="1" ht="12" hidden="1" customHeight="1">
      <c r="A7725" s="172"/>
    </row>
    <row r="7726" spans="1:1" s="173" customFormat="1" ht="12" hidden="1" customHeight="1">
      <c r="A7726" s="172"/>
    </row>
    <row r="7727" spans="1:1" s="173" customFormat="1" ht="12" hidden="1" customHeight="1">
      <c r="A7727" s="172"/>
    </row>
    <row r="7728" spans="1:1" s="173" customFormat="1" ht="12" hidden="1" customHeight="1">
      <c r="A7728" s="172"/>
    </row>
    <row r="7729" spans="1:1" s="173" customFormat="1" ht="12" hidden="1" customHeight="1">
      <c r="A7729" s="172"/>
    </row>
    <row r="7730" spans="1:1" s="173" customFormat="1" ht="12" hidden="1" customHeight="1">
      <c r="A7730" s="172"/>
    </row>
    <row r="7731" spans="1:1" s="173" customFormat="1" ht="12" hidden="1" customHeight="1">
      <c r="A7731" s="172"/>
    </row>
    <row r="7732" spans="1:1" s="173" customFormat="1" ht="12" hidden="1" customHeight="1">
      <c r="A7732" s="172"/>
    </row>
    <row r="7733" spans="1:1" s="173" customFormat="1" ht="12" hidden="1" customHeight="1">
      <c r="A7733" s="172"/>
    </row>
    <row r="7734" spans="1:1" s="173" customFormat="1" ht="12" hidden="1" customHeight="1">
      <c r="A7734" s="172"/>
    </row>
    <row r="7735" spans="1:1" s="173" customFormat="1" ht="12" hidden="1" customHeight="1">
      <c r="A7735" s="172"/>
    </row>
    <row r="7736" spans="1:1" s="173" customFormat="1" ht="12" hidden="1" customHeight="1">
      <c r="A7736" s="172"/>
    </row>
    <row r="7737" spans="1:1" s="173" customFormat="1" ht="12" hidden="1" customHeight="1">
      <c r="A7737" s="172"/>
    </row>
    <row r="7738" spans="1:1" s="173" customFormat="1" ht="12" hidden="1" customHeight="1">
      <c r="A7738" s="172"/>
    </row>
    <row r="7739" spans="1:1" s="173" customFormat="1" ht="12" hidden="1" customHeight="1">
      <c r="A7739" s="172"/>
    </row>
    <row r="7740" spans="1:1" s="173" customFormat="1" ht="12" hidden="1" customHeight="1">
      <c r="A7740" s="172"/>
    </row>
    <row r="7741" spans="1:1" s="173" customFormat="1" ht="12" hidden="1" customHeight="1">
      <c r="A7741" s="172"/>
    </row>
    <row r="7742" spans="1:1" s="173" customFormat="1" ht="12" hidden="1" customHeight="1">
      <c r="A7742" s="172"/>
    </row>
    <row r="7743" spans="1:1" s="173" customFormat="1" ht="12" hidden="1" customHeight="1">
      <c r="A7743" s="172"/>
    </row>
    <row r="7744" spans="1:1" s="173" customFormat="1" ht="12" hidden="1" customHeight="1">
      <c r="A7744" s="172"/>
    </row>
    <row r="7745" spans="1:1" s="173" customFormat="1" ht="12" hidden="1" customHeight="1">
      <c r="A7745" s="172"/>
    </row>
    <row r="7746" spans="1:1" s="173" customFormat="1" ht="12" hidden="1" customHeight="1">
      <c r="A7746" s="172"/>
    </row>
    <row r="7747" spans="1:1" s="173" customFormat="1" ht="12" hidden="1" customHeight="1">
      <c r="A7747" s="172"/>
    </row>
    <row r="7748" spans="1:1" s="173" customFormat="1" ht="12" hidden="1" customHeight="1">
      <c r="A7748" s="172"/>
    </row>
    <row r="7749" spans="1:1" s="173" customFormat="1" ht="12" hidden="1" customHeight="1">
      <c r="A7749" s="172"/>
    </row>
    <row r="7750" spans="1:1" s="173" customFormat="1" ht="12" hidden="1" customHeight="1">
      <c r="A7750" s="172"/>
    </row>
    <row r="7751" spans="1:1" s="173" customFormat="1" ht="12" hidden="1" customHeight="1">
      <c r="A7751" s="172"/>
    </row>
    <row r="7752" spans="1:1" s="173" customFormat="1" ht="12" hidden="1" customHeight="1">
      <c r="A7752" s="172"/>
    </row>
    <row r="7753" spans="1:1" s="173" customFormat="1" ht="12" hidden="1" customHeight="1">
      <c r="A7753" s="172"/>
    </row>
    <row r="7754" spans="1:1" s="173" customFormat="1" ht="12" hidden="1" customHeight="1">
      <c r="A7754" s="172"/>
    </row>
    <row r="7755" spans="1:1" s="173" customFormat="1" ht="12" hidden="1" customHeight="1">
      <c r="A7755" s="172"/>
    </row>
    <row r="7756" spans="1:1" s="173" customFormat="1" ht="12" hidden="1" customHeight="1">
      <c r="A7756" s="172"/>
    </row>
    <row r="7757" spans="1:1" s="173" customFormat="1" ht="12" hidden="1" customHeight="1">
      <c r="A7757" s="172"/>
    </row>
    <row r="7758" spans="1:1" s="173" customFormat="1" ht="12" hidden="1" customHeight="1">
      <c r="A7758" s="172"/>
    </row>
    <row r="7759" spans="1:1" s="173" customFormat="1" ht="12" hidden="1" customHeight="1">
      <c r="A7759" s="172"/>
    </row>
    <row r="7760" spans="1:1" s="173" customFormat="1" ht="12" hidden="1" customHeight="1">
      <c r="A7760" s="172"/>
    </row>
    <row r="7761" spans="1:1" s="173" customFormat="1" ht="12" hidden="1" customHeight="1">
      <c r="A7761" s="172"/>
    </row>
    <row r="7762" spans="1:1" s="173" customFormat="1" ht="12" hidden="1" customHeight="1">
      <c r="A7762" s="172"/>
    </row>
    <row r="7763" spans="1:1" s="173" customFormat="1" ht="12" hidden="1" customHeight="1">
      <c r="A7763" s="172"/>
    </row>
    <row r="7764" spans="1:1" s="173" customFormat="1" ht="12" hidden="1" customHeight="1">
      <c r="A7764" s="172"/>
    </row>
    <row r="7765" spans="1:1" s="173" customFormat="1" ht="12" hidden="1" customHeight="1">
      <c r="A7765" s="172"/>
    </row>
    <row r="7766" spans="1:1" s="173" customFormat="1" ht="12" hidden="1" customHeight="1">
      <c r="A7766" s="172"/>
    </row>
    <row r="7767" spans="1:1" s="173" customFormat="1" ht="12" hidden="1" customHeight="1">
      <c r="A7767" s="172"/>
    </row>
    <row r="7768" spans="1:1" s="173" customFormat="1" ht="12" hidden="1" customHeight="1">
      <c r="A7768" s="172"/>
    </row>
    <row r="7769" spans="1:1" s="173" customFormat="1" ht="12" hidden="1" customHeight="1">
      <c r="A7769" s="172"/>
    </row>
    <row r="7770" spans="1:1" s="173" customFormat="1" ht="12" hidden="1" customHeight="1">
      <c r="A7770" s="172"/>
    </row>
    <row r="7771" spans="1:1" s="173" customFormat="1" ht="12" hidden="1" customHeight="1">
      <c r="A7771" s="172"/>
    </row>
    <row r="7772" spans="1:1" s="173" customFormat="1" ht="12" hidden="1" customHeight="1">
      <c r="A7772" s="172"/>
    </row>
    <row r="7773" spans="1:1" s="173" customFormat="1" ht="12" hidden="1" customHeight="1">
      <c r="A7773" s="172"/>
    </row>
    <row r="7774" spans="1:1" s="173" customFormat="1" ht="12" hidden="1" customHeight="1">
      <c r="A7774" s="172"/>
    </row>
    <row r="7775" spans="1:1" s="173" customFormat="1" ht="12" hidden="1" customHeight="1">
      <c r="A7775" s="172"/>
    </row>
    <row r="7776" spans="1:1" s="173" customFormat="1" ht="12" hidden="1" customHeight="1">
      <c r="A7776" s="172"/>
    </row>
    <row r="7777" spans="1:1" s="173" customFormat="1" ht="12" hidden="1" customHeight="1">
      <c r="A7777" s="172"/>
    </row>
    <row r="7778" spans="1:1" s="173" customFormat="1" ht="12" hidden="1" customHeight="1">
      <c r="A7778" s="172"/>
    </row>
    <row r="7779" spans="1:1" s="173" customFormat="1" ht="12" hidden="1" customHeight="1">
      <c r="A7779" s="172"/>
    </row>
    <row r="7780" spans="1:1" s="173" customFormat="1" ht="12" hidden="1" customHeight="1">
      <c r="A7780" s="172"/>
    </row>
    <row r="7781" spans="1:1" s="173" customFormat="1" ht="12" hidden="1" customHeight="1">
      <c r="A7781" s="172"/>
    </row>
    <row r="7782" spans="1:1" s="173" customFormat="1" ht="12" hidden="1" customHeight="1">
      <c r="A7782" s="172"/>
    </row>
    <row r="7783" spans="1:1" s="173" customFormat="1" ht="12" hidden="1" customHeight="1">
      <c r="A7783" s="172"/>
    </row>
    <row r="7784" spans="1:1" s="173" customFormat="1" ht="12" hidden="1" customHeight="1">
      <c r="A7784" s="172"/>
    </row>
    <row r="7785" spans="1:1" s="173" customFormat="1" ht="12" hidden="1" customHeight="1">
      <c r="A7785" s="172"/>
    </row>
    <row r="7786" spans="1:1" s="173" customFormat="1" ht="12" hidden="1" customHeight="1">
      <c r="A7786" s="172"/>
    </row>
    <row r="7787" spans="1:1" s="173" customFormat="1" ht="12" hidden="1" customHeight="1">
      <c r="A7787" s="172"/>
    </row>
    <row r="7788" spans="1:1" s="173" customFormat="1" ht="12" hidden="1" customHeight="1">
      <c r="A7788" s="172"/>
    </row>
    <row r="7789" spans="1:1" s="173" customFormat="1" ht="12" hidden="1" customHeight="1">
      <c r="A7789" s="172"/>
    </row>
    <row r="7790" spans="1:1" s="173" customFormat="1" ht="12" hidden="1" customHeight="1">
      <c r="A7790" s="172"/>
    </row>
    <row r="7791" spans="1:1" s="173" customFormat="1" ht="12" hidden="1" customHeight="1">
      <c r="A7791" s="172"/>
    </row>
    <row r="7792" spans="1:1" s="173" customFormat="1" ht="12" hidden="1" customHeight="1">
      <c r="A7792" s="172"/>
    </row>
    <row r="7793" spans="1:1" s="173" customFormat="1" ht="12" hidden="1" customHeight="1">
      <c r="A7793" s="172"/>
    </row>
    <row r="7794" spans="1:1" s="173" customFormat="1" ht="12" hidden="1" customHeight="1">
      <c r="A7794" s="172"/>
    </row>
    <row r="7795" spans="1:1" s="173" customFormat="1" ht="12" hidden="1" customHeight="1">
      <c r="A7795" s="172"/>
    </row>
    <row r="7796" spans="1:1" s="173" customFormat="1" ht="12" hidden="1" customHeight="1">
      <c r="A7796" s="172"/>
    </row>
    <row r="7797" spans="1:1" s="173" customFormat="1" ht="12" hidden="1" customHeight="1">
      <c r="A7797" s="172"/>
    </row>
    <row r="7798" spans="1:1" s="173" customFormat="1" ht="12" hidden="1" customHeight="1">
      <c r="A7798" s="172"/>
    </row>
    <row r="7799" spans="1:1" s="173" customFormat="1" ht="12" hidden="1" customHeight="1">
      <c r="A7799" s="172"/>
    </row>
    <row r="7800" spans="1:1" s="173" customFormat="1" ht="12" hidden="1" customHeight="1">
      <c r="A7800" s="172"/>
    </row>
    <row r="7801" spans="1:1" s="173" customFormat="1" ht="12" hidden="1" customHeight="1">
      <c r="A7801" s="172"/>
    </row>
    <row r="7802" spans="1:1" s="173" customFormat="1" ht="12" hidden="1" customHeight="1">
      <c r="A7802" s="172"/>
    </row>
    <row r="7803" spans="1:1" s="173" customFormat="1" ht="12" hidden="1" customHeight="1">
      <c r="A7803" s="172"/>
    </row>
    <row r="7804" spans="1:1" s="173" customFormat="1" ht="12" hidden="1" customHeight="1">
      <c r="A7804" s="172"/>
    </row>
    <row r="7805" spans="1:1" s="173" customFormat="1" ht="12" hidden="1" customHeight="1">
      <c r="A7805" s="172"/>
    </row>
    <row r="7806" spans="1:1" s="173" customFormat="1" ht="12" hidden="1" customHeight="1">
      <c r="A7806" s="172"/>
    </row>
    <row r="7807" spans="1:1" s="173" customFormat="1" ht="12" hidden="1" customHeight="1">
      <c r="A7807" s="172"/>
    </row>
    <row r="7808" spans="1:1" s="173" customFormat="1" ht="12" hidden="1" customHeight="1">
      <c r="A7808" s="172"/>
    </row>
    <row r="7809" spans="1:1" s="173" customFormat="1" ht="12" hidden="1" customHeight="1">
      <c r="A7809" s="172"/>
    </row>
    <row r="7810" spans="1:1" s="173" customFormat="1" ht="12" hidden="1" customHeight="1">
      <c r="A7810" s="172"/>
    </row>
    <row r="7811" spans="1:1" s="173" customFormat="1" ht="12" hidden="1" customHeight="1">
      <c r="A7811" s="172"/>
    </row>
    <row r="7812" spans="1:1" s="173" customFormat="1" ht="12" hidden="1" customHeight="1">
      <c r="A7812" s="172"/>
    </row>
    <row r="7813" spans="1:1" s="173" customFormat="1" ht="12" hidden="1" customHeight="1">
      <c r="A7813" s="172"/>
    </row>
    <row r="7814" spans="1:1" s="173" customFormat="1" ht="12" hidden="1" customHeight="1">
      <c r="A7814" s="172"/>
    </row>
    <row r="7815" spans="1:1" s="173" customFormat="1" ht="12" hidden="1" customHeight="1">
      <c r="A7815" s="172"/>
    </row>
    <row r="7816" spans="1:1" s="173" customFormat="1" ht="12" hidden="1" customHeight="1">
      <c r="A7816" s="172"/>
    </row>
    <row r="7817" spans="1:1" s="173" customFormat="1" ht="12" hidden="1" customHeight="1">
      <c r="A7817" s="172"/>
    </row>
    <row r="7818" spans="1:1" s="173" customFormat="1" ht="12" hidden="1" customHeight="1">
      <c r="A7818" s="172"/>
    </row>
    <row r="7819" spans="1:1" s="173" customFormat="1" ht="12" hidden="1" customHeight="1">
      <c r="A7819" s="172"/>
    </row>
    <row r="7820" spans="1:1" s="173" customFormat="1" ht="12" hidden="1" customHeight="1">
      <c r="A7820" s="172"/>
    </row>
    <row r="7821" spans="1:1" s="173" customFormat="1" ht="12" hidden="1" customHeight="1">
      <c r="A7821" s="172"/>
    </row>
    <row r="7822" spans="1:1" s="173" customFormat="1" ht="12" hidden="1" customHeight="1">
      <c r="A7822" s="172"/>
    </row>
    <row r="7823" spans="1:1" s="173" customFormat="1" ht="12" hidden="1" customHeight="1">
      <c r="A7823" s="172"/>
    </row>
    <row r="7824" spans="1:1" s="173" customFormat="1" ht="12" hidden="1" customHeight="1">
      <c r="A7824" s="172"/>
    </row>
    <row r="7825" spans="1:1" s="173" customFormat="1" ht="12" hidden="1" customHeight="1">
      <c r="A7825" s="172"/>
    </row>
    <row r="7826" spans="1:1" s="173" customFormat="1" ht="12" hidden="1" customHeight="1">
      <c r="A7826" s="172"/>
    </row>
    <row r="7827" spans="1:1" s="173" customFormat="1" ht="12" hidden="1" customHeight="1">
      <c r="A7827" s="172"/>
    </row>
    <row r="7828" spans="1:1" s="173" customFormat="1" ht="12" hidden="1" customHeight="1">
      <c r="A7828" s="172"/>
    </row>
    <row r="7829" spans="1:1" s="173" customFormat="1" ht="12" hidden="1" customHeight="1">
      <c r="A7829" s="172"/>
    </row>
    <row r="7830" spans="1:1" s="173" customFormat="1" ht="12" hidden="1" customHeight="1">
      <c r="A7830" s="172"/>
    </row>
    <row r="7831" spans="1:1" s="173" customFormat="1" ht="12" hidden="1" customHeight="1">
      <c r="A7831" s="172"/>
    </row>
    <row r="7832" spans="1:1" s="173" customFormat="1" ht="12" hidden="1" customHeight="1">
      <c r="A7832" s="172"/>
    </row>
    <row r="7833" spans="1:1" s="173" customFormat="1" ht="12" hidden="1" customHeight="1">
      <c r="A7833" s="172"/>
    </row>
    <row r="7834" spans="1:1" s="173" customFormat="1" ht="12" hidden="1" customHeight="1">
      <c r="A7834" s="172"/>
    </row>
    <row r="7835" spans="1:1" s="173" customFormat="1" ht="12" hidden="1" customHeight="1">
      <c r="A7835" s="172"/>
    </row>
    <row r="7836" spans="1:1" s="173" customFormat="1" ht="12" hidden="1" customHeight="1">
      <c r="A7836" s="172"/>
    </row>
    <row r="7837" spans="1:1" s="173" customFormat="1" ht="12" hidden="1" customHeight="1">
      <c r="A7837" s="172"/>
    </row>
    <row r="7838" spans="1:1" s="173" customFormat="1" ht="12" hidden="1" customHeight="1">
      <c r="A7838" s="172"/>
    </row>
    <row r="7839" spans="1:1" s="173" customFormat="1" ht="12" hidden="1" customHeight="1">
      <c r="A7839" s="172"/>
    </row>
    <row r="7840" spans="1:1" s="173" customFormat="1" ht="12" hidden="1" customHeight="1">
      <c r="A7840" s="172"/>
    </row>
    <row r="7841" spans="1:1" s="173" customFormat="1" ht="12" hidden="1" customHeight="1">
      <c r="A7841" s="172"/>
    </row>
    <row r="7842" spans="1:1" s="173" customFormat="1" ht="12" hidden="1" customHeight="1">
      <c r="A7842" s="172"/>
    </row>
    <row r="7843" spans="1:1" s="173" customFormat="1" ht="12" hidden="1" customHeight="1">
      <c r="A7843" s="172"/>
    </row>
    <row r="7844" spans="1:1" s="173" customFormat="1" ht="12" hidden="1" customHeight="1">
      <c r="A7844" s="172"/>
    </row>
    <row r="7845" spans="1:1" s="173" customFormat="1" ht="12" hidden="1" customHeight="1">
      <c r="A7845" s="172"/>
    </row>
    <row r="7846" spans="1:1" s="173" customFormat="1" ht="12" hidden="1" customHeight="1">
      <c r="A7846" s="172"/>
    </row>
    <row r="7847" spans="1:1" s="173" customFormat="1" ht="12" hidden="1" customHeight="1">
      <c r="A7847" s="172"/>
    </row>
    <row r="7848" spans="1:1" s="173" customFormat="1" ht="12" hidden="1" customHeight="1">
      <c r="A7848" s="172"/>
    </row>
    <row r="7849" spans="1:1" s="173" customFormat="1" ht="12" hidden="1" customHeight="1">
      <c r="A7849" s="172"/>
    </row>
    <row r="7850" spans="1:1" s="173" customFormat="1" ht="12" hidden="1" customHeight="1">
      <c r="A7850" s="172"/>
    </row>
    <row r="7851" spans="1:1" s="173" customFormat="1" ht="12" hidden="1" customHeight="1">
      <c r="A7851" s="172"/>
    </row>
    <row r="7852" spans="1:1" s="173" customFormat="1" ht="12" hidden="1" customHeight="1">
      <c r="A7852" s="172"/>
    </row>
    <row r="7853" spans="1:1" s="173" customFormat="1" ht="12" hidden="1" customHeight="1">
      <c r="A7853" s="172"/>
    </row>
    <row r="7854" spans="1:1" s="173" customFormat="1" ht="12" hidden="1" customHeight="1">
      <c r="A7854" s="172"/>
    </row>
    <row r="7855" spans="1:1" s="173" customFormat="1" ht="12" hidden="1" customHeight="1">
      <c r="A7855" s="172"/>
    </row>
    <row r="7856" spans="1:1" s="173" customFormat="1" ht="12" hidden="1" customHeight="1">
      <c r="A7856" s="172"/>
    </row>
    <row r="7857" spans="1:1" s="173" customFormat="1" ht="12" hidden="1" customHeight="1">
      <c r="A7857" s="172"/>
    </row>
    <row r="7858" spans="1:1" s="173" customFormat="1" ht="12" hidden="1" customHeight="1">
      <c r="A7858" s="172"/>
    </row>
    <row r="7859" spans="1:1" s="173" customFormat="1" ht="12" hidden="1" customHeight="1">
      <c r="A7859" s="172"/>
    </row>
    <row r="7860" spans="1:1" s="173" customFormat="1" ht="12" hidden="1" customHeight="1">
      <c r="A7860" s="172"/>
    </row>
    <row r="7861" spans="1:1" s="173" customFormat="1" ht="12" hidden="1" customHeight="1">
      <c r="A7861" s="172"/>
    </row>
    <row r="7862" spans="1:1" s="173" customFormat="1" ht="12" hidden="1" customHeight="1">
      <c r="A7862" s="172"/>
    </row>
    <row r="7863" spans="1:1" s="173" customFormat="1" ht="12" hidden="1" customHeight="1">
      <c r="A7863" s="172"/>
    </row>
    <row r="7864" spans="1:1" s="173" customFormat="1" ht="12" hidden="1" customHeight="1">
      <c r="A7864" s="172"/>
    </row>
    <row r="7865" spans="1:1" s="173" customFormat="1" ht="12" hidden="1" customHeight="1">
      <c r="A7865" s="172"/>
    </row>
    <row r="7866" spans="1:1" s="173" customFormat="1" ht="12" hidden="1" customHeight="1">
      <c r="A7866" s="172"/>
    </row>
    <row r="7867" spans="1:1" s="173" customFormat="1" ht="12" hidden="1" customHeight="1">
      <c r="A7867" s="172"/>
    </row>
    <row r="7868" spans="1:1" s="173" customFormat="1" ht="12" hidden="1" customHeight="1">
      <c r="A7868" s="172"/>
    </row>
    <row r="7869" spans="1:1" s="173" customFormat="1" ht="12" hidden="1" customHeight="1">
      <c r="A7869" s="172"/>
    </row>
    <row r="7870" spans="1:1" s="173" customFormat="1" ht="12" hidden="1" customHeight="1">
      <c r="A7870" s="172"/>
    </row>
    <row r="7871" spans="1:1" s="173" customFormat="1" ht="12" hidden="1" customHeight="1">
      <c r="A7871" s="172"/>
    </row>
    <row r="7872" spans="1:1" s="173" customFormat="1" ht="12" hidden="1" customHeight="1">
      <c r="A7872" s="172"/>
    </row>
    <row r="7873" spans="1:1" s="173" customFormat="1" ht="12" hidden="1" customHeight="1">
      <c r="A7873" s="172"/>
    </row>
    <row r="7874" spans="1:1" s="173" customFormat="1" ht="12" hidden="1" customHeight="1">
      <c r="A7874" s="172"/>
    </row>
    <row r="7875" spans="1:1" s="173" customFormat="1" ht="12" hidden="1" customHeight="1">
      <c r="A7875" s="172"/>
    </row>
    <row r="7876" spans="1:1" s="173" customFormat="1" ht="12" hidden="1" customHeight="1">
      <c r="A7876" s="172"/>
    </row>
    <row r="7877" spans="1:1" s="173" customFormat="1" ht="12" hidden="1" customHeight="1">
      <c r="A7877" s="172"/>
    </row>
    <row r="7878" spans="1:1" s="173" customFormat="1" ht="12" hidden="1" customHeight="1">
      <c r="A7878" s="172"/>
    </row>
    <row r="7879" spans="1:1" s="173" customFormat="1" ht="12" hidden="1" customHeight="1">
      <c r="A7879" s="172"/>
    </row>
    <row r="7880" spans="1:1" s="173" customFormat="1" ht="12" hidden="1" customHeight="1">
      <c r="A7880" s="172"/>
    </row>
    <row r="7881" spans="1:1" s="173" customFormat="1" ht="12" hidden="1" customHeight="1">
      <c r="A7881" s="172"/>
    </row>
    <row r="7882" spans="1:1" s="173" customFormat="1" ht="12" hidden="1" customHeight="1">
      <c r="A7882" s="172"/>
    </row>
    <row r="7883" spans="1:1" s="173" customFormat="1" ht="12" hidden="1" customHeight="1">
      <c r="A7883" s="172"/>
    </row>
    <row r="7884" spans="1:1" s="173" customFormat="1" ht="12" hidden="1" customHeight="1">
      <c r="A7884" s="172"/>
    </row>
    <row r="7885" spans="1:1" s="173" customFormat="1" ht="12" hidden="1" customHeight="1">
      <c r="A7885" s="172"/>
    </row>
    <row r="7886" spans="1:1" s="173" customFormat="1" ht="12" hidden="1" customHeight="1">
      <c r="A7886" s="172"/>
    </row>
    <row r="7887" spans="1:1" s="173" customFormat="1" ht="12" hidden="1" customHeight="1">
      <c r="A7887" s="172"/>
    </row>
    <row r="7888" spans="1:1" s="173" customFormat="1" ht="12" hidden="1" customHeight="1">
      <c r="A7888" s="172"/>
    </row>
    <row r="7889" spans="1:1" s="173" customFormat="1" ht="12" hidden="1" customHeight="1">
      <c r="A7889" s="172"/>
    </row>
    <row r="7890" spans="1:1" s="173" customFormat="1" ht="12" hidden="1" customHeight="1">
      <c r="A7890" s="172"/>
    </row>
    <row r="7891" spans="1:1" s="173" customFormat="1" ht="12" hidden="1" customHeight="1">
      <c r="A7891" s="172"/>
    </row>
    <row r="7892" spans="1:1" s="173" customFormat="1" ht="12" hidden="1" customHeight="1">
      <c r="A7892" s="172"/>
    </row>
    <row r="7893" spans="1:1" s="173" customFormat="1" ht="12" hidden="1" customHeight="1">
      <c r="A7893" s="172"/>
    </row>
    <row r="7894" spans="1:1" s="173" customFormat="1" ht="12" hidden="1" customHeight="1">
      <c r="A7894" s="172"/>
    </row>
    <row r="7895" spans="1:1" s="173" customFormat="1" ht="12" hidden="1" customHeight="1">
      <c r="A7895" s="172"/>
    </row>
    <row r="7896" spans="1:1" s="173" customFormat="1" ht="12" hidden="1" customHeight="1">
      <c r="A7896" s="172"/>
    </row>
    <row r="7897" spans="1:1" s="173" customFormat="1" ht="12" hidden="1" customHeight="1">
      <c r="A7897" s="172"/>
    </row>
    <row r="7898" spans="1:1" s="173" customFormat="1" ht="12" hidden="1" customHeight="1">
      <c r="A7898" s="172"/>
    </row>
    <row r="7899" spans="1:1" s="173" customFormat="1" ht="12" hidden="1" customHeight="1">
      <c r="A7899" s="172"/>
    </row>
    <row r="7900" spans="1:1" s="173" customFormat="1" ht="12" hidden="1" customHeight="1">
      <c r="A7900" s="172"/>
    </row>
    <row r="7901" spans="1:1" s="173" customFormat="1" ht="12" hidden="1" customHeight="1">
      <c r="A7901" s="172"/>
    </row>
    <row r="7902" spans="1:1" s="173" customFormat="1" ht="12" hidden="1" customHeight="1">
      <c r="A7902" s="172"/>
    </row>
    <row r="7903" spans="1:1" s="173" customFormat="1" ht="12" hidden="1" customHeight="1">
      <c r="A7903" s="172"/>
    </row>
    <row r="7904" spans="1:1" s="173" customFormat="1" ht="12" hidden="1" customHeight="1">
      <c r="A7904" s="172"/>
    </row>
    <row r="7905" spans="1:1" s="173" customFormat="1" ht="12" hidden="1" customHeight="1">
      <c r="A7905" s="172"/>
    </row>
    <row r="7906" spans="1:1" s="173" customFormat="1" ht="12" hidden="1" customHeight="1">
      <c r="A7906" s="172"/>
    </row>
    <row r="7907" spans="1:1" s="173" customFormat="1" ht="12" hidden="1" customHeight="1">
      <c r="A7907" s="172"/>
    </row>
    <row r="7908" spans="1:1" s="173" customFormat="1" ht="12" hidden="1" customHeight="1">
      <c r="A7908" s="172"/>
    </row>
    <row r="7909" spans="1:1" s="173" customFormat="1" ht="12" hidden="1" customHeight="1">
      <c r="A7909" s="172"/>
    </row>
    <row r="7910" spans="1:1" s="173" customFormat="1" ht="12" hidden="1" customHeight="1">
      <c r="A7910" s="172"/>
    </row>
    <row r="7911" spans="1:1" s="173" customFormat="1" ht="12" hidden="1" customHeight="1">
      <c r="A7911" s="172"/>
    </row>
    <row r="7912" spans="1:1" s="173" customFormat="1" ht="12" hidden="1" customHeight="1">
      <c r="A7912" s="172"/>
    </row>
    <row r="7913" spans="1:1" s="173" customFormat="1" ht="12" hidden="1" customHeight="1">
      <c r="A7913" s="172"/>
    </row>
    <row r="7914" spans="1:1" s="173" customFormat="1" ht="12" hidden="1" customHeight="1">
      <c r="A7914" s="172"/>
    </row>
    <row r="7915" spans="1:1" s="173" customFormat="1" ht="12" hidden="1" customHeight="1">
      <c r="A7915" s="172"/>
    </row>
    <row r="7916" spans="1:1" s="173" customFormat="1" ht="12" hidden="1" customHeight="1">
      <c r="A7916" s="172"/>
    </row>
    <row r="7917" spans="1:1" s="173" customFormat="1" ht="12" hidden="1" customHeight="1">
      <c r="A7917" s="172"/>
    </row>
    <row r="7918" spans="1:1" s="173" customFormat="1" ht="12" hidden="1" customHeight="1">
      <c r="A7918" s="172"/>
    </row>
    <row r="7919" spans="1:1" s="173" customFormat="1" ht="12" hidden="1" customHeight="1">
      <c r="A7919" s="172"/>
    </row>
    <row r="7920" spans="1:1" s="173" customFormat="1" ht="12" hidden="1" customHeight="1">
      <c r="A7920" s="172"/>
    </row>
    <row r="7921" spans="1:1" s="173" customFormat="1" ht="12" hidden="1" customHeight="1">
      <c r="A7921" s="172"/>
    </row>
    <row r="7922" spans="1:1" s="173" customFormat="1" ht="12" hidden="1" customHeight="1">
      <c r="A7922" s="172"/>
    </row>
    <row r="7923" spans="1:1" s="173" customFormat="1" ht="12" hidden="1" customHeight="1">
      <c r="A7923" s="172"/>
    </row>
    <row r="7924" spans="1:1" s="173" customFormat="1" ht="12" hidden="1" customHeight="1">
      <c r="A7924" s="172"/>
    </row>
    <row r="7925" spans="1:1" s="173" customFormat="1" ht="12" hidden="1" customHeight="1">
      <c r="A7925" s="172"/>
    </row>
    <row r="7926" spans="1:1" s="173" customFormat="1" ht="12" hidden="1" customHeight="1">
      <c r="A7926" s="172"/>
    </row>
    <row r="7927" spans="1:1" s="173" customFormat="1" ht="12" hidden="1" customHeight="1">
      <c r="A7927" s="172"/>
    </row>
    <row r="7928" spans="1:1" s="173" customFormat="1" ht="12" hidden="1" customHeight="1">
      <c r="A7928" s="172"/>
    </row>
    <row r="7929" spans="1:1" s="173" customFormat="1" ht="12" hidden="1" customHeight="1">
      <c r="A7929" s="172"/>
    </row>
    <row r="7930" spans="1:1" s="173" customFormat="1" ht="12" hidden="1" customHeight="1">
      <c r="A7930" s="172"/>
    </row>
    <row r="7931" spans="1:1" s="173" customFormat="1" ht="12" hidden="1" customHeight="1">
      <c r="A7931" s="172"/>
    </row>
    <row r="7932" spans="1:1" s="173" customFormat="1" ht="12" hidden="1" customHeight="1">
      <c r="A7932" s="172"/>
    </row>
    <row r="7933" spans="1:1" s="173" customFormat="1" ht="12" hidden="1" customHeight="1">
      <c r="A7933" s="172"/>
    </row>
    <row r="7934" spans="1:1" s="173" customFormat="1" ht="12" hidden="1" customHeight="1">
      <c r="A7934" s="172"/>
    </row>
    <row r="7935" spans="1:1" s="173" customFormat="1" ht="12" hidden="1" customHeight="1">
      <c r="A7935" s="172"/>
    </row>
    <row r="7936" spans="1:1" s="173" customFormat="1" ht="12" hidden="1" customHeight="1">
      <c r="A7936" s="172"/>
    </row>
    <row r="7937" spans="1:1" s="173" customFormat="1" ht="12" hidden="1" customHeight="1">
      <c r="A7937" s="172"/>
    </row>
    <row r="7938" spans="1:1" s="173" customFormat="1" ht="12" hidden="1" customHeight="1">
      <c r="A7938" s="172"/>
    </row>
    <row r="7939" spans="1:1" s="173" customFormat="1" ht="12" hidden="1" customHeight="1">
      <c r="A7939" s="172"/>
    </row>
    <row r="7940" spans="1:1" s="173" customFormat="1" ht="12" hidden="1" customHeight="1">
      <c r="A7940" s="172"/>
    </row>
    <row r="7941" spans="1:1" s="173" customFormat="1" ht="12" hidden="1" customHeight="1">
      <c r="A7941" s="172"/>
    </row>
    <row r="7942" spans="1:1" s="173" customFormat="1" ht="12" hidden="1" customHeight="1">
      <c r="A7942" s="172"/>
    </row>
    <row r="7943" spans="1:1" s="173" customFormat="1" ht="12" hidden="1" customHeight="1">
      <c r="A7943" s="172"/>
    </row>
    <row r="7944" spans="1:1" s="173" customFormat="1" ht="12" hidden="1" customHeight="1">
      <c r="A7944" s="172"/>
    </row>
    <row r="7945" spans="1:1" s="173" customFormat="1" ht="12" hidden="1" customHeight="1">
      <c r="A7945" s="172"/>
    </row>
    <row r="7946" spans="1:1" s="173" customFormat="1" ht="12" hidden="1" customHeight="1">
      <c r="A7946" s="172"/>
    </row>
    <row r="7947" spans="1:1" s="173" customFormat="1" ht="12" hidden="1" customHeight="1">
      <c r="A7947" s="172"/>
    </row>
    <row r="7948" spans="1:1" s="173" customFormat="1" ht="12" hidden="1" customHeight="1">
      <c r="A7948" s="172"/>
    </row>
    <row r="7949" spans="1:1" s="173" customFormat="1" ht="12" hidden="1" customHeight="1">
      <c r="A7949" s="172"/>
    </row>
    <row r="7950" spans="1:1" s="173" customFormat="1" ht="12" hidden="1" customHeight="1">
      <c r="A7950" s="172"/>
    </row>
    <row r="7951" spans="1:1" s="173" customFormat="1" ht="12" hidden="1" customHeight="1">
      <c r="A7951" s="172"/>
    </row>
    <row r="7952" spans="1:1" s="173" customFormat="1" ht="12" hidden="1" customHeight="1">
      <c r="A7952" s="172"/>
    </row>
    <row r="7953" spans="1:1" s="173" customFormat="1" ht="12" hidden="1" customHeight="1">
      <c r="A7953" s="172"/>
    </row>
    <row r="7954" spans="1:1" s="173" customFormat="1" ht="12" hidden="1" customHeight="1">
      <c r="A7954" s="172"/>
    </row>
    <row r="7955" spans="1:1" s="173" customFormat="1" ht="12" hidden="1" customHeight="1">
      <c r="A7955" s="172"/>
    </row>
    <row r="7956" spans="1:1" s="173" customFormat="1" ht="12" hidden="1" customHeight="1">
      <c r="A7956" s="172"/>
    </row>
    <row r="7957" spans="1:1" s="173" customFormat="1" ht="12" hidden="1" customHeight="1">
      <c r="A7957" s="172"/>
    </row>
    <row r="7958" spans="1:1" s="173" customFormat="1" ht="12" hidden="1" customHeight="1">
      <c r="A7958" s="172"/>
    </row>
    <row r="7959" spans="1:1" s="173" customFormat="1" ht="12" hidden="1" customHeight="1">
      <c r="A7959" s="172"/>
    </row>
    <row r="7960" spans="1:1" s="173" customFormat="1" ht="12" hidden="1" customHeight="1">
      <c r="A7960" s="172"/>
    </row>
    <row r="7961" spans="1:1" s="173" customFormat="1" ht="12" hidden="1" customHeight="1">
      <c r="A7961" s="172"/>
    </row>
    <row r="7962" spans="1:1" s="173" customFormat="1" ht="12" hidden="1" customHeight="1">
      <c r="A7962" s="172"/>
    </row>
    <row r="7963" spans="1:1" s="173" customFormat="1" ht="12" hidden="1" customHeight="1">
      <c r="A7963" s="172"/>
    </row>
    <row r="7964" spans="1:1" s="173" customFormat="1" ht="12" hidden="1" customHeight="1">
      <c r="A7964" s="172"/>
    </row>
    <row r="7965" spans="1:1" s="173" customFormat="1" ht="12" hidden="1" customHeight="1">
      <c r="A7965" s="172"/>
    </row>
    <row r="7966" spans="1:1" s="173" customFormat="1" ht="12" hidden="1" customHeight="1">
      <c r="A7966" s="172"/>
    </row>
    <row r="7967" spans="1:1" s="173" customFormat="1" ht="12" hidden="1" customHeight="1">
      <c r="A7967" s="172"/>
    </row>
    <row r="7968" spans="1:1" s="173" customFormat="1" ht="12" hidden="1" customHeight="1">
      <c r="A7968" s="172"/>
    </row>
    <row r="7969" spans="1:1" s="173" customFormat="1" ht="12" hidden="1" customHeight="1">
      <c r="A7969" s="172"/>
    </row>
    <row r="7970" spans="1:1" s="173" customFormat="1" ht="12" hidden="1" customHeight="1">
      <c r="A7970" s="172"/>
    </row>
    <row r="7971" spans="1:1" s="173" customFormat="1" ht="12" hidden="1" customHeight="1">
      <c r="A7971" s="172"/>
    </row>
    <row r="7972" spans="1:1" s="173" customFormat="1" ht="12" hidden="1" customHeight="1">
      <c r="A7972" s="172"/>
    </row>
    <row r="7973" spans="1:1" s="173" customFormat="1" ht="12" hidden="1" customHeight="1">
      <c r="A7973" s="172"/>
    </row>
    <row r="7974" spans="1:1" s="173" customFormat="1" ht="12" hidden="1" customHeight="1">
      <c r="A7974" s="172"/>
    </row>
    <row r="7975" spans="1:1" s="173" customFormat="1" ht="12" hidden="1" customHeight="1">
      <c r="A7975" s="172"/>
    </row>
    <row r="7976" spans="1:1" s="173" customFormat="1" ht="12" hidden="1" customHeight="1">
      <c r="A7976" s="172"/>
    </row>
    <row r="7977" spans="1:1" s="173" customFormat="1" ht="12" hidden="1" customHeight="1">
      <c r="A7977" s="172"/>
    </row>
    <row r="7978" spans="1:1" s="173" customFormat="1" ht="12" hidden="1" customHeight="1">
      <c r="A7978" s="172"/>
    </row>
    <row r="7979" spans="1:1" s="173" customFormat="1" ht="12" hidden="1" customHeight="1">
      <c r="A7979" s="172"/>
    </row>
    <row r="7980" spans="1:1" s="173" customFormat="1" ht="12" hidden="1" customHeight="1">
      <c r="A7980" s="172"/>
    </row>
    <row r="7981" spans="1:1" s="173" customFormat="1" ht="12" hidden="1" customHeight="1">
      <c r="A7981" s="172"/>
    </row>
    <row r="7982" spans="1:1" s="173" customFormat="1" ht="12" hidden="1" customHeight="1">
      <c r="A7982" s="172"/>
    </row>
    <row r="7983" spans="1:1" s="173" customFormat="1" ht="12" hidden="1" customHeight="1">
      <c r="A7983" s="172"/>
    </row>
    <row r="7984" spans="1:1" s="173" customFormat="1" ht="12" hidden="1" customHeight="1">
      <c r="A7984" s="172"/>
    </row>
    <row r="7985" spans="1:1" s="173" customFormat="1" ht="12" hidden="1" customHeight="1">
      <c r="A7985" s="172"/>
    </row>
    <row r="7986" spans="1:1" s="173" customFormat="1" ht="12" hidden="1" customHeight="1">
      <c r="A7986" s="172"/>
    </row>
    <row r="7987" spans="1:1" s="173" customFormat="1" ht="12" hidden="1" customHeight="1">
      <c r="A7987" s="172"/>
    </row>
    <row r="7988" spans="1:1" s="173" customFormat="1" ht="12" hidden="1" customHeight="1">
      <c r="A7988" s="172"/>
    </row>
    <row r="7989" spans="1:1" s="173" customFormat="1" ht="12" hidden="1" customHeight="1">
      <c r="A7989" s="172"/>
    </row>
    <row r="7990" spans="1:1" s="173" customFormat="1" ht="12" hidden="1" customHeight="1">
      <c r="A7990" s="172"/>
    </row>
    <row r="7991" spans="1:1" s="173" customFormat="1" ht="12" hidden="1" customHeight="1">
      <c r="A7991" s="172"/>
    </row>
    <row r="7992" spans="1:1" s="173" customFormat="1" ht="12" hidden="1" customHeight="1">
      <c r="A7992" s="172"/>
    </row>
    <row r="7993" spans="1:1" s="173" customFormat="1" ht="12" hidden="1" customHeight="1">
      <c r="A7993" s="172"/>
    </row>
    <row r="7994" spans="1:1" s="173" customFormat="1" ht="12" hidden="1" customHeight="1">
      <c r="A7994" s="172"/>
    </row>
    <row r="7995" spans="1:1" s="173" customFormat="1" ht="12" hidden="1" customHeight="1">
      <c r="A7995" s="172"/>
    </row>
    <row r="7996" spans="1:1" s="173" customFormat="1" ht="12" hidden="1" customHeight="1">
      <c r="A7996" s="172"/>
    </row>
    <row r="7997" spans="1:1" s="173" customFormat="1" ht="12" hidden="1" customHeight="1">
      <c r="A7997" s="172"/>
    </row>
    <row r="7998" spans="1:1" s="173" customFormat="1" ht="12" hidden="1" customHeight="1">
      <c r="A7998" s="172"/>
    </row>
    <row r="7999" spans="1:1" s="173" customFormat="1" ht="12" hidden="1" customHeight="1">
      <c r="A7999" s="172"/>
    </row>
    <row r="8000" spans="1:1" s="173" customFormat="1" ht="12" hidden="1" customHeight="1">
      <c r="A8000" s="172"/>
    </row>
    <row r="8001" spans="1:1" s="173" customFormat="1" ht="12" hidden="1" customHeight="1">
      <c r="A8001" s="172"/>
    </row>
    <row r="8002" spans="1:1" s="173" customFormat="1" ht="12" hidden="1" customHeight="1">
      <c r="A8002" s="172"/>
    </row>
    <row r="8003" spans="1:1" s="173" customFormat="1" ht="12" hidden="1" customHeight="1">
      <c r="A8003" s="172"/>
    </row>
    <row r="8004" spans="1:1" s="173" customFormat="1" ht="12" hidden="1" customHeight="1">
      <c r="A8004" s="172"/>
    </row>
    <row r="8005" spans="1:1" s="173" customFormat="1" ht="12" hidden="1" customHeight="1">
      <c r="A8005" s="172"/>
    </row>
    <row r="8006" spans="1:1" s="173" customFormat="1" ht="12" hidden="1" customHeight="1">
      <c r="A8006" s="172"/>
    </row>
    <row r="8007" spans="1:1" s="173" customFormat="1" ht="12" hidden="1" customHeight="1">
      <c r="A8007" s="172"/>
    </row>
    <row r="8008" spans="1:1" s="173" customFormat="1" ht="12" hidden="1" customHeight="1">
      <c r="A8008" s="172"/>
    </row>
    <row r="8009" spans="1:1" s="173" customFormat="1" ht="12" hidden="1" customHeight="1">
      <c r="A8009" s="172"/>
    </row>
    <row r="8010" spans="1:1" s="173" customFormat="1" ht="12" hidden="1" customHeight="1">
      <c r="A8010" s="172"/>
    </row>
    <row r="8011" spans="1:1" s="173" customFormat="1" ht="12" hidden="1" customHeight="1">
      <c r="A8011" s="172"/>
    </row>
    <row r="8012" spans="1:1" s="173" customFormat="1" ht="12" hidden="1" customHeight="1">
      <c r="A8012" s="172"/>
    </row>
    <row r="8013" spans="1:1" s="173" customFormat="1" ht="12" hidden="1" customHeight="1">
      <c r="A8013" s="172"/>
    </row>
    <row r="8014" spans="1:1" s="173" customFormat="1" ht="12" hidden="1" customHeight="1">
      <c r="A8014" s="172"/>
    </row>
    <row r="8015" spans="1:1" s="173" customFormat="1" ht="12" hidden="1" customHeight="1">
      <c r="A8015" s="172"/>
    </row>
    <row r="8016" spans="1:1" s="173" customFormat="1" ht="12" hidden="1" customHeight="1">
      <c r="A8016" s="172"/>
    </row>
    <row r="8017" spans="1:1" s="173" customFormat="1" ht="12" hidden="1" customHeight="1">
      <c r="A8017" s="172"/>
    </row>
    <row r="8018" spans="1:1" s="173" customFormat="1" ht="12" hidden="1" customHeight="1">
      <c r="A8018" s="172"/>
    </row>
    <row r="8019" spans="1:1" s="173" customFormat="1" ht="12" hidden="1" customHeight="1">
      <c r="A8019" s="172"/>
    </row>
    <row r="8020" spans="1:1" s="173" customFormat="1" ht="12" hidden="1" customHeight="1">
      <c r="A8020" s="172"/>
    </row>
    <row r="8021" spans="1:1" s="173" customFormat="1" ht="12" hidden="1" customHeight="1">
      <c r="A8021" s="172"/>
    </row>
    <row r="8022" spans="1:1" s="173" customFormat="1" ht="12" hidden="1" customHeight="1">
      <c r="A8022" s="172"/>
    </row>
    <row r="8023" spans="1:1" s="173" customFormat="1" ht="12" hidden="1" customHeight="1">
      <c r="A8023" s="172"/>
    </row>
    <row r="8024" spans="1:1" s="173" customFormat="1" ht="12" hidden="1" customHeight="1">
      <c r="A8024" s="172"/>
    </row>
    <row r="8025" spans="1:1" s="173" customFormat="1" ht="12" hidden="1" customHeight="1">
      <c r="A8025" s="172"/>
    </row>
    <row r="8026" spans="1:1" s="173" customFormat="1" ht="12" hidden="1" customHeight="1">
      <c r="A8026" s="172"/>
    </row>
    <row r="8027" spans="1:1" s="173" customFormat="1" ht="12" hidden="1" customHeight="1">
      <c r="A8027" s="172"/>
    </row>
    <row r="8028" spans="1:1" s="173" customFormat="1" ht="12" hidden="1" customHeight="1">
      <c r="A8028" s="172"/>
    </row>
    <row r="8029" spans="1:1" s="173" customFormat="1" ht="12" hidden="1" customHeight="1">
      <c r="A8029" s="172"/>
    </row>
    <row r="8030" spans="1:1" s="173" customFormat="1" ht="12" hidden="1" customHeight="1">
      <c r="A8030" s="172"/>
    </row>
    <row r="8031" spans="1:1" s="173" customFormat="1" ht="12" hidden="1" customHeight="1">
      <c r="A8031" s="172"/>
    </row>
    <row r="8032" spans="1:1" s="173" customFormat="1" ht="12" hidden="1" customHeight="1">
      <c r="A8032" s="172"/>
    </row>
    <row r="8033" spans="1:1" s="173" customFormat="1" ht="12" hidden="1" customHeight="1">
      <c r="A8033" s="172"/>
    </row>
    <row r="8034" spans="1:1" s="173" customFormat="1" ht="12" hidden="1" customHeight="1">
      <c r="A8034" s="172"/>
    </row>
    <row r="8035" spans="1:1" s="173" customFormat="1" ht="12" hidden="1" customHeight="1">
      <c r="A8035" s="172"/>
    </row>
    <row r="8036" spans="1:1" s="173" customFormat="1" ht="12" hidden="1" customHeight="1">
      <c r="A8036" s="172"/>
    </row>
    <row r="8037" spans="1:1" s="173" customFormat="1" ht="12" hidden="1" customHeight="1">
      <c r="A8037" s="172"/>
    </row>
    <row r="8038" spans="1:1" s="173" customFormat="1" ht="12" hidden="1" customHeight="1">
      <c r="A8038" s="172"/>
    </row>
    <row r="8039" spans="1:1" s="173" customFormat="1" ht="12" hidden="1" customHeight="1">
      <c r="A8039" s="172"/>
    </row>
    <row r="8040" spans="1:1" s="173" customFormat="1" ht="12" hidden="1" customHeight="1">
      <c r="A8040" s="172"/>
    </row>
    <row r="8041" spans="1:1" s="173" customFormat="1" ht="12" hidden="1" customHeight="1">
      <c r="A8041" s="172"/>
    </row>
    <row r="8042" spans="1:1" s="173" customFormat="1" ht="12" hidden="1" customHeight="1">
      <c r="A8042" s="172"/>
    </row>
    <row r="8043" spans="1:1" s="173" customFormat="1" ht="12" hidden="1" customHeight="1">
      <c r="A8043" s="172"/>
    </row>
    <row r="8044" spans="1:1" s="173" customFormat="1" ht="12" hidden="1" customHeight="1">
      <c r="A8044" s="172"/>
    </row>
    <row r="8045" spans="1:1" s="173" customFormat="1" ht="12" hidden="1" customHeight="1">
      <c r="A8045" s="172"/>
    </row>
    <row r="8046" spans="1:1" s="173" customFormat="1" ht="12" hidden="1" customHeight="1">
      <c r="A8046" s="172"/>
    </row>
    <row r="8047" spans="1:1" s="173" customFormat="1" ht="12" hidden="1" customHeight="1">
      <c r="A8047" s="172"/>
    </row>
    <row r="8048" spans="1:1" s="173" customFormat="1" ht="12" hidden="1" customHeight="1">
      <c r="A8048" s="172"/>
    </row>
    <row r="8049" spans="1:1" s="173" customFormat="1" ht="12" hidden="1" customHeight="1">
      <c r="A8049" s="172"/>
    </row>
    <row r="8050" spans="1:1" s="173" customFormat="1" ht="12" hidden="1" customHeight="1">
      <c r="A8050" s="172"/>
    </row>
    <row r="8051" spans="1:1" s="173" customFormat="1" ht="12" hidden="1" customHeight="1">
      <c r="A8051" s="172"/>
    </row>
    <row r="8052" spans="1:1" s="173" customFormat="1" ht="12" hidden="1" customHeight="1">
      <c r="A8052" s="172"/>
    </row>
    <row r="8053" spans="1:1" s="173" customFormat="1" ht="12" hidden="1" customHeight="1">
      <c r="A8053" s="172"/>
    </row>
    <row r="8054" spans="1:1" s="173" customFormat="1" ht="12" hidden="1" customHeight="1">
      <c r="A8054" s="172"/>
    </row>
    <row r="8055" spans="1:1" s="173" customFormat="1" ht="12" hidden="1" customHeight="1">
      <c r="A8055" s="172"/>
    </row>
    <row r="8056" spans="1:1" s="173" customFormat="1" ht="12" hidden="1" customHeight="1">
      <c r="A8056" s="172"/>
    </row>
    <row r="8057" spans="1:1" s="173" customFormat="1" ht="12" hidden="1" customHeight="1">
      <c r="A8057" s="172"/>
    </row>
    <row r="8058" spans="1:1" s="173" customFormat="1" ht="12" hidden="1" customHeight="1">
      <c r="A8058" s="172"/>
    </row>
    <row r="8059" spans="1:1" s="173" customFormat="1" ht="12" hidden="1" customHeight="1">
      <c r="A8059" s="172"/>
    </row>
    <row r="8060" spans="1:1" s="173" customFormat="1" ht="12" hidden="1" customHeight="1">
      <c r="A8060" s="172"/>
    </row>
    <row r="8061" spans="1:1" s="173" customFormat="1" ht="12" hidden="1" customHeight="1">
      <c r="A8061" s="172"/>
    </row>
    <row r="8062" spans="1:1" s="173" customFormat="1" ht="12" hidden="1" customHeight="1">
      <c r="A8062" s="172"/>
    </row>
    <row r="8063" spans="1:1" s="173" customFormat="1" ht="12" hidden="1" customHeight="1">
      <c r="A8063" s="172"/>
    </row>
    <row r="8064" spans="1:1" s="173" customFormat="1" ht="12" hidden="1" customHeight="1">
      <c r="A8064" s="172"/>
    </row>
    <row r="8065" spans="1:1" s="173" customFormat="1" ht="12" hidden="1" customHeight="1">
      <c r="A8065" s="172"/>
    </row>
    <row r="8066" spans="1:1" s="173" customFormat="1" ht="12" hidden="1" customHeight="1">
      <c r="A8066" s="172"/>
    </row>
    <row r="8067" spans="1:1" s="173" customFormat="1" ht="12" hidden="1" customHeight="1">
      <c r="A8067" s="172"/>
    </row>
    <row r="8068" spans="1:1" s="173" customFormat="1" ht="12" hidden="1" customHeight="1">
      <c r="A8068" s="172"/>
    </row>
    <row r="8069" spans="1:1" s="173" customFormat="1" ht="12" hidden="1" customHeight="1">
      <c r="A8069" s="172"/>
    </row>
    <row r="8070" spans="1:1" s="173" customFormat="1" ht="12" hidden="1" customHeight="1">
      <c r="A8070" s="172"/>
    </row>
    <row r="8071" spans="1:1" s="173" customFormat="1" ht="12" hidden="1" customHeight="1">
      <c r="A8071" s="172"/>
    </row>
    <row r="8072" spans="1:1" s="173" customFormat="1" ht="12" hidden="1" customHeight="1">
      <c r="A8072" s="172"/>
    </row>
    <row r="8073" spans="1:1" s="173" customFormat="1" ht="12" hidden="1" customHeight="1">
      <c r="A8073" s="172"/>
    </row>
    <row r="8074" spans="1:1" s="173" customFormat="1" ht="12" hidden="1" customHeight="1">
      <c r="A8074" s="172"/>
    </row>
    <row r="8075" spans="1:1" s="173" customFormat="1" ht="12" hidden="1" customHeight="1">
      <c r="A8075" s="172"/>
    </row>
    <row r="8076" spans="1:1" s="173" customFormat="1" ht="12" hidden="1" customHeight="1">
      <c r="A8076" s="172"/>
    </row>
    <row r="8077" spans="1:1" s="173" customFormat="1" ht="12" hidden="1" customHeight="1">
      <c r="A8077" s="172"/>
    </row>
    <row r="8078" spans="1:1" s="173" customFormat="1" ht="12" hidden="1" customHeight="1">
      <c r="A8078" s="172"/>
    </row>
    <row r="8079" spans="1:1" s="173" customFormat="1" ht="12" hidden="1" customHeight="1">
      <c r="A8079" s="172"/>
    </row>
    <row r="8080" spans="1:1" s="173" customFormat="1" ht="12" hidden="1" customHeight="1">
      <c r="A8080" s="172"/>
    </row>
    <row r="8081" spans="1:1" s="173" customFormat="1" ht="12" hidden="1" customHeight="1">
      <c r="A8081" s="172"/>
    </row>
    <row r="8082" spans="1:1" s="173" customFormat="1" ht="12" hidden="1" customHeight="1">
      <c r="A8082" s="172"/>
    </row>
    <row r="8083" spans="1:1" s="173" customFormat="1" ht="12" hidden="1" customHeight="1">
      <c r="A8083" s="172"/>
    </row>
    <row r="8084" spans="1:1" s="173" customFormat="1" ht="12" hidden="1" customHeight="1">
      <c r="A8084" s="172"/>
    </row>
    <row r="8085" spans="1:1" s="173" customFormat="1" ht="12" hidden="1" customHeight="1">
      <c r="A8085" s="172"/>
    </row>
    <row r="8086" spans="1:1" s="173" customFormat="1" ht="12" hidden="1" customHeight="1">
      <c r="A8086" s="172"/>
    </row>
    <row r="8087" spans="1:1" s="173" customFormat="1" ht="12" hidden="1" customHeight="1">
      <c r="A8087" s="172"/>
    </row>
    <row r="8088" spans="1:1" s="173" customFormat="1" ht="12" hidden="1" customHeight="1">
      <c r="A8088" s="172"/>
    </row>
    <row r="8089" spans="1:1" s="173" customFormat="1" ht="12" hidden="1" customHeight="1">
      <c r="A8089" s="172"/>
    </row>
    <row r="8090" spans="1:1" s="173" customFormat="1" ht="12" hidden="1" customHeight="1">
      <c r="A8090" s="172"/>
    </row>
    <row r="8091" spans="1:1" s="173" customFormat="1" ht="12" hidden="1" customHeight="1">
      <c r="A8091" s="172"/>
    </row>
    <row r="8092" spans="1:1" s="173" customFormat="1" ht="12" hidden="1" customHeight="1">
      <c r="A8092" s="172"/>
    </row>
    <row r="8093" spans="1:1" s="173" customFormat="1" ht="12" hidden="1" customHeight="1">
      <c r="A8093" s="172"/>
    </row>
    <row r="8094" spans="1:1" s="173" customFormat="1" ht="12" hidden="1" customHeight="1">
      <c r="A8094" s="172"/>
    </row>
    <row r="8095" spans="1:1" s="173" customFormat="1" ht="12" hidden="1" customHeight="1">
      <c r="A8095" s="172"/>
    </row>
    <row r="8096" spans="1:1" s="173" customFormat="1" ht="12" hidden="1" customHeight="1">
      <c r="A8096" s="172"/>
    </row>
    <row r="8097" spans="1:1" s="173" customFormat="1" ht="12" hidden="1" customHeight="1">
      <c r="A8097" s="172"/>
    </row>
    <row r="8098" spans="1:1" s="173" customFormat="1" ht="12" hidden="1" customHeight="1">
      <c r="A8098" s="172"/>
    </row>
    <row r="8099" spans="1:1" s="173" customFormat="1" ht="12" hidden="1" customHeight="1">
      <c r="A8099" s="172"/>
    </row>
    <row r="8100" spans="1:1" s="173" customFormat="1" ht="12" hidden="1" customHeight="1">
      <c r="A8100" s="172"/>
    </row>
    <row r="8101" spans="1:1" s="173" customFormat="1" ht="12" hidden="1" customHeight="1">
      <c r="A8101" s="172"/>
    </row>
    <row r="8102" spans="1:1" s="173" customFormat="1" ht="12" hidden="1" customHeight="1">
      <c r="A8102" s="172"/>
    </row>
    <row r="8103" spans="1:1" s="173" customFormat="1" ht="12" hidden="1" customHeight="1">
      <c r="A8103" s="172"/>
    </row>
    <row r="8104" spans="1:1" s="173" customFormat="1" ht="12" hidden="1" customHeight="1">
      <c r="A8104" s="172"/>
    </row>
    <row r="8105" spans="1:1" s="173" customFormat="1" ht="12" hidden="1" customHeight="1">
      <c r="A8105" s="172"/>
    </row>
    <row r="8106" spans="1:1" s="173" customFormat="1" ht="12" hidden="1" customHeight="1">
      <c r="A8106" s="172"/>
    </row>
    <row r="8107" spans="1:1" s="173" customFormat="1" ht="12" hidden="1" customHeight="1">
      <c r="A8107" s="172"/>
    </row>
    <row r="8108" spans="1:1" s="173" customFormat="1" ht="12" hidden="1" customHeight="1">
      <c r="A8108" s="172"/>
    </row>
    <row r="8109" spans="1:1" s="173" customFormat="1" ht="12" hidden="1" customHeight="1">
      <c r="A8109" s="172"/>
    </row>
    <row r="8110" spans="1:1" s="173" customFormat="1" ht="12" hidden="1" customHeight="1">
      <c r="A8110" s="172"/>
    </row>
    <row r="8111" spans="1:1" s="173" customFormat="1" ht="12" hidden="1" customHeight="1">
      <c r="A8111" s="172"/>
    </row>
    <row r="8112" spans="1:1" s="173" customFormat="1" ht="12" hidden="1" customHeight="1">
      <c r="A8112" s="172"/>
    </row>
    <row r="8113" spans="1:1" s="173" customFormat="1" ht="12" hidden="1" customHeight="1">
      <c r="A8113" s="172"/>
    </row>
    <row r="8114" spans="1:1" s="173" customFormat="1" ht="12" hidden="1" customHeight="1">
      <c r="A8114" s="172"/>
    </row>
    <row r="8115" spans="1:1" s="173" customFormat="1" ht="12" hidden="1" customHeight="1">
      <c r="A8115" s="172"/>
    </row>
    <row r="8116" spans="1:1" s="173" customFormat="1" ht="12" hidden="1" customHeight="1">
      <c r="A8116" s="172"/>
    </row>
    <row r="8117" spans="1:1" s="173" customFormat="1" ht="12" hidden="1" customHeight="1">
      <c r="A8117" s="172"/>
    </row>
    <row r="8118" spans="1:1" s="173" customFormat="1" ht="12" hidden="1" customHeight="1">
      <c r="A8118" s="172"/>
    </row>
    <row r="8119" spans="1:1" s="173" customFormat="1" ht="12" hidden="1" customHeight="1">
      <c r="A8119" s="172"/>
    </row>
    <row r="8120" spans="1:1" s="173" customFormat="1" ht="12" hidden="1" customHeight="1">
      <c r="A8120" s="172"/>
    </row>
    <row r="8121" spans="1:1" s="173" customFormat="1" ht="12" hidden="1" customHeight="1">
      <c r="A8121" s="172"/>
    </row>
    <row r="8122" spans="1:1" s="173" customFormat="1" ht="12" hidden="1" customHeight="1">
      <c r="A8122" s="172"/>
    </row>
    <row r="8123" spans="1:1" s="173" customFormat="1" ht="12" hidden="1" customHeight="1">
      <c r="A8123" s="172"/>
    </row>
    <row r="8124" spans="1:1" s="173" customFormat="1" ht="12" hidden="1" customHeight="1">
      <c r="A8124" s="172"/>
    </row>
    <row r="8125" spans="1:1" s="173" customFormat="1" ht="12" hidden="1" customHeight="1">
      <c r="A8125" s="172"/>
    </row>
    <row r="8126" spans="1:1" s="173" customFormat="1" ht="12" hidden="1" customHeight="1">
      <c r="A8126" s="172"/>
    </row>
    <row r="8127" spans="1:1" s="173" customFormat="1" ht="12" hidden="1" customHeight="1">
      <c r="A8127" s="172"/>
    </row>
    <row r="8128" spans="1:1" s="173" customFormat="1" ht="12" hidden="1" customHeight="1">
      <c r="A8128" s="172"/>
    </row>
    <row r="8129" spans="1:1" s="173" customFormat="1" ht="12" hidden="1" customHeight="1">
      <c r="A8129" s="172"/>
    </row>
    <row r="8130" spans="1:1" s="173" customFormat="1" ht="12" hidden="1" customHeight="1">
      <c r="A8130" s="172"/>
    </row>
    <row r="8131" spans="1:1" s="173" customFormat="1" ht="12" hidden="1" customHeight="1">
      <c r="A8131" s="172"/>
    </row>
    <row r="8132" spans="1:1" s="173" customFormat="1" ht="12" hidden="1" customHeight="1">
      <c r="A8132" s="172"/>
    </row>
    <row r="8133" spans="1:1" s="173" customFormat="1" ht="12" hidden="1" customHeight="1">
      <c r="A8133" s="172"/>
    </row>
    <row r="8134" spans="1:1" s="173" customFormat="1" ht="12" hidden="1" customHeight="1">
      <c r="A8134" s="172"/>
    </row>
    <row r="8135" spans="1:1" s="173" customFormat="1" ht="12" hidden="1" customHeight="1">
      <c r="A8135" s="172"/>
    </row>
    <row r="8136" spans="1:1" s="173" customFormat="1" ht="12" hidden="1" customHeight="1">
      <c r="A8136" s="172"/>
    </row>
    <row r="8137" spans="1:1" s="173" customFormat="1" ht="12" hidden="1" customHeight="1">
      <c r="A8137" s="172"/>
    </row>
    <row r="8138" spans="1:1" s="173" customFormat="1" ht="12" hidden="1" customHeight="1">
      <c r="A8138" s="172"/>
    </row>
    <row r="8139" spans="1:1" s="173" customFormat="1" ht="12" hidden="1" customHeight="1">
      <c r="A8139" s="172"/>
    </row>
    <row r="8140" spans="1:1" s="173" customFormat="1" ht="12" hidden="1" customHeight="1">
      <c r="A8140" s="172"/>
    </row>
    <row r="8141" spans="1:1" s="173" customFormat="1" ht="12" hidden="1" customHeight="1">
      <c r="A8141" s="172"/>
    </row>
    <row r="8142" spans="1:1" s="173" customFormat="1" ht="12" hidden="1" customHeight="1">
      <c r="A8142" s="172"/>
    </row>
    <row r="8143" spans="1:1" s="173" customFormat="1" ht="12" hidden="1" customHeight="1">
      <c r="A8143" s="172"/>
    </row>
    <row r="8144" spans="1:1" s="173" customFormat="1" ht="12" hidden="1" customHeight="1">
      <c r="A8144" s="172"/>
    </row>
    <row r="8145" spans="1:1" s="173" customFormat="1" ht="12" hidden="1" customHeight="1">
      <c r="A8145" s="172"/>
    </row>
    <row r="8146" spans="1:1" s="173" customFormat="1" ht="12" hidden="1" customHeight="1">
      <c r="A8146" s="172"/>
    </row>
    <row r="8147" spans="1:1" s="173" customFormat="1" ht="12" hidden="1" customHeight="1">
      <c r="A8147" s="172"/>
    </row>
    <row r="8148" spans="1:1" s="173" customFormat="1" ht="12" hidden="1" customHeight="1">
      <c r="A8148" s="172"/>
    </row>
    <row r="8149" spans="1:1" s="173" customFormat="1" ht="12" hidden="1" customHeight="1">
      <c r="A8149" s="172"/>
    </row>
    <row r="8150" spans="1:1" s="173" customFormat="1" ht="12" hidden="1" customHeight="1">
      <c r="A8150" s="172"/>
    </row>
    <row r="8151" spans="1:1" s="173" customFormat="1" ht="12" hidden="1" customHeight="1">
      <c r="A8151" s="172"/>
    </row>
    <row r="8152" spans="1:1" s="173" customFormat="1" ht="12" hidden="1" customHeight="1">
      <c r="A8152" s="172"/>
    </row>
    <row r="8153" spans="1:1" s="173" customFormat="1" ht="12" hidden="1" customHeight="1">
      <c r="A8153" s="172"/>
    </row>
    <row r="8154" spans="1:1" s="173" customFormat="1" ht="12" hidden="1" customHeight="1">
      <c r="A8154" s="172"/>
    </row>
    <row r="8155" spans="1:1" s="173" customFormat="1" ht="12" hidden="1" customHeight="1">
      <c r="A8155" s="172"/>
    </row>
    <row r="8156" spans="1:1" s="173" customFormat="1" ht="12" hidden="1" customHeight="1">
      <c r="A8156" s="172"/>
    </row>
    <row r="8157" spans="1:1" s="173" customFormat="1" ht="12" hidden="1" customHeight="1">
      <c r="A8157" s="172"/>
    </row>
    <row r="8158" spans="1:1" s="173" customFormat="1" ht="12" hidden="1" customHeight="1">
      <c r="A8158" s="172"/>
    </row>
    <row r="8159" spans="1:1" s="173" customFormat="1" ht="12" hidden="1" customHeight="1">
      <c r="A8159" s="172"/>
    </row>
    <row r="8160" spans="1:1" s="173" customFormat="1" ht="12" hidden="1" customHeight="1">
      <c r="A8160" s="172"/>
    </row>
    <row r="8161" spans="1:1" s="173" customFormat="1" ht="12" hidden="1" customHeight="1">
      <c r="A8161" s="172"/>
    </row>
    <row r="8162" spans="1:1" s="173" customFormat="1" ht="12" hidden="1" customHeight="1">
      <c r="A8162" s="172"/>
    </row>
    <row r="8163" spans="1:1" s="173" customFormat="1" ht="12" hidden="1" customHeight="1">
      <c r="A8163" s="172"/>
    </row>
    <row r="8164" spans="1:1" s="173" customFormat="1" ht="12" hidden="1" customHeight="1">
      <c r="A8164" s="172"/>
    </row>
    <row r="8165" spans="1:1" s="173" customFormat="1" ht="12" hidden="1" customHeight="1">
      <c r="A8165" s="172"/>
    </row>
    <row r="8166" spans="1:1" s="173" customFormat="1" ht="12" hidden="1" customHeight="1">
      <c r="A8166" s="172"/>
    </row>
    <row r="8167" spans="1:1" s="173" customFormat="1" ht="12" hidden="1" customHeight="1">
      <c r="A8167" s="172"/>
    </row>
    <row r="8168" spans="1:1" s="173" customFormat="1" ht="12" hidden="1" customHeight="1">
      <c r="A8168" s="172"/>
    </row>
    <row r="8169" spans="1:1" s="173" customFormat="1" ht="12" hidden="1" customHeight="1">
      <c r="A8169" s="172"/>
    </row>
    <row r="8170" spans="1:1" s="173" customFormat="1" ht="12" hidden="1" customHeight="1">
      <c r="A8170" s="172"/>
    </row>
    <row r="8171" spans="1:1" s="173" customFormat="1" ht="12" hidden="1" customHeight="1">
      <c r="A8171" s="172"/>
    </row>
    <row r="8172" spans="1:1" s="173" customFormat="1" ht="12" hidden="1" customHeight="1">
      <c r="A8172" s="172"/>
    </row>
    <row r="8173" spans="1:1" s="173" customFormat="1" ht="12" hidden="1" customHeight="1">
      <c r="A8173" s="172"/>
    </row>
    <row r="8174" spans="1:1" s="173" customFormat="1" ht="12" hidden="1" customHeight="1">
      <c r="A8174" s="172"/>
    </row>
    <row r="8175" spans="1:1" s="173" customFormat="1" ht="12" hidden="1" customHeight="1">
      <c r="A8175" s="172"/>
    </row>
    <row r="8176" spans="1:1" s="173" customFormat="1" ht="12" hidden="1" customHeight="1">
      <c r="A8176" s="172"/>
    </row>
    <row r="8177" spans="1:1" s="173" customFormat="1" ht="12" hidden="1" customHeight="1">
      <c r="A8177" s="172"/>
    </row>
    <row r="8178" spans="1:1" s="173" customFormat="1" ht="12" hidden="1" customHeight="1">
      <c r="A8178" s="172"/>
    </row>
    <row r="8179" spans="1:1" s="173" customFormat="1" ht="12" hidden="1" customHeight="1">
      <c r="A8179" s="172"/>
    </row>
    <row r="8180" spans="1:1" s="173" customFormat="1" ht="12" hidden="1" customHeight="1">
      <c r="A8180" s="172"/>
    </row>
    <row r="8181" spans="1:1" s="173" customFormat="1" ht="12" hidden="1" customHeight="1">
      <c r="A8181" s="172"/>
    </row>
    <row r="8182" spans="1:1" s="173" customFormat="1" ht="12" hidden="1" customHeight="1">
      <c r="A8182" s="172"/>
    </row>
    <row r="8183" spans="1:1" s="173" customFormat="1" ht="12" hidden="1" customHeight="1">
      <c r="A8183" s="172"/>
    </row>
    <row r="8184" spans="1:1" s="173" customFormat="1" ht="12" hidden="1" customHeight="1">
      <c r="A8184" s="172"/>
    </row>
    <row r="8185" spans="1:1" s="173" customFormat="1" ht="12" hidden="1" customHeight="1">
      <c r="A8185" s="172"/>
    </row>
    <row r="8186" spans="1:1" s="173" customFormat="1" ht="12" hidden="1" customHeight="1">
      <c r="A8186" s="172"/>
    </row>
    <row r="8187" spans="1:1" s="173" customFormat="1" ht="12" hidden="1" customHeight="1">
      <c r="A8187" s="172"/>
    </row>
    <row r="8188" spans="1:1" s="173" customFormat="1" ht="12" hidden="1" customHeight="1">
      <c r="A8188" s="172"/>
    </row>
    <row r="8189" spans="1:1" s="173" customFormat="1" ht="12" hidden="1" customHeight="1">
      <c r="A8189" s="172"/>
    </row>
    <row r="8190" spans="1:1" s="173" customFormat="1" ht="12" hidden="1" customHeight="1">
      <c r="A8190" s="172"/>
    </row>
    <row r="8191" spans="1:1" s="173" customFormat="1" ht="12" hidden="1" customHeight="1">
      <c r="A8191" s="172"/>
    </row>
    <row r="8192" spans="1:1" s="173" customFormat="1" ht="12" hidden="1" customHeight="1">
      <c r="A8192" s="172"/>
    </row>
    <row r="8193" spans="1:1" s="173" customFormat="1" ht="12" hidden="1" customHeight="1">
      <c r="A8193" s="172"/>
    </row>
    <row r="8194" spans="1:1" s="173" customFormat="1" ht="12" hidden="1" customHeight="1">
      <c r="A8194" s="172"/>
    </row>
    <row r="8195" spans="1:1" s="173" customFormat="1" ht="12" hidden="1" customHeight="1">
      <c r="A8195" s="172"/>
    </row>
    <row r="8196" spans="1:1" s="173" customFormat="1" ht="12" hidden="1" customHeight="1">
      <c r="A8196" s="172"/>
    </row>
    <row r="8197" spans="1:1" s="173" customFormat="1" ht="12" hidden="1" customHeight="1">
      <c r="A8197" s="172"/>
    </row>
    <row r="8198" spans="1:1" s="173" customFormat="1" ht="12" hidden="1" customHeight="1">
      <c r="A8198" s="172"/>
    </row>
    <row r="8199" spans="1:1" s="173" customFormat="1" ht="12" hidden="1" customHeight="1">
      <c r="A8199" s="172"/>
    </row>
    <row r="8200" spans="1:1" s="173" customFormat="1" ht="12" hidden="1" customHeight="1">
      <c r="A8200" s="172"/>
    </row>
    <row r="8201" spans="1:1" s="173" customFormat="1" ht="12" hidden="1" customHeight="1">
      <c r="A8201" s="172"/>
    </row>
    <row r="8202" spans="1:1" s="173" customFormat="1" ht="12" hidden="1" customHeight="1">
      <c r="A8202" s="172"/>
    </row>
    <row r="8203" spans="1:1" s="173" customFormat="1" ht="12" hidden="1" customHeight="1">
      <c r="A8203" s="172"/>
    </row>
    <row r="8204" spans="1:1" s="173" customFormat="1" ht="12" hidden="1" customHeight="1">
      <c r="A8204" s="172"/>
    </row>
    <row r="8205" spans="1:1" s="173" customFormat="1" ht="12" hidden="1" customHeight="1">
      <c r="A8205" s="172"/>
    </row>
    <row r="8206" spans="1:1" s="173" customFormat="1" ht="12" hidden="1" customHeight="1">
      <c r="A8206" s="172"/>
    </row>
    <row r="8207" spans="1:1" s="173" customFormat="1" ht="12" hidden="1" customHeight="1">
      <c r="A8207" s="172"/>
    </row>
    <row r="8208" spans="1:1" s="173" customFormat="1" ht="12" hidden="1" customHeight="1">
      <c r="A8208" s="172"/>
    </row>
    <row r="8209" spans="1:1" s="173" customFormat="1" ht="12" hidden="1" customHeight="1">
      <c r="A8209" s="172"/>
    </row>
    <row r="8210" spans="1:1" s="173" customFormat="1" ht="12" hidden="1" customHeight="1">
      <c r="A8210" s="172"/>
    </row>
    <row r="8211" spans="1:1" s="173" customFormat="1" ht="12" hidden="1" customHeight="1">
      <c r="A8211" s="172"/>
    </row>
    <row r="8212" spans="1:1" s="173" customFormat="1" ht="12" hidden="1" customHeight="1">
      <c r="A8212" s="172"/>
    </row>
    <row r="8213" spans="1:1" s="173" customFormat="1" ht="12" hidden="1" customHeight="1">
      <c r="A8213" s="172"/>
    </row>
    <row r="8214" spans="1:1" s="173" customFormat="1" ht="12" hidden="1" customHeight="1">
      <c r="A8214" s="172"/>
    </row>
    <row r="8215" spans="1:1" s="173" customFormat="1" ht="12" hidden="1" customHeight="1">
      <c r="A8215" s="172"/>
    </row>
    <row r="8216" spans="1:1" s="173" customFormat="1" ht="12" hidden="1" customHeight="1">
      <c r="A8216" s="172"/>
    </row>
    <row r="8217" spans="1:1" s="173" customFormat="1" ht="12" hidden="1" customHeight="1">
      <c r="A8217" s="172"/>
    </row>
    <row r="8218" spans="1:1" s="173" customFormat="1" ht="12" hidden="1" customHeight="1">
      <c r="A8218" s="172"/>
    </row>
    <row r="8219" spans="1:1" s="173" customFormat="1" ht="12" hidden="1" customHeight="1">
      <c r="A8219" s="172"/>
    </row>
    <row r="8220" spans="1:1" s="173" customFormat="1" ht="12" hidden="1" customHeight="1">
      <c r="A8220" s="172"/>
    </row>
    <row r="8221" spans="1:1" s="173" customFormat="1" ht="12" hidden="1" customHeight="1">
      <c r="A8221" s="172"/>
    </row>
    <row r="8222" spans="1:1" s="173" customFormat="1" ht="12" hidden="1" customHeight="1">
      <c r="A8222" s="172"/>
    </row>
    <row r="8223" spans="1:1" s="173" customFormat="1" ht="12" hidden="1" customHeight="1">
      <c r="A8223" s="172"/>
    </row>
    <row r="8224" spans="1:1" s="173" customFormat="1" ht="12" hidden="1" customHeight="1">
      <c r="A8224" s="172"/>
    </row>
    <row r="8225" spans="1:1" s="173" customFormat="1" ht="12" hidden="1" customHeight="1">
      <c r="A8225" s="172"/>
    </row>
    <row r="8226" spans="1:1" s="173" customFormat="1" ht="12" hidden="1" customHeight="1">
      <c r="A8226" s="172"/>
    </row>
    <row r="8227" spans="1:1" s="173" customFormat="1" ht="12" hidden="1" customHeight="1">
      <c r="A8227" s="172"/>
    </row>
    <row r="8228" spans="1:1" s="173" customFormat="1" ht="12" hidden="1" customHeight="1">
      <c r="A8228" s="172"/>
    </row>
    <row r="8229" spans="1:1" s="173" customFormat="1" ht="12" hidden="1" customHeight="1">
      <c r="A8229" s="172"/>
    </row>
    <row r="8230" spans="1:1" s="173" customFormat="1" ht="12" hidden="1" customHeight="1">
      <c r="A8230" s="172"/>
    </row>
    <row r="8231" spans="1:1" s="173" customFormat="1" ht="12" hidden="1" customHeight="1">
      <c r="A8231" s="172"/>
    </row>
    <row r="8232" spans="1:1" s="173" customFormat="1" ht="12" hidden="1" customHeight="1">
      <c r="A8232" s="172"/>
    </row>
    <row r="8233" spans="1:1" s="173" customFormat="1" ht="12" hidden="1" customHeight="1">
      <c r="A8233" s="172"/>
    </row>
    <row r="8234" spans="1:1" s="173" customFormat="1" ht="12" hidden="1" customHeight="1">
      <c r="A8234" s="172"/>
    </row>
    <row r="8235" spans="1:1" s="173" customFormat="1" ht="12" hidden="1" customHeight="1">
      <c r="A8235" s="172"/>
    </row>
    <row r="8236" spans="1:1" s="173" customFormat="1" ht="12" hidden="1" customHeight="1">
      <c r="A8236" s="172"/>
    </row>
    <row r="8237" spans="1:1" s="173" customFormat="1" ht="12" hidden="1" customHeight="1">
      <c r="A8237" s="172"/>
    </row>
    <row r="8238" spans="1:1" s="173" customFormat="1" ht="12" hidden="1" customHeight="1">
      <c r="A8238" s="172"/>
    </row>
    <row r="8239" spans="1:1" s="173" customFormat="1" ht="12" hidden="1" customHeight="1">
      <c r="A8239" s="172"/>
    </row>
    <row r="8240" spans="1:1" s="173" customFormat="1" ht="12" hidden="1" customHeight="1">
      <c r="A8240" s="172"/>
    </row>
    <row r="8241" spans="1:1" s="173" customFormat="1" ht="12" hidden="1" customHeight="1">
      <c r="A8241" s="172"/>
    </row>
    <row r="8242" spans="1:1" s="173" customFormat="1" ht="12" hidden="1" customHeight="1">
      <c r="A8242" s="172"/>
    </row>
    <row r="8243" spans="1:1" s="173" customFormat="1" ht="12" hidden="1" customHeight="1">
      <c r="A8243" s="172"/>
    </row>
    <row r="8244" spans="1:1" s="173" customFormat="1" ht="12" hidden="1" customHeight="1">
      <c r="A8244" s="172"/>
    </row>
    <row r="8245" spans="1:1" s="173" customFormat="1" ht="12" hidden="1" customHeight="1">
      <c r="A8245" s="172"/>
    </row>
    <row r="8246" spans="1:1" s="173" customFormat="1" ht="12" hidden="1" customHeight="1">
      <c r="A8246" s="172"/>
    </row>
    <row r="8247" spans="1:1" s="173" customFormat="1" ht="12" hidden="1" customHeight="1">
      <c r="A8247" s="172"/>
    </row>
    <row r="8248" spans="1:1" s="173" customFormat="1" ht="12" hidden="1" customHeight="1">
      <c r="A8248" s="172"/>
    </row>
    <row r="8249" spans="1:1" s="173" customFormat="1" ht="12" hidden="1" customHeight="1">
      <c r="A8249" s="172"/>
    </row>
    <row r="8250" spans="1:1" s="173" customFormat="1" ht="12" hidden="1" customHeight="1">
      <c r="A8250" s="172"/>
    </row>
    <row r="8251" spans="1:1" s="173" customFormat="1" ht="12" hidden="1" customHeight="1">
      <c r="A8251" s="172"/>
    </row>
    <row r="8252" spans="1:1" s="173" customFormat="1" ht="12" hidden="1" customHeight="1">
      <c r="A8252" s="172"/>
    </row>
    <row r="8253" spans="1:1" s="173" customFormat="1" ht="12" hidden="1" customHeight="1">
      <c r="A8253" s="172"/>
    </row>
    <row r="8254" spans="1:1" s="173" customFormat="1" ht="12" hidden="1" customHeight="1">
      <c r="A8254" s="172"/>
    </row>
    <row r="8255" spans="1:1" s="173" customFormat="1" ht="12" hidden="1" customHeight="1">
      <c r="A8255" s="172"/>
    </row>
    <row r="8256" spans="1:1" s="173" customFormat="1" ht="12" hidden="1" customHeight="1">
      <c r="A8256" s="172"/>
    </row>
    <row r="8257" spans="1:1" s="173" customFormat="1" ht="12" hidden="1" customHeight="1">
      <c r="A8257" s="172"/>
    </row>
    <row r="8258" spans="1:1" s="173" customFormat="1" ht="12" hidden="1" customHeight="1">
      <c r="A8258" s="172"/>
    </row>
    <row r="8259" spans="1:1" s="173" customFormat="1" ht="12" hidden="1" customHeight="1">
      <c r="A8259" s="172"/>
    </row>
    <row r="8260" spans="1:1" s="173" customFormat="1" ht="12" hidden="1" customHeight="1">
      <c r="A8260" s="172"/>
    </row>
    <row r="8261" spans="1:1" s="173" customFormat="1" ht="12" hidden="1" customHeight="1">
      <c r="A8261" s="172"/>
    </row>
    <row r="8262" spans="1:1" s="173" customFormat="1" ht="12" hidden="1" customHeight="1">
      <c r="A8262" s="172"/>
    </row>
    <row r="8263" spans="1:1" s="173" customFormat="1" ht="12" hidden="1" customHeight="1">
      <c r="A8263" s="172"/>
    </row>
    <row r="8264" spans="1:1" s="173" customFormat="1" ht="12" hidden="1" customHeight="1">
      <c r="A8264" s="172"/>
    </row>
    <row r="8265" spans="1:1" s="173" customFormat="1" ht="12" hidden="1" customHeight="1">
      <c r="A8265" s="172"/>
    </row>
    <row r="8266" spans="1:1" s="173" customFormat="1" ht="12" hidden="1" customHeight="1">
      <c r="A8266" s="172"/>
    </row>
    <row r="8267" spans="1:1" s="173" customFormat="1" ht="12" hidden="1" customHeight="1">
      <c r="A8267" s="172"/>
    </row>
    <row r="8268" spans="1:1" s="173" customFormat="1" ht="12" hidden="1" customHeight="1">
      <c r="A8268" s="172"/>
    </row>
    <row r="8269" spans="1:1" s="173" customFormat="1" ht="12" hidden="1" customHeight="1">
      <c r="A8269" s="172"/>
    </row>
    <row r="8270" spans="1:1" s="173" customFormat="1" ht="12" hidden="1" customHeight="1">
      <c r="A8270" s="172"/>
    </row>
    <row r="8271" spans="1:1" s="173" customFormat="1" ht="12" hidden="1" customHeight="1">
      <c r="A8271" s="172"/>
    </row>
    <row r="8272" spans="1:1" s="173" customFormat="1" ht="12" hidden="1" customHeight="1">
      <c r="A8272" s="172"/>
    </row>
    <row r="8273" spans="1:1" s="173" customFormat="1" ht="12" hidden="1" customHeight="1">
      <c r="A8273" s="172"/>
    </row>
    <row r="8274" spans="1:1" s="173" customFormat="1" ht="12" hidden="1" customHeight="1">
      <c r="A8274" s="172"/>
    </row>
    <row r="8275" spans="1:1" s="173" customFormat="1" ht="12" hidden="1" customHeight="1">
      <c r="A8275" s="172"/>
    </row>
    <row r="8276" spans="1:1" s="173" customFormat="1" ht="12" hidden="1" customHeight="1">
      <c r="A8276" s="172"/>
    </row>
    <row r="8277" spans="1:1" s="173" customFormat="1" ht="12" hidden="1" customHeight="1">
      <c r="A8277" s="172"/>
    </row>
    <row r="8278" spans="1:1" s="173" customFormat="1" ht="12" hidden="1" customHeight="1">
      <c r="A8278" s="172"/>
    </row>
    <row r="8279" spans="1:1" s="173" customFormat="1" ht="12" hidden="1" customHeight="1">
      <c r="A8279" s="172"/>
    </row>
    <row r="8280" spans="1:1" s="173" customFormat="1" ht="12" hidden="1" customHeight="1">
      <c r="A8280" s="172"/>
    </row>
    <row r="8281" spans="1:1" s="173" customFormat="1" ht="12" hidden="1" customHeight="1">
      <c r="A8281" s="172"/>
    </row>
    <row r="8282" spans="1:1" s="173" customFormat="1" ht="12" hidden="1" customHeight="1">
      <c r="A8282" s="172"/>
    </row>
    <row r="8283" spans="1:1" s="173" customFormat="1" ht="12" hidden="1" customHeight="1">
      <c r="A8283" s="172"/>
    </row>
    <row r="8284" spans="1:1" s="173" customFormat="1" ht="12" hidden="1" customHeight="1">
      <c r="A8284" s="172"/>
    </row>
    <row r="8285" spans="1:1" s="173" customFormat="1" ht="12" hidden="1" customHeight="1">
      <c r="A8285" s="172"/>
    </row>
    <row r="8286" spans="1:1" s="173" customFormat="1" ht="12" hidden="1" customHeight="1">
      <c r="A8286" s="172"/>
    </row>
    <row r="8287" spans="1:1" s="173" customFormat="1" ht="12" hidden="1" customHeight="1">
      <c r="A8287" s="172"/>
    </row>
    <row r="8288" spans="1:1" s="173" customFormat="1" ht="12" hidden="1" customHeight="1">
      <c r="A8288" s="172"/>
    </row>
    <row r="8289" spans="1:1" s="173" customFormat="1" ht="12" hidden="1" customHeight="1">
      <c r="A8289" s="172"/>
    </row>
    <row r="8290" spans="1:1" s="173" customFormat="1" ht="12" hidden="1" customHeight="1">
      <c r="A8290" s="172"/>
    </row>
    <row r="8291" spans="1:1" s="173" customFormat="1" ht="12" hidden="1" customHeight="1">
      <c r="A8291" s="172"/>
    </row>
    <row r="8292" spans="1:1" s="173" customFormat="1" ht="12" hidden="1" customHeight="1">
      <c r="A8292" s="172"/>
    </row>
    <row r="8293" spans="1:1" s="173" customFormat="1" ht="12" hidden="1" customHeight="1">
      <c r="A8293" s="172"/>
    </row>
    <row r="8294" spans="1:1" s="173" customFormat="1" ht="12" hidden="1" customHeight="1">
      <c r="A8294" s="172"/>
    </row>
    <row r="8295" spans="1:1" s="173" customFormat="1" ht="12" hidden="1" customHeight="1">
      <c r="A8295" s="172"/>
    </row>
    <row r="8296" spans="1:1" s="173" customFormat="1" ht="12" hidden="1" customHeight="1">
      <c r="A8296" s="172"/>
    </row>
    <row r="8297" spans="1:1" s="173" customFormat="1" ht="12" hidden="1" customHeight="1">
      <c r="A8297" s="172"/>
    </row>
    <row r="8298" spans="1:1" s="173" customFormat="1" ht="12" hidden="1" customHeight="1">
      <c r="A8298" s="172"/>
    </row>
    <row r="8299" spans="1:1" s="173" customFormat="1" ht="12" hidden="1" customHeight="1">
      <c r="A8299" s="172"/>
    </row>
    <row r="8300" spans="1:1" s="173" customFormat="1" ht="12" hidden="1" customHeight="1">
      <c r="A8300" s="172"/>
    </row>
    <row r="8301" spans="1:1" s="173" customFormat="1" ht="12" hidden="1" customHeight="1">
      <c r="A8301" s="172"/>
    </row>
    <row r="8302" spans="1:1" s="173" customFormat="1" ht="12" hidden="1" customHeight="1">
      <c r="A8302" s="172"/>
    </row>
    <row r="8303" spans="1:1" s="173" customFormat="1" ht="12" hidden="1" customHeight="1">
      <c r="A8303" s="172"/>
    </row>
    <row r="8304" spans="1:1" s="173" customFormat="1" ht="12" hidden="1" customHeight="1">
      <c r="A8304" s="172"/>
    </row>
    <row r="8305" spans="1:1" s="173" customFormat="1" ht="12" hidden="1" customHeight="1">
      <c r="A8305" s="172"/>
    </row>
    <row r="8306" spans="1:1" s="173" customFormat="1" ht="12" hidden="1" customHeight="1">
      <c r="A8306" s="172"/>
    </row>
    <row r="8307" spans="1:1" s="173" customFormat="1" ht="12" hidden="1" customHeight="1">
      <c r="A8307" s="172"/>
    </row>
    <row r="8308" spans="1:1" s="173" customFormat="1" ht="12" hidden="1" customHeight="1">
      <c r="A8308" s="172"/>
    </row>
    <row r="8309" spans="1:1" s="173" customFormat="1" ht="12" hidden="1" customHeight="1">
      <c r="A8309" s="172"/>
    </row>
    <row r="8310" spans="1:1" s="173" customFormat="1" ht="12" hidden="1" customHeight="1">
      <c r="A8310" s="172"/>
    </row>
    <row r="8311" spans="1:1" s="173" customFormat="1" ht="12" hidden="1" customHeight="1">
      <c r="A8311" s="172"/>
    </row>
    <row r="8312" spans="1:1" s="173" customFormat="1" ht="12" hidden="1" customHeight="1">
      <c r="A8312" s="172"/>
    </row>
    <row r="8313" spans="1:1" s="173" customFormat="1" ht="12" hidden="1" customHeight="1">
      <c r="A8313" s="172"/>
    </row>
    <row r="8314" spans="1:1" s="173" customFormat="1" ht="12" hidden="1" customHeight="1">
      <c r="A8314" s="172"/>
    </row>
    <row r="8315" spans="1:1" s="173" customFormat="1" ht="12" hidden="1" customHeight="1">
      <c r="A8315" s="172"/>
    </row>
    <row r="8316" spans="1:1" s="173" customFormat="1" ht="12" hidden="1" customHeight="1">
      <c r="A8316" s="172"/>
    </row>
    <row r="8317" spans="1:1" s="173" customFormat="1" ht="12" hidden="1" customHeight="1">
      <c r="A8317" s="172"/>
    </row>
    <row r="8318" spans="1:1" s="173" customFormat="1" ht="12" hidden="1" customHeight="1">
      <c r="A8318" s="172"/>
    </row>
    <row r="8319" spans="1:1" s="173" customFormat="1" ht="12" hidden="1" customHeight="1">
      <c r="A8319" s="172"/>
    </row>
    <row r="8320" spans="1:1" s="173" customFormat="1" ht="12" hidden="1" customHeight="1">
      <c r="A8320" s="172"/>
    </row>
    <row r="8321" spans="1:1" s="173" customFormat="1" ht="12" hidden="1" customHeight="1">
      <c r="A8321" s="172"/>
    </row>
    <row r="8322" spans="1:1" s="173" customFormat="1" ht="12" hidden="1" customHeight="1">
      <c r="A8322" s="172"/>
    </row>
    <row r="8323" spans="1:1" s="173" customFormat="1" ht="12" hidden="1" customHeight="1">
      <c r="A8323" s="172"/>
    </row>
    <row r="8324" spans="1:1" s="173" customFormat="1" ht="12" hidden="1" customHeight="1">
      <c r="A8324" s="172"/>
    </row>
    <row r="8325" spans="1:1" s="173" customFormat="1" ht="12" hidden="1" customHeight="1">
      <c r="A8325" s="172"/>
    </row>
    <row r="8326" spans="1:1" s="173" customFormat="1" ht="12" hidden="1" customHeight="1">
      <c r="A8326" s="172"/>
    </row>
    <row r="8327" spans="1:1" s="173" customFormat="1" ht="12" hidden="1" customHeight="1">
      <c r="A8327" s="172"/>
    </row>
    <row r="8328" spans="1:1" s="173" customFormat="1" ht="12" hidden="1" customHeight="1">
      <c r="A8328" s="172"/>
    </row>
    <row r="8329" spans="1:1" s="173" customFormat="1" ht="12" hidden="1" customHeight="1">
      <c r="A8329" s="172"/>
    </row>
    <row r="8330" spans="1:1" s="173" customFormat="1" ht="12" hidden="1" customHeight="1">
      <c r="A8330" s="172"/>
    </row>
    <row r="8331" spans="1:1" s="173" customFormat="1" ht="12" hidden="1" customHeight="1">
      <c r="A8331" s="172"/>
    </row>
    <row r="8332" spans="1:1" s="173" customFormat="1" ht="12" hidden="1" customHeight="1">
      <c r="A8332" s="172"/>
    </row>
    <row r="8333" spans="1:1" s="173" customFormat="1" ht="12" hidden="1" customHeight="1">
      <c r="A8333" s="172"/>
    </row>
    <row r="8334" spans="1:1" s="173" customFormat="1" ht="12" hidden="1" customHeight="1">
      <c r="A8334" s="172"/>
    </row>
    <row r="8335" spans="1:1" s="173" customFormat="1" ht="12" hidden="1" customHeight="1">
      <c r="A8335" s="172"/>
    </row>
    <row r="8336" spans="1:1" s="173" customFormat="1" ht="12" hidden="1" customHeight="1">
      <c r="A8336" s="172"/>
    </row>
    <row r="8337" spans="1:1" s="173" customFormat="1" ht="12" hidden="1" customHeight="1">
      <c r="A8337" s="172"/>
    </row>
    <row r="8338" spans="1:1" s="173" customFormat="1" ht="12" hidden="1" customHeight="1">
      <c r="A8338" s="172"/>
    </row>
    <row r="8339" spans="1:1" s="173" customFormat="1" ht="12" hidden="1" customHeight="1">
      <c r="A8339" s="172"/>
    </row>
    <row r="8340" spans="1:1" s="173" customFormat="1" ht="12" hidden="1" customHeight="1">
      <c r="A8340" s="172"/>
    </row>
    <row r="8341" spans="1:1" s="173" customFormat="1" ht="12" hidden="1" customHeight="1">
      <c r="A8341" s="172"/>
    </row>
    <row r="8342" spans="1:1" s="173" customFormat="1" ht="12" hidden="1" customHeight="1">
      <c r="A8342" s="172"/>
    </row>
    <row r="8343" spans="1:1" s="173" customFormat="1" ht="12" hidden="1" customHeight="1">
      <c r="A8343" s="172"/>
    </row>
    <row r="8344" spans="1:1" s="173" customFormat="1" ht="12" hidden="1" customHeight="1">
      <c r="A8344" s="172"/>
    </row>
    <row r="8345" spans="1:1" s="173" customFormat="1" ht="12" hidden="1" customHeight="1">
      <c r="A8345" s="172"/>
    </row>
    <row r="8346" spans="1:1" s="173" customFormat="1" ht="12" hidden="1" customHeight="1">
      <c r="A8346" s="172"/>
    </row>
    <row r="8347" spans="1:1" s="173" customFormat="1" ht="12" hidden="1" customHeight="1">
      <c r="A8347" s="172"/>
    </row>
    <row r="8348" spans="1:1" s="173" customFormat="1" ht="12" hidden="1" customHeight="1">
      <c r="A8348" s="172"/>
    </row>
    <row r="8349" spans="1:1" s="173" customFormat="1" ht="12" hidden="1" customHeight="1">
      <c r="A8349" s="172"/>
    </row>
    <row r="8350" spans="1:1" s="173" customFormat="1" ht="12" hidden="1" customHeight="1">
      <c r="A8350" s="172"/>
    </row>
    <row r="8351" spans="1:1" s="173" customFormat="1" ht="12" hidden="1" customHeight="1">
      <c r="A8351" s="172"/>
    </row>
    <row r="8352" spans="1:1" s="173" customFormat="1" ht="12" hidden="1" customHeight="1">
      <c r="A8352" s="172"/>
    </row>
    <row r="8353" spans="1:1" s="173" customFormat="1" ht="12" hidden="1" customHeight="1">
      <c r="A8353" s="172"/>
    </row>
    <row r="8354" spans="1:1" s="173" customFormat="1" ht="12" hidden="1" customHeight="1">
      <c r="A8354" s="172"/>
    </row>
    <row r="8355" spans="1:1" s="173" customFormat="1" ht="12" hidden="1" customHeight="1">
      <c r="A8355" s="172"/>
    </row>
    <row r="8356" spans="1:1" s="173" customFormat="1" ht="12" hidden="1" customHeight="1">
      <c r="A8356" s="172"/>
    </row>
    <row r="8357" spans="1:1" s="173" customFormat="1" ht="12" hidden="1" customHeight="1">
      <c r="A8357" s="172"/>
    </row>
    <row r="8358" spans="1:1" s="173" customFormat="1" ht="12" hidden="1" customHeight="1">
      <c r="A8358" s="172"/>
    </row>
    <row r="8359" spans="1:1" s="173" customFormat="1" ht="12" hidden="1" customHeight="1">
      <c r="A8359" s="172"/>
    </row>
    <row r="8360" spans="1:1" s="173" customFormat="1" ht="12" hidden="1" customHeight="1">
      <c r="A8360" s="172"/>
    </row>
    <row r="8361" spans="1:1" s="173" customFormat="1" ht="12" hidden="1" customHeight="1">
      <c r="A8361" s="172"/>
    </row>
    <row r="8362" spans="1:1" s="173" customFormat="1" ht="12" hidden="1" customHeight="1">
      <c r="A8362" s="172"/>
    </row>
    <row r="8363" spans="1:1" s="173" customFormat="1" ht="12" hidden="1" customHeight="1">
      <c r="A8363" s="172"/>
    </row>
    <row r="8364" spans="1:1" s="173" customFormat="1" ht="12" hidden="1" customHeight="1">
      <c r="A8364" s="172"/>
    </row>
    <row r="8365" spans="1:1" s="173" customFormat="1" ht="12" hidden="1" customHeight="1">
      <c r="A8365" s="172"/>
    </row>
    <row r="8366" spans="1:1" s="173" customFormat="1" ht="12" hidden="1" customHeight="1">
      <c r="A8366" s="172"/>
    </row>
    <row r="8367" spans="1:1" s="173" customFormat="1" ht="12" hidden="1" customHeight="1">
      <c r="A8367" s="172"/>
    </row>
    <row r="8368" spans="1:1" s="173" customFormat="1" ht="12" hidden="1" customHeight="1">
      <c r="A8368" s="172"/>
    </row>
    <row r="8369" spans="1:1" s="173" customFormat="1" ht="12" hidden="1" customHeight="1">
      <c r="A8369" s="172"/>
    </row>
    <row r="8370" spans="1:1" s="173" customFormat="1" ht="12" hidden="1" customHeight="1">
      <c r="A8370" s="172"/>
    </row>
    <row r="8371" spans="1:1" s="173" customFormat="1" ht="12" hidden="1" customHeight="1">
      <c r="A8371" s="172"/>
    </row>
    <row r="8372" spans="1:1" s="173" customFormat="1" ht="12" hidden="1" customHeight="1">
      <c r="A8372" s="172"/>
    </row>
    <row r="8373" spans="1:1" s="173" customFormat="1" ht="12" hidden="1" customHeight="1">
      <c r="A8373" s="172"/>
    </row>
    <row r="8374" spans="1:1" s="173" customFormat="1" ht="12" hidden="1" customHeight="1">
      <c r="A8374" s="172"/>
    </row>
    <row r="8375" spans="1:1" s="173" customFormat="1" ht="12" hidden="1" customHeight="1">
      <c r="A8375" s="172"/>
    </row>
    <row r="8376" spans="1:1" s="173" customFormat="1" ht="12" hidden="1" customHeight="1">
      <c r="A8376" s="172"/>
    </row>
    <row r="8377" spans="1:1" s="173" customFormat="1" ht="12" hidden="1" customHeight="1">
      <c r="A8377" s="172"/>
    </row>
    <row r="8378" spans="1:1" s="173" customFormat="1" ht="12" hidden="1" customHeight="1">
      <c r="A8378" s="172"/>
    </row>
    <row r="8379" spans="1:1" s="173" customFormat="1" ht="12" hidden="1" customHeight="1">
      <c r="A8379" s="172"/>
    </row>
    <row r="8380" spans="1:1" s="173" customFormat="1" ht="12" hidden="1" customHeight="1">
      <c r="A8380" s="172"/>
    </row>
    <row r="8381" spans="1:1" s="173" customFormat="1" ht="12" hidden="1" customHeight="1">
      <c r="A8381" s="172"/>
    </row>
    <row r="8382" spans="1:1" s="173" customFormat="1" ht="12" hidden="1" customHeight="1">
      <c r="A8382" s="172"/>
    </row>
    <row r="8383" spans="1:1" s="173" customFormat="1" ht="12" hidden="1" customHeight="1">
      <c r="A8383" s="172"/>
    </row>
    <row r="8384" spans="1:1" s="173" customFormat="1" ht="12" hidden="1" customHeight="1">
      <c r="A8384" s="172"/>
    </row>
    <row r="8385" spans="1:1" s="173" customFormat="1" ht="12" hidden="1" customHeight="1">
      <c r="A8385" s="172"/>
    </row>
    <row r="8386" spans="1:1" s="173" customFormat="1" ht="12" hidden="1" customHeight="1">
      <c r="A8386" s="172"/>
    </row>
    <row r="8387" spans="1:1" s="173" customFormat="1" ht="12" hidden="1" customHeight="1">
      <c r="A8387" s="172"/>
    </row>
    <row r="8388" spans="1:1" s="173" customFormat="1" ht="12" hidden="1" customHeight="1">
      <c r="A8388" s="172"/>
    </row>
    <row r="8389" spans="1:1" s="173" customFormat="1" ht="12" hidden="1" customHeight="1">
      <c r="A8389" s="172"/>
    </row>
    <row r="8390" spans="1:1" s="173" customFormat="1" ht="12" hidden="1" customHeight="1">
      <c r="A8390" s="172"/>
    </row>
    <row r="8391" spans="1:1" s="173" customFormat="1" ht="12" hidden="1" customHeight="1">
      <c r="A8391" s="172"/>
    </row>
    <row r="8392" spans="1:1" s="173" customFormat="1" ht="12" hidden="1" customHeight="1">
      <c r="A8392" s="172"/>
    </row>
    <row r="8393" spans="1:1" s="173" customFormat="1" ht="12" hidden="1" customHeight="1">
      <c r="A8393" s="172"/>
    </row>
    <row r="8394" spans="1:1" s="173" customFormat="1" ht="12" hidden="1" customHeight="1">
      <c r="A8394" s="172"/>
    </row>
    <row r="8395" spans="1:1" s="173" customFormat="1" ht="12" hidden="1" customHeight="1">
      <c r="A8395" s="172"/>
    </row>
    <row r="8396" spans="1:1" s="173" customFormat="1" ht="12" hidden="1" customHeight="1">
      <c r="A8396" s="172"/>
    </row>
    <row r="8397" spans="1:1" s="173" customFormat="1" ht="12" hidden="1" customHeight="1">
      <c r="A8397" s="172"/>
    </row>
    <row r="8398" spans="1:1" s="173" customFormat="1" ht="12" hidden="1" customHeight="1">
      <c r="A8398" s="172"/>
    </row>
    <row r="8399" spans="1:1" s="173" customFormat="1" ht="12" hidden="1" customHeight="1">
      <c r="A8399" s="172"/>
    </row>
    <row r="8400" spans="1:1" s="173" customFormat="1" ht="12" hidden="1" customHeight="1">
      <c r="A8400" s="172"/>
    </row>
    <row r="8401" spans="1:1" s="173" customFormat="1" ht="12" hidden="1" customHeight="1">
      <c r="A8401" s="172"/>
    </row>
    <row r="8402" spans="1:1" s="173" customFormat="1" ht="12" hidden="1" customHeight="1">
      <c r="A8402" s="172"/>
    </row>
    <row r="8403" spans="1:1" s="173" customFormat="1" ht="12" hidden="1" customHeight="1">
      <c r="A8403" s="172"/>
    </row>
    <row r="8404" spans="1:1" s="173" customFormat="1" ht="12" hidden="1" customHeight="1">
      <c r="A8404" s="172"/>
    </row>
    <row r="8405" spans="1:1" s="173" customFormat="1" ht="12" hidden="1" customHeight="1">
      <c r="A8405" s="172"/>
    </row>
    <row r="8406" spans="1:1" s="173" customFormat="1" ht="12" hidden="1" customHeight="1">
      <c r="A8406" s="172"/>
    </row>
    <row r="8407" spans="1:1" s="173" customFormat="1" ht="12" hidden="1" customHeight="1">
      <c r="A8407" s="172"/>
    </row>
    <row r="8408" spans="1:1" s="173" customFormat="1" ht="12" hidden="1" customHeight="1">
      <c r="A8408" s="172"/>
    </row>
    <row r="8409" spans="1:1" s="173" customFormat="1" ht="12" hidden="1" customHeight="1">
      <c r="A8409" s="172"/>
    </row>
    <row r="8410" spans="1:1" s="173" customFormat="1" ht="12" hidden="1" customHeight="1">
      <c r="A8410" s="172"/>
    </row>
    <row r="8411" spans="1:1" s="173" customFormat="1" ht="12" hidden="1" customHeight="1">
      <c r="A8411" s="172"/>
    </row>
    <row r="8412" spans="1:1" s="173" customFormat="1" ht="12" hidden="1" customHeight="1">
      <c r="A8412" s="172"/>
    </row>
    <row r="8413" spans="1:1" s="173" customFormat="1" ht="12" hidden="1" customHeight="1">
      <c r="A8413" s="172"/>
    </row>
    <row r="8414" spans="1:1" s="173" customFormat="1" ht="12" hidden="1" customHeight="1">
      <c r="A8414" s="172"/>
    </row>
    <row r="8415" spans="1:1" s="173" customFormat="1" ht="12" hidden="1" customHeight="1">
      <c r="A8415" s="172"/>
    </row>
    <row r="8416" spans="1:1" s="173" customFormat="1" ht="12" hidden="1" customHeight="1">
      <c r="A8416" s="172"/>
    </row>
    <row r="8417" spans="1:1" s="173" customFormat="1" ht="12" hidden="1" customHeight="1">
      <c r="A8417" s="172"/>
    </row>
    <row r="8418" spans="1:1" s="173" customFormat="1" ht="12" hidden="1" customHeight="1">
      <c r="A8418" s="172"/>
    </row>
    <row r="8419" spans="1:1" s="173" customFormat="1" ht="12" hidden="1" customHeight="1">
      <c r="A8419" s="172"/>
    </row>
    <row r="8420" spans="1:1" s="173" customFormat="1" ht="12" hidden="1" customHeight="1">
      <c r="A8420" s="172"/>
    </row>
    <row r="8421" spans="1:1" s="173" customFormat="1" ht="12" hidden="1" customHeight="1">
      <c r="A8421" s="172"/>
    </row>
    <row r="8422" spans="1:1" s="173" customFormat="1" ht="12" hidden="1" customHeight="1">
      <c r="A8422" s="172"/>
    </row>
    <row r="8423" spans="1:1" s="173" customFormat="1" ht="12" hidden="1" customHeight="1">
      <c r="A8423" s="172"/>
    </row>
    <row r="8424" spans="1:1" s="173" customFormat="1" ht="12" hidden="1" customHeight="1">
      <c r="A8424" s="172"/>
    </row>
    <row r="8425" spans="1:1" s="173" customFormat="1" ht="12" hidden="1" customHeight="1">
      <c r="A8425" s="172"/>
    </row>
    <row r="8426" spans="1:1" s="173" customFormat="1" ht="12" hidden="1" customHeight="1">
      <c r="A8426" s="172"/>
    </row>
    <row r="8427" spans="1:1" s="173" customFormat="1" ht="12" hidden="1" customHeight="1">
      <c r="A8427" s="172"/>
    </row>
    <row r="8428" spans="1:1" s="173" customFormat="1" ht="12" hidden="1" customHeight="1">
      <c r="A8428" s="172"/>
    </row>
    <row r="8429" spans="1:1" s="173" customFormat="1" ht="12" hidden="1" customHeight="1">
      <c r="A8429" s="172"/>
    </row>
    <row r="8430" spans="1:1" s="173" customFormat="1" ht="12" hidden="1" customHeight="1">
      <c r="A8430" s="172"/>
    </row>
    <row r="8431" spans="1:1" s="173" customFormat="1" ht="12" hidden="1" customHeight="1">
      <c r="A8431" s="172"/>
    </row>
    <row r="8432" spans="1:1" s="173" customFormat="1" ht="12" hidden="1" customHeight="1">
      <c r="A8432" s="172"/>
    </row>
    <row r="8433" spans="1:1" s="173" customFormat="1" ht="12" hidden="1" customHeight="1">
      <c r="A8433" s="172"/>
    </row>
    <row r="8434" spans="1:1" s="173" customFormat="1" ht="12" hidden="1" customHeight="1">
      <c r="A8434" s="172"/>
    </row>
    <row r="8435" spans="1:1" s="173" customFormat="1" ht="12" hidden="1" customHeight="1">
      <c r="A8435" s="172"/>
    </row>
    <row r="8436" spans="1:1" s="173" customFormat="1" ht="12" hidden="1" customHeight="1">
      <c r="A8436" s="172"/>
    </row>
    <row r="8437" spans="1:1" s="173" customFormat="1" ht="12" hidden="1" customHeight="1">
      <c r="A8437" s="172"/>
    </row>
    <row r="8438" spans="1:1" s="173" customFormat="1" ht="12" hidden="1" customHeight="1">
      <c r="A8438" s="172"/>
    </row>
    <row r="8439" spans="1:1" s="173" customFormat="1" ht="12" hidden="1" customHeight="1">
      <c r="A8439" s="172"/>
    </row>
    <row r="8440" spans="1:1" s="173" customFormat="1" ht="12" hidden="1" customHeight="1">
      <c r="A8440" s="172"/>
    </row>
    <row r="8441" spans="1:1" s="173" customFormat="1" ht="12" hidden="1" customHeight="1">
      <c r="A8441" s="172"/>
    </row>
    <row r="8442" spans="1:1" s="173" customFormat="1" ht="12" hidden="1" customHeight="1">
      <c r="A8442" s="172"/>
    </row>
    <row r="8443" spans="1:1" s="173" customFormat="1" ht="12" hidden="1" customHeight="1">
      <c r="A8443" s="172"/>
    </row>
    <row r="8444" spans="1:1" s="173" customFormat="1" ht="12" hidden="1" customHeight="1">
      <c r="A8444" s="172"/>
    </row>
    <row r="8445" spans="1:1" s="173" customFormat="1" ht="12" hidden="1" customHeight="1">
      <c r="A8445" s="172"/>
    </row>
    <row r="8446" spans="1:1" s="173" customFormat="1" ht="12" hidden="1" customHeight="1">
      <c r="A8446" s="172"/>
    </row>
    <row r="8447" spans="1:1" s="173" customFormat="1" ht="12" hidden="1" customHeight="1">
      <c r="A8447" s="172"/>
    </row>
    <row r="8448" spans="1:1" s="173" customFormat="1" ht="12" hidden="1" customHeight="1">
      <c r="A8448" s="172"/>
    </row>
    <row r="8449" spans="1:1" s="173" customFormat="1" ht="12" hidden="1" customHeight="1">
      <c r="A8449" s="172"/>
    </row>
    <row r="8450" spans="1:1" s="173" customFormat="1" ht="12" hidden="1" customHeight="1">
      <c r="A8450" s="172"/>
    </row>
    <row r="8451" spans="1:1" s="173" customFormat="1" ht="12" hidden="1" customHeight="1">
      <c r="A8451" s="172"/>
    </row>
    <row r="8452" spans="1:1" s="173" customFormat="1" ht="12" hidden="1" customHeight="1">
      <c r="A8452" s="172"/>
    </row>
    <row r="8453" spans="1:1" s="173" customFormat="1" ht="12" hidden="1" customHeight="1">
      <c r="A8453" s="172"/>
    </row>
    <row r="8454" spans="1:1" s="173" customFormat="1" ht="12" hidden="1" customHeight="1">
      <c r="A8454" s="172"/>
    </row>
    <row r="8455" spans="1:1" s="173" customFormat="1" ht="12" hidden="1" customHeight="1">
      <c r="A8455" s="172"/>
    </row>
    <row r="8456" spans="1:1" s="173" customFormat="1" ht="12" hidden="1" customHeight="1">
      <c r="A8456" s="172"/>
    </row>
    <row r="8457" spans="1:1" s="173" customFormat="1" ht="12" hidden="1" customHeight="1">
      <c r="A8457" s="172"/>
    </row>
    <row r="8458" spans="1:1" s="173" customFormat="1" ht="12" hidden="1" customHeight="1">
      <c r="A8458" s="172"/>
    </row>
    <row r="8459" spans="1:1" s="173" customFormat="1" ht="12" hidden="1" customHeight="1">
      <c r="A8459" s="172"/>
    </row>
    <row r="8460" spans="1:1" s="173" customFormat="1" ht="12" hidden="1" customHeight="1">
      <c r="A8460" s="172"/>
    </row>
    <row r="8461" spans="1:1" s="173" customFormat="1" ht="12" hidden="1" customHeight="1">
      <c r="A8461" s="172"/>
    </row>
    <row r="8462" spans="1:1" s="173" customFormat="1" ht="12" hidden="1" customHeight="1">
      <c r="A8462" s="172"/>
    </row>
    <row r="8463" spans="1:1" s="173" customFormat="1" ht="12" hidden="1" customHeight="1">
      <c r="A8463" s="172"/>
    </row>
    <row r="8464" spans="1:1" s="173" customFormat="1" ht="12" hidden="1" customHeight="1">
      <c r="A8464" s="172"/>
    </row>
    <row r="8465" spans="1:1" s="173" customFormat="1" ht="12" hidden="1" customHeight="1">
      <c r="A8465" s="172"/>
    </row>
    <row r="8466" spans="1:1" s="173" customFormat="1" ht="12" hidden="1" customHeight="1">
      <c r="A8466" s="172"/>
    </row>
    <row r="8467" spans="1:1" s="173" customFormat="1" ht="12" hidden="1" customHeight="1">
      <c r="A8467" s="172"/>
    </row>
    <row r="8468" spans="1:1" s="173" customFormat="1" ht="12" hidden="1" customHeight="1">
      <c r="A8468" s="172"/>
    </row>
    <row r="8469" spans="1:1" s="173" customFormat="1" ht="12" hidden="1" customHeight="1">
      <c r="A8469" s="172"/>
    </row>
    <row r="8470" spans="1:1" s="173" customFormat="1" ht="12" hidden="1" customHeight="1">
      <c r="A8470" s="172"/>
    </row>
    <row r="8471" spans="1:1" s="173" customFormat="1" ht="12" hidden="1" customHeight="1">
      <c r="A8471" s="172"/>
    </row>
    <row r="8472" spans="1:1" s="173" customFormat="1" ht="12" hidden="1" customHeight="1">
      <c r="A8472" s="172"/>
    </row>
    <row r="8473" spans="1:1" s="173" customFormat="1" ht="12" hidden="1" customHeight="1">
      <c r="A8473" s="172"/>
    </row>
    <row r="8474" spans="1:1" s="173" customFormat="1" ht="12" hidden="1" customHeight="1">
      <c r="A8474" s="172"/>
    </row>
    <row r="8475" spans="1:1" s="173" customFormat="1" ht="12" hidden="1" customHeight="1">
      <c r="A8475" s="172"/>
    </row>
    <row r="8476" spans="1:1" s="173" customFormat="1" ht="12" hidden="1" customHeight="1">
      <c r="A8476" s="172"/>
    </row>
    <row r="8477" spans="1:1" s="173" customFormat="1" ht="12" hidden="1" customHeight="1">
      <c r="A8477" s="172"/>
    </row>
    <row r="8478" spans="1:1" s="173" customFormat="1" ht="12" hidden="1" customHeight="1">
      <c r="A8478" s="172"/>
    </row>
    <row r="8479" spans="1:1" s="173" customFormat="1" ht="12" hidden="1" customHeight="1">
      <c r="A8479" s="172"/>
    </row>
    <row r="8480" spans="1:1" s="173" customFormat="1" ht="12" hidden="1" customHeight="1">
      <c r="A8480" s="172"/>
    </row>
    <row r="8481" spans="1:1" s="173" customFormat="1" ht="12" hidden="1" customHeight="1">
      <c r="A8481" s="172"/>
    </row>
    <row r="8482" spans="1:1" s="173" customFormat="1" ht="12" hidden="1" customHeight="1">
      <c r="A8482" s="172"/>
    </row>
    <row r="8483" spans="1:1" s="173" customFormat="1" ht="12" hidden="1" customHeight="1">
      <c r="A8483" s="172"/>
    </row>
    <row r="8484" spans="1:1" s="173" customFormat="1" ht="12" hidden="1" customHeight="1">
      <c r="A8484" s="172"/>
    </row>
    <row r="8485" spans="1:1" s="173" customFormat="1" ht="12" hidden="1" customHeight="1">
      <c r="A8485" s="172"/>
    </row>
    <row r="8486" spans="1:1" s="173" customFormat="1" ht="12" hidden="1" customHeight="1">
      <c r="A8486" s="172"/>
    </row>
    <row r="8487" spans="1:1" s="173" customFormat="1" ht="12" hidden="1" customHeight="1">
      <c r="A8487" s="172"/>
    </row>
    <row r="8488" spans="1:1" s="173" customFormat="1" ht="12" hidden="1" customHeight="1">
      <c r="A8488" s="172"/>
    </row>
    <row r="8489" spans="1:1" s="173" customFormat="1" ht="12" hidden="1" customHeight="1">
      <c r="A8489" s="172"/>
    </row>
    <row r="8490" spans="1:1" s="173" customFormat="1" ht="12" hidden="1" customHeight="1">
      <c r="A8490" s="172"/>
    </row>
    <row r="8491" spans="1:1" s="173" customFormat="1" ht="12" hidden="1" customHeight="1">
      <c r="A8491" s="172"/>
    </row>
    <row r="8492" spans="1:1" s="173" customFormat="1" ht="12" hidden="1" customHeight="1">
      <c r="A8492" s="172"/>
    </row>
    <row r="8493" spans="1:1" s="173" customFormat="1" ht="12" hidden="1" customHeight="1">
      <c r="A8493" s="172"/>
    </row>
    <row r="8494" spans="1:1" s="173" customFormat="1" ht="12" hidden="1" customHeight="1">
      <c r="A8494" s="172"/>
    </row>
    <row r="8495" spans="1:1" s="173" customFormat="1" ht="12" hidden="1" customHeight="1">
      <c r="A8495" s="172"/>
    </row>
    <row r="8496" spans="1:1" s="173" customFormat="1" ht="12" hidden="1" customHeight="1">
      <c r="A8496" s="172"/>
    </row>
    <row r="8497" spans="1:1" s="173" customFormat="1" ht="12" hidden="1" customHeight="1">
      <c r="A8497" s="172"/>
    </row>
    <row r="8498" spans="1:1" s="173" customFormat="1" ht="12" hidden="1" customHeight="1">
      <c r="A8498" s="172"/>
    </row>
    <row r="8499" spans="1:1" s="173" customFormat="1" ht="12" hidden="1" customHeight="1">
      <c r="A8499" s="172"/>
    </row>
    <row r="8500" spans="1:1" s="173" customFormat="1" ht="12" hidden="1" customHeight="1">
      <c r="A8500" s="172"/>
    </row>
    <row r="8501" spans="1:1" s="173" customFormat="1" ht="12" hidden="1" customHeight="1">
      <c r="A8501" s="172"/>
    </row>
    <row r="8502" spans="1:1" s="173" customFormat="1" ht="12" hidden="1" customHeight="1">
      <c r="A8502" s="172"/>
    </row>
    <row r="8503" spans="1:1" s="173" customFormat="1" ht="12" hidden="1" customHeight="1">
      <c r="A8503" s="172"/>
    </row>
    <row r="8504" spans="1:1" s="173" customFormat="1" ht="12" hidden="1" customHeight="1">
      <c r="A8504" s="172"/>
    </row>
    <row r="8505" spans="1:1" s="173" customFormat="1" ht="12" hidden="1" customHeight="1">
      <c r="A8505" s="172"/>
    </row>
    <row r="8506" spans="1:1" s="173" customFormat="1" ht="12" hidden="1" customHeight="1">
      <c r="A8506" s="172"/>
    </row>
    <row r="8507" spans="1:1" s="173" customFormat="1" ht="12" hidden="1" customHeight="1">
      <c r="A8507" s="172"/>
    </row>
    <row r="8508" spans="1:1" s="173" customFormat="1" ht="12" hidden="1" customHeight="1">
      <c r="A8508" s="172"/>
    </row>
    <row r="8509" spans="1:1" s="173" customFormat="1" ht="12" hidden="1" customHeight="1">
      <c r="A8509" s="172"/>
    </row>
    <row r="8510" spans="1:1" s="173" customFormat="1" ht="12" hidden="1" customHeight="1">
      <c r="A8510" s="172"/>
    </row>
    <row r="8511" spans="1:1" s="173" customFormat="1" ht="12" hidden="1" customHeight="1">
      <c r="A8511" s="172"/>
    </row>
    <row r="8512" spans="1:1" s="173" customFormat="1" ht="12" hidden="1" customHeight="1">
      <c r="A8512" s="172"/>
    </row>
    <row r="8513" spans="1:1" s="173" customFormat="1" ht="12" hidden="1" customHeight="1">
      <c r="A8513" s="172"/>
    </row>
    <row r="8514" spans="1:1" s="173" customFormat="1" ht="12" hidden="1" customHeight="1">
      <c r="A8514" s="172"/>
    </row>
    <row r="8515" spans="1:1" s="173" customFormat="1" ht="12" hidden="1" customHeight="1">
      <c r="A8515" s="172"/>
    </row>
    <row r="8516" spans="1:1" s="173" customFormat="1" ht="12" hidden="1" customHeight="1">
      <c r="A8516" s="172"/>
    </row>
    <row r="8517" spans="1:1" s="173" customFormat="1" ht="12" hidden="1" customHeight="1">
      <c r="A8517" s="172"/>
    </row>
    <row r="8518" spans="1:1" s="173" customFormat="1" ht="12" hidden="1" customHeight="1">
      <c r="A8518" s="172"/>
    </row>
    <row r="8519" spans="1:1" s="173" customFormat="1" ht="12" hidden="1" customHeight="1">
      <c r="A8519" s="172"/>
    </row>
    <row r="8520" spans="1:1" s="173" customFormat="1" ht="12" hidden="1" customHeight="1">
      <c r="A8520" s="172"/>
    </row>
    <row r="8521" spans="1:1" s="173" customFormat="1" ht="12" hidden="1" customHeight="1">
      <c r="A8521" s="172"/>
    </row>
    <row r="8522" spans="1:1" s="173" customFormat="1" ht="12" hidden="1" customHeight="1">
      <c r="A8522" s="172"/>
    </row>
    <row r="8523" spans="1:1" s="173" customFormat="1" ht="12" hidden="1" customHeight="1">
      <c r="A8523" s="172"/>
    </row>
    <row r="8524" spans="1:1" s="173" customFormat="1" ht="12" hidden="1" customHeight="1">
      <c r="A8524" s="172"/>
    </row>
    <row r="8525" spans="1:1" s="173" customFormat="1" ht="12" hidden="1" customHeight="1">
      <c r="A8525" s="172"/>
    </row>
    <row r="8526" spans="1:1" s="173" customFormat="1" ht="12" hidden="1" customHeight="1">
      <c r="A8526" s="172"/>
    </row>
    <row r="8527" spans="1:1" s="173" customFormat="1" ht="12" hidden="1" customHeight="1">
      <c r="A8527" s="172"/>
    </row>
    <row r="8528" spans="1:1" s="173" customFormat="1" ht="12" hidden="1" customHeight="1">
      <c r="A8528" s="172"/>
    </row>
    <row r="8529" spans="1:1" s="173" customFormat="1" ht="12" hidden="1" customHeight="1">
      <c r="A8529" s="172"/>
    </row>
    <row r="8530" spans="1:1" s="173" customFormat="1" ht="12" hidden="1" customHeight="1">
      <c r="A8530" s="172"/>
    </row>
    <row r="8531" spans="1:1" s="173" customFormat="1" ht="12" hidden="1" customHeight="1">
      <c r="A8531" s="172"/>
    </row>
    <row r="8532" spans="1:1" s="173" customFormat="1" ht="12" hidden="1" customHeight="1">
      <c r="A8532" s="172"/>
    </row>
    <row r="8533" spans="1:1" s="173" customFormat="1" ht="12" hidden="1" customHeight="1">
      <c r="A8533" s="172"/>
    </row>
    <row r="8534" spans="1:1" s="173" customFormat="1" ht="12" hidden="1" customHeight="1">
      <c r="A8534" s="172"/>
    </row>
    <row r="8535" spans="1:1" s="173" customFormat="1" ht="12" hidden="1" customHeight="1">
      <c r="A8535" s="172"/>
    </row>
    <row r="8536" spans="1:1" s="173" customFormat="1" ht="12" hidden="1" customHeight="1">
      <c r="A8536" s="172"/>
    </row>
    <row r="8537" spans="1:1" s="173" customFormat="1" ht="12" hidden="1" customHeight="1">
      <c r="A8537" s="172"/>
    </row>
    <row r="8538" spans="1:1" s="173" customFormat="1" ht="12" hidden="1" customHeight="1">
      <c r="A8538" s="172"/>
    </row>
    <row r="8539" spans="1:1" s="173" customFormat="1" ht="12" hidden="1" customHeight="1">
      <c r="A8539" s="172"/>
    </row>
    <row r="8540" spans="1:1" s="173" customFormat="1" ht="12" hidden="1" customHeight="1">
      <c r="A8540" s="172"/>
    </row>
    <row r="8541" spans="1:1" s="173" customFormat="1" ht="12" hidden="1" customHeight="1">
      <c r="A8541" s="172"/>
    </row>
    <row r="8542" spans="1:1" s="173" customFormat="1" ht="12" hidden="1" customHeight="1">
      <c r="A8542" s="172"/>
    </row>
    <row r="8543" spans="1:1" s="173" customFormat="1" ht="12" hidden="1" customHeight="1">
      <c r="A8543" s="172"/>
    </row>
    <row r="8544" spans="1:1" s="173" customFormat="1" ht="12" hidden="1" customHeight="1">
      <c r="A8544" s="172"/>
    </row>
    <row r="8545" spans="1:1" s="173" customFormat="1" ht="12" hidden="1" customHeight="1">
      <c r="A8545" s="172"/>
    </row>
    <row r="8546" spans="1:1" s="173" customFormat="1" ht="12" hidden="1" customHeight="1">
      <c r="A8546" s="172"/>
    </row>
    <row r="8547" spans="1:1" s="173" customFormat="1" ht="12" hidden="1" customHeight="1">
      <c r="A8547" s="172"/>
    </row>
    <row r="8548" spans="1:1" s="173" customFormat="1" ht="12" hidden="1" customHeight="1">
      <c r="A8548" s="172"/>
    </row>
    <row r="8549" spans="1:1" s="173" customFormat="1" ht="12" hidden="1" customHeight="1">
      <c r="A8549" s="172"/>
    </row>
    <row r="8550" spans="1:1" s="173" customFormat="1" ht="12" hidden="1" customHeight="1">
      <c r="A8550" s="172"/>
    </row>
    <row r="8551" spans="1:1" s="173" customFormat="1" ht="12" hidden="1" customHeight="1">
      <c r="A8551" s="172"/>
    </row>
    <row r="8552" spans="1:1" s="173" customFormat="1" ht="12" hidden="1" customHeight="1">
      <c r="A8552" s="172"/>
    </row>
    <row r="8553" spans="1:1" s="173" customFormat="1" ht="12" hidden="1" customHeight="1">
      <c r="A8553" s="172"/>
    </row>
    <row r="8554" spans="1:1" s="173" customFormat="1" ht="12" hidden="1" customHeight="1">
      <c r="A8554" s="172"/>
    </row>
    <row r="8555" spans="1:1" s="173" customFormat="1" ht="12" hidden="1" customHeight="1">
      <c r="A8555" s="172"/>
    </row>
    <row r="8556" spans="1:1" s="173" customFormat="1" ht="12" hidden="1" customHeight="1">
      <c r="A8556" s="172"/>
    </row>
    <row r="8557" spans="1:1" s="173" customFormat="1" ht="12" hidden="1" customHeight="1">
      <c r="A8557" s="172"/>
    </row>
    <row r="8558" spans="1:1" s="173" customFormat="1" ht="12" hidden="1" customHeight="1">
      <c r="A8558" s="172"/>
    </row>
    <row r="8559" spans="1:1" s="173" customFormat="1" ht="12" hidden="1" customHeight="1">
      <c r="A8559" s="172"/>
    </row>
    <row r="8560" spans="1:1" s="173" customFormat="1" ht="12" hidden="1" customHeight="1">
      <c r="A8560" s="172"/>
    </row>
    <row r="8561" spans="1:1" s="173" customFormat="1" ht="12" hidden="1" customHeight="1">
      <c r="A8561" s="172"/>
    </row>
    <row r="8562" spans="1:1" s="173" customFormat="1" ht="12" hidden="1" customHeight="1">
      <c r="A8562" s="172"/>
    </row>
    <row r="8563" spans="1:1" s="173" customFormat="1" ht="12" hidden="1" customHeight="1">
      <c r="A8563" s="172"/>
    </row>
    <row r="8564" spans="1:1" s="173" customFormat="1" ht="12" hidden="1" customHeight="1">
      <c r="A8564" s="172"/>
    </row>
    <row r="8565" spans="1:1" s="173" customFormat="1" ht="12" hidden="1" customHeight="1">
      <c r="A8565" s="172"/>
    </row>
    <row r="8566" spans="1:1" s="173" customFormat="1" ht="12" hidden="1" customHeight="1">
      <c r="A8566" s="172"/>
    </row>
    <row r="8567" spans="1:1" s="173" customFormat="1" ht="12" hidden="1" customHeight="1">
      <c r="A8567" s="172"/>
    </row>
    <row r="8568" spans="1:1" s="173" customFormat="1" ht="12" hidden="1" customHeight="1">
      <c r="A8568" s="172"/>
    </row>
    <row r="8569" spans="1:1" s="173" customFormat="1" ht="12" hidden="1" customHeight="1">
      <c r="A8569" s="172"/>
    </row>
    <row r="8570" spans="1:1" s="173" customFormat="1" ht="12" hidden="1" customHeight="1">
      <c r="A8570" s="172"/>
    </row>
    <row r="8571" spans="1:1" s="173" customFormat="1" ht="12" hidden="1" customHeight="1">
      <c r="A8571" s="172"/>
    </row>
    <row r="8572" spans="1:1" s="173" customFormat="1" ht="12" hidden="1" customHeight="1">
      <c r="A8572" s="172"/>
    </row>
    <row r="8573" spans="1:1" s="173" customFormat="1" ht="12" hidden="1" customHeight="1">
      <c r="A8573" s="172"/>
    </row>
    <row r="8574" spans="1:1" s="173" customFormat="1" ht="12" hidden="1" customHeight="1">
      <c r="A8574" s="172"/>
    </row>
    <row r="8575" spans="1:1" s="173" customFormat="1" ht="12" hidden="1" customHeight="1">
      <c r="A8575" s="172"/>
    </row>
    <row r="8576" spans="1:1" s="173" customFormat="1" ht="12" hidden="1" customHeight="1">
      <c r="A8576" s="172"/>
    </row>
    <row r="8577" spans="1:1" s="173" customFormat="1" ht="12" hidden="1" customHeight="1">
      <c r="A8577" s="172"/>
    </row>
    <row r="8578" spans="1:1" s="173" customFormat="1" ht="12" hidden="1" customHeight="1">
      <c r="A8578" s="172"/>
    </row>
    <row r="8579" spans="1:1" s="173" customFormat="1" ht="12" hidden="1" customHeight="1">
      <c r="A8579" s="172"/>
    </row>
    <row r="8580" spans="1:1" s="173" customFormat="1" ht="12" hidden="1" customHeight="1">
      <c r="A8580" s="172"/>
    </row>
    <row r="8581" spans="1:1" s="173" customFormat="1" ht="12" hidden="1" customHeight="1">
      <c r="A8581" s="172"/>
    </row>
    <row r="8582" spans="1:1" s="173" customFormat="1" ht="12" hidden="1" customHeight="1">
      <c r="A8582" s="172"/>
    </row>
    <row r="8583" spans="1:1" s="173" customFormat="1" ht="12" hidden="1" customHeight="1">
      <c r="A8583" s="172"/>
    </row>
    <row r="8584" spans="1:1" s="173" customFormat="1" ht="12" hidden="1" customHeight="1">
      <c r="A8584" s="172"/>
    </row>
    <row r="8585" spans="1:1" s="173" customFormat="1" ht="12" hidden="1" customHeight="1">
      <c r="A8585" s="172"/>
    </row>
    <row r="8586" spans="1:1" s="173" customFormat="1" ht="12" hidden="1" customHeight="1">
      <c r="A8586" s="172"/>
    </row>
    <row r="8587" spans="1:1" s="173" customFormat="1" ht="12" hidden="1" customHeight="1">
      <c r="A8587" s="172"/>
    </row>
    <row r="8588" spans="1:1" s="173" customFormat="1" ht="12" hidden="1" customHeight="1">
      <c r="A8588" s="172"/>
    </row>
    <row r="8589" spans="1:1" s="173" customFormat="1" ht="12" hidden="1" customHeight="1">
      <c r="A8589" s="172"/>
    </row>
    <row r="8590" spans="1:1" s="173" customFormat="1" ht="12" hidden="1" customHeight="1">
      <c r="A8590" s="172"/>
    </row>
    <row r="8591" spans="1:1" s="173" customFormat="1" ht="12" hidden="1" customHeight="1">
      <c r="A8591" s="172"/>
    </row>
    <row r="8592" spans="1:1" s="173" customFormat="1" ht="12" hidden="1" customHeight="1">
      <c r="A8592" s="172"/>
    </row>
    <row r="8593" spans="1:1" s="173" customFormat="1" ht="12" hidden="1" customHeight="1">
      <c r="A8593" s="172"/>
    </row>
    <row r="8594" spans="1:1" s="173" customFormat="1" ht="12" hidden="1" customHeight="1">
      <c r="A8594" s="172"/>
    </row>
    <row r="8595" spans="1:1" s="173" customFormat="1" ht="12" hidden="1" customHeight="1">
      <c r="A8595" s="172"/>
    </row>
    <row r="8596" spans="1:1" s="173" customFormat="1" ht="12" hidden="1" customHeight="1">
      <c r="A8596" s="172"/>
    </row>
    <row r="8597" spans="1:1" s="173" customFormat="1" ht="12" hidden="1" customHeight="1">
      <c r="A8597" s="172"/>
    </row>
    <row r="8598" spans="1:1" s="173" customFormat="1" ht="12" hidden="1" customHeight="1">
      <c r="A8598" s="172"/>
    </row>
    <row r="8599" spans="1:1" s="173" customFormat="1" ht="12" hidden="1" customHeight="1">
      <c r="A8599" s="172"/>
    </row>
    <row r="8600" spans="1:1" s="173" customFormat="1" ht="12" hidden="1" customHeight="1">
      <c r="A8600" s="172"/>
    </row>
    <row r="8601" spans="1:1" s="173" customFormat="1" ht="12" hidden="1" customHeight="1">
      <c r="A8601" s="172"/>
    </row>
    <row r="8602" spans="1:1" s="173" customFormat="1" ht="12" hidden="1" customHeight="1">
      <c r="A8602" s="172"/>
    </row>
    <row r="8603" spans="1:1" s="173" customFormat="1" ht="12" hidden="1" customHeight="1">
      <c r="A8603" s="172"/>
    </row>
    <row r="8604" spans="1:1" s="173" customFormat="1" ht="12" hidden="1" customHeight="1">
      <c r="A8604" s="172"/>
    </row>
    <row r="8605" spans="1:1" s="173" customFormat="1" ht="12" hidden="1" customHeight="1">
      <c r="A8605" s="172"/>
    </row>
    <row r="8606" spans="1:1" s="173" customFormat="1" ht="12" hidden="1" customHeight="1">
      <c r="A8606" s="172"/>
    </row>
    <row r="8607" spans="1:1" s="173" customFormat="1" ht="12" hidden="1" customHeight="1">
      <c r="A8607" s="172"/>
    </row>
    <row r="8608" spans="1:1" s="173" customFormat="1" ht="12" hidden="1" customHeight="1">
      <c r="A8608" s="172"/>
    </row>
    <row r="8609" spans="1:1" s="173" customFormat="1" ht="12" hidden="1" customHeight="1">
      <c r="A8609" s="172"/>
    </row>
    <row r="8610" spans="1:1" s="173" customFormat="1" ht="12" hidden="1" customHeight="1">
      <c r="A8610" s="172"/>
    </row>
    <row r="8611" spans="1:1" s="173" customFormat="1" ht="12" hidden="1" customHeight="1">
      <c r="A8611" s="172"/>
    </row>
    <row r="8612" spans="1:1" s="173" customFormat="1" ht="12" hidden="1" customHeight="1">
      <c r="A8612" s="172"/>
    </row>
    <row r="8613" spans="1:1" s="173" customFormat="1" ht="12" hidden="1" customHeight="1">
      <c r="A8613" s="172"/>
    </row>
    <row r="8614" spans="1:1" s="173" customFormat="1" ht="12" hidden="1" customHeight="1">
      <c r="A8614" s="172"/>
    </row>
    <row r="8615" spans="1:1" s="173" customFormat="1" ht="12" hidden="1" customHeight="1">
      <c r="A8615" s="172"/>
    </row>
    <row r="8616" spans="1:1" s="173" customFormat="1" ht="12" hidden="1" customHeight="1">
      <c r="A8616" s="172"/>
    </row>
    <row r="8617" spans="1:1" s="173" customFormat="1" ht="12" hidden="1" customHeight="1">
      <c r="A8617" s="172"/>
    </row>
    <row r="8618" spans="1:1" s="173" customFormat="1" ht="12" hidden="1" customHeight="1">
      <c r="A8618" s="172"/>
    </row>
    <row r="8619" spans="1:1" s="173" customFormat="1" ht="12" hidden="1" customHeight="1">
      <c r="A8619" s="172"/>
    </row>
    <row r="8620" spans="1:1" s="173" customFormat="1" ht="12" hidden="1" customHeight="1">
      <c r="A8620" s="172"/>
    </row>
    <row r="8621" spans="1:1" s="173" customFormat="1" ht="12" hidden="1" customHeight="1">
      <c r="A8621" s="172"/>
    </row>
    <row r="8622" spans="1:1" s="173" customFormat="1" ht="12" hidden="1" customHeight="1">
      <c r="A8622" s="172"/>
    </row>
    <row r="8623" spans="1:1" s="173" customFormat="1" ht="12" hidden="1" customHeight="1">
      <c r="A8623" s="172"/>
    </row>
    <row r="8624" spans="1:1" s="173" customFormat="1" ht="12" hidden="1" customHeight="1">
      <c r="A8624" s="172"/>
    </row>
    <row r="8625" spans="1:1" s="173" customFormat="1" ht="12" hidden="1" customHeight="1">
      <c r="A8625" s="172"/>
    </row>
    <row r="8626" spans="1:1" s="173" customFormat="1" ht="12" hidden="1" customHeight="1">
      <c r="A8626" s="172"/>
    </row>
    <row r="8627" spans="1:1" s="173" customFormat="1" ht="12" hidden="1" customHeight="1">
      <c r="A8627" s="172"/>
    </row>
    <row r="8628" spans="1:1" s="173" customFormat="1" ht="12" hidden="1" customHeight="1">
      <c r="A8628" s="172"/>
    </row>
    <row r="8629" spans="1:1" s="173" customFormat="1" ht="12" hidden="1" customHeight="1">
      <c r="A8629" s="172"/>
    </row>
    <row r="8630" spans="1:1" s="173" customFormat="1" ht="12" hidden="1" customHeight="1">
      <c r="A8630" s="172"/>
    </row>
    <row r="8631" spans="1:1" s="173" customFormat="1" ht="12" hidden="1" customHeight="1">
      <c r="A8631" s="172"/>
    </row>
    <row r="8632" spans="1:1" s="173" customFormat="1" ht="12" hidden="1" customHeight="1">
      <c r="A8632" s="172"/>
    </row>
    <row r="8633" spans="1:1" s="173" customFormat="1" ht="12" hidden="1" customHeight="1">
      <c r="A8633" s="172"/>
    </row>
    <row r="8634" spans="1:1" s="173" customFormat="1" ht="12" hidden="1" customHeight="1">
      <c r="A8634" s="172"/>
    </row>
    <row r="8635" spans="1:1" s="173" customFormat="1" ht="12" hidden="1" customHeight="1">
      <c r="A8635" s="172"/>
    </row>
    <row r="8636" spans="1:1" s="173" customFormat="1" ht="12" hidden="1" customHeight="1">
      <c r="A8636" s="172"/>
    </row>
    <row r="8637" spans="1:1" s="173" customFormat="1" ht="12" hidden="1" customHeight="1">
      <c r="A8637" s="172"/>
    </row>
    <row r="8638" spans="1:1" s="173" customFormat="1" ht="12" hidden="1" customHeight="1">
      <c r="A8638" s="172"/>
    </row>
    <row r="8639" spans="1:1" s="173" customFormat="1" ht="12" hidden="1" customHeight="1">
      <c r="A8639" s="172"/>
    </row>
    <row r="8640" spans="1:1" s="173" customFormat="1" ht="12" hidden="1" customHeight="1">
      <c r="A8640" s="172"/>
    </row>
    <row r="8641" spans="1:1" s="173" customFormat="1" ht="12" hidden="1" customHeight="1">
      <c r="A8641" s="172"/>
    </row>
    <row r="8642" spans="1:1" s="173" customFormat="1" ht="12" hidden="1" customHeight="1">
      <c r="A8642" s="172"/>
    </row>
    <row r="8643" spans="1:1" s="173" customFormat="1" ht="12" hidden="1" customHeight="1">
      <c r="A8643" s="172"/>
    </row>
    <row r="8644" spans="1:1" s="173" customFormat="1" ht="12" hidden="1" customHeight="1">
      <c r="A8644" s="172"/>
    </row>
    <row r="8645" spans="1:1" s="173" customFormat="1" ht="12" hidden="1" customHeight="1">
      <c r="A8645" s="172"/>
    </row>
    <row r="8646" spans="1:1" s="173" customFormat="1" ht="12" hidden="1" customHeight="1">
      <c r="A8646" s="172"/>
    </row>
    <row r="8647" spans="1:1" s="173" customFormat="1" ht="12" hidden="1" customHeight="1">
      <c r="A8647" s="172"/>
    </row>
    <row r="8648" spans="1:1" s="173" customFormat="1" ht="12" hidden="1" customHeight="1">
      <c r="A8648" s="172"/>
    </row>
    <row r="8649" spans="1:1" s="173" customFormat="1" ht="12" hidden="1" customHeight="1">
      <c r="A8649" s="172"/>
    </row>
    <row r="8650" spans="1:1" s="173" customFormat="1" ht="12" hidden="1" customHeight="1">
      <c r="A8650" s="172"/>
    </row>
    <row r="8651" spans="1:1" s="173" customFormat="1" ht="12" hidden="1" customHeight="1">
      <c r="A8651" s="172"/>
    </row>
    <row r="8652" spans="1:1" s="173" customFormat="1" ht="12" hidden="1" customHeight="1">
      <c r="A8652" s="172"/>
    </row>
    <row r="8653" spans="1:1" s="173" customFormat="1" ht="12" hidden="1" customHeight="1">
      <c r="A8653" s="172"/>
    </row>
    <row r="8654" spans="1:1" s="173" customFormat="1" ht="12" hidden="1" customHeight="1">
      <c r="A8654" s="172"/>
    </row>
    <row r="8655" spans="1:1" s="173" customFormat="1" ht="12" hidden="1" customHeight="1">
      <c r="A8655" s="172"/>
    </row>
    <row r="8656" spans="1:1" s="173" customFormat="1" ht="12" hidden="1" customHeight="1">
      <c r="A8656" s="172"/>
    </row>
    <row r="8657" spans="1:1" s="173" customFormat="1" ht="12" hidden="1" customHeight="1">
      <c r="A8657" s="172"/>
    </row>
    <row r="8658" spans="1:1" s="173" customFormat="1" ht="12" hidden="1" customHeight="1">
      <c r="A8658" s="172"/>
    </row>
    <row r="8659" spans="1:1" s="173" customFormat="1" ht="12" hidden="1" customHeight="1">
      <c r="A8659" s="172"/>
    </row>
    <row r="8660" spans="1:1" s="173" customFormat="1" ht="12" hidden="1" customHeight="1">
      <c r="A8660" s="172"/>
    </row>
    <row r="8661" spans="1:1" s="173" customFormat="1" ht="12" hidden="1" customHeight="1">
      <c r="A8661" s="172"/>
    </row>
    <row r="8662" spans="1:1" s="173" customFormat="1" ht="12" hidden="1" customHeight="1">
      <c r="A8662" s="172"/>
    </row>
    <row r="8663" spans="1:1" s="173" customFormat="1" ht="12" hidden="1" customHeight="1">
      <c r="A8663" s="172"/>
    </row>
    <row r="8664" spans="1:1" s="173" customFormat="1" ht="12" hidden="1" customHeight="1">
      <c r="A8664" s="172"/>
    </row>
    <row r="8665" spans="1:1" s="173" customFormat="1" ht="12" hidden="1" customHeight="1">
      <c r="A8665" s="172"/>
    </row>
    <row r="8666" spans="1:1" s="173" customFormat="1" ht="12" hidden="1" customHeight="1">
      <c r="A8666" s="172"/>
    </row>
    <row r="8667" spans="1:1" s="173" customFormat="1" ht="12" hidden="1" customHeight="1">
      <c r="A8667" s="172"/>
    </row>
    <row r="8668" spans="1:1" s="173" customFormat="1" ht="12" hidden="1" customHeight="1">
      <c r="A8668" s="172"/>
    </row>
    <row r="8669" spans="1:1" s="173" customFormat="1" ht="12" hidden="1" customHeight="1">
      <c r="A8669" s="172"/>
    </row>
    <row r="8670" spans="1:1" s="173" customFormat="1" ht="12" hidden="1" customHeight="1">
      <c r="A8670" s="172"/>
    </row>
    <row r="8671" spans="1:1" s="173" customFormat="1" ht="12" hidden="1" customHeight="1">
      <c r="A8671" s="172"/>
    </row>
    <row r="8672" spans="1:1" s="173" customFormat="1" ht="12" hidden="1" customHeight="1">
      <c r="A8672" s="172"/>
    </row>
    <row r="8673" spans="1:1" s="173" customFormat="1" ht="12" hidden="1" customHeight="1">
      <c r="A8673" s="172"/>
    </row>
    <row r="8674" spans="1:1" s="173" customFormat="1" ht="12" hidden="1" customHeight="1">
      <c r="A8674" s="172"/>
    </row>
    <row r="8675" spans="1:1" s="173" customFormat="1" ht="12" hidden="1" customHeight="1">
      <c r="A8675" s="172"/>
    </row>
    <row r="8676" spans="1:1" s="173" customFormat="1" ht="12" hidden="1" customHeight="1">
      <c r="A8676" s="172"/>
    </row>
    <row r="8677" spans="1:1" s="173" customFormat="1" ht="12" hidden="1" customHeight="1">
      <c r="A8677" s="172"/>
    </row>
    <row r="8678" spans="1:1" s="173" customFormat="1" ht="12" hidden="1" customHeight="1">
      <c r="A8678" s="172"/>
    </row>
    <row r="8679" spans="1:1" s="173" customFormat="1" ht="12" hidden="1" customHeight="1">
      <c r="A8679" s="172"/>
    </row>
    <row r="8680" spans="1:1" s="173" customFormat="1" ht="12" hidden="1" customHeight="1">
      <c r="A8680" s="172"/>
    </row>
    <row r="8681" spans="1:1" s="173" customFormat="1" ht="12" hidden="1" customHeight="1">
      <c r="A8681" s="172"/>
    </row>
    <row r="8682" spans="1:1" s="173" customFormat="1" ht="12" hidden="1" customHeight="1">
      <c r="A8682" s="172"/>
    </row>
    <row r="8683" spans="1:1" s="173" customFormat="1" ht="12" hidden="1" customHeight="1">
      <c r="A8683" s="172"/>
    </row>
    <row r="8684" spans="1:1" s="173" customFormat="1" ht="12" hidden="1" customHeight="1">
      <c r="A8684" s="172"/>
    </row>
    <row r="8685" spans="1:1" s="173" customFormat="1" ht="12" hidden="1" customHeight="1">
      <c r="A8685" s="172"/>
    </row>
    <row r="8686" spans="1:1" s="173" customFormat="1" ht="12" hidden="1" customHeight="1">
      <c r="A8686" s="172"/>
    </row>
    <row r="8687" spans="1:1" s="173" customFormat="1" ht="12" hidden="1" customHeight="1">
      <c r="A8687" s="172"/>
    </row>
    <row r="8688" spans="1:1" s="173" customFormat="1" ht="12" hidden="1" customHeight="1">
      <c r="A8688" s="172"/>
    </row>
    <row r="8689" spans="1:1" s="173" customFormat="1" ht="12" hidden="1" customHeight="1">
      <c r="A8689" s="172"/>
    </row>
    <row r="8690" spans="1:1" s="173" customFormat="1" ht="12" hidden="1" customHeight="1">
      <c r="A8690" s="172"/>
    </row>
    <row r="8691" spans="1:1" s="173" customFormat="1" ht="12" hidden="1" customHeight="1">
      <c r="A8691" s="172"/>
    </row>
    <row r="8692" spans="1:1" s="173" customFormat="1" ht="12" hidden="1" customHeight="1">
      <c r="A8692" s="172"/>
    </row>
    <row r="8693" spans="1:1" s="173" customFormat="1" ht="12" hidden="1" customHeight="1">
      <c r="A8693" s="172"/>
    </row>
    <row r="8694" spans="1:1" s="173" customFormat="1" ht="12" hidden="1" customHeight="1">
      <c r="A8694" s="172"/>
    </row>
    <row r="8695" spans="1:1" s="173" customFormat="1" ht="12" hidden="1" customHeight="1">
      <c r="A8695" s="172"/>
    </row>
    <row r="8696" spans="1:1" s="173" customFormat="1" ht="12" hidden="1" customHeight="1">
      <c r="A8696" s="172"/>
    </row>
    <row r="8697" spans="1:1" s="173" customFormat="1" ht="12" hidden="1" customHeight="1">
      <c r="A8697" s="172"/>
    </row>
    <row r="8698" spans="1:1" s="173" customFormat="1" ht="12" hidden="1" customHeight="1">
      <c r="A8698" s="172"/>
    </row>
    <row r="8699" spans="1:1" s="173" customFormat="1" ht="12" hidden="1" customHeight="1">
      <c r="A8699" s="172"/>
    </row>
    <row r="8700" spans="1:1" s="173" customFormat="1" ht="12" hidden="1" customHeight="1">
      <c r="A8700" s="172"/>
    </row>
    <row r="8701" spans="1:1" s="173" customFormat="1" ht="12" hidden="1" customHeight="1">
      <c r="A8701" s="172"/>
    </row>
    <row r="8702" spans="1:1" s="173" customFormat="1" ht="12" hidden="1" customHeight="1">
      <c r="A8702" s="172"/>
    </row>
    <row r="8703" spans="1:1" s="173" customFormat="1" ht="12" hidden="1" customHeight="1">
      <c r="A8703" s="172"/>
    </row>
    <row r="8704" spans="1:1" s="173" customFormat="1" ht="12" hidden="1" customHeight="1">
      <c r="A8704" s="172"/>
    </row>
    <row r="8705" spans="1:1" s="173" customFormat="1" ht="12" hidden="1" customHeight="1">
      <c r="A8705" s="172"/>
    </row>
    <row r="8706" spans="1:1" s="173" customFormat="1" ht="12" hidden="1" customHeight="1">
      <c r="A8706" s="172"/>
    </row>
    <row r="8707" spans="1:1" s="173" customFormat="1" ht="12" hidden="1" customHeight="1">
      <c r="A8707" s="172"/>
    </row>
    <row r="8708" spans="1:1" s="173" customFormat="1" ht="12" hidden="1" customHeight="1">
      <c r="A8708" s="172"/>
    </row>
    <row r="8709" spans="1:1" s="173" customFormat="1" ht="12" hidden="1" customHeight="1">
      <c r="A8709" s="172"/>
    </row>
    <row r="8710" spans="1:1" s="173" customFormat="1" ht="12" hidden="1" customHeight="1">
      <c r="A8710" s="172"/>
    </row>
    <row r="8711" spans="1:1" s="173" customFormat="1" ht="12" hidden="1" customHeight="1">
      <c r="A8711" s="172"/>
    </row>
    <row r="8712" spans="1:1" s="173" customFormat="1" ht="12" hidden="1" customHeight="1">
      <c r="A8712" s="172"/>
    </row>
    <row r="8713" spans="1:1" s="173" customFormat="1" ht="12" hidden="1" customHeight="1">
      <c r="A8713" s="172"/>
    </row>
    <row r="8714" spans="1:1" s="173" customFormat="1" ht="12" hidden="1" customHeight="1">
      <c r="A8714" s="172"/>
    </row>
    <row r="8715" spans="1:1" s="173" customFormat="1" ht="12" hidden="1" customHeight="1">
      <c r="A8715" s="172"/>
    </row>
    <row r="8716" spans="1:1" s="173" customFormat="1" ht="12" hidden="1" customHeight="1">
      <c r="A8716" s="172"/>
    </row>
    <row r="8717" spans="1:1" s="173" customFormat="1" ht="12" hidden="1" customHeight="1">
      <c r="A8717" s="172"/>
    </row>
    <row r="8718" spans="1:1" s="173" customFormat="1" ht="12" hidden="1" customHeight="1">
      <c r="A8718" s="172"/>
    </row>
    <row r="8719" spans="1:1" s="173" customFormat="1" ht="12" hidden="1" customHeight="1">
      <c r="A8719" s="172"/>
    </row>
    <row r="8720" spans="1:1" s="173" customFormat="1" ht="12" hidden="1" customHeight="1">
      <c r="A8720" s="172"/>
    </row>
    <row r="8721" spans="1:1" s="173" customFormat="1" ht="12" hidden="1" customHeight="1">
      <c r="A8721" s="172"/>
    </row>
    <row r="8722" spans="1:1" s="173" customFormat="1" ht="12" hidden="1" customHeight="1">
      <c r="A8722" s="172"/>
    </row>
    <row r="8723" spans="1:1" s="173" customFormat="1" ht="12" hidden="1" customHeight="1">
      <c r="A8723" s="172"/>
    </row>
    <row r="8724" spans="1:1" s="173" customFormat="1" ht="12" hidden="1" customHeight="1">
      <c r="A8724" s="172"/>
    </row>
    <row r="8725" spans="1:1" s="173" customFormat="1" ht="12" hidden="1" customHeight="1">
      <c r="A8725" s="172"/>
    </row>
    <row r="8726" spans="1:1" s="173" customFormat="1" ht="12" hidden="1" customHeight="1">
      <c r="A8726" s="172"/>
    </row>
    <row r="8727" spans="1:1" s="173" customFormat="1" ht="12" hidden="1" customHeight="1">
      <c r="A8727" s="172"/>
    </row>
    <row r="8728" spans="1:1" s="173" customFormat="1" ht="12" hidden="1" customHeight="1">
      <c r="A8728" s="172"/>
    </row>
    <row r="8729" spans="1:1" s="173" customFormat="1" ht="12" hidden="1" customHeight="1">
      <c r="A8729" s="172"/>
    </row>
    <row r="8730" spans="1:1" s="173" customFormat="1" ht="12" hidden="1" customHeight="1">
      <c r="A8730" s="172"/>
    </row>
    <row r="8731" spans="1:1" s="173" customFormat="1" ht="12" hidden="1" customHeight="1">
      <c r="A8731" s="172"/>
    </row>
    <row r="8732" spans="1:1" s="173" customFormat="1" ht="12" hidden="1" customHeight="1">
      <c r="A8732" s="172"/>
    </row>
    <row r="8733" spans="1:1" s="173" customFormat="1" ht="12" hidden="1" customHeight="1">
      <c r="A8733" s="172"/>
    </row>
    <row r="8734" spans="1:1" s="173" customFormat="1" ht="12" hidden="1" customHeight="1">
      <c r="A8734" s="172"/>
    </row>
    <row r="8735" spans="1:1" s="173" customFormat="1" ht="12" hidden="1" customHeight="1">
      <c r="A8735" s="172"/>
    </row>
    <row r="8736" spans="1:1" s="173" customFormat="1" ht="12" hidden="1" customHeight="1">
      <c r="A8736" s="172"/>
    </row>
    <row r="8737" spans="1:1" s="173" customFormat="1" ht="12" hidden="1" customHeight="1">
      <c r="A8737" s="172"/>
    </row>
    <row r="8738" spans="1:1" s="173" customFormat="1" ht="12" hidden="1" customHeight="1">
      <c r="A8738" s="172"/>
    </row>
    <row r="8739" spans="1:1" s="173" customFormat="1" ht="12" hidden="1" customHeight="1">
      <c r="A8739" s="172"/>
    </row>
    <row r="8740" spans="1:1" s="173" customFormat="1" ht="12" hidden="1" customHeight="1">
      <c r="A8740" s="172"/>
    </row>
    <row r="8741" spans="1:1" s="173" customFormat="1" ht="12" hidden="1" customHeight="1">
      <c r="A8741" s="172"/>
    </row>
    <row r="8742" spans="1:1" s="173" customFormat="1" ht="12" hidden="1" customHeight="1">
      <c r="A8742" s="172"/>
    </row>
    <row r="8743" spans="1:1" s="173" customFormat="1" ht="12" hidden="1" customHeight="1">
      <c r="A8743" s="172"/>
    </row>
    <row r="8744" spans="1:1" s="173" customFormat="1" ht="12" hidden="1" customHeight="1">
      <c r="A8744" s="172"/>
    </row>
    <row r="8745" spans="1:1" s="173" customFormat="1" ht="12" hidden="1" customHeight="1">
      <c r="A8745" s="172"/>
    </row>
    <row r="8746" spans="1:1" s="173" customFormat="1" ht="12" hidden="1" customHeight="1">
      <c r="A8746" s="172"/>
    </row>
    <row r="8747" spans="1:1" s="173" customFormat="1" ht="12" hidden="1" customHeight="1">
      <c r="A8747" s="172"/>
    </row>
    <row r="8748" spans="1:1" s="173" customFormat="1" ht="12" hidden="1" customHeight="1">
      <c r="A8748" s="172"/>
    </row>
    <row r="8749" spans="1:1" s="173" customFormat="1" ht="12" hidden="1" customHeight="1">
      <c r="A8749" s="172"/>
    </row>
    <row r="8750" spans="1:1" s="173" customFormat="1" ht="12" hidden="1" customHeight="1">
      <c r="A8750" s="172"/>
    </row>
    <row r="8751" spans="1:1" s="173" customFormat="1" ht="12" hidden="1" customHeight="1">
      <c r="A8751" s="172"/>
    </row>
    <row r="8752" spans="1:1" s="173" customFormat="1" ht="12" hidden="1" customHeight="1">
      <c r="A8752" s="172"/>
    </row>
    <row r="8753" spans="1:1" s="173" customFormat="1" ht="12" hidden="1" customHeight="1">
      <c r="A8753" s="172"/>
    </row>
    <row r="8754" spans="1:1" s="173" customFormat="1" ht="12" hidden="1" customHeight="1">
      <c r="A8754" s="172"/>
    </row>
    <row r="8755" spans="1:1" s="173" customFormat="1" ht="12" hidden="1" customHeight="1">
      <c r="A8755" s="172"/>
    </row>
    <row r="8756" spans="1:1" s="173" customFormat="1" ht="12" hidden="1" customHeight="1">
      <c r="A8756" s="172"/>
    </row>
    <row r="8757" spans="1:1" s="173" customFormat="1" ht="12" hidden="1" customHeight="1">
      <c r="A8757" s="172"/>
    </row>
    <row r="8758" spans="1:1" s="173" customFormat="1" ht="12" hidden="1" customHeight="1">
      <c r="A8758" s="172"/>
    </row>
    <row r="8759" spans="1:1" s="173" customFormat="1" ht="12" hidden="1" customHeight="1">
      <c r="A8759" s="172"/>
    </row>
    <row r="8760" spans="1:1" s="173" customFormat="1" ht="12" hidden="1" customHeight="1">
      <c r="A8760" s="172"/>
    </row>
    <row r="8761" spans="1:1" s="173" customFormat="1" ht="12" hidden="1" customHeight="1">
      <c r="A8761" s="172"/>
    </row>
    <row r="8762" spans="1:1" s="173" customFormat="1" ht="12" hidden="1" customHeight="1">
      <c r="A8762" s="172"/>
    </row>
    <row r="8763" spans="1:1" s="173" customFormat="1" ht="12" hidden="1" customHeight="1">
      <c r="A8763" s="172"/>
    </row>
    <row r="8764" spans="1:1" s="173" customFormat="1" ht="12" hidden="1" customHeight="1">
      <c r="A8764" s="172"/>
    </row>
    <row r="8765" spans="1:1" s="173" customFormat="1" ht="12" hidden="1" customHeight="1">
      <c r="A8765" s="172"/>
    </row>
    <row r="8766" spans="1:1" s="173" customFormat="1" ht="12" hidden="1" customHeight="1">
      <c r="A8766" s="172"/>
    </row>
    <row r="8767" spans="1:1" s="173" customFormat="1" ht="12" hidden="1" customHeight="1">
      <c r="A8767" s="172"/>
    </row>
    <row r="8768" spans="1:1" s="173" customFormat="1" ht="12" hidden="1" customHeight="1">
      <c r="A8768" s="172"/>
    </row>
    <row r="8769" spans="1:1" s="173" customFormat="1" ht="12" hidden="1" customHeight="1">
      <c r="A8769" s="172"/>
    </row>
    <row r="8770" spans="1:1" s="173" customFormat="1" ht="12" hidden="1" customHeight="1">
      <c r="A8770" s="172"/>
    </row>
    <row r="8771" spans="1:1" s="173" customFormat="1" ht="12" hidden="1" customHeight="1">
      <c r="A8771" s="172"/>
    </row>
    <row r="8772" spans="1:1" s="173" customFormat="1" ht="12" hidden="1" customHeight="1">
      <c r="A8772" s="172"/>
    </row>
    <row r="8773" spans="1:1" s="173" customFormat="1" ht="12" hidden="1" customHeight="1">
      <c r="A8773" s="172"/>
    </row>
    <row r="8774" spans="1:1" s="173" customFormat="1" ht="12" hidden="1" customHeight="1">
      <c r="A8774" s="172"/>
    </row>
    <row r="8775" spans="1:1" s="173" customFormat="1" ht="12" hidden="1" customHeight="1">
      <c r="A8775" s="172"/>
    </row>
    <row r="8776" spans="1:1" s="173" customFormat="1" ht="12" hidden="1" customHeight="1">
      <c r="A8776" s="172"/>
    </row>
    <row r="8777" spans="1:1" s="173" customFormat="1" ht="12" hidden="1" customHeight="1">
      <c r="A8777" s="172"/>
    </row>
    <row r="8778" spans="1:1" s="173" customFormat="1" ht="12" hidden="1" customHeight="1">
      <c r="A8778" s="172"/>
    </row>
    <row r="8779" spans="1:1" s="173" customFormat="1" ht="12" hidden="1" customHeight="1">
      <c r="A8779" s="172"/>
    </row>
    <row r="8780" spans="1:1" s="173" customFormat="1" ht="12" hidden="1" customHeight="1">
      <c r="A8780" s="172"/>
    </row>
    <row r="8781" spans="1:1" s="173" customFormat="1" ht="12" hidden="1" customHeight="1">
      <c r="A8781" s="172"/>
    </row>
    <row r="8782" spans="1:1" s="173" customFormat="1" ht="12" hidden="1" customHeight="1">
      <c r="A8782" s="172"/>
    </row>
    <row r="8783" spans="1:1" s="173" customFormat="1" ht="12" hidden="1" customHeight="1">
      <c r="A8783" s="172"/>
    </row>
    <row r="8784" spans="1:1" s="173" customFormat="1" ht="12" hidden="1" customHeight="1">
      <c r="A8784" s="172"/>
    </row>
    <row r="8785" spans="1:1" s="173" customFormat="1" ht="12" hidden="1" customHeight="1">
      <c r="A8785" s="172"/>
    </row>
    <row r="8786" spans="1:1" s="173" customFormat="1" ht="12" hidden="1" customHeight="1">
      <c r="A8786" s="172"/>
    </row>
    <row r="8787" spans="1:1" s="173" customFormat="1" ht="12" hidden="1" customHeight="1">
      <c r="A8787" s="172"/>
    </row>
    <row r="8788" spans="1:1" s="173" customFormat="1" ht="12" hidden="1" customHeight="1">
      <c r="A8788" s="172"/>
    </row>
    <row r="8789" spans="1:1" s="173" customFormat="1" ht="12" hidden="1" customHeight="1">
      <c r="A8789" s="172"/>
    </row>
    <row r="8790" spans="1:1" s="173" customFormat="1" ht="12" hidden="1" customHeight="1">
      <c r="A8790" s="172"/>
    </row>
    <row r="8791" spans="1:1" s="173" customFormat="1" ht="12" hidden="1" customHeight="1">
      <c r="A8791" s="172"/>
    </row>
    <row r="8792" spans="1:1" s="173" customFormat="1" ht="12" hidden="1" customHeight="1">
      <c r="A8792" s="172"/>
    </row>
    <row r="8793" spans="1:1" s="173" customFormat="1" ht="12" hidden="1" customHeight="1">
      <c r="A8793" s="172"/>
    </row>
    <row r="8794" spans="1:1" s="173" customFormat="1" ht="12" hidden="1" customHeight="1">
      <c r="A8794" s="172"/>
    </row>
    <row r="8795" spans="1:1" s="173" customFormat="1" ht="12" hidden="1" customHeight="1">
      <c r="A8795" s="172"/>
    </row>
    <row r="8796" spans="1:1" s="173" customFormat="1" ht="12" hidden="1" customHeight="1">
      <c r="A8796" s="172"/>
    </row>
    <row r="8797" spans="1:1" s="173" customFormat="1" ht="12" hidden="1" customHeight="1">
      <c r="A8797" s="172"/>
    </row>
    <row r="8798" spans="1:1" s="173" customFormat="1" ht="12" hidden="1" customHeight="1">
      <c r="A8798" s="172"/>
    </row>
    <row r="8799" spans="1:1" s="173" customFormat="1" ht="12" hidden="1" customHeight="1">
      <c r="A8799" s="172"/>
    </row>
    <row r="8800" spans="1:1" s="173" customFormat="1" ht="12" hidden="1" customHeight="1">
      <c r="A8800" s="172"/>
    </row>
    <row r="8801" spans="1:1" s="173" customFormat="1" ht="12" hidden="1" customHeight="1">
      <c r="A8801" s="172"/>
    </row>
    <row r="8802" spans="1:1" s="173" customFormat="1" ht="12" hidden="1" customHeight="1">
      <c r="A8802" s="172"/>
    </row>
    <row r="8803" spans="1:1" s="173" customFormat="1" ht="12" hidden="1" customHeight="1">
      <c r="A8803" s="172"/>
    </row>
    <row r="8804" spans="1:1" s="173" customFormat="1" ht="12" hidden="1" customHeight="1">
      <c r="A8804" s="172"/>
    </row>
    <row r="8805" spans="1:1" s="173" customFormat="1" ht="12" hidden="1" customHeight="1">
      <c r="A8805" s="172"/>
    </row>
    <row r="8806" spans="1:1" s="173" customFormat="1" ht="12" hidden="1" customHeight="1">
      <c r="A8806" s="172"/>
    </row>
    <row r="8807" spans="1:1" s="173" customFormat="1" ht="12" hidden="1" customHeight="1">
      <c r="A8807" s="172"/>
    </row>
    <row r="8808" spans="1:1" s="173" customFormat="1" ht="12" hidden="1" customHeight="1">
      <c r="A8808" s="172"/>
    </row>
    <row r="8809" spans="1:1" s="173" customFormat="1" ht="12" hidden="1" customHeight="1">
      <c r="A8809" s="172"/>
    </row>
    <row r="8810" spans="1:1" s="173" customFormat="1" ht="12" hidden="1" customHeight="1">
      <c r="A8810" s="172"/>
    </row>
    <row r="8811" spans="1:1" s="173" customFormat="1" ht="12" hidden="1" customHeight="1">
      <c r="A8811" s="172"/>
    </row>
    <row r="8812" spans="1:1" s="173" customFormat="1" ht="12" hidden="1" customHeight="1">
      <c r="A8812" s="172"/>
    </row>
    <row r="8813" spans="1:1" s="173" customFormat="1" ht="12" hidden="1" customHeight="1">
      <c r="A8813" s="172"/>
    </row>
    <row r="8814" spans="1:1" s="173" customFormat="1" ht="12" hidden="1" customHeight="1">
      <c r="A8814" s="172"/>
    </row>
    <row r="8815" spans="1:1" s="173" customFormat="1" ht="12" hidden="1" customHeight="1">
      <c r="A8815" s="172"/>
    </row>
    <row r="8816" spans="1:1" s="173" customFormat="1" ht="12" hidden="1" customHeight="1">
      <c r="A8816" s="172"/>
    </row>
    <row r="8817" spans="1:1" s="173" customFormat="1" ht="12" hidden="1" customHeight="1">
      <c r="A8817" s="172"/>
    </row>
    <row r="8818" spans="1:1" s="173" customFormat="1" ht="12" hidden="1" customHeight="1">
      <c r="A8818" s="172"/>
    </row>
    <row r="8819" spans="1:1" s="173" customFormat="1" ht="12" hidden="1" customHeight="1">
      <c r="A8819" s="172"/>
    </row>
    <row r="8820" spans="1:1" s="173" customFormat="1" ht="12" hidden="1" customHeight="1">
      <c r="A8820" s="172"/>
    </row>
    <row r="8821" spans="1:1" s="173" customFormat="1" ht="12" hidden="1" customHeight="1">
      <c r="A8821" s="172"/>
    </row>
    <row r="8822" spans="1:1" s="173" customFormat="1" ht="12" hidden="1" customHeight="1">
      <c r="A8822" s="172"/>
    </row>
    <row r="8823" spans="1:1" s="173" customFormat="1" ht="12" hidden="1" customHeight="1">
      <c r="A8823" s="172"/>
    </row>
    <row r="8824" spans="1:1" s="173" customFormat="1" ht="12" hidden="1" customHeight="1">
      <c r="A8824" s="172"/>
    </row>
    <row r="8825" spans="1:1" s="173" customFormat="1" ht="12" hidden="1" customHeight="1">
      <c r="A8825" s="172"/>
    </row>
    <row r="8826" spans="1:1" s="173" customFormat="1" ht="12" hidden="1" customHeight="1">
      <c r="A8826" s="172"/>
    </row>
    <row r="8827" spans="1:1" s="173" customFormat="1" ht="12" hidden="1" customHeight="1">
      <c r="A8827" s="172"/>
    </row>
    <row r="8828" spans="1:1" s="173" customFormat="1" ht="12" hidden="1" customHeight="1">
      <c r="A8828" s="172"/>
    </row>
    <row r="8829" spans="1:1" s="173" customFormat="1" ht="12" hidden="1" customHeight="1">
      <c r="A8829" s="172"/>
    </row>
    <row r="8830" spans="1:1" s="173" customFormat="1" ht="12" hidden="1" customHeight="1">
      <c r="A8830" s="172"/>
    </row>
    <row r="8831" spans="1:1" s="173" customFormat="1" ht="12" hidden="1" customHeight="1">
      <c r="A8831" s="172"/>
    </row>
    <row r="8832" spans="1:1" s="173" customFormat="1" ht="12" hidden="1" customHeight="1">
      <c r="A8832" s="172"/>
    </row>
    <row r="8833" spans="1:1" s="173" customFormat="1" ht="12" hidden="1" customHeight="1">
      <c r="A8833" s="172"/>
    </row>
    <row r="8834" spans="1:1" s="173" customFormat="1" ht="12" hidden="1" customHeight="1">
      <c r="A8834" s="172"/>
    </row>
    <row r="8835" spans="1:1" s="173" customFormat="1" ht="12" hidden="1" customHeight="1">
      <c r="A8835" s="172"/>
    </row>
    <row r="8836" spans="1:1" s="173" customFormat="1" ht="12" hidden="1" customHeight="1">
      <c r="A8836" s="172"/>
    </row>
    <row r="8837" spans="1:1" s="173" customFormat="1" ht="12" hidden="1" customHeight="1">
      <c r="A8837" s="172"/>
    </row>
    <row r="8838" spans="1:1" s="173" customFormat="1" ht="12" hidden="1" customHeight="1">
      <c r="A8838" s="172"/>
    </row>
    <row r="8839" spans="1:1" s="173" customFormat="1" ht="12" hidden="1" customHeight="1">
      <c r="A8839" s="172"/>
    </row>
    <row r="8840" spans="1:1" s="173" customFormat="1" ht="12" hidden="1" customHeight="1">
      <c r="A8840" s="172"/>
    </row>
    <row r="8841" spans="1:1" s="173" customFormat="1" ht="12" hidden="1" customHeight="1">
      <c r="A8841" s="172"/>
    </row>
    <row r="8842" spans="1:1" s="173" customFormat="1" ht="12" hidden="1" customHeight="1">
      <c r="A8842" s="172"/>
    </row>
    <row r="8843" spans="1:1" s="173" customFormat="1" ht="12" hidden="1" customHeight="1">
      <c r="A8843" s="172"/>
    </row>
    <row r="8844" spans="1:1" s="173" customFormat="1" ht="12" hidden="1" customHeight="1">
      <c r="A8844" s="172"/>
    </row>
    <row r="8845" spans="1:1" s="173" customFormat="1" ht="12" hidden="1" customHeight="1">
      <c r="A8845" s="172"/>
    </row>
    <row r="8846" spans="1:1" s="173" customFormat="1" ht="12" hidden="1" customHeight="1">
      <c r="A8846" s="172"/>
    </row>
    <row r="8847" spans="1:1" s="173" customFormat="1" ht="12" hidden="1" customHeight="1">
      <c r="A8847" s="172"/>
    </row>
    <row r="8848" spans="1:1" s="173" customFormat="1" ht="12" hidden="1" customHeight="1">
      <c r="A8848" s="172"/>
    </row>
    <row r="8849" spans="1:1" s="173" customFormat="1" ht="12" hidden="1" customHeight="1">
      <c r="A8849" s="172"/>
    </row>
    <row r="8850" spans="1:1" s="173" customFormat="1" ht="12" hidden="1" customHeight="1">
      <c r="A8850" s="172"/>
    </row>
    <row r="8851" spans="1:1" s="173" customFormat="1" ht="12" hidden="1" customHeight="1">
      <c r="A8851" s="172"/>
    </row>
    <row r="8852" spans="1:1" s="173" customFormat="1" ht="12" hidden="1" customHeight="1">
      <c r="A8852" s="172"/>
    </row>
    <row r="8853" spans="1:1" s="173" customFormat="1" ht="12" hidden="1" customHeight="1">
      <c r="A8853" s="172"/>
    </row>
    <row r="8854" spans="1:1" s="173" customFormat="1" ht="12" hidden="1" customHeight="1">
      <c r="A8854" s="172"/>
    </row>
    <row r="8855" spans="1:1" s="173" customFormat="1" ht="12" hidden="1" customHeight="1">
      <c r="A8855" s="172"/>
    </row>
    <row r="8856" spans="1:1" s="173" customFormat="1" ht="12" hidden="1" customHeight="1">
      <c r="A8856" s="172"/>
    </row>
    <row r="8857" spans="1:1" s="173" customFormat="1" ht="12" hidden="1" customHeight="1">
      <c r="A8857" s="172"/>
    </row>
    <row r="8858" spans="1:1" s="173" customFormat="1" ht="12" hidden="1" customHeight="1">
      <c r="A8858" s="172"/>
    </row>
    <row r="8859" spans="1:1" s="173" customFormat="1" ht="12" hidden="1" customHeight="1">
      <c r="A8859" s="172"/>
    </row>
    <row r="8860" spans="1:1" s="173" customFormat="1" ht="12" hidden="1" customHeight="1">
      <c r="A8860" s="172"/>
    </row>
    <row r="8861" spans="1:1" s="173" customFormat="1" ht="12" hidden="1" customHeight="1">
      <c r="A8861" s="172"/>
    </row>
    <row r="8862" spans="1:1" s="173" customFormat="1" ht="12" hidden="1" customHeight="1">
      <c r="A8862" s="172"/>
    </row>
    <row r="8863" spans="1:1" s="173" customFormat="1" ht="12" hidden="1" customHeight="1">
      <c r="A8863" s="172"/>
    </row>
    <row r="8864" spans="1:1" s="173" customFormat="1" ht="12" hidden="1" customHeight="1">
      <c r="A8864" s="172"/>
    </row>
    <row r="8865" spans="1:1" s="173" customFormat="1" ht="12" hidden="1" customHeight="1">
      <c r="A8865" s="172"/>
    </row>
    <row r="8866" spans="1:1" s="173" customFormat="1" ht="12" hidden="1" customHeight="1">
      <c r="A8866" s="172"/>
    </row>
    <row r="8867" spans="1:1" s="173" customFormat="1" ht="12" hidden="1" customHeight="1">
      <c r="A8867" s="172"/>
    </row>
    <row r="8868" spans="1:1" s="173" customFormat="1" ht="12" hidden="1" customHeight="1">
      <c r="A8868" s="172"/>
    </row>
    <row r="8869" spans="1:1" s="173" customFormat="1" ht="12" hidden="1" customHeight="1">
      <c r="A8869" s="172"/>
    </row>
    <row r="8870" spans="1:1" s="173" customFormat="1" ht="12" hidden="1" customHeight="1">
      <c r="A8870" s="172"/>
    </row>
    <row r="8871" spans="1:1" s="173" customFormat="1" ht="12" hidden="1" customHeight="1">
      <c r="A8871" s="172"/>
    </row>
    <row r="8872" spans="1:1" s="173" customFormat="1" ht="12" hidden="1" customHeight="1">
      <c r="A8872" s="172"/>
    </row>
    <row r="8873" spans="1:1" s="173" customFormat="1" ht="12" hidden="1" customHeight="1">
      <c r="A8873" s="172"/>
    </row>
    <row r="8874" spans="1:1" s="173" customFormat="1" ht="12" hidden="1" customHeight="1">
      <c r="A8874" s="172"/>
    </row>
    <row r="8875" spans="1:1" s="173" customFormat="1" ht="12" hidden="1" customHeight="1">
      <c r="A8875" s="172"/>
    </row>
    <row r="8876" spans="1:1" s="173" customFormat="1" ht="12" hidden="1" customHeight="1">
      <c r="A8876" s="172"/>
    </row>
    <row r="8877" spans="1:1" s="173" customFormat="1" ht="12" hidden="1" customHeight="1">
      <c r="A8877" s="172"/>
    </row>
    <row r="8878" spans="1:1" s="173" customFormat="1" ht="12" hidden="1" customHeight="1">
      <c r="A8878" s="172"/>
    </row>
    <row r="8879" spans="1:1" s="173" customFormat="1" ht="12" hidden="1" customHeight="1">
      <c r="A8879" s="172"/>
    </row>
    <row r="8880" spans="1:1" s="173" customFormat="1" ht="12" hidden="1" customHeight="1">
      <c r="A8880" s="172"/>
    </row>
    <row r="8881" spans="1:1" s="173" customFormat="1" ht="12" hidden="1" customHeight="1">
      <c r="A8881" s="172"/>
    </row>
    <row r="8882" spans="1:1" s="173" customFormat="1" ht="12" hidden="1" customHeight="1">
      <c r="A8882" s="172"/>
    </row>
    <row r="8883" spans="1:1" s="173" customFormat="1" ht="12" hidden="1" customHeight="1">
      <c r="A8883" s="172"/>
    </row>
    <row r="8884" spans="1:1" s="173" customFormat="1" ht="12" hidden="1" customHeight="1">
      <c r="A8884" s="172"/>
    </row>
    <row r="8885" spans="1:1" s="173" customFormat="1" ht="12" hidden="1" customHeight="1">
      <c r="A8885" s="172"/>
    </row>
    <row r="8886" spans="1:1" s="173" customFormat="1" ht="12" hidden="1" customHeight="1">
      <c r="A8886" s="172"/>
    </row>
    <row r="8887" spans="1:1" s="173" customFormat="1" ht="12" hidden="1" customHeight="1">
      <c r="A8887" s="172"/>
    </row>
    <row r="8888" spans="1:1" s="173" customFormat="1" ht="12" hidden="1" customHeight="1">
      <c r="A8888" s="172"/>
    </row>
    <row r="8889" spans="1:1" s="173" customFormat="1" ht="12" hidden="1" customHeight="1">
      <c r="A8889" s="172"/>
    </row>
    <row r="8890" spans="1:1" s="173" customFormat="1" ht="12" hidden="1" customHeight="1">
      <c r="A8890" s="172"/>
    </row>
    <row r="8891" spans="1:1" s="173" customFormat="1" ht="12" hidden="1" customHeight="1">
      <c r="A8891" s="172"/>
    </row>
    <row r="8892" spans="1:1" s="173" customFormat="1" ht="12" hidden="1" customHeight="1">
      <c r="A8892" s="172"/>
    </row>
    <row r="8893" spans="1:1" s="173" customFormat="1" ht="12" hidden="1" customHeight="1">
      <c r="A8893" s="172"/>
    </row>
    <row r="8894" spans="1:1" s="173" customFormat="1" ht="12" hidden="1" customHeight="1">
      <c r="A8894" s="172"/>
    </row>
    <row r="8895" spans="1:1" s="173" customFormat="1" ht="12" hidden="1" customHeight="1">
      <c r="A8895" s="172"/>
    </row>
    <row r="8896" spans="1:1" s="173" customFormat="1" ht="12" hidden="1" customHeight="1">
      <c r="A8896" s="172"/>
    </row>
    <row r="8897" spans="1:1" s="173" customFormat="1" ht="12" hidden="1" customHeight="1">
      <c r="A8897" s="172"/>
    </row>
    <row r="8898" spans="1:1" s="173" customFormat="1" ht="12" hidden="1" customHeight="1">
      <c r="A8898" s="172"/>
    </row>
    <row r="8899" spans="1:1" s="173" customFormat="1" ht="12" hidden="1" customHeight="1">
      <c r="A8899" s="172"/>
    </row>
    <row r="8900" spans="1:1" s="173" customFormat="1" ht="12" hidden="1" customHeight="1">
      <c r="A8900" s="172"/>
    </row>
    <row r="8901" spans="1:1" s="173" customFormat="1" ht="12" hidden="1" customHeight="1">
      <c r="A8901" s="172"/>
    </row>
    <row r="8902" spans="1:1" s="173" customFormat="1" ht="12" hidden="1" customHeight="1">
      <c r="A8902" s="172"/>
    </row>
    <row r="8903" spans="1:1" s="173" customFormat="1" ht="12" hidden="1" customHeight="1">
      <c r="A8903" s="172"/>
    </row>
    <row r="8904" spans="1:1" s="173" customFormat="1" ht="12" hidden="1" customHeight="1">
      <c r="A8904" s="172"/>
    </row>
    <row r="8905" spans="1:1" s="173" customFormat="1" ht="12" hidden="1" customHeight="1">
      <c r="A8905" s="172"/>
    </row>
    <row r="8906" spans="1:1" s="173" customFormat="1" ht="12" hidden="1" customHeight="1">
      <c r="A8906" s="172"/>
    </row>
    <row r="8907" spans="1:1" s="173" customFormat="1" ht="12" hidden="1" customHeight="1">
      <c r="A8907" s="172"/>
    </row>
    <row r="8908" spans="1:1" s="173" customFormat="1" ht="12" hidden="1" customHeight="1">
      <c r="A8908" s="172"/>
    </row>
    <row r="8909" spans="1:1" s="173" customFormat="1" ht="12" hidden="1" customHeight="1">
      <c r="A8909" s="172"/>
    </row>
    <row r="8910" spans="1:1" s="173" customFormat="1" ht="12" hidden="1" customHeight="1">
      <c r="A8910" s="172"/>
    </row>
    <row r="8911" spans="1:1" s="173" customFormat="1" ht="12" hidden="1" customHeight="1">
      <c r="A8911" s="172"/>
    </row>
    <row r="8912" spans="1:1" s="173" customFormat="1" ht="12" hidden="1" customHeight="1">
      <c r="A8912" s="172"/>
    </row>
    <row r="8913" spans="1:1" s="173" customFormat="1" ht="12" hidden="1" customHeight="1">
      <c r="A8913" s="172"/>
    </row>
    <row r="8914" spans="1:1" s="173" customFormat="1" ht="12" hidden="1" customHeight="1">
      <c r="A8914" s="172"/>
    </row>
    <row r="8915" spans="1:1" s="173" customFormat="1" ht="12" hidden="1" customHeight="1">
      <c r="A8915" s="172"/>
    </row>
    <row r="8916" spans="1:1" s="173" customFormat="1" ht="12" hidden="1" customHeight="1">
      <c r="A8916" s="172"/>
    </row>
    <row r="8917" spans="1:1" s="173" customFormat="1" ht="12" hidden="1" customHeight="1">
      <c r="A8917" s="172"/>
    </row>
    <row r="8918" spans="1:1" s="173" customFormat="1" ht="12" hidden="1" customHeight="1">
      <c r="A8918" s="172"/>
    </row>
    <row r="8919" spans="1:1" s="173" customFormat="1" ht="12" hidden="1" customHeight="1">
      <c r="A8919" s="172"/>
    </row>
    <row r="8920" spans="1:1" s="173" customFormat="1" ht="12" hidden="1" customHeight="1">
      <c r="A8920" s="172"/>
    </row>
    <row r="8921" spans="1:1" s="173" customFormat="1" ht="12" hidden="1" customHeight="1">
      <c r="A8921" s="172"/>
    </row>
    <row r="8922" spans="1:1" s="173" customFormat="1" ht="12" hidden="1" customHeight="1">
      <c r="A8922" s="172"/>
    </row>
    <row r="8923" spans="1:1" s="173" customFormat="1" ht="12" hidden="1" customHeight="1">
      <c r="A8923" s="172"/>
    </row>
    <row r="8924" spans="1:1" s="173" customFormat="1" ht="12" hidden="1" customHeight="1">
      <c r="A8924" s="172"/>
    </row>
    <row r="8925" spans="1:1" s="173" customFormat="1" ht="12" hidden="1" customHeight="1">
      <c r="A8925" s="172"/>
    </row>
    <row r="8926" spans="1:1" s="173" customFormat="1" ht="12" hidden="1" customHeight="1">
      <c r="A8926" s="172"/>
    </row>
    <row r="8927" spans="1:1" s="173" customFormat="1" ht="12" hidden="1" customHeight="1">
      <c r="A8927" s="172"/>
    </row>
    <row r="8928" spans="1:1" s="173" customFormat="1" ht="12" hidden="1" customHeight="1">
      <c r="A8928" s="172"/>
    </row>
    <row r="8929" spans="1:1" s="173" customFormat="1" ht="12" hidden="1" customHeight="1">
      <c r="A8929" s="172"/>
    </row>
    <row r="8930" spans="1:1" s="173" customFormat="1" ht="12" hidden="1" customHeight="1">
      <c r="A8930" s="172"/>
    </row>
    <row r="8931" spans="1:1" s="173" customFormat="1" ht="12" hidden="1" customHeight="1">
      <c r="A8931" s="172"/>
    </row>
    <row r="8932" spans="1:1" s="173" customFormat="1" ht="12" hidden="1" customHeight="1">
      <c r="A8932" s="172"/>
    </row>
    <row r="8933" spans="1:1" s="173" customFormat="1" ht="12" hidden="1" customHeight="1">
      <c r="A8933" s="172"/>
    </row>
    <row r="8934" spans="1:1" s="173" customFormat="1" ht="12" hidden="1" customHeight="1">
      <c r="A8934" s="172"/>
    </row>
    <row r="8935" spans="1:1" s="173" customFormat="1" ht="12" hidden="1" customHeight="1">
      <c r="A8935" s="172"/>
    </row>
    <row r="8936" spans="1:1" s="173" customFormat="1" ht="12" hidden="1" customHeight="1">
      <c r="A8936" s="172"/>
    </row>
    <row r="8937" spans="1:1" s="173" customFormat="1" ht="12" hidden="1" customHeight="1">
      <c r="A8937" s="172"/>
    </row>
    <row r="8938" spans="1:1" s="173" customFormat="1" ht="12" hidden="1" customHeight="1">
      <c r="A8938" s="172"/>
    </row>
    <row r="8939" spans="1:1" s="173" customFormat="1" ht="12" hidden="1" customHeight="1">
      <c r="A8939" s="172"/>
    </row>
    <row r="8940" spans="1:1" s="173" customFormat="1" ht="12" hidden="1" customHeight="1">
      <c r="A8940" s="172"/>
    </row>
    <row r="8941" spans="1:1" s="173" customFormat="1" ht="12" hidden="1" customHeight="1">
      <c r="A8941" s="172"/>
    </row>
    <row r="8942" spans="1:1" s="173" customFormat="1" ht="12" hidden="1" customHeight="1">
      <c r="A8942" s="172"/>
    </row>
    <row r="8943" spans="1:1" s="173" customFormat="1" ht="12" hidden="1" customHeight="1">
      <c r="A8943" s="172"/>
    </row>
    <row r="8944" spans="1:1" s="173" customFormat="1" ht="12" hidden="1" customHeight="1">
      <c r="A8944" s="172"/>
    </row>
    <row r="8945" spans="1:1" s="173" customFormat="1" ht="12" hidden="1" customHeight="1">
      <c r="A8945" s="172"/>
    </row>
    <row r="8946" spans="1:1" s="173" customFormat="1" ht="12" hidden="1" customHeight="1">
      <c r="A8946" s="172"/>
    </row>
    <row r="8947" spans="1:1" s="173" customFormat="1" ht="12" hidden="1" customHeight="1">
      <c r="A8947" s="172"/>
    </row>
    <row r="8948" spans="1:1" s="173" customFormat="1" ht="12" hidden="1" customHeight="1">
      <c r="A8948" s="172"/>
    </row>
    <row r="8949" spans="1:1" s="173" customFormat="1" ht="12" hidden="1" customHeight="1">
      <c r="A8949" s="172"/>
    </row>
    <row r="8950" spans="1:1" s="173" customFormat="1" ht="12" hidden="1" customHeight="1">
      <c r="A8950" s="172"/>
    </row>
    <row r="8951" spans="1:1" s="173" customFormat="1" ht="12" hidden="1" customHeight="1">
      <c r="A8951" s="172"/>
    </row>
    <row r="8952" spans="1:1" s="173" customFormat="1" ht="12" hidden="1" customHeight="1">
      <c r="A8952" s="172"/>
    </row>
    <row r="8953" spans="1:1" s="173" customFormat="1" ht="12" hidden="1" customHeight="1">
      <c r="A8953" s="172"/>
    </row>
    <row r="8954" spans="1:1" s="173" customFormat="1" ht="12" hidden="1" customHeight="1">
      <c r="A8954" s="172"/>
    </row>
    <row r="8955" spans="1:1" s="173" customFormat="1" ht="12" hidden="1" customHeight="1">
      <c r="A8955" s="172"/>
    </row>
    <row r="8956" spans="1:1" s="173" customFormat="1" ht="12" hidden="1" customHeight="1">
      <c r="A8956" s="172"/>
    </row>
    <row r="8957" spans="1:1" s="173" customFormat="1" ht="12" hidden="1" customHeight="1">
      <c r="A8957" s="172"/>
    </row>
    <row r="8958" spans="1:1" s="173" customFormat="1" ht="12" hidden="1" customHeight="1">
      <c r="A8958" s="172"/>
    </row>
    <row r="8959" spans="1:1" s="173" customFormat="1" ht="12" hidden="1" customHeight="1">
      <c r="A8959" s="172"/>
    </row>
    <row r="8960" spans="1:1" s="173" customFormat="1" ht="12" hidden="1" customHeight="1">
      <c r="A8960" s="172"/>
    </row>
    <row r="8961" spans="1:1" s="173" customFormat="1" ht="12" hidden="1" customHeight="1">
      <c r="A8961" s="172"/>
    </row>
    <row r="8962" spans="1:1" s="173" customFormat="1" ht="12" hidden="1" customHeight="1">
      <c r="A8962" s="172"/>
    </row>
    <row r="8963" spans="1:1" s="173" customFormat="1" ht="12" hidden="1" customHeight="1">
      <c r="A8963" s="172"/>
    </row>
    <row r="8964" spans="1:1" s="173" customFormat="1" ht="12" hidden="1" customHeight="1">
      <c r="A8964" s="172"/>
    </row>
    <row r="8965" spans="1:1" s="173" customFormat="1" ht="12" hidden="1" customHeight="1">
      <c r="A8965" s="172"/>
    </row>
    <row r="8966" spans="1:1" s="173" customFormat="1" ht="12" hidden="1" customHeight="1">
      <c r="A8966" s="172"/>
    </row>
    <row r="8967" spans="1:1" s="173" customFormat="1" ht="12" hidden="1" customHeight="1">
      <c r="A8967" s="172"/>
    </row>
    <row r="8968" spans="1:1" s="173" customFormat="1" ht="12" hidden="1" customHeight="1">
      <c r="A8968" s="172"/>
    </row>
    <row r="8969" spans="1:1" s="173" customFormat="1" ht="12" hidden="1" customHeight="1">
      <c r="A8969" s="172"/>
    </row>
    <row r="8970" spans="1:1" s="173" customFormat="1" ht="12" hidden="1" customHeight="1">
      <c r="A8970" s="172"/>
    </row>
    <row r="8971" spans="1:1" s="173" customFormat="1" ht="12" hidden="1" customHeight="1">
      <c r="A8971" s="172"/>
    </row>
    <row r="8972" spans="1:1" s="173" customFormat="1" ht="12" hidden="1" customHeight="1">
      <c r="A8972" s="172"/>
    </row>
    <row r="8973" spans="1:1" s="173" customFormat="1" ht="12" hidden="1" customHeight="1">
      <c r="A8973" s="172"/>
    </row>
    <row r="8974" spans="1:1" s="173" customFormat="1" ht="12" hidden="1" customHeight="1">
      <c r="A8974" s="172"/>
    </row>
    <row r="8975" spans="1:1" s="173" customFormat="1" ht="12" hidden="1" customHeight="1">
      <c r="A8975" s="172"/>
    </row>
    <row r="8976" spans="1:1" s="173" customFormat="1" ht="12" hidden="1" customHeight="1">
      <c r="A8976" s="172"/>
    </row>
    <row r="8977" spans="1:1" s="173" customFormat="1" ht="12" hidden="1" customHeight="1">
      <c r="A8977" s="172"/>
    </row>
    <row r="8978" spans="1:1" s="173" customFormat="1" ht="12" hidden="1" customHeight="1">
      <c r="A8978" s="172"/>
    </row>
    <row r="8979" spans="1:1" s="173" customFormat="1" ht="12" hidden="1" customHeight="1">
      <c r="A8979" s="172"/>
    </row>
    <row r="8980" spans="1:1" s="173" customFormat="1" ht="12" hidden="1" customHeight="1">
      <c r="A8980" s="172"/>
    </row>
    <row r="8981" spans="1:1" s="173" customFormat="1" ht="12" hidden="1" customHeight="1">
      <c r="A8981" s="172"/>
    </row>
    <row r="8982" spans="1:1" s="173" customFormat="1" ht="12" hidden="1" customHeight="1">
      <c r="A8982" s="172"/>
    </row>
    <row r="8983" spans="1:1" s="173" customFormat="1" ht="12" hidden="1" customHeight="1">
      <c r="A8983" s="172"/>
    </row>
    <row r="8984" spans="1:1" s="173" customFormat="1" ht="12" hidden="1" customHeight="1">
      <c r="A8984" s="172"/>
    </row>
    <row r="8985" spans="1:1" s="173" customFormat="1" ht="12" hidden="1" customHeight="1">
      <c r="A8985" s="172"/>
    </row>
    <row r="8986" spans="1:1" s="173" customFormat="1" ht="12" hidden="1" customHeight="1">
      <c r="A8986" s="172"/>
    </row>
    <row r="8987" spans="1:1" s="173" customFormat="1" ht="12" hidden="1" customHeight="1">
      <c r="A8987" s="172"/>
    </row>
    <row r="8988" spans="1:1" s="173" customFormat="1" ht="12" hidden="1" customHeight="1">
      <c r="A8988" s="172"/>
    </row>
    <row r="8989" spans="1:1" s="173" customFormat="1" ht="12" hidden="1" customHeight="1">
      <c r="A8989" s="172"/>
    </row>
    <row r="8990" spans="1:1" s="173" customFormat="1" ht="12" hidden="1" customHeight="1">
      <c r="A8990" s="172"/>
    </row>
    <row r="8991" spans="1:1" s="173" customFormat="1" ht="12" hidden="1" customHeight="1">
      <c r="A8991" s="172"/>
    </row>
    <row r="8992" spans="1:1" s="173" customFormat="1" ht="12" hidden="1" customHeight="1">
      <c r="A8992" s="172"/>
    </row>
    <row r="8993" spans="1:1" s="173" customFormat="1" ht="12" hidden="1" customHeight="1">
      <c r="A8993" s="172"/>
    </row>
    <row r="8994" spans="1:1" s="173" customFormat="1" ht="12" hidden="1" customHeight="1">
      <c r="A8994" s="172"/>
    </row>
    <row r="8995" spans="1:1" s="173" customFormat="1" ht="12" hidden="1" customHeight="1">
      <c r="A8995" s="172"/>
    </row>
    <row r="8996" spans="1:1" s="173" customFormat="1" ht="12" hidden="1" customHeight="1">
      <c r="A8996" s="172"/>
    </row>
    <row r="8997" spans="1:1" s="173" customFormat="1" ht="12" hidden="1" customHeight="1">
      <c r="A8997" s="172"/>
    </row>
    <row r="8998" spans="1:1" s="173" customFormat="1" ht="12" hidden="1" customHeight="1">
      <c r="A8998" s="172"/>
    </row>
    <row r="8999" spans="1:1" s="173" customFormat="1" ht="12" hidden="1" customHeight="1">
      <c r="A8999" s="172"/>
    </row>
    <row r="9000" spans="1:1" s="173" customFormat="1" ht="12" hidden="1" customHeight="1">
      <c r="A9000" s="172"/>
    </row>
    <row r="9001" spans="1:1" s="173" customFormat="1" ht="12" hidden="1" customHeight="1">
      <c r="A9001" s="172"/>
    </row>
    <row r="9002" spans="1:1" s="173" customFormat="1" ht="12" hidden="1" customHeight="1">
      <c r="A9002" s="172"/>
    </row>
    <row r="9003" spans="1:1" s="173" customFormat="1" ht="12" hidden="1" customHeight="1">
      <c r="A9003" s="172"/>
    </row>
    <row r="9004" spans="1:1" s="173" customFormat="1" ht="12" hidden="1" customHeight="1">
      <c r="A9004" s="172"/>
    </row>
    <row r="9005" spans="1:1" s="173" customFormat="1" ht="12" hidden="1" customHeight="1">
      <c r="A9005" s="172"/>
    </row>
    <row r="9006" spans="1:1" s="173" customFormat="1" ht="12" hidden="1" customHeight="1">
      <c r="A9006" s="172"/>
    </row>
    <row r="9007" spans="1:1" s="173" customFormat="1" ht="12" hidden="1" customHeight="1">
      <c r="A9007" s="172"/>
    </row>
    <row r="9008" spans="1:1" s="173" customFormat="1" ht="12" hidden="1" customHeight="1">
      <c r="A9008" s="172"/>
    </row>
    <row r="9009" spans="1:1" s="173" customFormat="1" ht="12" hidden="1" customHeight="1">
      <c r="A9009" s="172"/>
    </row>
    <row r="9010" spans="1:1" s="173" customFormat="1" ht="12" hidden="1" customHeight="1">
      <c r="A9010" s="172"/>
    </row>
    <row r="9011" spans="1:1" s="173" customFormat="1" ht="12" hidden="1" customHeight="1">
      <c r="A9011" s="172"/>
    </row>
    <row r="9012" spans="1:1" s="173" customFormat="1" ht="12" hidden="1" customHeight="1">
      <c r="A9012" s="172"/>
    </row>
    <row r="9013" spans="1:1" s="173" customFormat="1" ht="12" hidden="1" customHeight="1">
      <c r="A9013" s="172"/>
    </row>
    <row r="9014" spans="1:1" s="173" customFormat="1" ht="12" hidden="1" customHeight="1">
      <c r="A9014" s="172"/>
    </row>
    <row r="9015" spans="1:1" s="173" customFormat="1" ht="12" hidden="1" customHeight="1">
      <c r="A9015" s="172"/>
    </row>
    <row r="9016" spans="1:1" s="173" customFormat="1" ht="12" hidden="1" customHeight="1">
      <c r="A9016" s="172"/>
    </row>
    <row r="9017" spans="1:1" s="173" customFormat="1" ht="12" hidden="1" customHeight="1">
      <c r="A9017" s="172"/>
    </row>
    <row r="9018" spans="1:1" s="173" customFormat="1" ht="12" hidden="1" customHeight="1">
      <c r="A9018" s="172"/>
    </row>
    <row r="9019" spans="1:1" s="173" customFormat="1" ht="12" hidden="1" customHeight="1">
      <c r="A9019" s="172"/>
    </row>
    <row r="9020" spans="1:1" s="173" customFormat="1" ht="12" hidden="1" customHeight="1">
      <c r="A9020" s="172"/>
    </row>
    <row r="9021" spans="1:1" s="173" customFormat="1" ht="12" hidden="1" customHeight="1">
      <c r="A9021" s="172"/>
    </row>
    <row r="9022" spans="1:1" s="173" customFormat="1" ht="12" hidden="1" customHeight="1">
      <c r="A9022" s="172"/>
    </row>
    <row r="9023" spans="1:1" s="173" customFormat="1" ht="12" hidden="1" customHeight="1">
      <c r="A9023" s="172"/>
    </row>
    <row r="9024" spans="1:1" s="173" customFormat="1" ht="12" hidden="1" customHeight="1">
      <c r="A9024" s="172"/>
    </row>
    <row r="9025" spans="1:1" s="173" customFormat="1" ht="12" hidden="1" customHeight="1">
      <c r="A9025" s="172"/>
    </row>
    <row r="9026" spans="1:1" s="173" customFormat="1" ht="12" hidden="1" customHeight="1">
      <c r="A9026" s="172"/>
    </row>
    <row r="9027" spans="1:1" s="173" customFormat="1" ht="12" hidden="1" customHeight="1">
      <c r="A9027" s="172"/>
    </row>
    <row r="9028" spans="1:1" s="173" customFormat="1" ht="12" hidden="1" customHeight="1">
      <c r="A9028" s="172"/>
    </row>
    <row r="9029" spans="1:1" s="173" customFormat="1" ht="12" hidden="1" customHeight="1">
      <c r="A9029" s="172"/>
    </row>
    <row r="9030" spans="1:1" s="173" customFormat="1" ht="12" hidden="1" customHeight="1">
      <c r="A9030" s="172"/>
    </row>
    <row r="9031" spans="1:1" s="173" customFormat="1" ht="12" hidden="1" customHeight="1">
      <c r="A9031" s="172"/>
    </row>
    <row r="9032" spans="1:1" s="173" customFormat="1" ht="12" hidden="1" customHeight="1">
      <c r="A9032" s="172"/>
    </row>
    <row r="9033" spans="1:1" s="173" customFormat="1" ht="12" hidden="1" customHeight="1">
      <c r="A9033" s="172"/>
    </row>
    <row r="9034" spans="1:1" s="173" customFormat="1" ht="12" hidden="1" customHeight="1">
      <c r="A9034" s="172"/>
    </row>
    <row r="9035" spans="1:1" s="173" customFormat="1" ht="12" hidden="1" customHeight="1">
      <c r="A9035" s="172"/>
    </row>
    <row r="9036" spans="1:1" s="173" customFormat="1" ht="12" hidden="1" customHeight="1">
      <c r="A9036" s="172"/>
    </row>
    <row r="9037" spans="1:1" s="173" customFormat="1" ht="12" hidden="1" customHeight="1">
      <c r="A9037" s="172"/>
    </row>
    <row r="9038" spans="1:1" s="173" customFormat="1" ht="12" hidden="1" customHeight="1">
      <c r="A9038" s="172"/>
    </row>
    <row r="9039" spans="1:1" s="173" customFormat="1" ht="12" hidden="1" customHeight="1">
      <c r="A9039" s="172"/>
    </row>
    <row r="9040" spans="1:1" s="173" customFormat="1" ht="12" hidden="1" customHeight="1">
      <c r="A9040" s="172"/>
    </row>
    <row r="9041" spans="1:1" s="173" customFormat="1" ht="12" hidden="1" customHeight="1">
      <c r="A9041" s="172"/>
    </row>
    <row r="9042" spans="1:1" s="173" customFormat="1" ht="12" hidden="1" customHeight="1">
      <c r="A9042" s="172"/>
    </row>
    <row r="9043" spans="1:1" s="173" customFormat="1" ht="12" hidden="1" customHeight="1">
      <c r="A9043" s="172"/>
    </row>
    <row r="9044" spans="1:1" s="173" customFormat="1" ht="12" hidden="1" customHeight="1">
      <c r="A9044" s="172"/>
    </row>
    <row r="9045" spans="1:1" s="173" customFormat="1" ht="12" hidden="1" customHeight="1">
      <c r="A9045" s="172"/>
    </row>
    <row r="9046" spans="1:1" s="173" customFormat="1" ht="12" hidden="1" customHeight="1">
      <c r="A9046" s="172"/>
    </row>
    <row r="9047" spans="1:1" s="173" customFormat="1" ht="12" hidden="1" customHeight="1">
      <c r="A9047" s="172"/>
    </row>
    <row r="9048" spans="1:1" s="173" customFormat="1" ht="12" hidden="1" customHeight="1">
      <c r="A9048" s="172"/>
    </row>
    <row r="9049" spans="1:1" s="173" customFormat="1" ht="12" hidden="1" customHeight="1">
      <c r="A9049" s="172"/>
    </row>
    <row r="9050" spans="1:1" s="173" customFormat="1" ht="12" hidden="1" customHeight="1">
      <c r="A9050" s="172"/>
    </row>
    <row r="9051" spans="1:1" s="173" customFormat="1" ht="12" hidden="1" customHeight="1">
      <c r="A9051" s="172"/>
    </row>
    <row r="9052" spans="1:1" s="173" customFormat="1" ht="12" hidden="1" customHeight="1">
      <c r="A9052" s="172"/>
    </row>
    <row r="9053" spans="1:1" s="173" customFormat="1" ht="12" hidden="1" customHeight="1">
      <c r="A9053" s="172"/>
    </row>
    <row r="9054" spans="1:1" s="173" customFormat="1" ht="12" hidden="1" customHeight="1">
      <c r="A9054" s="172"/>
    </row>
    <row r="9055" spans="1:1" s="173" customFormat="1" ht="12" hidden="1" customHeight="1">
      <c r="A9055" s="172"/>
    </row>
    <row r="9056" spans="1:1" s="173" customFormat="1" ht="12" hidden="1" customHeight="1">
      <c r="A9056" s="172"/>
    </row>
    <row r="9057" spans="1:1" s="173" customFormat="1" ht="12" hidden="1" customHeight="1">
      <c r="A9057" s="172"/>
    </row>
    <row r="9058" spans="1:1" s="173" customFormat="1" ht="12" hidden="1" customHeight="1">
      <c r="A9058" s="172"/>
    </row>
    <row r="9059" spans="1:1" s="173" customFormat="1" ht="12" hidden="1" customHeight="1">
      <c r="A9059" s="172"/>
    </row>
    <row r="9060" spans="1:1" s="173" customFormat="1" ht="12" hidden="1" customHeight="1">
      <c r="A9060" s="172"/>
    </row>
    <row r="9061" spans="1:1" s="173" customFormat="1" ht="12" hidden="1" customHeight="1">
      <c r="A9061" s="172"/>
    </row>
    <row r="9062" spans="1:1" s="173" customFormat="1" ht="12" hidden="1" customHeight="1">
      <c r="A9062" s="172"/>
    </row>
    <row r="9063" spans="1:1" s="173" customFormat="1" ht="12" hidden="1" customHeight="1">
      <c r="A9063" s="172"/>
    </row>
    <row r="9064" spans="1:1" s="173" customFormat="1" ht="12" hidden="1" customHeight="1">
      <c r="A9064" s="172"/>
    </row>
    <row r="9065" spans="1:1" s="173" customFormat="1" ht="12" hidden="1" customHeight="1">
      <c r="A9065" s="172"/>
    </row>
    <row r="9066" spans="1:1" s="173" customFormat="1" ht="12" hidden="1" customHeight="1">
      <c r="A9066" s="172"/>
    </row>
    <row r="9067" spans="1:1" s="173" customFormat="1" ht="12" hidden="1" customHeight="1">
      <c r="A9067" s="172"/>
    </row>
    <row r="9068" spans="1:1" s="173" customFormat="1" ht="12" hidden="1" customHeight="1">
      <c r="A9068" s="172"/>
    </row>
    <row r="9069" spans="1:1" s="173" customFormat="1" ht="12" hidden="1" customHeight="1">
      <c r="A9069" s="172"/>
    </row>
    <row r="9070" spans="1:1" s="173" customFormat="1" ht="12" hidden="1" customHeight="1">
      <c r="A9070" s="172"/>
    </row>
    <row r="9071" spans="1:1" s="173" customFormat="1" ht="12" hidden="1" customHeight="1">
      <c r="A9071" s="172"/>
    </row>
    <row r="9072" spans="1:1" s="173" customFormat="1" ht="12" hidden="1" customHeight="1">
      <c r="A9072" s="172"/>
    </row>
    <row r="9073" spans="1:1" s="173" customFormat="1" ht="12" hidden="1" customHeight="1">
      <c r="A9073" s="172"/>
    </row>
    <row r="9074" spans="1:1" s="173" customFormat="1" ht="12" hidden="1" customHeight="1">
      <c r="A9074" s="172"/>
    </row>
    <row r="9075" spans="1:1" s="173" customFormat="1" ht="12" hidden="1" customHeight="1">
      <c r="A9075" s="172"/>
    </row>
    <row r="9076" spans="1:1" s="173" customFormat="1" ht="12" hidden="1" customHeight="1">
      <c r="A9076" s="172"/>
    </row>
    <row r="9077" spans="1:1" s="173" customFormat="1" ht="12" hidden="1" customHeight="1">
      <c r="A9077" s="172"/>
    </row>
    <row r="9078" spans="1:1" s="173" customFormat="1" ht="12" hidden="1" customHeight="1">
      <c r="A9078" s="172"/>
    </row>
    <row r="9079" spans="1:1" s="173" customFormat="1" ht="12" hidden="1" customHeight="1">
      <c r="A9079" s="172"/>
    </row>
    <row r="9080" spans="1:1" s="173" customFormat="1" ht="12" hidden="1" customHeight="1">
      <c r="A9080" s="172"/>
    </row>
    <row r="9081" spans="1:1" s="173" customFormat="1" ht="12" hidden="1" customHeight="1">
      <c r="A9081" s="172"/>
    </row>
    <row r="9082" spans="1:1" s="173" customFormat="1" ht="12" hidden="1" customHeight="1">
      <c r="A9082" s="172"/>
    </row>
    <row r="9083" spans="1:1" s="173" customFormat="1" ht="12" hidden="1" customHeight="1">
      <c r="A9083" s="172"/>
    </row>
    <row r="9084" spans="1:1" s="173" customFormat="1" ht="12" hidden="1" customHeight="1">
      <c r="A9084" s="172"/>
    </row>
    <row r="9085" spans="1:1" s="173" customFormat="1" ht="12" hidden="1" customHeight="1">
      <c r="A9085" s="172"/>
    </row>
    <row r="9086" spans="1:1" s="173" customFormat="1" ht="12" hidden="1" customHeight="1">
      <c r="A9086" s="172"/>
    </row>
    <row r="9087" spans="1:1" s="173" customFormat="1" ht="12" hidden="1" customHeight="1">
      <c r="A9087" s="172"/>
    </row>
    <row r="9088" spans="1:1" s="173" customFormat="1" ht="12" hidden="1" customHeight="1">
      <c r="A9088" s="172"/>
    </row>
    <row r="9089" spans="1:1" s="173" customFormat="1" ht="12" hidden="1" customHeight="1">
      <c r="A9089" s="172"/>
    </row>
    <row r="9090" spans="1:1" s="173" customFormat="1" ht="12" hidden="1" customHeight="1">
      <c r="A9090" s="172"/>
    </row>
    <row r="9091" spans="1:1" s="173" customFormat="1" ht="12" hidden="1" customHeight="1">
      <c r="A9091" s="172"/>
    </row>
    <row r="9092" spans="1:1" s="173" customFormat="1" ht="12" hidden="1" customHeight="1">
      <c r="A9092" s="172"/>
    </row>
    <row r="9093" spans="1:1" s="173" customFormat="1" ht="12" hidden="1" customHeight="1">
      <c r="A9093" s="172"/>
    </row>
    <row r="9094" spans="1:1" s="173" customFormat="1" ht="12" hidden="1" customHeight="1">
      <c r="A9094" s="172"/>
    </row>
    <row r="9095" spans="1:1" s="173" customFormat="1" ht="12" hidden="1" customHeight="1">
      <c r="A9095" s="172"/>
    </row>
    <row r="9096" spans="1:1" s="173" customFormat="1" ht="12" hidden="1" customHeight="1">
      <c r="A9096" s="172"/>
    </row>
    <row r="9097" spans="1:1" s="173" customFormat="1" ht="12" hidden="1" customHeight="1">
      <c r="A9097" s="172"/>
    </row>
    <row r="9098" spans="1:1" s="173" customFormat="1" ht="12" hidden="1" customHeight="1">
      <c r="A9098" s="172"/>
    </row>
    <row r="9099" spans="1:1" s="173" customFormat="1" ht="12" hidden="1" customHeight="1">
      <c r="A9099" s="172"/>
    </row>
    <row r="9100" spans="1:1" s="173" customFormat="1" ht="12" hidden="1" customHeight="1">
      <c r="A9100" s="172"/>
    </row>
    <row r="9101" spans="1:1" s="173" customFormat="1" ht="12" hidden="1" customHeight="1">
      <c r="A9101" s="172"/>
    </row>
    <row r="9102" spans="1:1" s="173" customFormat="1" ht="12" hidden="1" customHeight="1">
      <c r="A9102" s="172"/>
    </row>
    <row r="9103" spans="1:1" s="173" customFormat="1" ht="12" hidden="1" customHeight="1">
      <c r="A9103" s="172"/>
    </row>
    <row r="9104" spans="1:1" s="173" customFormat="1" ht="12" hidden="1" customHeight="1">
      <c r="A9104" s="172"/>
    </row>
    <row r="9105" spans="1:1" s="173" customFormat="1" ht="12" hidden="1" customHeight="1">
      <c r="A9105" s="172"/>
    </row>
    <row r="9106" spans="1:1" s="173" customFormat="1" ht="12" hidden="1" customHeight="1">
      <c r="A9106" s="172"/>
    </row>
    <row r="9107" spans="1:1" s="173" customFormat="1" ht="12" hidden="1" customHeight="1">
      <c r="A9107" s="172"/>
    </row>
    <row r="9108" spans="1:1" s="173" customFormat="1" ht="12" hidden="1" customHeight="1">
      <c r="A9108" s="172"/>
    </row>
    <row r="9109" spans="1:1" s="173" customFormat="1" ht="12" hidden="1" customHeight="1">
      <c r="A9109" s="172"/>
    </row>
    <row r="9110" spans="1:1" s="173" customFormat="1" ht="12" hidden="1" customHeight="1">
      <c r="A9110" s="172"/>
    </row>
    <row r="9111" spans="1:1" s="173" customFormat="1" ht="12" hidden="1" customHeight="1">
      <c r="A9111" s="172"/>
    </row>
    <row r="9112" spans="1:1" s="173" customFormat="1" ht="12" hidden="1" customHeight="1">
      <c r="A9112" s="172"/>
    </row>
    <row r="9113" spans="1:1" s="173" customFormat="1" ht="12" hidden="1" customHeight="1">
      <c r="A9113" s="172"/>
    </row>
    <row r="9114" spans="1:1" s="173" customFormat="1" ht="12" hidden="1" customHeight="1">
      <c r="A9114" s="172"/>
    </row>
    <row r="9115" spans="1:1" s="173" customFormat="1" ht="12" hidden="1" customHeight="1">
      <c r="A9115" s="172"/>
    </row>
    <row r="9116" spans="1:1" s="173" customFormat="1" ht="12" hidden="1" customHeight="1">
      <c r="A9116" s="172"/>
    </row>
    <row r="9117" spans="1:1" s="173" customFormat="1" ht="12" hidden="1" customHeight="1">
      <c r="A9117" s="172"/>
    </row>
    <row r="9118" spans="1:1" s="173" customFormat="1" ht="12" hidden="1" customHeight="1">
      <c r="A9118" s="172"/>
    </row>
    <row r="9119" spans="1:1" s="173" customFormat="1" ht="12" hidden="1" customHeight="1">
      <c r="A9119" s="172"/>
    </row>
    <row r="9120" spans="1:1" s="173" customFormat="1" ht="12" hidden="1" customHeight="1">
      <c r="A9120" s="172"/>
    </row>
    <row r="9121" spans="1:1" s="173" customFormat="1" ht="12" hidden="1" customHeight="1">
      <c r="A9121" s="172"/>
    </row>
    <row r="9122" spans="1:1" s="173" customFormat="1" ht="12" hidden="1" customHeight="1">
      <c r="A9122" s="172"/>
    </row>
    <row r="9123" spans="1:1" s="173" customFormat="1" ht="12" hidden="1" customHeight="1">
      <c r="A9123" s="172"/>
    </row>
    <row r="9124" spans="1:1" s="173" customFormat="1" ht="12" hidden="1" customHeight="1">
      <c r="A9124" s="172"/>
    </row>
    <row r="9125" spans="1:1" s="173" customFormat="1" ht="12" hidden="1" customHeight="1">
      <c r="A9125" s="172"/>
    </row>
    <row r="9126" spans="1:1" s="173" customFormat="1" ht="12" hidden="1" customHeight="1">
      <c r="A9126" s="172"/>
    </row>
    <row r="9127" spans="1:1" s="173" customFormat="1" ht="12" hidden="1" customHeight="1">
      <c r="A9127" s="172"/>
    </row>
    <row r="9128" spans="1:1" s="173" customFormat="1" ht="12" hidden="1" customHeight="1">
      <c r="A9128" s="172"/>
    </row>
    <row r="9129" spans="1:1" s="173" customFormat="1" ht="12" hidden="1" customHeight="1">
      <c r="A9129" s="172"/>
    </row>
    <row r="9130" spans="1:1" s="173" customFormat="1" ht="12" hidden="1" customHeight="1">
      <c r="A9130" s="172"/>
    </row>
    <row r="9131" spans="1:1" s="173" customFormat="1" ht="12" hidden="1" customHeight="1">
      <c r="A9131" s="172"/>
    </row>
    <row r="9132" spans="1:1" s="173" customFormat="1" ht="12" hidden="1" customHeight="1">
      <c r="A9132" s="172"/>
    </row>
    <row r="9133" spans="1:1" s="173" customFormat="1" ht="12" hidden="1" customHeight="1">
      <c r="A9133" s="172"/>
    </row>
    <row r="9134" spans="1:1" s="173" customFormat="1" ht="12" hidden="1" customHeight="1">
      <c r="A9134" s="172"/>
    </row>
    <row r="9135" spans="1:1" s="173" customFormat="1" ht="12" hidden="1" customHeight="1">
      <c r="A9135" s="172"/>
    </row>
    <row r="9136" spans="1:1" s="173" customFormat="1" ht="12" hidden="1" customHeight="1">
      <c r="A9136" s="172"/>
    </row>
    <row r="9137" spans="1:1" s="173" customFormat="1" ht="12" hidden="1" customHeight="1">
      <c r="A9137" s="172"/>
    </row>
    <row r="9138" spans="1:1" s="173" customFormat="1" ht="12" hidden="1" customHeight="1">
      <c r="A9138" s="172"/>
    </row>
    <row r="9139" spans="1:1" s="173" customFormat="1" ht="12" hidden="1" customHeight="1">
      <c r="A9139" s="172"/>
    </row>
    <row r="9140" spans="1:1" s="173" customFormat="1" ht="12" hidden="1" customHeight="1">
      <c r="A9140" s="172"/>
    </row>
    <row r="9141" spans="1:1" s="173" customFormat="1" ht="12" hidden="1" customHeight="1">
      <c r="A9141" s="172"/>
    </row>
    <row r="9142" spans="1:1" s="173" customFormat="1" ht="12" hidden="1" customHeight="1">
      <c r="A9142" s="172"/>
    </row>
    <row r="9143" spans="1:1" s="173" customFormat="1" ht="12" hidden="1" customHeight="1">
      <c r="A9143" s="172"/>
    </row>
    <row r="9144" spans="1:1" s="173" customFormat="1" ht="12" hidden="1" customHeight="1">
      <c r="A9144" s="172"/>
    </row>
    <row r="9145" spans="1:1" s="173" customFormat="1" ht="12" hidden="1" customHeight="1">
      <c r="A9145" s="172"/>
    </row>
    <row r="9146" spans="1:1" s="173" customFormat="1" ht="12" hidden="1" customHeight="1">
      <c r="A9146" s="172"/>
    </row>
    <row r="9147" spans="1:1" s="173" customFormat="1" ht="12" hidden="1" customHeight="1">
      <c r="A9147" s="172"/>
    </row>
    <row r="9148" spans="1:1" s="173" customFormat="1" ht="12" hidden="1" customHeight="1">
      <c r="A9148" s="172"/>
    </row>
    <row r="9149" spans="1:1" s="173" customFormat="1" ht="12" hidden="1" customHeight="1">
      <c r="A9149" s="172"/>
    </row>
    <row r="9150" spans="1:1" s="173" customFormat="1" ht="12" hidden="1" customHeight="1">
      <c r="A9150" s="172"/>
    </row>
    <row r="9151" spans="1:1" s="173" customFormat="1" ht="12" hidden="1" customHeight="1">
      <c r="A9151" s="172"/>
    </row>
    <row r="9152" spans="1:1" s="173" customFormat="1" ht="12" hidden="1" customHeight="1">
      <c r="A9152" s="172"/>
    </row>
    <row r="9153" spans="1:1" s="173" customFormat="1" ht="12" hidden="1" customHeight="1">
      <c r="A9153" s="172"/>
    </row>
    <row r="9154" spans="1:1" s="173" customFormat="1" ht="12" hidden="1" customHeight="1">
      <c r="A9154" s="172"/>
    </row>
    <row r="9155" spans="1:1" s="173" customFormat="1" ht="12" hidden="1" customHeight="1">
      <c r="A9155" s="172"/>
    </row>
    <row r="9156" spans="1:1" s="173" customFormat="1" ht="12" hidden="1" customHeight="1">
      <c r="A9156" s="172"/>
    </row>
    <row r="9157" spans="1:1" s="173" customFormat="1" ht="12" hidden="1" customHeight="1">
      <c r="A9157" s="172"/>
    </row>
    <row r="9158" spans="1:1" s="173" customFormat="1" ht="12" hidden="1" customHeight="1">
      <c r="A9158" s="172"/>
    </row>
    <row r="9159" spans="1:1" s="173" customFormat="1" ht="12" hidden="1" customHeight="1">
      <c r="A9159" s="172"/>
    </row>
    <row r="9160" spans="1:1" s="173" customFormat="1" ht="12" hidden="1" customHeight="1">
      <c r="A9160" s="172"/>
    </row>
    <row r="9161" spans="1:1" s="173" customFormat="1" ht="12" hidden="1" customHeight="1">
      <c r="A9161" s="172"/>
    </row>
    <row r="9162" spans="1:1" s="173" customFormat="1" ht="12" hidden="1" customHeight="1">
      <c r="A9162" s="172"/>
    </row>
    <row r="9163" spans="1:1" s="173" customFormat="1" ht="12" hidden="1" customHeight="1">
      <c r="A9163" s="172"/>
    </row>
    <row r="9164" spans="1:1" s="173" customFormat="1" ht="12" hidden="1" customHeight="1">
      <c r="A9164" s="172"/>
    </row>
    <row r="9165" spans="1:1" s="173" customFormat="1" ht="12" hidden="1" customHeight="1">
      <c r="A9165" s="172"/>
    </row>
    <row r="9166" spans="1:1" s="173" customFormat="1" ht="12" hidden="1" customHeight="1">
      <c r="A9166" s="172"/>
    </row>
    <row r="9167" spans="1:1" s="173" customFormat="1" ht="12" hidden="1" customHeight="1">
      <c r="A9167" s="172"/>
    </row>
    <row r="9168" spans="1:1" s="173" customFormat="1" ht="12" hidden="1" customHeight="1">
      <c r="A9168" s="172"/>
    </row>
    <row r="9169" spans="1:1" s="173" customFormat="1" ht="12" hidden="1" customHeight="1">
      <c r="A9169" s="172"/>
    </row>
    <row r="9170" spans="1:1" s="173" customFormat="1" ht="12" hidden="1" customHeight="1">
      <c r="A9170" s="172"/>
    </row>
    <row r="9171" spans="1:1" s="173" customFormat="1" ht="12" hidden="1" customHeight="1">
      <c r="A9171" s="172"/>
    </row>
    <row r="9172" spans="1:1" s="173" customFormat="1" ht="12" hidden="1" customHeight="1">
      <c r="A9172" s="172"/>
    </row>
    <row r="9173" spans="1:1" s="173" customFormat="1" ht="12" hidden="1" customHeight="1">
      <c r="A9173" s="172"/>
    </row>
    <row r="9174" spans="1:1" s="173" customFormat="1" ht="12" hidden="1" customHeight="1">
      <c r="A9174" s="172"/>
    </row>
    <row r="9175" spans="1:1" s="173" customFormat="1" ht="12" hidden="1" customHeight="1">
      <c r="A9175" s="172"/>
    </row>
    <row r="9176" spans="1:1" s="173" customFormat="1" ht="12" hidden="1" customHeight="1">
      <c r="A9176" s="172"/>
    </row>
    <row r="9177" spans="1:1" s="173" customFormat="1" ht="12" hidden="1" customHeight="1">
      <c r="A9177" s="172"/>
    </row>
    <row r="9178" spans="1:1" s="173" customFormat="1" ht="12" hidden="1" customHeight="1">
      <c r="A9178" s="172"/>
    </row>
    <row r="9179" spans="1:1" s="173" customFormat="1" ht="12" hidden="1" customHeight="1">
      <c r="A9179" s="172"/>
    </row>
    <row r="9180" spans="1:1" s="173" customFormat="1" ht="12" hidden="1" customHeight="1">
      <c r="A9180" s="172"/>
    </row>
    <row r="9181" spans="1:1" s="173" customFormat="1" ht="12" hidden="1" customHeight="1">
      <c r="A9181" s="172"/>
    </row>
    <row r="9182" spans="1:1" s="173" customFormat="1" ht="12" hidden="1" customHeight="1">
      <c r="A9182" s="172"/>
    </row>
    <row r="9183" spans="1:1" s="173" customFormat="1" ht="12" hidden="1" customHeight="1">
      <c r="A9183" s="172"/>
    </row>
    <row r="9184" spans="1:1" s="173" customFormat="1" ht="12" hidden="1" customHeight="1">
      <c r="A9184" s="172"/>
    </row>
    <row r="9185" spans="1:1" s="173" customFormat="1" ht="12" hidden="1" customHeight="1">
      <c r="A9185" s="172"/>
    </row>
    <row r="9186" spans="1:1" s="173" customFormat="1" ht="12" hidden="1" customHeight="1">
      <c r="A9186" s="172"/>
    </row>
    <row r="9187" spans="1:1" s="173" customFormat="1" ht="12" hidden="1" customHeight="1">
      <c r="A9187" s="172"/>
    </row>
    <row r="9188" spans="1:1" s="173" customFormat="1" ht="12" hidden="1" customHeight="1">
      <c r="A9188" s="172"/>
    </row>
    <row r="9189" spans="1:1" s="173" customFormat="1" ht="12" hidden="1" customHeight="1">
      <c r="A9189" s="172"/>
    </row>
    <row r="9190" spans="1:1" s="173" customFormat="1" ht="12" hidden="1" customHeight="1">
      <c r="A9190" s="172"/>
    </row>
    <row r="9191" spans="1:1" s="173" customFormat="1" ht="12" hidden="1" customHeight="1">
      <c r="A9191" s="172"/>
    </row>
    <row r="9192" spans="1:1" s="173" customFormat="1" ht="12" hidden="1" customHeight="1">
      <c r="A9192" s="172"/>
    </row>
    <row r="9193" spans="1:1" s="173" customFormat="1" ht="12" hidden="1" customHeight="1">
      <c r="A9193" s="172"/>
    </row>
    <row r="9194" spans="1:1" s="173" customFormat="1" ht="12" hidden="1" customHeight="1">
      <c r="A9194" s="172"/>
    </row>
    <row r="9195" spans="1:1" s="173" customFormat="1" ht="12" hidden="1" customHeight="1">
      <c r="A9195" s="172"/>
    </row>
    <row r="9196" spans="1:1" s="173" customFormat="1" ht="12" hidden="1" customHeight="1">
      <c r="A9196" s="172"/>
    </row>
    <row r="9197" spans="1:1" s="173" customFormat="1" ht="12" hidden="1" customHeight="1">
      <c r="A9197" s="172"/>
    </row>
    <row r="9198" spans="1:1" s="173" customFormat="1" ht="12" hidden="1" customHeight="1">
      <c r="A9198" s="172"/>
    </row>
    <row r="9199" spans="1:1" s="173" customFormat="1" ht="12" hidden="1" customHeight="1">
      <c r="A9199" s="172"/>
    </row>
    <row r="9200" spans="1:1" s="173" customFormat="1" ht="12" hidden="1" customHeight="1">
      <c r="A9200" s="172"/>
    </row>
    <row r="9201" spans="1:1" s="173" customFormat="1" ht="12" hidden="1" customHeight="1">
      <c r="A9201" s="172"/>
    </row>
    <row r="9202" spans="1:1" s="173" customFormat="1" ht="12" hidden="1" customHeight="1">
      <c r="A9202" s="172"/>
    </row>
    <row r="9203" spans="1:1" s="173" customFormat="1" ht="12" hidden="1" customHeight="1">
      <c r="A9203" s="172"/>
    </row>
    <row r="9204" spans="1:1" s="173" customFormat="1" ht="12" hidden="1" customHeight="1">
      <c r="A9204" s="172"/>
    </row>
    <row r="9205" spans="1:1" s="173" customFormat="1" ht="12" hidden="1" customHeight="1">
      <c r="A9205" s="172"/>
    </row>
    <row r="9206" spans="1:1" s="173" customFormat="1" ht="12" hidden="1" customHeight="1">
      <c r="A9206" s="172"/>
    </row>
    <row r="9207" spans="1:1" s="173" customFormat="1" ht="12" hidden="1" customHeight="1">
      <c r="A9207" s="172"/>
    </row>
    <row r="9208" spans="1:1" s="173" customFormat="1" ht="12" hidden="1" customHeight="1">
      <c r="A9208" s="172"/>
    </row>
    <row r="9209" spans="1:1" s="173" customFormat="1" ht="12" hidden="1" customHeight="1">
      <c r="A9209" s="172"/>
    </row>
    <row r="9210" spans="1:1" s="173" customFormat="1" ht="12" hidden="1" customHeight="1">
      <c r="A9210" s="172"/>
    </row>
    <row r="9211" spans="1:1" s="173" customFormat="1" ht="12" hidden="1" customHeight="1">
      <c r="A9211" s="172"/>
    </row>
    <row r="9212" spans="1:1" s="173" customFormat="1" ht="12" hidden="1" customHeight="1">
      <c r="A9212" s="172"/>
    </row>
    <row r="9213" spans="1:1" s="173" customFormat="1" ht="12" hidden="1" customHeight="1">
      <c r="A9213" s="172"/>
    </row>
    <row r="9214" spans="1:1" s="173" customFormat="1" ht="12" hidden="1" customHeight="1">
      <c r="A9214" s="172"/>
    </row>
    <row r="9215" spans="1:1" s="173" customFormat="1" ht="12" hidden="1" customHeight="1">
      <c r="A9215" s="172"/>
    </row>
    <row r="9216" spans="1:1" s="173" customFormat="1" ht="12" hidden="1" customHeight="1">
      <c r="A9216" s="172"/>
    </row>
    <row r="9217" spans="1:1" s="173" customFormat="1" ht="12" hidden="1" customHeight="1">
      <c r="A9217" s="172"/>
    </row>
    <row r="9218" spans="1:1" s="173" customFormat="1" ht="12" hidden="1" customHeight="1">
      <c r="A9218" s="172"/>
    </row>
    <row r="9219" spans="1:1" s="173" customFormat="1" ht="12" hidden="1" customHeight="1">
      <c r="A9219" s="172"/>
    </row>
    <row r="9220" spans="1:1" s="173" customFormat="1" ht="12" hidden="1" customHeight="1">
      <c r="A9220" s="172"/>
    </row>
    <row r="9221" spans="1:1" s="173" customFormat="1" ht="12" hidden="1" customHeight="1">
      <c r="A9221" s="172"/>
    </row>
    <row r="9222" spans="1:1" s="173" customFormat="1" ht="12" hidden="1" customHeight="1">
      <c r="A9222" s="172"/>
    </row>
    <row r="9223" spans="1:1" s="173" customFormat="1" ht="12" hidden="1" customHeight="1">
      <c r="A9223" s="172"/>
    </row>
    <row r="9224" spans="1:1" s="173" customFormat="1" ht="12" hidden="1" customHeight="1">
      <c r="A9224" s="172"/>
    </row>
    <row r="9225" spans="1:1" s="173" customFormat="1" ht="12" hidden="1" customHeight="1">
      <c r="A9225" s="172"/>
    </row>
    <row r="9226" spans="1:1" s="173" customFormat="1" ht="12" hidden="1" customHeight="1">
      <c r="A9226" s="172"/>
    </row>
    <row r="9227" spans="1:1" s="173" customFormat="1" ht="12" hidden="1" customHeight="1">
      <c r="A9227" s="172"/>
    </row>
    <row r="9228" spans="1:1" s="173" customFormat="1" ht="12" hidden="1" customHeight="1">
      <c r="A9228" s="172"/>
    </row>
    <row r="9229" spans="1:1" s="173" customFormat="1" ht="12" hidden="1" customHeight="1">
      <c r="A9229" s="172"/>
    </row>
    <row r="9230" spans="1:1" s="173" customFormat="1" ht="12" hidden="1" customHeight="1">
      <c r="A9230" s="172"/>
    </row>
    <row r="9231" spans="1:1" s="173" customFormat="1" ht="12" hidden="1" customHeight="1">
      <c r="A9231" s="172"/>
    </row>
    <row r="9232" spans="1:1" s="173" customFormat="1" ht="12" hidden="1" customHeight="1">
      <c r="A9232" s="172"/>
    </row>
    <row r="9233" spans="1:1" s="173" customFormat="1" ht="12" hidden="1" customHeight="1">
      <c r="A9233" s="172"/>
    </row>
    <row r="9234" spans="1:1" s="173" customFormat="1" ht="12" hidden="1" customHeight="1">
      <c r="A9234" s="172"/>
    </row>
    <row r="9235" spans="1:1" s="173" customFormat="1" ht="12" hidden="1" customHeight="1">
      <c r="A9235" s="172"/>
    </row>
    <row r="9236" spans="1:1" s="173" customFormat="1" ht="12" hidden="1" customHeight="1">
      <c r="A9236" s="172"/>
    </row>
    <row r="9237" spans="1:1" s="173" customFormat="1" ht="12" hidden="1" customHeight="1">
      <c r="A9237" s="172"/>
    </row>
    <row r="9238" spans="1:1" s="173" customFormat="1" ht="12" hidden="1" customHeight="1">
      <c r="A9238" s="172"/>
    </row>
    <row r="9239" spans="1:1" s="173" customFormat="1" ht="12" hidden="1" customHeight="1">
      <c r="A9239" s="172"/>
    </row>
    <row r="9240" spans="1:1" s="173" customFormat="1" ht="12" hidden="1" customHeight="1">
      <c r="A9240" s="172"/>
    </row>
    <row r="9241" spans="1:1" s="173" customFormat="1" ht="12" hidden="1" customHeight="1">
      <c r="A9241" s="172"/>
    </row>
    <row r="9242" spans="1:1" s="173" customFormat="1" ht="12" hidden="1" customHeight="1">
      <c r="A9242" s="172"/>
    </row>
    <row r="9243" spans="1:1" s="173" customFormat="1" ht="12" hidden="1" customHeight="1">
      <c r="A9243" s="172"/>
    </row>
    <row r="9244" spans="1:1" s="173" customFormat="1" ht="12" hidden="1" customHeight="1">
      <c r="A9244" s="172"/>
    </row>
    <row r="9245" spans="1:1" s="173" customFormat="1" ht="12" hidden="1" customHeight="1">
      <c r="A9245" s="172"/>
    </row>
    <row r="9246" spans="1:1" s="173" customFormat="1" ht="12" hidden="1" customHeight="1">
      <c r="A9246" s="172"/>
    </row>
    <row r="9247" spans="1:1" s="173" customFormat="1" ht="12" hidden="1" customHeight="1">
      <c r="A9247" s="172"/>
    </row>
    <row r="9248" spans="1:1" s="173" customFormat="1" ht="12" hidden="1" customHeight="1">
      <c r="A9248" s="172"/>
    </row>
    <row r="9249" spans="1:1" s="173" customFormat="1" ht="12" hidden="1" customHeight="1">
      <c r="A9249" s="172"/>
    </row>
    <row r="9250" spans="1:1" s="173" customFormat="1" ht="12" hidden="1" customHeight="1">
      <c r="A9250" s="172"/>
    </row>
    <row r="9251" spans="1:1" s="173" customFormat="1" ht="12" hidden="1" customHeight="1">
      <c r="A9251" s="172"/>
    </row>
    <row r="9252" spans="1:1" s="173" customFormat="1" ht="12" hidden="1" customHeight="1">
      <c r="A9252" s="172"/>
    </row>
    <row r="9253" spans="1:1" s="173" customFormat="1" ht="12" hidden="1" customHeight="1">
      <c r="A9253" s="172"/>
    </row>
    <row r="9254" spans="1:1" s="173" customFormat="1" ht="12" hidden="1" customHeight="1">
      <c r="A9254" s="172"/>
    </row>
    <row r="9255" spans="1:1" s="173" customFormat="1" ht="12" hidden="1" customHeight="1">
      <c r="A9255" s="172"/>
    </row>
    <row r="9256" spans="1:1" s="173" customFormat="1" ht="12" hidden="1" customHeight="1">
      <c r="A9256" s="172"/>
    </row>
    <row r="9257" spans="1:1" s="173" customFormat="1" ht="12" hidden="1" customHeight="1">
      <c r="A9257" s="172"/>
    </row>
    <row r="9258" spans="1:1" s="173" customFormat="1" ht="12" hidden="1" customHeight="1">
      <c r="A9258" s="172"/>
    </row>
    <row r="9259" spans="1:1" s="173" customFormat="1" ht="12" hidden="1" customHeight="1">
      <c r="A9259" s="172"/>
    </row>
    <row r="9260" spans="1:1" s="173" customFormat="1" ht="12" hidden="1" customHeight="1">
      <c r="A9260" s="172"/>
    </row>
    <row r="9261" spans="1:1" s="173" customFormat="1" ht="12" hidden="1" customHeight="1">
      <c r="A9261" s="172"/>
    </row>
    <row r="9262" spans="1:1" s="173" customFormat="1" ht="12" hidden="1" customHeight="1">
      <c r="A9262" s="172"/>
    </row>
    <row r="9263" spans="1:1" s="173" customFormat="1" ht="12" hidden="1" customHeight="1">
      <c r="A9263" s="172"/>
    </row>
    <row r="9264" spans="1:1" s="173" customFormat="1" ht="12" hidden="1" customHeight="1">
      <c r="A9264" s="172"/>
    </row>
    <row r="9265" spans="1:1" s="173" customFormat="1" ht="12" hidden="1" customHeight="1">
      <c r="A9265" s="172"/>
    </row>
    <row r="9266" spans="1:1" s="173" customFormat="1" ht="12" hidden="1" customHeight="1">
      <c r="A9266" s="172"/>
    </row>
    <row r="9267" spans="1:1" s="173" customFormat="1" ht="12" hidden="1" customHeight="1">
      <c r="A9267" s="172"/>
    </row>
    <row r="9268" spans="1:1" s="173" customFormat="1" ht="12" hidden="1" customHeight="1">
      <c r="A9268" s="172"/>
    </row>
    <row r="9269" spans="1:1" s="173" customFormat="1" ht="12" hidden="1" customHeight="1">
      <c r="A9269" s="172"/>
    </row>
    <row r="9270" spans="1:1" s="173" customFormat="1" ht="12" hidden="1" customHeight="1">
      <c r="A9270" s="172"/>
    </row>
    <row r="9271" spans="1:1" s="173" customFormat="1" ht="12" hidden="1" customHeight="1">
      <c r="A9271" s="172"/>
    </row>
    <row r="9272" spans="1:1" s="173" customFormat="1" ht="12" hidden="1" customHeight="1">
      <c r="A9272" s="172"/>
    </row>
    <row r="9273" spans="1:1" s="173" customFormat="1" ht="12" hidden="1" customHeight="1">
      <c r="A9273" s="172"/>
    </row>
    <row r="9274" spans="1:1" s="173" customFormat="1" ht="12" hidden="1" customHeight="1">
      <c r="A9274" s="172"/>
    </row>
    <row r="9275" spans="1:1" s="173" customFormat="1" ht="12" hidden="1" customHeight="1">
      <c r="A9275" s="172"/>
    </row>
    <row r="9276" spans="1:1" s="173" customFormat="1" ht="12" hidden="1" customHeight="1">
      <c r="A9276" s="172"/>
    </row>
    <row r="9277" spans="1:1" s="173" customFormat="1" ht="12" hidden="1" customHeight="1">
      <c r="A9277" s="172"/>
    </row>
    <row r="9278" spans="1:1" s="173" customFormat="1" ht="12" hidden="1" customHeight="1">
      <c r="A9278" s="172"/>
    </row>
    <row r="9279" spans="1:1" s="173" customFormat="1" ht="12" hidden="1" customHeight="1">
      <c r="A9279" s="172"/>
    </row>
    <row r="9280" spans="1:1" s="173" customFormat="1" ht="12" hidden="1" customHeight="1">
      <c r="A9280" s="172"/>
    </row>
    <row r="9281" spans="1:1" s="173" customFormat="1" ht="12" hidden="1" customHeight="1">
      <c r="A9281" s="172"/>
    </row>
    <row r="9282" spans="1:1" s="173" customFormat="1" ht="12" hidden="1" customHeight="1">
      <c r="A9282" s="172"/>
    </row>
    <row r="9283" spans="1:1" s="173" customFormat="1" ht="12" hidden="1" customHeight="1">
      <c r="A9283" s="172"/>
    </row>
    <row r="9284" spans="1:1" s="173" customFormat="1" ht="12" hidden="1" customHeight="1">
      <c r="A9284" s="172"/>
    </row>
    <row r="9285" spans="1:1" s="173" customFormat="1" ht="12" hidden="1" customHeight="1">
      <c r="A9285" s="172"/>
    </row>
    <row r="9286" spans="1:1" s="173" customFormat="1" ht="12" hidden="1" customHeight="1">
      <c r="A9286" s="172"/>
    </row>
    <row r="9287" spans="1:1" s="173" customFormat="1" ht="12" hidden="1" customHeight="1">
      <c r="A9287" s="172"/>
    </row>
    <row r="9288" spans="1:1" s="173" customFormat="1" ht="12" hidden="1" customHeight="1">
      <c r="A9288" s="172"/>
    </row>
    <row r="9289" spans="1:1" s="173" customFormat="1" ht="12" hidden="1" customHeight="1">
      <c r="A9289" s="172"/>
    </row>
    <row r="9290" spans="1:1" s="173" customFormat="1" ht="12" hidden="1" customHeight="1">
      <c r="A9290" s="172"/>
    </row>
    <row r="9291" spans="1:1" s="173" customFormat="1" ht="12" hidden="1" customHeight="1">
      <c r="A9291" s="172"/>
    </row>
    <row r="9292" spans="1:1" s="173" customFormat="1" ht="12" hidden="1" customHeight="1">
      <c r="A9292" s="172"/>
    </row>
    <row r="9293" spans="1:1" s="173" customFormat="1" ht="12" hidden="1" customHeight="1">
      <c r="A9293" s="172"/>
    </row>
    <row r="9294" spans="1:1" s="173" customFormat="1" ht="12" hidden="1" customHeight="1">
      <c r="A9294" s="172"/>
    </row>
    <row r="9295" spans="1:1" s="173" customFormat="1" ht="12" hidden="1" customHeight="1">
      <c r="A9295" s="172"/>
    </row>
    <row r="9296" spans="1:1" s="173" customFormat="1" ht="12" hidden="1" customHeight="1">
      <c r="A9296" s="172"/>
    </row>
    <row r="9297" spans="1:1" s="173" customFormat="1" ht="12" hidden="1" customHeight="1">
      <c r="A9297" s="172"/>
    </row>
    <row r="9298" spans="1:1" s="173" customFormat="1" ht="12" hidden="1" customHeight="1">
      <c r="A9298" s="172"/>
    </row>
    <row r="9299" spans="1:1" s="173" customFormat="1" ht="12" hidden="1" customHeight="1">
      <c r="A9299" s="172"/>
    </row>
    <row r="9300" spans="1:1" s="173" customFormat="1" ht="12" hidden="1" customHeight="1">
      <c r="A9300" s="172"/>
    </row>
    <row r="9301" spans="1:1" s="173" customFormat="1" ht="12" hidden="1" customHeight="1">
      <c r="A9301" s="172"/>
    </row>
    <row r="9302" spans="1:1" s="173" customFormat="1" ht="12" hidden="1" customHeight="1">
      <c r="A9302" s="172"/>
    </row>
    <row r="9303" spans="1:1" s="173" customFormat="1" ht="12" hidden="1" customHeight="1">
      <c r="A9303" s="172"/>
    </row>
    <row r="9304" spans="1:1" s="173" customFormat="1" ht="12" hidden="1" customHeight="1">
      <c r="A9304" s="172"/>
    </row>
    <row r="9305" spans="1:1" s="173" customFormat="1" ht="12" hidden="1" customHeight="1">
      <c r="A9305" s="172"/>
    </row>
    <row r="9306" spans="1:1" s="173" customFormat="1" ht="12" hidden="1" customHeight="1">
      <c r="A9306" s="172"/>
    </row>
    <row r="9307" spans="1:1" s="173" customFormat="1" ht="12" hidden="1" customHeight="1">
      <c r="A9307" s="172"/>
    </row>
    <row r="9308" spans="1:1" s="173" customFormat="1" ht="12" hidden="1" customHeight="1">
      <c r="A9308" s="172"/>
    </row>
    <row r="9309" spans="1:1" s="173" customFormat="1" ht="12" hidden="1" customHeight="1">
      <c r="A9309" s="172"/>
    </row>
    <row r="9310" spans="1:1" s="173" customFormat="1" ht="12" hidden="1" customHeight="1">
      <c r="A9310" s="172"/>
    </row>
    <row r="9311" spans="1:1" s="173" customFormat="1" ht="12" hidden="1" customHeight="1">
      <c r="A9311" s="172"/>
    </row>
    <row r="9312" spans="1:1" s="173" customFormat="1" ht="12" hidden="1" customHeight="1">
      <c r="A9312" s="172"/>
    </row>
    <row r="9313" spans="1:1" s="173" customFormat="1" ht="12" hidden="1" customHeight="1">
      <c r="A9313" s="172"/>
    </row>
    <row r="9314" spans="1:1" s="173" customFormat="1" ht="12" hidden="1" customHeight="1">
      <c r="A9314" s="172"/>
    </row>
    <row r="9315" spans="1:1" s="173" customFormat="1" ht="12" hidden="1" customHeight="1">
      <c r="A9315" s="172"/>
    </row>
    <row r="9316" spans="1:1" s="173" customFormat="1" ht="12" hidden="1" customHeight="1">
      <c r="A9316" s="172"/>
    </row>
    <row r="9317" spans="1:1" s="173" customFormat="1" ht="12" hidden="1" customHeight="1">
      <c r="A9317" s="172"/>
    </row>
    <row r="9318" spans="1:1" s="173" customFormat="1" ht="12" hidden="1" customHeight="1">
      <c r="A9318" s="172"/>
    </row>
    <row r="9319" spans="1:1" s="173" customFormat="1" ht="12" hidden="1" customHeight="1">
      <c r="A9319" s="172"/>
    </row>
    <row r="9320" spans="1:1" s="173" customFormat="1" ht="12" hidden="1" customHeight="1">
      <c r="A9320" s="172"/>
    </row>
    <row r="9321" spans="1:1" s="173" customFormat="1" ht="12" hidden="1" customHeight="1">
      <c r="A9321" s="172"/>
    </row>
    <row r="9322" spans="1:1" s="173" customFormat="1" ht="12" hidden="1" customHeight="1">
      <c r="A9322" s="172"/>
    </row>
    <row r="9323" spans="1:1" s="173" customFormat="1" ht="12" hidden="1" customHeight="1">
      <c r="A9323" s="172"/>
    </row>
    <row r="9324" spans="1:1" s="173" customFormat="1" ht="12" hidden="1" customHeight="1">
      <c r="A9324" s="172"/>
    </row>
    <row r="9325" spans="1:1" s="173" customFormat="1" ht="12" hidden="1" customHeight="1">
      <c r="A9325" s="172"/>
    </row>
    <row r="9326" spans="1:1" s="173" customFormat="1" ht="12" hidden="1" customHeight="1">
      <c r="A9326" s="172"/>
    </row>
    <row r="9327" spans="1:1" s="173" customFormat="1" ht="12" hidden="1" customHeight="1">
      <c r="A9327" s="172"/>
    </row>
    <row r="9328" spans="1:1" s="173" customFormat="1" ht="12" hidden="1" customHeight="1">
      <c r="A9328" s="172"/>
    </row>
    <row r="9329" spans="1:1" s="173" customFormat="1" ht="12" hidden="1" customHeight="1">
      <c r="A9329" s="172"/>
    </row>
    <row r="9330" spans="1:1" s="173" customFormat="1" ht="12" hidden="1" customHeight="1">
      <c r="A9330" s="172"/>
    </row>
    <row r="9331" spans="1:1" s="173" customFormat="1" ht="12" hidden="1" customHeight="1">
      <c r="A9331" s="172"/>
    </row>
    <row r="9332" spans="1:1" s="173" customFormat="1" ht="12" hidden="1" customHeight="1">
      <c r="A9332" s="172"/>
    </row>
    <row r="9333" spans="1:1" s="173" customFormat="1" ht="12" hidden="1" customHeight="1">
      <c r="A9333" s="172"/>
    </row>
    <row r="9334" spans="1:1" s="173" customFormat="1" ht="12" hidden="1" customHeight="1">
      <c r="A9334" s="172"/>
    </row>
    <row r="9335" spans="1:1" s="173" customFormat="1" ht="12" hidden="1" customHeight="1">
      <c r="A9335" s="172"/>
    </row>
    <row r="9336" spans="1:1" s="173" customFormat="1" ht="12" hidden="1" customHeight="1">
      <c r="A9336" s="172"/>
    </row>
    <row r="9337" spans="1:1" s="173" customFormat="1" ht="12" hidden="1" customHeight="1">
      <c r="A9337" s="172"/>
    </row>
    <row r="9338" spans="1:1" s="173" customFormat="1" ht="12" hidden="1" customHeight="1">
      <c r="A9338" s="172"/>
    </row>
    <row r="9339" spans="1:1" s="173" customFormat="1" ht="12" hidden="1" customHeight="1">
      <c r="A9339" s="172"/>
    </row>
    <row r="9340" spans="1:1" s="173" customFormat="1" ht="12" hidden="1" customHeight="1">
      <c r="A9340" s="172"/>
    </row>
    <row r="9341" spans="1:1" s="173" customFormat="1" ht="12" hidden="1" customHeight="1">
      <c r="A9341" s="172"/>
    </row>
    <row r="9342" spans="1:1" s="173" customFormat="1" ht="12" hidden="1" customHeight="1">
      <c r="A9342" s="172"/>
    </row>
    <row r="9343" spans="1:1" s="173" customFormat="1" ht="12" hidden="1" customHeight="1">
      <c r="A9343" s="172"/>
    </row>
    <row r="9344" spans="1:1" s="173" customFormat="1" ht="12" hidden="1" customHeight="1">
      <c r="A9344" s="172"/>
    </row>
    <row r="9345" spans="1:1" s="173" customFormat="1" ht="12" hidden="1" customHeight="1">
      <c r="A9345" s="172"/>
    </row>
    <row r="9346" spans="1:1" s="173" customFormat="1" ht="12" hidden="1" customHeight="1">
      <c r="A9346" s="172"/>
    </row>
    <row r="9347" spans="1:1" s="173" customFormat="1" ht="12" hidden="1" customHeight="1">
      <c r="A9347" s="172"/>
    </row>
    <row r="9348" spans="1:1" s="173" customFormat="1" ht="12" hidden="1" customHeight="1">
      <c r="A9348" s="172"/>
    </row>
    <row r="9349" spans="1:1" s="173" customFormat="1" ht="12" hidden="1" customHeight="1">
      <c r="A9349" s="172"/>
    </row>
    <row r="9350" spans="1:1" s="173" customFormat="1" ht="12" hidden="1" customHeight="1">
      <c r="A9350" s="172"/>
    </row>
    <row r="9351" spans="1:1" s="173" customFormat="1" ht="12" hidden="1" customHeight="1">
      <c r="A9351" s="172"/>
    </row>
    <row r="9352" spans="1:1" s="173" customFormat="1" ht="12" hidden="1" customHeight="1">
      <c r="A9352" s="172"/>
    </row>
    <row r="9353" spans="1:1" s="173" customFormat="1" ht="12" hidden="1" customHeight="1">
      <c r="A9353" s="172"/>
    </row>
    <row r="9354" spans="1:1" s="173" customFormat="1" ht="12" hidden="1" customHeight="1">
      <c r="A9354" s="172"/>
    </row>
    <row r="9355" spans="1:1" s="173" customFormat="1" ht="12" hidden="1" customHeight="1">
      <c r="A9355" s="172"/>
    </row>
    <row r="9356" spans="1:1" s="173" customFormat="1" ht="12" hidden="1" customHeight="1">
      <c r="A9356" s="172"/>
    </row>
    <row r="9357" spans="1:1" s="173" customFormat="1" ht="12" hidden="1" customHeight="1">
      <c r="A9357" s="172"/>
    </row>
    <row r="9358" spans="1:1" s="173" customFormat="1" ht="12" hidden="1" customHeight="1">
      <c r="A9358" s="172"/>
    </row>
    <row r="9359" spans="1:1" s="173" customFormat="1" ht="12" hidden="1" customHeight="1">
      <c r="A9359" s="172"/>
    </row>
    <row r="9360" spans="1:1" s="173" customFormat="1" ht="12" hidden="1" customHeight="1">
      <c r="A9360" s="172"/>
    </row>
    <row r="9361" spans="1:1" s="173" customFormat="1" ht="12" hidden="1" customHeight="1">
      <c r="A9361" s="172"/>
    </row>
    <row r="9362" spans="1:1" s="173" customFormat="1" ht="12" hidden="1" customHeight="1">
      <c r="A9362" s="172"/>
    </row>
    <row r="9363" spans="1:1" s="173" customFormat="1" ht="12" hidden="1" customHeight="1">
      <c r="A9363" s="172"/>
    </row>
    <row r="9364" spans="1:1" s="173" customFormat="1" ht="12" hidden="1" customHeight="1">
      <c r="A9364" s="172"/>
    </row>
    <row r="9365" spans="1:1" s="173" customFormat="1" ht="12" hidden="1" customHeight="1">
      <c r="A9365" s="172"/>
    </row>
    <row r="9366" spans="1:1" s="173" customFormat="1" ht="12" hidden="1" customHeight="1">
      <c r="A9366" s="172"/>
    </row>
    <row r="9367" spans="1:1" s="173" customFormat="1" ht="12" hidden="1" customHeight="1">
      <c r="A9367" s="172"/>
    </row>
    <row r="9368" spans="1:1" s="173" customFormat="1" ht="12" hidden="1" customHeight="1">
      <c r="A9368" s="172"/>
    </row>
    <row r="9369" spans="1:1" s="173" customFormat="1" ht="12" hidden="1" customHeight="1">
      <c r="A9369" s="172"/>
    </row>
    <row r="9370" spans="1:1" s="173" customFormat="1" ht="12" hidden="1" customHeight="1">
      <c r="A9370" s="172"/>
    </row>
    <row r="9371" spans="1:1" s="173" customFormat="1" ht="12" hidden="1" customHeight="1">
      <c r="A9371" s="172"/>
    </row>
    <row r="9372" spans="1:1" s="173" customFormat="1" ht="12" hidden="1" customHeight="1">
      <c r="A9372" s="172"/>
    </row>
    <row r="9373" spans="1:1" s="173" customFormat="1" ht="12" hidden="1" customHeight="1">
      <c r="A9373" s="172"/>
    </row>
    <row r="9374" spans="1:1" s="173" customFormat="1" ht="12" hidden="1" customHeight="1">
      <c r="A9374" s="172"/>
    </row>
    <row r="9375" spans="1:1" s="173" customFormat="1" ht="12" hidden="1" customHeight="1">
      <c r="A9375" s="172"/>
    </row>
    <row r="9376" spans="1:1" s="173" customFormat="1" ht="12" hidden="1" customHeight="1">
      <c r="A9376" s="172"/>
    </row>
    <row r="9377" spans="1:1" s="173" customFormat="1" ht="12" hidden="1" customHeight="1">
      <c r="A9377" s="172"/>
    </row>
    <row r="9378" spans="1:1" s="173" customFormat="1" ht="12" hidden="1" customHeight="1">
      <c r="A9378" s="172"/>
    </row>
    <row r="9379" spans="1:1" s="173" customFormat="1" ht="12" hidden="1" customHeight="1">
      <c r="A9379" s="172"/>
    </row>
    <row r="9380" spans="1:1" s="173" customFormat="1" ht="12" hidden="1" customHeight="1">
      <c r="A9380" s="172"/>
    </row>
    <row r="9381" spans="1:1" s="173" customFormat="1" ht="12" hidden="1" customHeight="1">
      <c r="A9381" s="172"/>
    </row>
    <row r="9382" spans="1:1" s="173" customFormat="1" ht="12" hidden="1" customHeight="1">
      <c r="A9382" s="172"/>
    </row>
    <row r="9383" spans="1:1" s="173" customFormat="1" ht="12" hidden="1" customHeight="1">
      <c r="A9383" s="172"/>
    </row>
    <row r="9384" spans="1:1" s="173" customFormat="1" ht="12" hidden="1" customHeight="1">
      <c r="A9384" s="172"/>
    </row>
    <row r="9385" spans="1:1" s="173" customFormat="1" ht="12" hidden="1" customHeight="1">
      <c r="A9385" s="172"/>
    </row>
    <row r="9386" spans="1:1" s="173" customFormat="1" ht="12" hidden="1" customHeight="1">
      <c r="A9386" s="172"/>
    </row>
    <row r="9387" spans="1:1" s="173" customFormat="1" ht="12" hidden="1" customHeight="1">
      <c r="A9387" s="172"/>
    </row>
    <row r="9388" spans="1:1" s="173" customFormat="1" ht="12" hidden="1" customHeight="1">
      <c r="A9388" s="172"/>
    </row>
    <row r="9389" spans="1:1" s="173" customFormat="1" ht="12" hidden="1" customHeight="1">
      <c r="A9389" s="172"/>
    </row>
    <row r="9390" spans="1:1" s="173" customFormat="1" ht="12" hidden="1" customHeight="1">
      <c r="A9390" s="172"/>
    </row>
    <row r="9391" spans="1:1" s="173" customFormat="1" ht="12" hidden="1" customHeight="1">
      <c r="A9391" s="172"/>
    </row>
    <row r="9392" spans="1:1" s="173" customFormat="1" ht="12" hidden="1" customHeight="1">
      <c r="A9392" s="172"/>
    </row>
    <row r="9393" spans="1:1" s="173" customFormat="1" ht="12" hidden="1" customHeight="1">
      <c r="A9393" s="172"/>
    </row>
    <row r="9394" spans="1:1" s="173" customFormat="1" ht="12" hidden="1" customHeight="1">
      <c r="A9394" s="172"/>
    </row>
    <row r="9395" spans="1:1" s="173" customFormat="1" ht="12" hidden="1" customHeight="1">
      <c r="A9395" s="172"/>
    </row>
    <row r="9396" spans="1:1" s="173" customFormat="1" ht="12" hidden="1" customHeight="1">
      <c r="A9396" s="172"/>
    </row>
    <row r="9397" spans="1:1" s="173" customFormat="1" ht="12" hidden="1" customHeight="1">
      <c r="A9397" s="172"/>
    </row>
    <row r="9398" spans="1:1" s="173" customFormat="1" ht="12" hidden="1" customHeight="1">
      <c r="A9398" s="172"/>
    </row>
    <row r="9399" spans="1:1" s="173" customFormat="1" ht="12" hidden="1" customHeight="1">
      <c r="A9399" s="172"/>
    </row>
    <row r="9400" spans="1:1" s="173" customFormat="1" ht="12" hidden="1" customHeight="1">
      <c r="A9400" s="172"/>
    </row>
    <row r="9401" spans="1:1" s="173" customFormat="1" ht="12" hidden="1" customHeight="1">
      <c r="A9401" s="172"/>
    </row>
    <row r="9402" spans="1:1" s="173" customFormat="1" ht="12" hidden="1" customHeight="1">
      <c r="A9402" s="172"/>
    </row>
    <row r="9403" spans="1:1" s="173" customFormat="1" ht="12" hidden="1" customHeight="1">
      <c r="A9403" s="172"/>
    </row>
    <row r="9404" spans="1:1" s="173" customFormat="1" ht="12" hidden="1" customHeight="1">
      <c r="A9404" s="172"/>
    </row>
    <row r="9405" spans="1:1" s="173" customFormat="1" ht="12" hidden="1" customHeight="1">
      <c r="A9405" s="172"/>
    </row>
    <row r="9406" spans="1:1" s="173" customFormat="1" ht="12" hidden="1" customHeight="1">
      <c r="A9406" s="172"/>
    </row>
    <row r="9407" spans="1:1" s="173" customFormat="1" ht="12" hidden="1" customHeight="1">
      <c r="A9407" s="172"/>
    </row>
    <row r="9408" spans="1:1" s="173" customFormat="1" ht="12" hidden="1" customHeight="1">
      <c r="A9408" s="172"/>
    </row>
    <row r="9409" spans="1:1" s="173" customFormat="1" ht="12" hidden="1" customHeight="1">
      <c r="A9409" s="172"/>
    </row>
    <row r="9410" spans="1:1" s="173" customFormat="1" ht="12" hidden="1" customHeight="1">
      <c r="A9410" s="172"/>
    </row>
    <row r="9411" spans="1:1" s="173" customFormat="1" ht="12" hidden="1" customHeight="1">
      <c r="A9411" s="172"/>
    </row>
    <row r="9412" spans="1:1" s="173" customFormat="1" ht="12" hidden="1" customHeight="1">
      <c r="A9412" s="172"/>
    </row>
    <row r="9413" spans="1:1" s="173" customFormat="1" ht="12" hidden="1" customHeight="1">
      <c r="A9413" s="172"/>
    </row>
    <row r="9414" spans="1:1" s="173" customFormat="1" ht="12" hidden="1" customHeight="1">
      <c r="A9414" s="172"/>
    </row>
    <row r="9415" spans="1:1" s="173" customFormat="1" ht="12" hidden="1" customHeight="1">
      <c r="A9415" s="172"/>
    </row>
    <row r="9416" spans="1:1" s="173" customFormat="1" ht="12" hidden="1" customHeight="1">
      <c r="A9416" s="172"/>
    </row>
    <row r="9417" spans="1:1" s="173" customFormat="1" ht="12" hidden="1" customHeight="1">
      <c r="A9417" s="172"/>
    </row>
    <row r="9418" spans="1:1" s="173" customFormat="1" ht="12" hidden="1" customHeight="1">
      <c r="A9418" s="172"/>
    </row>
    <row r="9419" spans="1:1" s="173" customFormat="1" ht="12" hidden="1" customHeight="1">
      <c r="A9419" s="172"/>
    </row>
    <row r="9420" spans="1:1" s="173" customFormat="1" ht="12" hidden="1" customHeight="1">
      <c r="A9420" s="172"/>
    </row>
    <row r="9421" spans="1:1" s="173" customFormat="1" ht="12" hidden="1" customHeight="1">
      <c r="A9421" s="172"/>
    </row>
    <row r="9422" spans="1:1" s="173" customFormat="1" ht="12" hidden="1" customHeight="1">
      <c r="A9422" s="172"/>
    </row>
    <row r="9423" spans="1:1" s="173" customFormat="1" ht="12" hidden="1" customHeight="1">
      <c r="A9423" s="172"/>
    </row>
    <row r="9424" spans="1:1" s="173" customFormat="1" ht="12" hidden="1" customHeight="1">
      <c r="A9424" s="172"/>
    </row>
    <row r="9425" spans="1:1" s="173" customFormat="1" ht="12" hidden="1" customHeight="1">
      <c r="A9425" s="172"/>
    </row>
    <row r="9426" spans="1:1" s="173" customFormat="1" ht="12" hidden="1" customHeight="1">
      <c r="A9426" s="172"/>
    </row>
    <row r="9427" spans="1:1" s="173" customFormat="1" ht="12" hidden="1" customHeight="1">
      <c r="A9427" s="172"/>
    </row>
    <row r="9428" spans="1:1" s="173" customFormat="1" ht="12" hidden="1" customHeight="1">
      <c r="A9428" s="172"/>
    </row>
    <row r="9429" spans="1:1" s="173" customFormat="1" ht="12" hidden="1" customHeight="1">
      <c r="A9429" s="172"/>
    </row>
    <row r="9430" spans="1:1" s="173" customFormat="1" ht="12" hidden="1" customHeight="1">
      <c r="A9430" s="172"/>
    </row>
    <row r="9431" spans="1:1" s="173" customFormat="1" ht="12" hidden="1" customHeight="1">
      <c r="A9431" s="172"/>
    </row>
    <row r="9432" spans="1:1" s="173" customFormat="1" ht="12" hidden="1" customHeight="1">
      <c r="A9432" s="172"/>
    </row>
    <row r="9433" spans="1:1" s="173" customFormat="1" ht="12" hidden="1" customHeight="1">
      <c r="A9433" s="172"/>
    </row>
    <row r="9434" spans="1:1" s="173" customFormat="1" ht="12" hidden="1" customHeight="1">
      <c r="A9434" s="172"/>
    </row>
    <row r="9435" spans="1:1" s="173" customFormat="1" ht="12" hidden="1" customHeight="1">
      <c r="A9435" s="172"/>
    </row>
    <row r="9436" spans="1:1" s="173" customFormat="1" ht="12" hidden="1" customHeight="1">
      <c r="A9436" s="172"/>
    </row>
    <row r="9437" spans="1:1" s="173" customFormat="1" ht="12" hidden="1" customHeight="1">
      <c r="A9437" s="172"/>
    </row>
    <row r="9438" spans="1:1" s="173" customFormat="1" ht="12" hidden="1" customHeight="1">
      <c r="A9438" s="172"/>
    </row>
    <row r="9439" spans="1:1" s="173" customFormat="1" ht="12" hidden="1" customHeight="1">
      <c r="A9439" s="172"/>
    </row>
    <row r="9440" spans="1:1" s="173" customFormat="1" ht="12" hidden="1" customHeight="1">
      <c r="A9440" s="172"/>
    </row>
    <row r="9441" spans="1:1" s="173" customFormat="1" ht="12" hidden="1" customHeight="1">
      <c r="A9441" s="172"/>
    </row>
    <row r="9442" spans="1:1" s="173" customFormat="1" ht="12" hidden="1" customHeight="1">
      <c r="A9442" s="172"/>
    </row>
    <row r="9443" spans="1:1" s="173" customFormat="1" ht="12" hidden="1" customHeight="1">
      <c r="A9443" s="172"/>
    </row>
    <row r="9444" spans="1:1" s="173" customFormat="1" ht="12" hidden="1" customHeight="1">
      <c r="A9444" s="172"/>
    </row>
    <row r="9445" spans="1:1" s="173" customFormat="1" ht="12" hidden="1" customHeight="1">
      <c r="A9445" s="172"/>
    </row>
    <row r="9446" spans="1:1" s="173" customFormat="1" ht="12" hidden="1" customHeight="1">
      <c r="A9446" s="172"/>
    </row>
    <row r="9447" spans="1:1" s="173" customFormat="1" ht="12" hidden="1" customHeight="1">
      <c r="A9447" s="172"/>
    </row>
    <row r="9448" spans="1:1" s="173" customFormat="1" ht="12" hidden="1" customHeight="1">
      <c r="A9448" s="172"/>
    </row>
    <row r="9449" spans="1:1" s="173" customFormat="1" ht="12" hidden="1" customHeight="1">
      <c r="A9449" s="172"/>
    </row>
    <row r="9450" spans="1:1" s="173" customFormat="1" ht="12" hidden="1" customHeight="1">
      <c r="A9450" s="172"/>
    </row>
    <row r="9451" spans="1:1" s="173" customFormat="1" ht="12" hidden="1" customHeight="1">
      <c r="A9451" s="172"/>
    </row>
    <row r="9452" spans="1:1" s="173" customFormat="1" ht="12" hidden="1" customHeight="1">
      <c r="A9452" s="172"/>
    </row>
    <row r="9453" spans="1:1" s="173" customFormat="1" ht="12" hidden="1" customHeight="1">
      <c r="A9453" s="172"/>
    </row>
    <row r="9454" spans="1:1" s="173" customFormat="1" ht="12" hidden="1" customHeight="1">
      <c r="A9454" s="172"/>
    </row>
    <row r="9455" spans="1:1" s="173" customFormat="1" ht="12" hidden="1" customHeight="1">
      <c r="A9455" s="172"/>
    </row>
    <row r="9456" spans="1:1" s="173" customFormat="1" ht="12" hidden="1" customHeight="1">
      <c r="A9456" s="172"/>
    </row>
    <row r="9457" spans="1:1" s="173" customFormat="1" ht="12" hidden="1" customHeight="1">
      <c r="A9457" s="172"/>
    </row>
    <row r="9458" spans="1:1" s="173" customFormat="1" ht="12" hidden="1" customHeight="1">
      <c r="A9458" s="172"/>
    </row>
    <row r="9459" spans="1:1" s="173" customFormat="1" ht="12" hidden="1" customHeight="1">
      <c r="A9459" s="172"/>
    </row>
    <row r="9460" spans="1:1" s="173" customFormat="1" ht="12" hidden="1" customHeight="1">
      <c r="A9460" s="172"/>
    </row>
    <row r="9461" spans="1:1" s="173" customFormat="1" ht="12" hidden="1" customHeight="1">
      <c r="A9461" s="172"/>
    </row>
    <row r="9462" spans="1:1" s="173" customFormat="1" ht="12" hidden="1" customHeight="1">
      <c r="A9462" s="172"/>
    </row>
    <row r="9463" spans="1:1" s="173" customFormat="1" ht="12" hidden="1" customHeight="1">
      <c r="A9463" s="172"/>
    </row>
    <row r="9464" spans="1:1" s="173" customFormat="1" ht="12" hidden="1" customHeight="1">
      <c r="A9464" s="172"/>
    </row>
    <row r="9465" spans="1:1" s="173" customFormat="1" ht="12" hidden="1" customHeight="1">
      <c r="A9465" s="172"/>
    </row>
    <row r="9466" spans="1:1" s="173" customFormat="1" ht="12" hidden="1" customHeight="1">
      <c r="A9466" s="172"/>
    </row>
    <row r="9467" spans="1:1" s="173" customFormat="1" ht="12" hidden="1" customHeight="1">
      <c r="A9467" s="172"/>
    </row>
    <row r="9468" spans="1:1" s="173" customFormat="1" ht="12" hidden="1" customHeight="1">
      <c r="A9468" s="172"/>
    </row>
    <row r="9469" spans="1:1" s="173" customFormat="1" ht="12" hidden="1" customHeight="1">
      <c r="A9469" s="172"/>
    </row>
    <row r="9470" spans="1:1" s="173" customFormat="1" ht="12" hidden="1" customHeight="1">
      <c r="A9470" s="172"/>
    </row>
    <row r="9471" spans="1:1" s="173" customFormat="1" ht="12" hidden="1" customHeight="1">
      <c r="A9471" s="172"/>
    </row>
    <row r="9472" spans="1:1" s="173" customFormat="1" ht="12" hidden="1" customHeight="1">
      <c r="A9472" s="172"/>
    </row>
    <row r="9473" spans="1:1" s="173" customFormat="1" ht="12" hidden="1" customHeight="1">
      <c r="A9473" s="172"/>
    </row>
    <row r="9474" spans="1:1" s="173" customFormat="1" ht="12" hidden="1" customHeight="1">
      <c r="A9474" s="172"/>
    </row>
    <row r="9475" spans="1:1" s="173" customFormat="1" ht="12" hidden="1" customHeight="1">
      <c r="A9475" s="172"/>
    </row>
    <row r="9476" spans="1:1" s="173" customFormat="1" ht="12" hidden="1" customHeight="1">
      <c r="A9476" s="172"/>
    </row>
    <row r="9477" spans="1:1" s="173" customFormat="1" ht="12" hidden="1" customHeight="1">
      <c r="A9477" s="172"/>
    </row>
    <row r="9478" spans="1:1" s="173" customFormat="1" ht="12" hidden="1" customHeight="1">
      <c r="A9478" s="172"/>
    </row>
    <row r="9479" spans="1:1" s="173" customFormat="1" ht="12" hidden="1" customHeight="1">
      <c r="A9479" s="172"/>
    </row>
    <row r="9480" spans="1:1" s="173" customFormat="1" ht="12" hidden="1" customHeight="1">
      <c r="A9480" s="172"/>
    </row>
    <row r="9481" spans="1:1" s="173" customFormat="1" ht="12" hidden="1" customHeight="1">
      <c r="A9481" s="172"/>
    </row>
    <row r="9482" spans="1:1" s="173" customFormat="1" ht="12" hidden="1" customHeight="1">
      <c r="A9482" s="172"/>
    </row>
    <row r="9483" spans="1:1" s="173" customFormat="1" ht="12" hidden="1" customHeight="1">
      <c r="A9483" s="172"/>
    </row>
    <row r="9484" spans="1:1" s="173" customFormat="1" ht="12" hidden="1" customHeight="1">
      <c r="A9484" s="172"/>
    </row>
    <row r="9485" spans="1:1" s="173" customFormat="1" ht="12" hidden="1" customHeight="1">
      <c r="A9485" s="172"/>
    </row>
    <row r="9486" spans="1:1" s="173" customFormat="1" ht="12" hidden="1" customHeight="1">
      <c r="A9486" s="172"/>
    </row>
    <row r="9487" spans="1:1" s="173" customFormat="1" ht="12" hidden="1" customHeight="1">
      <c r="A9487" s="172"/>
    </row>
    <row r="9488" spans="1:1" s="173" customFormat="1" ht="12" hidden="1" customHeight="1">
      <c r="A9488" s="172"/>
    </row>
    <row r="9489" spans="1:1" s="173" customFormat="1" ht="12" hidden="1" customHeight="1">
      <c r="A9489" s="172"/>
    </row>
    <row r="9490" spans="1:1" s="173" customFormat="1" ht="12" hidden="1" customHeight="1">
      <c r="A9490" s="172"/>
    </row>
    <row r="9491" spans="1:1" s="173" customFormat="1" ht="12" hidden="1" customHeight="1">
      <c r="A9491" s="172"/>
    </row>
    <row r="9492" spans="1:1" s="173" customFormat="1" ht="12" hidden="1" customHeight="1">
      <c r="A9492" s="172"/>
    </row>
    <row r="9493" spans="1:1" s="173" customFormat="1" ht="12" hidden="1" customHeight="1">
      <c r="A9493" s="172"/>
    </row>
    <row r="9494" spans="1:1" s="173" customFormat="1" ht="12" hidden="1" customHeight="1">
      <c r="A9494" s="172"/>
    </row>
    <row r="9495" spans="1:1" s="173" customFormat="1" ht="12" hidden="1" customHeight="1">
      <c r="A9495" s="172"/>
    </row>
    <row r="9496" spans="1:1" s="173" customFormat="1" ht="12" hidden="1" customHeight="1">
      <c r="A9496" s="172"/>
    </row>
    <row r="9497" spans="1:1" s="173" customFormat="1" ht="12" hidden="1" customHeight="1">
      <c r="A9497" s="172"/>
    </row>
    <row r="9498" spans="1:1" s="173" customFormat="1" ht="12" hidden="1" customHeight="1">
      <c r="A9498" s="172"/>
    </row>
    <row r="9499" spans="1:1" s="173" customFormat="1" ht="12" hidden="1" customHeight="1">
      <c r="A9499" s="172"/>
    </row>
    <row r="9500" spans="1:1" s="173" customFormat="1" ht="12" hidden="1" customHeight="1">
      <c r="A9500" s="172"/>
    </row>
    <row r="9501" spans="1:1" s="173" customFormat="1" ht="12" hidden="1" customHeight="1">
      <c r="A9501" s="172"/>
    </row>
    <row r="9502" spans="1:1" s="173" customFormat="1" ht="12" hidden="1" customHeight="1">
      <c r="A9502" s="172"/>
    </row>
    <row r="9503" spans="1:1" s="173" customFormat="1" ht="12" hidden="1" customHeight="1">
      <c r="A9503" s="172"/>
    </row>
    <row r="9504" spans="1:1" s="173" customFormat="1" ht="12" hidden="1" customHeight="1">
      <c r="A9504" s="172"/>
    </row>
    <row r="9505" spans="1:1" s="173" customFormat="1" ht="12" hidden="1" customHeight="1">
      <c r="A9505" s="172"/>
    </row>
    <row r="9506" spans="1:1" s="173" customFormat="1" ht="12" hidden="1" customHeight="1">
      <c r="A9506" s="172"/>
    </row>
    <row r="9507" spans="1:1" s="173" customFormat="1" ht="12" hidden="1" customHeight="1">
      <c r="A9507" s="172"/>
    </row>
    <row r="9508" spans="1:1" s="173" customFormat="1" ht="12" hidden="1" customHeight="1">
      <c r="A9508" s="172"/>
    </row>
    <row r="9509" spans="1:1" s="173" customFormat="1" ht="12" hidden="1" customHeight="1">
      <c r="A9509" s="172"/>
    </row>
    <row r="9510" spans="1:1" s="173" customFormat="1" ht="12" hidden="1" customHeight="1">
      <c r="A9510" s="172"/>
    </row>
    <row r="9511" spans="1:1" s="173" customFormat="1" ht="12" hidden="1" customHeight="1">
      <c r="A9511" s="172"/>
    </row>
    <row r="9512" spans="1:1" s="173" customFormat="1" ht="12" hidden="1" customHeight="1">
      <c r="A9512" s="172"/>
    </row>
    <row r="9513" spans="1:1" s="173" customFormat="1" ht="12" hidden="1" customHeight="1">
      <c r="A9513" s="172"/>
    </row>
    <row r="9514" spans="1:1" s="173" customFormat="1" ht="12" hidden="1" customHeight="1">
      <c r="A9514" s="172"/>
    </row>
    <row r="9515" spans="1:1" s="173" customFormat="1" ht="12" hidden="1" customHeight="1">
      <c r="A9515" s="172"/>
    </row>
    <row r="9516" spans="1:1" s="173" customFormat="1" ht="12" hidden="1" customHeight="1">
      <c r="A9516" s="172"/>
    </row>
    <row r="9517" spans="1:1" s="173" customFormat="1" ht="12" hidden="1" customHeight="1">
      <c r="A9517" s="172"/>
    </row>
    <row r="9518" spans="1:1" s="173" customFormat="1" ht="12" hidden="1" customHeight="1">
      <c r="A9518" s="172"/>
    </row>
    <row r="9519" spans="1:1" s="173" customFormat="1" ht="12" hidden="1" customHeight="1">
      <c r="A9519" s="172"/>
    </row>
    <row r="9520" spans="1:1" s="173" customFormat="1" ht="12" hidden="1" customHeight="1">
      <c r="A9520" s="172"/>
    </row>
    <row r="9521" spans="1:1" s="173" customFormat="1" ht="12" hidden="1" customHeight="1">
      <c r="A9521" s="172"/>
    </row>
    <row r="9522" spans="1:1" s="173" customFormat="1" ht="12" hidden="1" customHeight="1">
      <c r="A9522" s="172"/>
    </row>
    <row r="9523" spans="1:1" s="173" customFormat="1" ht="12" hidden="1" customHeight="1">
      <c r="A9523" s="172"/>
    </row>
    <row r="9524" spans="1:1" s="173" customFormat="1" ht="12" hidden="1" customHeight="1">
      <c r="A9524" s="172"/>
    </row>
    <row r="9525" spans="1:1" s="173" customFormat="1" ht="12" hidden="1" customHeight="1">
      <c r="A9525" s="172"/>
    </row>
    <row r="9526" spans="1:1" s="173" customFormat="1" ht="12" hidden="1" customHeight="1">
      <c r="A9526" s="172"/>
    </row>
    <row r="9527" spans="1:1" s="173" customFormat="1" ht="12" hidden="1" customHeight="1">
      <c r="A9527" s="172"/>
    </row>
    <row r="9528" spans="1:1" s="173" customFormat="1" ht="12" hidden="1" customHeight="1">
      <c r="A9528" s="172"/>
    </row>
    <row r="9529" spans="1:1" s="173" customFormat="1" ht="12" hidden="1" customHeight="1">
      <c r="A9529" s="172"/>
    </row>
    <row r="9530" spans="1:1" s="173" customFormat="1" ht="12" hidden="1" customHeight="1">
      <c r="A9530" s="172"/>
    </row>
    <row r="9531" spans="1:1" s="173" customFormat="1" ht="12" hidden="1" customHeight="1">
      <c r="A9531" s="172"/>
    </row>
    <row r="9532" spans="1:1" s="173" customFormat="1" ht="12" hidden="1" customHeight="1">
      <c r="A9532" s="172"/>
    </row>
    <row r="9533" spans="1:1" s="173" customFormat="1" ht="12" hidden="1" customHeight="1">
      <c r="A9533" s="172"/>
    </row>
    <row r="9534" spans="1:1" s="173" customFormat="1" ht="12" hidden="1" customHeight="1">
      <c r="A9534" s="172"/>
    </row>
    <row r="9535" spans="1:1" s="173" customFormat="1" ht="12" hidden="1" customHeight="1">
      <c r="A9535" s="172"/>
    </row>
    <row r="9536" spans="1:1" s="173" customFormat="1" ht="12" hidden="1" customHeight="1">
      <c r="A9536" s="172"/>
    </row>
    <row r="9537" spans="1:1" s="173" customFormat="1" ht="12" hidden="1" customHeight="1">
      <c r="A9537" s="172"/>
    </row>
    <row r="9538" spans="1:1" s="173" customFormat="1" ht="12" hidden="1" customHeight="1">
      <c r="A9538" s="172"/>
    </row>
    <row r="9539" spans="1:1" s="173" customFormat="1" ht="12" hidden="1" customHeight="1">
      <c r="A9539" s="172"/>
    </row>
    <row r="9540" spans="1:1" s="173" customFormat="1" ht="12" hidden="1" customHeight="1">
      <c r="A9540" s="172"/>
    </row>
    <row r="9541" spans="1:1" s="173" customFormat="1" ht="12" hidden="1" customHeight="1">
      <c r="A9541" s="172"/>
    </row>
    <row r="9542" spans="1:1" s="173" customFormat="1" ht="12" hidden="1" customHeight="1">
      <c r="A9542" s="172"/>
    </row>
    <row r="9543" spans="1:1" s="173" customFormat="1" ht="12" hidden="1" customHeight="1">
      <c r="A9543" s="172"/>
    </row>
    <row r="9544" spans="1:1" s="173" customFormat="1" ht="12" hidden="1" customHeight="1">
      <c r="A9544" s="172"/>
    </row>
    <row r="9545" spans="1:1" s="173" customFormat="1" ht="12" hidden="1" customHeight="1">
      <c r="A9545" s="172"/>
    </row>
    <row r="9546" spans="1:1" s="173" customFormat="1" ht="12" hidden="1" customHeight="1">
      <c r="A9546" s="172"/>
    </row>
    <row r="9547" spans="1:1" s="173" customFormat="1" ht="12" hidden="1" customHeight="1">
      <c r="A9547" s="172"/>
    </row>
    <row r="9548" spans="1:1" s="173" customFormat="1" ht="12" hidden="1" customHeight="1">
      <c r="A9548" s="172"/>
    </row>
    <row r="9549" spans="1:1" s="173" customFormat="1" ht="12" hidden="1" customHeight="1">
      <c r="A9549" s="172"/>
    </row>
    <row r="9550" spans="1:1" s="173" customFormat="1" ht="12" hidden="1" customHeight="1">
      <c r="A9550" s="172"/>
    </row>
    <row r="9551" spans="1:1" s="173" customFormat="1" ht="12" hidden="1" customHeight="1">
      <c r="A9551" s="172"/>
    </row>
    <row r="9552" spans="1:1" s="173" customFormat="1" ht="12" hidden="1" customHeight="1">
      <c r="A9552" s="172"/>
    </row>
    <row r="9553" spans="1:1" s="173" customFormat="1" ht="12" hidden="1" customHeight="1">
      <c r="A9553" s="172"/>
    </row>
    <row r="9554" spans="1:1" s="173" customFormat="1" ht="12" hidden="1" customHeight="1">
      <c r="A9554" s="172"/>
    </row>
    <row r="9555" spans="1:1" s="173" customFormat="1" ht="12" hidden="1" customHeight="1">
      <c r="A9555" s="172"/>
    </row>
    <row r="9556" spans="1:1" s="173" customFormat="1" ht="12" hidden="1" customHeight="1">
      <c r="A9556" s="172"/>
    </row>
    <row r="9557" spans="1:1" s="173" customFormat="1" ht="12" hidden="1" customHeight="1">
      <c r="A9557" s="172"/>
    </row>
    <row r="9558" spans="1:1" s="173" customFormat="1" ht="12" hidden="1" customHeight="1">
      <c r="A9558" s="172"/>
    </row>
    <row r="9559" spans="1:1" s="173" customFormat="1" ht="12" hidden="1" customHeight="1">
      <c r="A9559" s="172"/>
    </row>
    <row r="9560" spans="1:1" s="173" customFormat="1" ht="12" hidden="1" customHeight="1">
      <c r="A9560" s="172"/>
    </row>
    <row r="9561" spans="1:1" s="173" customFormat="1" ht="12" hidden="1" customHeight="1">
      <c r="A9561" s="172"/>
    </row>
    <row r="9562" spans="1:1" s="173" customFormat="1" ht="12" hidden="1" customHeight="1">
      <c r="A9562" s="172"/>
    </row>
    <row r="9563" spans="1:1" s="173" customFormat="1" ht="12" hidden="1" customHeight="1">
      <c r="A9563" s="172"/>
    </row>
    <row r="9564" spans="1:1" s="173" customFormat="1" ht="12" hidden="1" customHeight="1">
      <c r="A9564" s="172"/>
    </row>
    <row r="9565" spans="1:1" s="173" customFormat="1" ht="12" hidden="1" customHeight="1">
      <c r="A9565" s="172"/>
    </row>
    <row r="9566" spans="1:1" s="173" customFormat="1" ht="12" hidden="1" customHeight="1">
      <c r="A9566" s="172"/>
    </row>
    <row r="9567" spans="1:1" s="173" customFormat="1" ht="12" hidden="1" customHeight="1">
      <c r="A9567" s="172"/>
    </row>
    <row r="9568" spans="1:1" s="173" customFormat="1" ht="12" hidden="1" customHeight="1">
      <c r="A9568" s="172"/>
    </row>
    <row r="9569" spans="1:1" s="173" customFormat="1" ht="12" hidden="1" customHeight="1">
      <c r="A9569" s="172"/>
    </row>
    <row r="9570" spans="1:1" s="173" customFormat="1" ht="12" hidden="1" customHeight="1">
      <c r="A9570" s="172"/>
    </row>
    <row r="9571" spans="1:1" s="173" customFormat="1" ht="12" hidden="1" customHeight="1">
      <c r="A9571" s="172"/>
    </row>
    <row r="9572" spans="1:1" s="173" customFormat="1" ht="12" hidden="1" customHeight="1">
      <c r="A9572" s="172"/>
    </row>
    <row r="9573" spans="1:1" s="173" customFormat="1" ht="12" hidden="1" customHeight="1">
      <c r="A9573" s="172"/>
    </row>
    <row r="9574" spans="1:1" s="173" customFormat="1" ht="12" hidden="1" customHeight="1">
      <c r="A9574" s="172"/>
    </row>
    <row r="9575" spans="1:1" s="173" customFormat="1" ht="12" hidden="1" customHeight="1">
      <c r="A9575" s="172"/>
    </row>
    <row r="9576" spans="1:1" s="173" customFormat="1" ht="12" hidden="1" customHeight="1">
      <c r="A9576" s="172"/>
    </row>
    <row r="9577" spans="1:1" s="173" customFormat="1" ht="12" hidden="1" customHeight="1">
      <c r="A9577" s="172"/>
    </row>
    <row r="9578" spans="1:1" s="173" customFormat="1" ht="12" hidden="1" customHeight="1">
      <c r="A9578" s="172"/>
    </row>
    <row r="9579" spans="1:1" s="173" customFormat="1" ht="12" hidden="1" customHeight="1">
      <c r="A9579" s="172"/>
    </row>
    <row r="9580" spans="1:1" s="173" customFormat="1" ht="12" hidden="1" customHeight="1">
      <c r="A9580" s="172"/>
    </row>
    <row r="9581" spans="1:1" s="173" customFormat="1" ht="12" hidden="1" customHeight="1">
      <c r="A9581" s="172"/>
    </row>
    <row r="9582" spans="1:1" s="173" customFormat="1" ht="12" hidden="1" customHeight="1">
      <c r="A9582" s="172"/>
    </row>
    <row r="9583" spans="1:1" s="173" customFormat="1" ht="12" hidden="1" customHeight="1">
      <c r="A9583" s="172"/>
    </row>
    <row r="9584" spans="1:1" s="173" customFormat="1" ht="12" hidden="1" customHeight="1">
      <c r="A9584" s="172"/>
    </row>
    <row r="9585" spans="1:1" s="173" customFormat="1" ht="12" hidden="1" customHeight="1">
      <c r="A9585" s="172"/>
    </row>
    <row r="9586" spans="1:1" s="173" customFormat="1" ht="12" hidden="1" customHeight="1">
      <c r="A9586" s="172"/>
    </row>
    <row r="9587" spans="1:1" s="173" customFormat="1" ht="12" hidden="1" customHeight="1">
      <c r="A9587" s="172"/>
    </row>
    <row r="9588" spans="1:1" s="173" customFormat="1" ht="12" hidden="1" customHeight="1">
      <c r="A9588" s="172"/>
    </row>
    <row r="9589" spans="1:1" s="173" customFormat="1" ht="12" hidden="1" customHeight="1">
      <c r="A9589" s="172"/>
    </row>
    <row r="9590" spans="1:1" s="173" customFormat="1" ht="12" hidden="1" customHeight="1">
      <c r="A9590" s="172"/>
    </row>
    <row r="9591" spans="1:1" s="173" customFormat="1" ht="12" hidden="1" customHeight="1">
      <c r="A9591" s="172"/>
    </row>
    <row r="9592" spans="1:1" s="173" customFormat="1" ht="12" hidden="1" customHeight="1">
      <c r="A9592" s="172"/>
    </row>
    <row r="9593" spans="1:1" s="173" customFormat="1" ht="12" hidden="1" customHeight="1">
      <c r="A9593" s="172"/>
    </row>
    <row r="9594" spans="1:1" s="173" customFormat="1" ht="12" hidden="1" customHeight="1">
      <c r="A9594" s="172"/>
    </row>
    <row r="9595" spans="1:1" s="173" customFormat="1" ht="12" hidden="1" customHeight="1">
      <c r="A9595" s="172"/>
    </row>
    <row r="9596" spans="1:1" s="173" customFormat="1" ht="12" hidden="1" customHeight="1">
      <c r="A9596" s="172"/>
    </row>
    <row r="9597" spans="1:1" s="173" customFormat="1" ht="12" hidden="1" customHeight="1">
      <c r="A9597" s="172"/>
    </row>
    <row r="9598" spans="1:1" s="173" customFormat="1" ht="12" hidden="1" customHeight="1">
      <c r="A9598" s="172"/>
    </row>
    <row r="9599" spans="1:1" s="173" customFormat="1" ht="12" hidden="1" customHeight="1">
      <c r="A9599" s="172"/>
    </row>
    <row r="9600" spans="1:1" s="173" customFormat="1" ht="12" hidden="1" customHeight="1">
      <c r="A9600" s="172"/>
    </row>
    <row r="9601" spans="1:1" s="173" customFormat="1" ht="12" hidden="1" customHeight="1">
      <c r="A9601" s="172"/>
    </row>
    <row r="9602" spans="1:1" s="173" customFormat="1" ht="12" hidden="1" customHeight="1">
      <c r="A9602" s="172"/>
    </row>
    <row r="9603" spans="1:1" s="173" customFormat="1" ht="12" hidden="1" customHeight="1">
      <c r="A9603" s="172"/>
    </row>
    <row r="9604" spans="1:1" s="173" customFormat="1" ht="12" hidden="1" customHeight="1">
      <c r="A9604" s="172"/>
    </row>
    <row r="9605" spans="1:1" s="173" customFormat="1" ht="12" hidden="1" customHeight="1">
      <c r="A9605" s="172"/>
    </row>
    <row r="9606" spans="1:1" s="173" customFormat="1" ht="12" hidden="1" customHeight="1">
      <c r="A9606" s="172"/>
    </row>
    <row r="9607" spans="1:1" s="173" customFormat="1" ht="12" hidden="1" customHeight="1">
      <c r="A9607" s="172"/>
    </row>
    <row r="9608" spans="1:1" s="173" customFormat="1" ht="12" hidden="1" customHeight="1">
      <c r="A9608" s="172"/>
    </row>
    <row r="9609" spans="1:1" s="173" customFormat="1" ht="12" hidden="1" customHeight="1">
      <c r="A9609" s="172"/>
    </row>
    <row r="9610" spans="1:1" s="173" customFormat="1" ht="12" hidden="1" customHeight="1">
      <c r="A9610" s="172"/>
    </row>
    <row r="9611" spans="1:1" s="173" customFormat="1" ht="12" hidden="1" customHeight="1">
      <c r="A9611" s="172"/>
    </row>
    <row r="9612" spans="1:1" s="173" customFormat="1" ht="12" hidden="1" customHeight="1">
      <c r="A9612" s="172"/>
    </row>
    <row r="9613" spans="1:1" s="173" customFormat="1" ht="12" hidden="1" customHeight="1">
      <c r="A9613" s="172"/>
    </row>
    <row r="9614" spans="1:1" s="173" customFormat="1" ht="12" hidden="1" customHeight="1">
      <c r="A9614" s="172"/>
    </row>
    <row r="9615" spans="1:1" s="173" customFormat="1" ht="12" hidden="1" customHeight="1">
      <c r="A9615" s="172"/>
    </row>
    <row r="9616" spans="1:1" s="173" customFormat="1" ht="12" hidden="1" customHeight="1">
      <c r="A9616" s="172"/>
    </row>
    <row r="9617" spans="1:1" s="173" customFormat="1" ht="12" hidden="1" customHeight="1">
      <c r="A9617" s="172"/>
    </row>
    <row r="9618" spans="1:1" s="173" customFormat="1" ht="12" hidden="1" customHeight="1">
      <c r="A9618" s="172"/>
    </row>
    <row r="9619" spans="1:1" s="173" customFormat="1" ht="12" hidden="1" customHeight="1">
      <c r="A9619" s="172"/>
    </row>
    <row r="9620" spans="1:1" s="173" customFormat="1" ht="12" hidden="1" customHeight="1">
      <c r="A9620" s="172"/>
    </row>
    <row r="9621" spans="1:1" s="173" customFormat="1" ht="12" hidden="1" customHeight="1">
      <c r="A9621" s="172"/>
    </row>
    <row r="9622" spans="1:1" s="173" customFormat="1" ht="12" hidden="1" customHeight="1">
      <c r="A9622" s="172"/>
    </row>
    <row r="9623" spans="1:1" s="173" customFormat="1" ht="12" hidden="1" customHeight="1">
      <c r="A9623" s="172"/>
    </row>
    <row r="9624" spans="1:1" s="173" customFormat="1" ht="12" hidden="1" customHeight="1">
      <c r="A9624" s="172"/>
    </row>
    <row r="9625" spans="1:1" s="173" customFormat="1" ht="12" hidden="1" customHeight="1">
      <c r="A9625" s="172"/>
    </row>
    <row r="9626" spans="1:1" s="173" customFormat="1" ht="12" hidden="1" customHeight="1">
      <c r="A9626" s="172"/>
    </row>
    <row r="9627" spans="1:1" s="173" customFormat="1" ht="12" hidden="1" customHeight="1">
      <c r="A9627" s="172"/>
    </row>
    <row r="9628" spans="1:1" s="173" customFormat="1" ht="12" hidden="1" customHeight="1">
      <c r="A9628" s="172"/>
    </row>
    <row r="9629" spans="1:1" s="173" customFormat="1" ht="12" hidden="1" customHeight="1">
      <c r="A9629" s="172"/>
    </row>
    <row r="9630" spans="1:1" s="173" customFormat="1" ht="12" hidden="1" customHeight="1">
      <c r="A9630" s="172"/>
    </row>
    <row r="9631" spans="1:1" s="173" customFormat="1" ht="12" hidden="1" customHeight="1">
      <c r="A9631" s="172"/>
    </row>
    <row r="9632" spans="1:1" s="173" customFormat="1" ht="12" hidden="1" customHeight="1">
      <c r="A9632" s="172"/>
    </row>
    <row r="9633" spans="1:1" s="173" customFormat="1" ht="12" hidden="1" customHeight="1">
      <c r="A9633" s="172"/>
    </row>
    <row r="9634" spans="1:1" s="173" customFormat="1" ht="12" hidden="1" customHeight="1">
      <c r="A9634" s="172"/>
    </row>
    <row r="9635" spans="1:1" s="173" customFormat="1" ht="12" hidden="1" customHeight="1">
      <c r="A9635" s="172"/>
    </row>
    <row r="9636" spans="1:1" s="173" customFormat="1" ht="12" hidden="1" customHeight="1">
      <c r="A9636" s="172"/>
    </row>
    <row r="9637" spans="1:1" s="173" customFormat="1" ht="12" hidden="1" customHeight="1">
      <c r="A9637" s="172"/>
    </row>
    <row r="9638" spans="1:1" s="173" customFormat="1" ht="12" hidden="1" customHeight="1">
      <c r="A9638" s="172"/>
    </row>
    <row r="9639" spans="1:1" s="173" customFormat="1" ht="12" hidden="1" customHeight="1">
      <c r="A9639" s="172"/>
    </row>
    <row r="9640" spans="1:1" s="173" customFormat="1" ht="12" hidden="1" customHeight="1">
      <c r="A9640" s="172"/>
    </row>
    <row r="9641" spans="1:1" s="173" customFormat="1" ht="12" hidden="1" customHeight="1">
      <c r="A9641" s="172"/>
    </row>
    <row r="9642" spans="1:1" s="173" customFormat="1" ht="12" hidden="1" customHeight="1">
      <c r="A9642" s="172"/>
    </row>
    <row r="9643" spans="1:1" s="173" customFormat="1" ht="12" hidden="1" customHeight="1">
      <c r="A9643" s="172"/>
    </row>
    <row r="9644" spans="1:1" s="173" customFormat="1" ht="12" hidden="1" customHeight="1">
      <c r="A9644" s="172"/>
    </row>
    <row r="9645" spans="1:1" s="173" customFormat="1" ht="12" hidden="1" customHeight="1">
      <c r="A9645" s="172"/>
    </row>
    <row r="9646" spans="1:1" s="173" customFormat="1" ht="12" hidden="1" customHeight="1">
      <c r="A9646" s="172"/>
    </row>
    <row r="9647" spans="1:1" s="173" customFormat="1" ht="12" hidden="1" customHeight="1">
      <c r="A9647" s="172"/>
    </row>
    <row r="9648" spans="1:1" s="173" customFormat="1" ht="12" hidden="1" customHeight="1">
      <c r="A9648" s="172"/>
    </row>
    <row r="9649" spans="1:1" s="173" customFormat="1" ht="12" hidden="1" customHeight="1">
      <c r="A9649" s="172"/>
    </row>
    <row r="9650" spans="1:1" s="173" customFormat="1" ht="12" hidden="1" customHeight="1">
      <c r="A9650" s="172"/>
    </row>
    <row r="9651" spans="1:1" s="173" customFormat="1" ht="12" hidden="1" customHeight="1">
      <c r="A9651" s="172"/>
    </row>
    <row r="9652" spans="1:1" s="173" customFormat="1" ht="12" hidden="1" customHeight="1">
      <c r="A9652" s="172"/>
    </row>
    <row r="9653" spans="1:1" s="173" customFormat="1" ht="12" hidden="1" customHeight="1">
      <c r="A9653" s="172"/>
    </row>
    <row r="9654" spans="1:1" s="173" customFormat="1" ht="12" hidden="1" customHeight="1">
      <c r="A9654" s="172"/>
    </row>
    <row r="9655" spans="1:1" s="173" customFormat="1" ht="12" hidden="1" customHeight="1">
      <c r="A9655" s="172"/>
    </row>
    <row r="9656" spans="1:1" s="173" customFormat="1" ht="12" hidden="1" customHeight="1">
      <c r="A9656" s="172"/>
    </row>
    <row r="9657" spans="1:1" s="173" customFormat="1" ht="12" hidden="1" customHeight="1">
      <c r="A9657" s="172"/>
    </row>
    <row r="9658" spans="1:1" s="173" customFormat="1" ht="12" hidden="1" customHeight="1">
      <c r="A9658" s="172"/>
    </row>
    <row r="9659" spans="1:1" s="173" customFormat="1" ht="12" hidden="1" customHeight="1">
      <c r="A9659" s="172"/>
    </row>
    <row r="9660" spans="1:1" s="173" customFormat="1" ht="12" hidden="1" customHeight="1">
      <c r="A9660" s="172"/>
    </row>
    <row r="9661" spans="1:1" s="173" customFormat="1" ht="12" hidden="1" customHeight="1">
      <c r="A9661" s="172"/>
    </row>
    <row r="9662" spans="1:1" s="173" customFormat="1" ht="12" hidden="1" customHeight="1">
      <c r="A9662" s="172"/>
    </row>
    <row r="9663" spans="1:1" s="173" customFormat="1" ht="12" hidden="1" customHeight="1">
      <c r="A9663" s="172"/>
    </row>
    <row r="9664" spans="1:1" s="173" customFormat="1" ht="12" hidden="1" customHeight="1">
      <c r="A9664" s="172"/>
    </row>
    <row r="9665" spans="1:1" s="173" customFormat="1" ht="12" hidden="1" customHeight="1">
      <c r="A9665" s="172"/>
    </row>
    <row r="9666" spans="1:1" s="173" customFormat="1" ht="12" hidden="1" customHeight="1">
      <c r="A9666" s="172"/>
    </row>
    <row r="9667" spans="1:1" s="173" customFormat="1" ht="12" hidden="1" customHeight="1">
      <c r="A9667" s="172"/>
    </row>
    <row r="9668" spans="1:1" s="173" customFormat="1" ht="12" hidden="1" customHeight="1">
      <c r="A9668" s="172"/>
    </row>
    <row r="9669" spans="1:1" s="173" customFormat="1" ht="12" hidden="1" customHeight="1">
      <c r="A9669" s="172"/>
    </row>
    <row r="9670" spans="1:1" s="173" customFormat="1" ht="12" hidden="1" customHeight="1">
      <c r="A9670" s="172"/>
    </row>
    <row r="9671" spans="1:1" s="173" customFormat="1" ht="12" hidden="1" customHeight="1">
      <c r="A9671" s="172"/>
    </row>
    <row r="9672" spans="1:1" s="173" customFormat="1" ht="12" hidden="1" customHeight="1">
      <c r="A9672" s="172"/>
    </row>
    <row r="9673" spans="1:1" s="173" customFormat="1" ht="12" hidden="1" customHeight="1">
      <c r="A9673" s="172"/>
    </row>
    <row r="9674" spans="1:1" s="173" customFormat="1" ht="12" hidden="1" customHeight="1">
      <c r="A9674" s="172"/>
    </row>
    <row r="9675" spans="1:1" s="173" customFormat="1" ht="12" hidden="1" customHeight="1">
      <c r="A9675" s="172"/>
    </row>
    <row r="9676" spans="1:1" s="173" customFormat="1" ht="12" hidden="1" customHeight="1">
      <c r="A9676" s="172"/>
    </row>
    <row r="9677" spans="1:1" s="173" customFormat="1" ht="12" hidden="1" customHeight="1">
      <c r="A9677" s="172"/>
    </row>
    <row r="9678" spans="1:1" s="173" customFormat="1" ht="12" hidden="1" customHeight="1">
      <c r="A9678" s="172"/>
    </row>
    <row r="9679" spans="1:1" s="173" customFormat="1" ht="12" hidden="1" customHeight="1">
      <c r="A9679" s="172"/>
    </row>
    <row r="9680" spans="1:1" s="173" customFormat="1" ht="12" hidden="1" customHeight="1">
      <c r="A9680" s="172"/>
    </row>
    <row r="9681" spans="1:1" s="173" customFormat="1" ht="12" hidden="1" customHeight="1">
      <c r="A9681" s="172"/>
    </row>
    <row r="9682" spans="1:1" s="173" customFormat="1" ht="12" hidden="1" customHeight="1">
      <c r="A9682" s="172"/>
    </row>
    <row r="9683" spans="1:1" s="173" customFormat="1" ht="12" hidden="1" customHeight="1">
      <c r="A9683" s="172"/>
    </row>
    <row r="9684" spans="1:1" s="173" customFormat="1" ht="12" hidden="1" customHeight="1">
      <c r="A9684" s="172"/>
    </row>
    <row r="9685" spans="1:1" s="173" customFormat="1" ht="12" hidden="1" customHeight="1">
      <c r="A9685" s="172"/>
    </row>
    <row r="9686" spans="1:1" s="173" customFormat="1" ht="12" hidden="1" customHeight="1">
      <c r="A9686" s="172"/>
    </row>
    <row r="9687" spans="1:1" s="173" customFormat="1" ht="12" hidden="1" customHeight="1">
      <c r="A9687" s="172"/>
    </row>
    <row r="9688" spans="1:1" s="173" customFormat="1" ht="12" hidden="1" customHeight="1">
      <c r="A9688" s="172"/>
    </row>
    <row r="9689" spans="1:1" s="173" customFormat="1" ht="12" hidden="1" customHeight="1">
      <c r="A9689" s="172"/>
    </row>
    <row r="9690" spans="1:1" s="173" customFormat="1" ht="12" hidden="1" customHeight="1">
      <c r="A9690" s="172"/>
    </row>
    <row r="9691" spans="1:1" s="173" customFormat="1" ht="12" hidden="1" customHeight="1">
      <c r="A9691" s="172"/>
    </row>
    <row r="9692" spans="1:1" s="173" customFormat="1" ht="12" hidden="1" customHeight="1">
      <c r="A9692" s="172"/>
    </row>
    <row r="9693" spans="1:1" s="173" customFormat="1" ht="12" hidden="1" customHeight="1">
      <c r="A9693" s="172"/>
    </row>
    <row r="9694" spans="1:1" s="173" customFormat="1" ht="12" hidden="1" customHeight="1">
      <c r="A9694" s="172"/>
    </row>
    <row r="9695" spans="1:1" s="173" customFormat="1" ht="12" hidden="1" customHeight="1">
      <c r="A9695" s="172"/>
    </row>
    <row r="9696" spans="1:1" s="173" customFormat="1" ht="12" hidden="1" customHeight="1">
      <c r="A9696" s="172"/>
    </row>
    <row r="9697" spans="1:1" s="173" customFormat="1" ht="12" hidden="1" customHeight="1">
      <c r="A9697" s="172"/>
    </row>
    <row r="9698" spans="1:1" s="173" customFormat="1" ht="12" hidden="1" customHeight="1">
      <c r="A9698" s="172"/>
    </row>
    <row r="9699" spans="1:1" s="173" customFormat="1" ht="12" hidden="1" customHeight="1">
      <c r="A9699" s="172"/>
    </row>
    <row r="9700" spans="1:1" s="173" customFormat="1" ht="12" hidden="1" customHeight="1">
      <c r="A9700" s="172"/>
    </row>
    <row r="9701" spans="1:1" s="173" customFormat="1" ht="12" hidden="1" customHeight="1">
      <c r="A9701" s="172"/>
    </row>
    <row r="9702" spans="1:1" s="173" customFormat="1" ht="12" hidden="1" customHeight="1">
      <c r="A9702" s="172"/>
    </row>
    <row r="9703" spans="1:1" s="173" customFormat="1" ht="12" hidden="1" customHeight="1">
      <c r="A9703" s="172"/>
    </row>
    <row r="9704" spans="1:1" s="173" customFormat="1" ht="12" hidden="1" customHeight="1">
      <c r="A9704" s="172"/>
    </row>
    <row r="9705" spans="1:1" s="173" customFormat="1" ht="12" hidden="1" customHeight="1">
      <c r="A9705" s="172"/>
    </row>
    <row r="9706" spans="1:1" s="173" customFormat="1" ht="12" hidden="1" customHeight="1">
      <c r="A9706" s="172"/>
    </row>
    <row r="9707" spans="1:1" s="173" customFormat="1" ht="12" hidden="1" customHeight="1">
      <c r="A9707" s="172"/>
    </row>
    <row r="9708" spans="1:1" s="173" customFormat="1" ht="12" hidden="1" customHeight="1">
      <c r="A9708" s="172"/>
    </row>
    <row r="9709" spans="1:1" s="173" customFormat="1" ht="12" hidden="1" customHeight="1">
      <c r="A9709" s="172"/>
    </row>
    <row r="9710" spans="1:1" s="173" customFormat="1" ht="12" hidden="1" customHeight="1">
      <c r="A9710" s="172"/>
    </row>
    <row r="9711" spans="1:1" s="173" customFormat="1" ht="12" hidden="1" customHeight="1">
      <c r="A9711" s="172"/>
    </row>
    <row r="9712" spans="1:1" s="173" customFormat="1" ht="12" hidden="1" customHeight="1">
      <c r="A9712" s="172"/>
    </row>
    <row r="9713" spans="1:1" s="173" customFormat="1" ht="12" hidden="1" customHeight="1">
      <c r="A9713" s="172"/>
    </row>
    <row r="9714" spans="1:1" s="173" customFormat="1" ht="12" hidden="1" customHeight="1">
      <c r="A9714" s="172"/>
    </row>
    <row r="9715" spans="1:1" s="173" customFormat="1" ht="12" hidden="1" customHeight="1">
      <c r="A9715" s="172"/>
    </row>
    <row r="9716" spans="1:1" s="173" customFormat="1" ht="12" hidden="1" customHeight="1">
      <c r="A9716" s="172"/>
    </row>
    <row r="9717" spans="1:1" s="173" customFormat="1" ht="12" hidden="1" customHeight="1">
      <c r="A9717" s="172"/>
    </row>
    <row r="9718" spans="1:1" s="173" customFormat="1" ht="12" hidden="1" customHeight="1">
      <c r="A9718" s="172"/>
    </row>
    <row r="9719" spans="1:1" s="173" customFormat="1" ht="12" hidden="1" customHeight="1">
      <c r="A9719" s="172"/>
    </row>
    <row r="9720" spans="1:1" s="173" customFormat="1" ht="12" hidden="1" customHeight="1">
      <c r="A9720" s="172"/>
    </row>
    <row r="9721" spans="1:1" s="173" customFormat="1" ht="12" hidden="1" customHeight="1">
      <c r="A9721" s="172"/>
    </row>
    <row r="9722" spans="1:1" s="173" customFormat="1" ht="12" hidden="1" customHeight="1">
      <c r="A9722" s="172"/>
    </row>
    <row r="9723" spans="1:1" s="173" customFormat="1" ht="12" hidden="1" customHeight="1">
      <c r="A9723" s="172"/>
    </row>
    <row r="9724" spans="1:1" s="173" customFormat="1" ht="12" hidden="1" customHeight="1">
      <c r="A9724" s="172"/>
    </row>
    <row r="9725" spans="1:1" s="173" customFormat="1" ht="12" hidden="1" customHeight="1">
      <c r="A9725" s="172"/>
    </row>
    <row r="9726" spans="1:1" s="173" customFormat="1" ht="12" hidden="1" customHeight="1">
      <c r="A9726" s="172"/>
    </row>
    <row r="9727" spans="1:1" s="173" customFormat="1" ht="12" hidden="1" customHeight="1">
      <c r="A9727" s="172"/>
    </row>
    <row r="9728" spans="1:1" s="173" customFormat="1" ht="12" hidden="1" customHeight="1">
      <c r="A9728" s="172"/>
    </row>
    <row r="9729" spans="1:1" s="173" customFormat="1" ht="12" hidden="1" customHeight="1">
      <c r="A9729" s="172"/>
    </row>
    <row r="9730" spans="1:1" s="173" customFormat="1" ht="12" hidden="1" customHeight="1">
      <c r="A9730" s="172"/>
    </row>
    <row r="9731" spans="1:1" s="173" customFormat="1" ht="12" hidden="1" customHeight="1">
      <c r="A9731" s="172"/>
    </row>
    <row r="9732" spans="1:1" s="173" customFormat="1" ht="12" hidden="1" customHeight="1">
      <c r="A9732" s="172"/>
    </row>
    <row r="9733" spans="1:1" s="173" customFormat="1" ht="12" hidden="1" customHeight="1">
      <c r="A9733" s="172"/>
    </row>
    <row r="9734" spans="1:1" s="173" customFormat="1" ht="12" hidden="1" customHeight="1">
      <c r="A9734" s="172"/>
    </row>
    <row r="9735" spans="1:1" s="173" customFormat="1" ht="12" hidden="1" customHeight="1">
      <c r="A9735" s="172"/>
    </row>
    <row r="9736" spans="1:1" s="173" customFormat="1" ht="12" hidden="1" customHeight="1">
      <c r="A9736" s="172"/>
    </row>
    <row r="9737" spans="1:1" s="173" customFormat="1" ht="12" hidden="1" customHeight="1">
      <c r="A9737" s="172"/>
    </row>
    <row r="9738" spans="1:1" s="173" customFormat="1" ht="12" hidden="1" customHeight="1">
      <c r="A9738" s="172"/>
    </row>
    <row r="9739" spans="1:1" s="173" customFormat="1" ht="12" hidden="1" customHeight="1">
      <c r="A9739" s="172"/>
    </row>
    <row r="9740" spans="1:1" s="173" customFormat="1" ht="12" hidden="1" customHeight="1">
      <c r="A9740" s="172"/>
    </row>
    <row r="9741" spans="1:1" s="173" customFormat="1" ht="12" hidden="1" customHeight="1">
      <c r="A9741" s="172"/>
    </row>
    <row r="9742" spans="1:1" s="173" customFormat="1" ht="12" hidden="1" customHeight="1">
      <c r="A9742" s="172"/>
    </row>
    <row r="9743" spans="1:1" s="173" customFormat="1" ht="12" hidden="1" customHeight="1">
      <c r="A9743" s="172"/>
    </row>
    <row r="9744" spans="1:1" s="173" customFormat="1" ht="12" hidden="1" customHeight="1">
      <c r="A9744" s="172"/>
    </row>
    <row r="9745" spans="1:1" s="173" customFormat="1" ht="12" hidden="1" customHeight="1">
      <c r="A9745" s="172"/>
    </row>
    <row r="9746" spans="1:1" s="173" customFormat="1" ht="12" hidden="1" customHeight="1">
      <c r="A9746" s="172"/>
    </row>
    <row r="9747" spans="1:1" s="173" customFormat="1" ht="12" hidden="1" customHeight="1">
      <c r="A9747" s="172"/>
    </row>
    <row r="9748" spans="1:1" s="173" customFormat="1" ht="12" hidden="1" customHeight="1">
      <c r="A9748" s="172"/>
    </row>
    <row r="9749" spans="1:1" s="173" customFormat="1" ht="12" hidden="1" customHeight="1">
      <c r="A9749" s="172"/>
    </row>
    <row r="9750" spans="1:1" s="173" customFormat="1" ht="12" hidden="1" customHeight="1">
      <c r="A9750" s="172"/>
    </row>
    <row r="9751" spans="1:1" s="173" customFormat="1" ht="12" hidden="1" customHeight="1">
      <c r="A9751" s="172"/>
    </row>
    <row r="9752" spans="1:1" s="173" customFormat="1" ht="12" hidden="1" customHeight="1">
      <c r="A9752" s="172"/>
    </row>
    <row r="9753" spans="1:1" s="173" customFormat="1" ht="12" hidden="1" customHeight="1">
      <c r="A9753" s="172"/>
    </row>
    <row r="9754" spans="1:1" s="173" customFormat="1" ht="12" hidden="1" customHeight="1">
      <c r="A9754" s="172"/>
    </row>
    <row r="9755" spans="1:1" s="173" customFormat="1" ht="12" hidden="1" customHeight="1">
      <c r="A9755" s="172"/>
    </row>
    <row r="9756" spans="1:1" s="173" customFormat="1" ht="12" hidden="1" customHeight="1">
      <c r="A9756" s="172"/>
    </row>
    <row r="9757" spans="1:1" s="173" customFormat="1" ht="12" hidden="1" customHeight="1">
      <c r="A9757" s="172"/>
    </row>
    <row r="9758" spans="1:1" s="173" customFormat="1" ht="12" hidden="1" customHeight="1">
      <c r="A9758" s="172"/>
    </row>
    <row r="9759" spans="1:1" s="173" customFormat="1" ht="12" hidden="1" customHeight="1">
      <c r="A9759" s="172"/>
    </row>
    <row r="9760" spans="1:1" s="173" customFormat="1" ht="12" hidden="1" customHeight="1">
      <c r="A9760" s="172"/>
    </row>
    <row r="9761" spans="1:1" s="173" customFormat="1" ht="12" hidden="1" customHeight="1">
      <c r="A9761" s="172"/>
    </row>
    <row r="9762" spans="1:1" s="173" customFormat="1" ht="12" hidden="1" customHeight="1">
      <c r="A9762" s="172"/>
    </row>
    <row r="9763" spans="1:1" s="173" customFormat="1" ht="12" hidden="1" customHeight="1">
      <c r="A9763" s="172"/>
    </row>
    <row r="9764" spans="1:1" s="173" customFormat="1" ht="12" hidden="1" customHeight="1">
      <c r="A9764" s="172"/>
    </row>
    <row r="9765" spans="1:1" s="173" customFormat="1" ht="12" hidden="1" customHeight="1">
      <c r="A9765" s="172"/>
    </row>
    <row r="9766" spans="1:1" s="173" customFormat="1" ht="12" hidden="1" customHeight="1">
      <c r="A9766" s="172"/>
    </row>
    <row r="9767" spans="1:1" s="173" customFormat="1" ht="12" hidden="1" customHeight="1">
      <c r="A9767" s="172"/>
    </row>
    <row r="9768" spans="1:1" s="173" customFormat="1" ht="12" hidden="1" customHeight="1">
      <c r="A9768" s="172"/>
    </row>
    <row r="9769" spans="1:1" s="173" customFormat="1" ht="12" hidden="1" customHeight="1">
      <c r="A9769" s="172"/>
    </row>
    <row r="9770" spans="1:1" s="173" customFormat="1" ht="12" hidden="1" customHeight="1">
      <c r="A9770" s="172"/>
    </row>
    <row r="9771" spans="1:1" s="173" customFormat="1" ht="12" hidden="1" customHeight="1">
      <c r="A9771" s="172"/>
    </row>
    <row r="9772" spans="1:1" s="173" customFormat="1" ht="12" hidden="1" customHeight="1">
      <c r="A9772" s="172"/>
    </row>
    <row r="9773" spans="1:1" s="173" customFormat="1" ht="12" hidden="1" customHeight="1">
      <c r="A9773" s="172"/>
    </row>
    <row r="9774" spans="1:1" s="173" customFormat="1" ht="12" hidden="1" customHeight="1">
      <c r="A9774" s="172"/>
    </row>
    <row r="9775" spans="1:1" s="173" customFormat="1" ht="12" hidden="1" customHeight="1">
      <c r="A9775" s="172"/>
    </row>
    <row r="9776" spans="1:1" s="173" customFormat="1" ht="12" hidden="1" customHeight="1">
      <c r="A9776" s="172"/>
    </row>
    <row r="9777" spans="1:1" s="173" customFormat="1" ht="12" hidden="1" customHeight="1">
      <c r="A9777" s="172"/>
    </row>
    <row r="9778" spans="1:1" s="173" customFormat="1" ht="12" hidden="1" customHeight="1">
      <c r="A9778" s="172"/>
    </row>
    <row r="9779" spans="1:1" s="173" customFormat="1" ht="12" hidden="1" customHeight="1">
      <c r="A9779" s="172"/>
    </row>
    <row r="9780" spans="1:1" s="173" customFormat="1" ht="12" hidden="1" customHeight="1">
      <c r="A9780" s="172"/>
    </row>
    <row r="9781" spans="1:1" s="173" customFormat="1" ht="12" hidden="1" customHeight="1">
      <c r="A9781" s="172"/>
    </row>
    <row r="9782" spans="1:1" s="173" customFormat="1" ht="12" hidden="1" customHeight="1">
      <c r="A9782" s="172"/>
    </row>
    <row r="9783" spans="1:1" s="173" customFormat="1" ht="12" hidden="1" customHeight="1">
      <c r="A9783" s="172"/>
    </row>
    <row r="9784" spans="1:1" s="173" customFormat="1" ht="12" hidden="1" customHeight="1">
      <c r="A9784" s="172"/>
    </row>
    <row r="9785" spans="1:1" s="173" customFormat="1" ht="12" hidden="1" customHeight="1">
      <c r="A9785" s="172"/>
    </row>
    <row r="9786" spans="1:1" s="173" customFormat="1" ht="12" hidden="1" customHeight="1">
      <c r="A9786" s="172"/>
    </row>
    <row r="9787" spans="1:1" s="173" customFormat="1" ht="12" hidden="1" customHeight="1">
      <c r="A9787" s="172"/>
    </row>
    <row r="9788" spans="1:1" s="173" customFormat="1" ht="12" hidden="1" customHeight="1">
      <c r="A9788" s="172"/>
    </row>
    <row r="9789" spans="1:1" s="173" customFormat="1" ht="12" hidden="1" customHeight="1">
      <c r="A9789" s="172"/>
    </row>
    <row r="9790" spans="1:1" s="173" customFormat="1" ht="12" hidden="1" customHeight="1">
      <c r="A9790" s="172"/>
    </row>
    <row r="9791" spans="1:1" s="173" customFormat="1" ht="12" hidden="1" customHeight="1">
      <c r="A9791" s="172"/>
    </row>
    <row r="9792" spans="1:1" s="173" customFormat="1" ht="12" hidden="1" customHeight="1">
      <c r="A9792" s="172"/>
    </row>
    <row r="9793" spans="1:1" s="173" customFormat="1" ht="12" hidden="1" customHeight="1">
      <c r="A9793" s="172"/>
    </row>
    <row r="9794" spans="1:1" s="173" customFormat="1" ht="12" hidden="1" customHeight="1">
      <c r="A9794" s="172"/>
    </row>
    <row r="9795" spans="1:1" s="173" customFormat="1" ht="12" hidden="1" customHeight="1">
      <c r="A9795" s="172"/>
    </row>
    <row r="9796" spans="1:1" s="173" customFormat="1" ht="12" hidden="1" customHeight="1">
      <c r="A9796" s="172"/>
    </row>
    <row r="9797" spans="1:1" s="173" customFormat="1" ht="12" hidden="1" customHeight="1">
      <c r="A9797" s="172"/>
    </row>
    <row r="9798" spans="1:1" s="173" customFormat="1" ht="12" hidden="1" customHeight="1">
      <c r="A9798" s="172"/>
    </row>
    <row r="9799" spans="1:1" s="173" customFormat="1" ht="12" hidden="1" customHeight="1">
      <c r="A9799" s="172"/>
    </row>
    <row r="9800" spans="1:1" s="173" customFormat="1" ht="12" hidden="1" customHeight="1">
      <c r="A9800" s="172"/>
    </row>
    <row r="9801" spans="1:1" s="173" customFormat="1" ht="12" hidden="1" customHeight="1">
      <c r="A9801" s="172"/>
    </row>
    <row r="9802" spans="1:1" s="173" customFormat="1" ht="12" hidden="1" customHeight="1">
      <c r="A9802" s="172"/>
    </row>
    <row r="9803" spans="1:1" s="173" customFormat="1" ht="12" hidden="1" customHeight="1">
      <c r="A9803" s="172"/>
    </row>
    <row r="9804" spans="1:1" s="173" customFormat="1" ht="12" hidden="1" customHeight="1">
      <c r="A9804" s="172"/>
    </row>
    <row r="9805" spans="1:1" s="173" customFormat="1" ht="12" hidden="1" customHeight="1">
      <c r="A9805" s="172"/>
    </row>
    <row r="9806" spans="1:1" s="173" customFormat="1" ht="12" hidden="1" customHeight="1">
      <c r="A9806" s="172"/>
    </row>
    <row r="9807" spans="1:1" s="173" customFormat="1" ht="12" hidden="1" customHeight="1">
      <c r="A9807" s="172"/>
    </row>
    <row r="9808" spans="1:1" s="173" customFormat="1" ht="12" hidden="1" customHeight="1">
      <c r="A9808" s="172"/>
    </row>
    <row r="9809" spans="1:1" s="173" customFormat="1" ht="12" hidden="1" customHeight="1">
      <c r="A9809" s="172"/>
    </row>
    <row r="9810" spans="1:1" s="173" customFormat="1" ht="12" hidden="1" customHeight="1">
      <c r="A9810" s="172"/>
    </row>
    <row r="9811" spans="1:1" s="173" customFormat="1" ht="12" hidden="1" customHeight="1">
      <c r="A9811" s="172"/>
    </row>
    <row r="9812" spans="1:1" s="173" customFormat="1" ht="12" hidden="1" customHeight="1">
      <c r="A9812" s="172"/>
    </row>
    <row r="9813" spans="1:1" s="173" customFormat="1" ht="12" hidden="1" customHeight="1">
      <c r="A9813" s="172"/>
    </row>
    <row r="9814" spans="1:1" s="173" customFormat="1" ht="12" hidden="1" customHeight="1">
      <c r="A9814" s="172"/>
    </row>
    <row r="9815" spans="1:1" s="173" customFormat="1" ht="12" hidden="1" customHeight="1">
      <c r="A9815" s="172"/>
    </row>
    <row r="9816" spans="1:1" s="173" customFormat="1" ht="12" hidden="1" customHeight="1">
      <c r="A9816" s="172"/>
    </row>
    <row r="9817" spans="1:1" s="173" customFormat="1" ht="12" hidden="1" customHeight="1">
      <c r="A9817" s="172"/>
    </row>
    <row r="9818" spans="1:1" s="173" customFormat="1" ht="12" hidden="1" customHeight="1">
      <c r="A9818" s="172"/>
    </row>
    <row r="9819" spans="1:1" s="173" customFormat="1" ht="12" hidden="1" customHeight="1">
      <c r="A9819" s="172"/>
    </row>
    <row r="9820" spans="1:1" s="173" customFormat="1" ht="12" hidden="1" customHeight="1">
      <c r="A9820" s="172"/>
    </row>
    <row r="9821" spans="1:1" s="173" customFormat="1" ht="12" hidden="1" customHeight="1">
      <c r="A9821" s="172"/>
    </row>
    <row r="9822" spans="1:1" s="173" customFormat="1" ht="12" hidden="1" customHeight="1">
      <c r="A9822" s="172"/>
    </row>
    <row r="9823" spans="1:1" s="173" customFormat="1" ht="12" hidden="1" customHeight="1">
      <c r="A9823" s="172"/>
    </row>
    <row r="9824" spans="1:1" s="173" customFormat="1" ht="12" hidden="1" customHeight="1">
      <c r="A9824" s="172"/>
    </row>
    <row r="9825" spans="1:1" s="173" customFormat="1" ht="12" hidden="1" customHeight="1">
      <c r="A9825" s="172"/>
    </row>
    <row r="9826" spans="1:1" s="173" customFormat="1" ht="12" hidden="1" customHeight="1">
      <c r="A9826" s="172"/>
    </row>
    <row r="9827" spans="1:1" s="173" customFormat="1" ht="12" hidden="1" customHeight="1">
      <c r="A9827" s="172"/>
    </row>
    <row r="9828" spans="1:1" s="173" customFormat="1" ht="12" hidden="1" customHeight="1">
      <c r="A9828" s="172"/>
    </row>
    <row r="9829" spans="1:1" s="173" customFormat="1" ht="12" hidden="1" customHeight="1">
      <c r="A9829" s="172"/>
    </row>
    <row r="9830" spans="1:1" s="173" customFormat="1" ht="12" hidden="1" customHeight="1">
      <c r="A9830" s="172"/>
    </row>
    <row r="9831" spans="1:1" s="173" customFormat="1" ht="12" hidden="1" customHeight="1">
      <c r="A9831" s="172"/>
    </row>
    <row r="9832" spans="1:1" s="173" customFormat="1" ht="12" hidden="1" customHeight="1">
      <c r="A9832" s="172"/>
    </row>
    <row r="9833" spans="1:1" s="173" customFormat="1" ht="12" hidden="1" customHeight="1">
      <c r="A9833" s="172"/>
    </row>
    <row r="9834" spans="1:1" s="173" customFormat="1" ht="12" hidden="1" customHeight="1">
      <c r="A9834" s="172"/>
    </row>
    <row r="9835" spans="1:1" s="173" customFormat="1" ht="12" hidden="1" customHeight="1">
      <c r="A9835" s="172"/>
    </row>
    <row r="9836" spans="1:1" s="173" customFormat="1" ht="12" hidden="1" customHeight="1">
      <c r="A9836" s="172"/>
    </row>
    <row r="9837" spans="1:1" s="173" customFormat="1" ht="12" hidden="1" customHeight="1">
      <c r="A9837" s="172"/>
    </row>
    <row r="9838" spans="1:1" s="173" customFormat="1" ht="12" hidden="1" customHeight="1">
      <c r="A9838" s="172"/>
    </row>
    <row r="9839" spans="1:1" s="173" customFormat="1" ht="12" hidden="1" customHeight="1">
      <c r="A9839" s="172"/>
    </row>
    <row r="9840" spans="1:1" s="173" customFormat="1" ht="12" hidden="1" customHeight="1">
      <c r="A9840" s="172"/>
    </row>
    <row r="9841" spans="1:1" s="173" customFormat="1" ht="12" hidden="1" customHeight="1">
      <c r="A9841" s="172"/>
    </row>
    <row r="9842" spans="1:1" s="173" customFormat="1" ht="12" hidden="1" customHeight="1">
      <c r="A9842" s="172"/>
    </row>
    <row r="9843" spans="1:1" s="173" customFormat="1" ht="12" hidden="1" customHeight="1">
      <c r="A9843" s="172"/>
    </row>
    <row r="9844" spans="1:1" s="173" customFormat="1" ht="12" hidden="1" customHeight="1">
      <c r="A9844" s="172"/>
    </row>
    <row r="9845" spans="1:1" s="173" customFormat="1" ht="12" hidden="1" customHeight="1">
      <c r="A9845" s="172"/>
    </row>
    <row r="9846" spans="1:1" s="173" customFormat="1" ht="12" hidden="1" customHeight="1">
      <c r="A9846" s="172"/>
    </row>
    <row r="9847" spans="1:1" s="173" customFormat="1" ht="12" hidden="1" customHeight="1">
      <c r="A9847" s="172"/>
    </row>
    <row r="9848" spans="1:1" s="173" customFormat="1" ht="12" hidden="1" customHeight="1">
      <c r="A9848" s="172"/>
    </row>
    <row r="9849" spans="1:1" s="173" customFormat="1" ht="12" hidden="1" customHeight="1">
      <c r="A9849" s="172"/>
    </row>
    <row r="9850" spans="1:1" s="173" customFormat="1" ht="12" hidden="1" customHeight="1">
      <c r="A9850" s="172"/>
    </row>
    <row r="9851" spans="1:1" s="173" customFormat="1" ht="12" hidden="1" customHeight="1">
      <c r="A9851" s="172"/>
    </row>
    <row r="9852" spans="1:1" s="173" customFormat="1" ht="12" hidden="1" customHeight="1">
      <c r="A9852" s="172"/>
    </row>
    <row r="9853" spans="1:1" s="173" customFormat="1" ht="12" hidden="1" customHeight="1">
      <c r="A9853" s="172"/>
    </row>
    <row r="9854" spans="1:1" s="173" customFormat="1" ht="12" hidden="1" customHeight="1">
      <c r="A9854" s="172"/>
    </row>
    <row r="9855" spans="1:1" s="173" customFormat="1" ht="12" hidden="1" customHeight="1">
      <c r="A9855" s="172"/>
    </row>
    <row r="9856" spans="1:1" s="173" customFormat="1" ht="12" hidden="1" customHeight="1">
      <c r="A9856" s="172"/>
    </row>
    <row r="9857" spans="1:1" s="173" customFormat="1" ht="12" hidden="1" customHeight="1">
      <c r="A9857" s="172"/>
    </row>
    <row r="9858" spans="1:1" s="173" customFormat="1" ht="12" hidden="1" customHeight="1">
      <c r="A9858" s="172"/>
    </row>
    <row r="9859" spans="1:1" s="173" customFormat="1" ht="12" hidden="1" customHeight="1">
      <c r="A9859" s="172"/>
    </row>
    <row r="9860" spans="1:1" s="173" customFormat="1" ht="12" hidden="1" customHeight="1">
      <c r="A9860" s="172"/>
    </row>
    <row r="9861" spans="1:1" s="173" customFormat="1" ht="12" hidden="1" customHeight="1">
      <c r="A9861" s="172"/>
    </row>
    <row r="9862" spans="1:1" s="173" customFormat="1" ht="12" hidden="1" customHeight="1">
      <c r="A9862" s="172"/>
    </row>
    <row r="9863" spans="1:1" s="173" customFormat="1" ht="12" hidden="1" customHeight="1">
      <c r="A9863" s="172"/>
    </row>
    <row r="9864" spans="1:1" s="173" customFormat="1" ht="12" hidden="1" customHeight="1">
      <c r="A9864" s="172"/>
    </row>
    <row r="9865" spans="1:1" s="173" customFormat="1" ht="12" hidden="1" customHeight="1">
      <c r="A9865" s="172"/>
    </row>
    <row r="9866" spans="1:1" s="173" customFormat="1" ht="12" hidden="1" customHeight="1">
      <c r="A9866" s="172"/>
    </row>
    <row r="9867" spans="1:1" s="173" customFormat="1" ht="12" hidden="1" customHeight="1">
      <c r="A9867" s="172"/>
    </row>
    <row r="9868" spans="1:1" s="173" customFormat="1" ht="12" hidden="1" customHeight="1">
      <c r="A9868" s="172"/>
    </row>
    <row r="9869" spans="1:1" s="173" customFormat="1" ht="12" hidden="1" customHeight="1">
      <c r="A9869" s="172"/>
    </row>
    <row r="9870" spans="1:1" s="173" customFormat="1" ht="12" hidden="1" customHeight="1">
      <c r="A9870" s="172"/>
    </row>
    <row r="9871" spans="1:1" s="173" customFormat="1" ht="12" hidden="1" customHeight="1">
      <c r="A9871" s="172"/>
    </row>
    <row r="9872" spans="1:1" s="173" customFormat="1" ht="12" hidden="1" customHeight="1">
      <c r="A9872" s="172"/>
    </row>
    <row r="9873" spans="1:1" s="173" customFormat="1" ht="12" hidden="1" customHeight="1">
      <c r="A9873" s="172"/>
    </row>
    <row r="9874" spans="1:1" s="173" customFormat="1" ht="12" hidden="1" customHeight="1">
      <c r="A9874" s="172"/>
    </row>
    <row r="9875" spans="1:1" s="173" customFormat="1" ht="12" hidden="1" customHeight="1">
      <c r="A9875" s="172"/>
    </row>
    <row r="9876" spans="1:1" s="173" customFormat="1" ht="12" hidden="1" customHeight="1">
      <c r="A9876" s="172"/>
    </row>
    <row r="9877" spans="1:1" s="173" customFormat="1" ht="12" hidden="1" customHeight="1">
      <c r="A9877" s="172"/>
    </row>
    <row r="9878" spans="1:1" s="173" customFormat="1" ht="12" hidden="1" customHeight="1">
      <c r="A9878" s="172"/>
    </row>
    <row r="9879" spans="1:1" s="173" customFormat="1" ht="12" hidden="1" customHeight="1">
      <c r="A9879" s="172"/>
    </row>
    <row r="9880" spans="1:1" s="173" customFormat="1" ht="12" hidden="1" customHeight="1">
      <c r="A9880" s="172"/>
    </row>
    <row r="9881" spans="1:1" s="173" customFormat="1" ht="12" hidden="1" customHeight="1">
      <c r="A9881" s="172"/>
    </row>
    <row r="9882" spans="1:1" s="173" customFormat="1" ht="12" hidden="1" customHeight="1">
      <c r="A9882" s="172"/>
    </row>
    <row r="9883" spans="1:1" s="173" customFormat="1" ht="12" hidden="1" customHeight="1">
      <c r="A9883" s="172"/>
    </row>
    <row r="9884" spans="1:1" s="173" customFormat="1" ht="12" hidden="1" customHeight="1">
      <c r="A9884" s="172"/>
    </row>
    <row r="9885" spans="1:1" s="173" customFormat="1" ht="12" hidden="1" customHeight="1">
      <c r="A9885" s="172"/>
    </row>
    <row r="9886" spans="1:1" s="173" customFormat="1" ht="12" hidden="1" customHeight="1">
      <c r="A9886" s="172"/>
    </row>
    <row r="9887" spans="1:1" s="173" customFormat="1" ht="12" hidden="1" customHeight="1">
      <c r="A9887" s="172"/>
    </row>
    <row r="9888" spans="1:1" s="173" customFormat="1" ht="12" hidden="1" customHeight="1">
      <c r="A9888" s="172"/>
    </row>
    <row r="9889" spans="1:1" s="173" customFormat="1" ht="12" hidden="1" customHeight="1">
      <c r="A9889" s="172"/>
    </row>
    <row r="9890" spans="1:1" s="173" customFormat="1" ht="12" hidden="1" customHeight="1">
      <c r="A9890" s="172"/>
    </row>
    <row r="9891" spans="1:1" s="173" customFormat="1" ht="12" hidden="1" customHeight="1">
      <c r="A9891" s="172"/>
    </row>
    <row r="9892" spans="1:1" s="173" customFormat="1" ht="12" hidden="1" customHeight="1">
      <c r="A9892" s="172"/>
    </row>
    <row r="9893" spans="1:1" s="173" customFormat="1" ht="12" hidden="1" customHeight="1">
      <c r="A9893" s="172"/>
    </row>
    <row r="9894" spans="1:1" s="173" customFormat="1" ht="12" hidden="1" customHeight="1">
      <c r="A9894" s="172"/>
    </row>
    <row r="9895" spans="1:1" s="173" customFormat="1" ht="12" hidden="1" customHeight="1">
      <c r="A9895" s="172"/>
    </row>
    <row r="9896" spans="1:1" s="173" customFormat="1" ht="12" hidden="1" customHeight="1">
      <c r="A9896" s="172"/>
    </row>
    <row r="9897" spans="1:1" s="173" customFormat="1" ht="12" hidden="1" customHeight="1">
      <c r="A9897" s="172"/>
    </row>
    <row r="9898" spans="1:1" s="173" customFormat="1" ht="12" hidden="1" customHeight="1">
      <c r="A9898" s="172"/>
    </row>
    <row r="9899" spans="1:1" s="173" customFormat="1" ht="12" hidden="1" customHeight="1">
      <c r="A9899" s="172"/>
    </row>
    <row r="9900" spans="1:1" s="173" customFormat="1" ht="12" hidden="1" customHeight="1">
      <c r="A9900" s="172"/>
    </row>
    <row r="9901" spans="1:1" s="173" customFormat="1" ht="12" hidden="1" customHeight="1">
      <c r="A9901" s="172"/>
    </row>
    <row r="9902" spans="1:1" s="173" customFormat="1" ht="12" hidden="1" customHeight="1">
      <c r="A9902" s="172"/>
    </row>
    <row r="9903" spans="1:1" s="173" customFormat="1" ht="12" hidden="1" customHeight="1">
      <c r="A9903" s="172"/>
    </row>
    <row r="9904" spans="1:1" s="173" customFormat="1" ht="12" hidden="1" customHeight="1">
      <c r="A9904" s="172"/>
    </row>
    <row r="9905" spans="1:1" s="173" customFormat="1" ht="12" hidden="1" customHeight="1">
      <c r="A9905" s="172"/>
    </row>
    <row r="9906" spans="1:1" s="173" customFormat="1" ht="12" hidden="1" customHeight="1">
      <c r="A9906" s="172"/>
    </row>
    <row r="9907" spans="1:1" s="173" customFormat="1" ht="12" hidden="1" customHeight="1">
      <c r="A9907" s="172"/>
    </row>
    <row r="9908" spans="1:1" s="173" customFormat="1" ht="12" hidden="1" customHeight="1">
      <c r="A9908" s="172"/>
    </row>
    <row r="9909" spans="1:1" s="173" customFormat="1" ht="12" hidden="1" customHeight="1">
      <c r="A9909" s="172"/>
    </row>
    <row r="9910" spans="1:1" s="173" customFormat="1" ht="12" hidden="1" customHeight="1">
      <c r="A9910" s="172"/>
    </row>
    <row r="9911" spans="1:1" s="173" customFormat="1" ht="12" hidden="1" customHeight="1">
      <c r="A9911" s="172"/>
    </row>
    <row r="9912" spans="1:1" s="173" customFormat="1" ht="12" hidden="1" customHeight="1">
      <c r="A9912" s="172"/>
    </row>
    <row r="9913" spans="1:1" s="173" customFormat="1" ht="12" hidden="1" customHeight="1">
      <c r="A9913" s="172"/>
    </row>
    <row r="9914" spans="1:1" s="173" customFormat="1" ht="12" hidden="1" customHeight="1">
      <c r="A9914" s="172"/>
    </row>
    <row r="9915" spans="1:1" s="173" customFormat="1" ht="12" hidden="1" customHeight="1">
      <c r="A9915" s="172"/>
    </row>
    <row r="9916" spans="1:1" s="173" customFormat="1" ht="12" hidden="1" customHeight="1">
      <c r="A9916" s="172"/>
    </row>
    <row r="9917" spans="1:1" s="173" customFormat="1" ht="12" hidden="1" customHeight="1">
      <c r="A9917" s="172"/>
    </row>
    <row r="9918" spans="1:1" s="173" customFormat="1" ht="12" hidden="1" customHeight="1">
      <c r="A9918" s="172"/>
    </row>
    <row r="9919" spans="1:1" s="173" customFormat="1" ht="12" hidden="1" customHeight="1">
      <c r="A9919" s="172"/>
    </row>
    <row r="9920" spans="1:1" s="173" customFormat="1" ht="12" hidden="1" customHeight="1">
      <c r="A9920" s="172"/>
    </row>
    <row r="9921" spans="1:1" s="173" customFormat="1" ht="12" hidden="1" customHeight="1">
      <c r="A9921" s="172"/>
    </row>
    <row r="9922" spans="1:1" s="173" customFormat="1" ht="12" hidden="1" customHeight="1">
      <c r="A9922" s="172"/>
    </row>
    <row r="9923" spans="1:1" s="173" customFormat="1" ht="12" hidden="1" customHeight="1">
      <c r="A9923" s="172"/>
    </row>
    <row r="9924" spans="1:1" s="173" customFormat="1" ht="12" hidden="1" customHeight="1">
      <c r="A9924" s="172"/>
    </row>
    <row r="9925" spans="1:1" s="173" customFormat="1" ht="12" hidden="1" customHeight="1">
      <c r="A9925" s="172"/>
    </row>
    <row r="9926" spans="1:1" s="173" customFormat="1" ht="12" hidden="1" customHeight="1">
      <c r="A9926" s="172"/>
    </row>
    <row r="9927" spans="1:1" s="173" customFormat="1" ht="12" hidden="1" customHeight="1">
      <c r="A9927" s="172"/>
    </row>
    <row r="9928" spans="1:1" s="173" customFormat="1" ht="12" hidden="1" customHeight="1">
      <c r="A9928" s="172"/>
    </row>
    <row r="9929" spans="1:1" s="173" customFormat="1" ht="12" hidden="1" customHeight="1">
      <c r="A9929" s="172"/>
    </row>
    <row r="9930" spans="1:1" s="173" customFormat="1" ht="12" hidden="1" customHeight="1">
      <c r="A9930" s="172"/>
    </row>
    <row r="9931" spans="1:1" s="173" customFormat="1" ht="12" hidden="1" customHeight="1">
      <c r="A9931" s="172"/>
    </row>
    <row r="9932" spans="1:1" s="173" customFormat="1" ht="12" hidden="1" customHeight="1">
      <c r="A9932" s="172"/>
    </row>
    <row r="9933" spans="1:1" s="173" customFormat="1" ht="12" hidden="1" customHeight="1">
      <c r="A9933" s="172"/>
    </row>
    <row r="9934" spans="1:1" s="173" customFormat="1" ht="12" hidden="1" customHeight="1">
      <c r="A9934" s="172"/>
    </row>
    <row r="9935" spans="1:1" s="173" customFormat="1" ht="12" hidden="1" customHeight="1">
      <c r="A9935" s="172"/>
    </row>
    <row r="9936" spans="1:1" s="173" customFormat="1" ht="12" hidden="1" customHeight="1">
      <c r="A9936" s="172"/>
    </row>
    <row r="9937" spans="1:1" s="173" customFormat="1" ht="12" hidden="1" customHeight="1">
      <c r="A9937" s="172"/>
    </row>
    <row r="9938" spans="1:1" s="173" customFormat="1" ht="12" hidden="1" customHeight="1">
      <c r="A9938" s="172"/>
    </row>
    <row r="9939" spans="1:1" s="173" customFormat="1" ht="12" hidden="1" customHeight="1">
      <c r="A9939" s="172"/>
    </row>
    <row r="9940" spans="1:1" s="173" customFormat="1" ht="12" hidden="1" customHeight="1">
      <c r="A9940" s="172"/>
    </row>
    <row r="9941" spans="1:1" s="173" customFormat="1" ht="12" hidden="1" customHeight="1">
      <c r="A9941" s="172"/>
    </row>
    <row r="9942" spans="1:1" s="173" customFormat="1" ht="12" hidden="1" customHeight="1">
      <c r="A9942" s="172"/>
    </row>
    <row r="9943" spans="1:1" s="173" customFormat="1" ht="12" hidden="1" customHeight="1">
      <c r="A9943" s="172"/>
    </row>
    <row r="9944" spans="1:1" s="173" customFormat="1" ht="12" hidden="1" customHeight="1">
      <c r="A9944" s="172"/>
    </row>
    <row r="9945" spans="1:1" s="173" customFormat="1" ht="12" hidden="1" customHeight="1">
      <c r="A9945" s="172"/>
    </row>
    <row r="9946" spans="1:1" s="173" customFormat="1" ht="12" hidden="1" customHeight="1">
      <c r="A9946" s="172"/>
    </row>
    <row r="9947" spans="1:1" s="173" customFormat="1" ht="12" hidden="1" customHeight="1">
      <c r="A9947" s="172"/>
    </row>
    <row r="9948" spans="1:1" s="173" customFormat="1" ht="12" hidden="1" customHeight="1">
      <c r="A9948" s="172"/>
    </row>
    <row r="9949" spans="1:1" s="173" customFormat="1" ht="12" hidden="1" customHeight="1">
      <c r="A9949" s="172"/>
    </row>
    <row r="9950" spans="1:1" s="173" customFormat="1" ht="12" hidden="1" customHeight="1">
      <c r="A9950" s="172"/>
    </row>
    <row r="9951" spans="1:1" s="173" customFormat="1" ht="12" hidden="1" customHeight="1">
      <c r="A9951" s="172"/>
    </row>
    <row r="9952" spans="1:1" s="173" customFormat="1" ht="12" hidden="1" customHeight="1">
      <c r="A9952" s="172"/>
    </row>
    <row r="9953" spans="1:1" s="173" customFormat="1" ht="12" hidden="1" customHeight="1">
      <c r="A9953" s="172"/>
    </row>
    <row r="9954" spans="1:1" s="173" customFormat="1" ht="12" hidden="1" customHeight="1">
      <c r="A9954" s="172"/>
    </row>
    <row r="9955" spans="1:1" s="173" customFormat="1" ht="12" hidden="1" customHeight="1">
      <c r="A9955" s="172"/>
    </row>
    <row r="9956" spans="1:1" s="173" customFormat="1" ht="12" hidden="1" customHeight="1">
      <c r="A9956" s="172"/>
    </row>
    <row r="9957" spans="1:1" s="173" customFormat="1" ht="12" hidden="1" customHeight="1">
      <c r="A9957" s="172"/>
    </row>
    <row r="9958" spans="1:1" s="173" customFormat="1" ht="12" hidden="1" customHeight="1">
      <c r="A9958" s="172"/>
    </row>
    <row r="9959" spans="1:1" s="173" customFormat="1" ht="12" hidden="1" customHeight="1">
      <c r="A9959" s="172"/>
    </row>
    <row r="9960" spans="1:1" s="173" customFormat="1" ht="12" hidden="1" customHeight="1">
      <c r="A9960" s="172"/>
    </row>
    <row r="9961" spans="1:1" s="173" customFormat="1" ht="12" hidden="1" customHeight="1">
      <c r="A9961" s="172"/>
    </row>
    <row r="9962" spans="1:1" s="173" customFormat="1" ht="12" hidden="1" customHeight="1">
      <c r="A9962" s="172"/>
    </row>
    <row r="9963" spans="1:1" s="173" customFormat="1" ht="12" hidden="1" customHeight="1">
      <c r="A9963" s="172"/>
    </row>
    <row r="9964" spans="1:1" s="173" customFormat="1" ht="12" hidden="1" customHeight="1">
      <c r="A9964" s="172"/>
    </row>
    <row r="9965" spans="1:1" s="173" customFormat="1" ht="12" hidden="1" customHeight="1">
      <c r="A9965" s="172"/>
    </row>
    <row r="9966" spans="1:1" s="173" customFormat="1" ht="12" hidden="1" customHeight="1">
      <c r="A9966" s="172"/>
    </row>
    <row r="9967" spans="1:1" s="173" customFormat="1" ht="12" hidden="1" customHeight="1">
      <c r="A9967" s="172"/>
    </row>
    <row r="9968" spans="1:1" s="173" customFormat="1" ht="12" hidden="1" customHeight="1">
      <c r="A9968" s="172"/>
    </row>
    <row r="9969" spans="1:1" s="173" customFormat="1" ht="12" hidden="1" customHeight="1">
      <c r="A9969" s="172"/>
    </row>
    <row r="9970" spans="1:1" s="173" customFormat="1" ht="12" hidden="1" customHeight="1">
      <c r="A9970" s="172"/>
    </row>
    <row r="9971" spans="1:1" s="173" customFormat="1" ht="12" hidden="1" customHeight="1">
      <c r="A9971" s="172"/>
    </row>
    <row r="9972" spans="1:1" s="173" customFormat="1" ht="12" hidden="1" customHeight="1">
      <c r="A9972" s="172"/>
    </row>
    <row r="9973" spans="1:1" s="173" customFormat="1" ht="12" hidden="1" customHeight="1">
      <c r="A9973" s="172"/>
    </row>
    <row r="9974" spans="1:1" s="173" customFormat="1" ht="12" hidden="1" customHeight="1">
      <c r="A9974" s="172"/>
    </row>
    <row r="9975" spans="1:1" s="173" customFormat="1" ht="12" hidden="1" customHeight="1">
      <c r="A9975" s="172"/>
    </row>
    <row r="9976" spans="1:1" s="173" customFormat="1" ht="12" hidden="1" customHeight="1">
      <c r="A9976" s="172"/>
    </row>
    <row r="9977" spans="1:1" s="173" customFormat="1" ht="12" hidden="1" customHeight="1">
      <c r="A9977" s="172"/>
    </row>
    <row r="9978" spans="1:1" s="173" customFormat="1" ht="12" hidden="1" customHeight="1">
      <c r="A9978" s="172"/>
    </row>
    <row r="9979" spans="1:1" s="173" customFormat="1" ht="12" hidden="1" customHeight="1">
      <c r="A9979" s="172"/>
    </row>
    <row r="9980" spans="1:1" s="173" customFormat="1" ht="12" hidden="1" customHeight="1">
      <c r="A9980" s="172"/>
    </row>
    <row r="9981" spans="1:1" s="173" customFormat="1" ht="12" hidden="1" customHeight="1">
      <c r="A9981" s="172"/>
    </row>
    <row r="9982" spans="1:1" s="173" customFormat="1" ht="12" hidden="1" customHeight="1">
      <c r="A9982" s="172"/>
    </row>
    <row r="9983" spans="1:1" s="173" customFormat="1" ht="12" hidden="1" customHeight="1">
      <c r="A9983" s="172"/>
    </row>
    <row r="9984" spans="1:1" s="173" customFormat="1" ht="12" hidden="1" customHeight="1">
      <c r="A9984" s="172"/>
    </row>
    <row r="9985" spans="1:1" s="173" customFormat="1" ht="12" hidden="1" customHeight="1">
      <c r="A9985" s="172"/>
    </row>
    <row r="9986" spans="1:1" s="173" customFormat="1" ht="12" hidden="1" customHeight="1">
      <c r="A9986" s="172"/>
    </row>
    <row r="9987" spans="1:1" s="173" customFormat="1" ht="12" hidden="1" customHeight="1">
      <c r="A9987" s="172"/>
    </row>
    <row r="9988" spans="1:1" s="173" customFormat="1" ht="12" hidden="1" customHeight="1">
      <c r="A9988" s="172"/>
    </row>
    <row r="9989" spans="1:1" s="173" customFormat="1" ht="12" hidden="1" customHeight="1">
      <c r="A9989" s="172"/>
    </row>
    <row r="9990" spans="1:1" s="173" customFormat="1" ht="12" hidden="1" customHeight="1">
      <c r="A9990" s="172"/>
    </row>
    <row r="9991" spans="1:1" s="173" customFormat="1" ht="12" hidden="1" customHeight="1">
      <c r="A9991" s="172"/>
    </row>
    <row r="9992" spans="1:1" s="173" customFormat="1" ht="12" hidden="1" customHeight="1">
      <c r="A9992" s="172"/>
    </row>
    <row r="9993" spans="1:1" s="173" customFormat="1" ht="12" hidden="1" customHeight="1">
      <c r="A9993" s="172"/>
    </row>
    <row r="9994" spans="1:1" s="173" customFormat="1" ht="12" hidden="1" customHeight="1">
      <c r="A9994" s="172"/>
    </row>
    <row r="9995" spans="1:1" s="173" customFormat="1" ht="12" hidden="1" customHeight="1">
      <c r="A9995" s="172"/>
    </row>
    <row r="9996" spans="1:1" s="173" customFormat="1" ht="12" hidden="1" customHeight="1">
      <c r="A9996" s="172"/>
    </row>
    <row r="9997" spans="1:1" s="173" customFormat="1" ht="12" hidden="1" customHeight="1">
      <c r="A9997" s="172"/>
    </row>
    <row r="9998" spans="1:1" s="173" customFormat="1" ht="12" hidden="1" customHeight="1">
      <c r="A9998" s="172"/>
    </row>
    <row r="9999" spans="1:1" s="173" customFormat="1" ht="12" hidden="1" customHeight="1">
      <c r="A9999" s="172"/>
    </row>
    <row r="10000" spans="1:1" s="173" customFormat="1" ht="12" hidden="1" customHeight="1">
      <c r="A10000" s="172"/>
    </row>
    <row r="10001" spans="1:1" s="173" customFormat="1" ht="12" hidden="1" customHeight="1">
      <c r="A10001" s="172"/>
    </row>
    <row r="10002" spans="1:1" s="173" customFormat="1" ht="12" hidden="1" customHeight="1">
      <c r="A10002" s="172"/>
    </row>
    <row r="10003" spans="1:1" s="173" customFormat="1" ht="12" hidden="1" customHeight="1">
      <c r="A10003" s="172"/>
    </row>
    <row r="10004" spans="1:1" s="173" customFormat="1" ht="12" hidden="1" customHeight="1">
      <c r="A10004" s="172"/>
    </row>
    <row r="10005" spans="1:1" s="173" customFormat="1" ht="12" hidden="1" customHeight="1">
      <c r="A10005" s="172"/>
    </row>
    <row r="10006" spans="1:1" s="173" customFormat="1" ht="12" hidden="1" customHeight="1">
      <c r="A10006" s="172"/>
    </row>
    <row r="10007" spans="1:1" s="173" customFormat="1" ht="12" hidden="1" customHeight="1">
      <c r="A10007" s="172"/>
    </row>
    <row r="10008" spans="1:1" s="173" customFormat="1" ht="12" hidden="1" customHeight="1">
      <c r="A10008" s="172"/>
    </row>
    <row r="10009" spans="1:1" s="173" customFormat="1" ht="12" hidden="1" customHeight="1">
      <c r="A10009" s="172"/>
    </row>
    <row r="10010" spans="1:1" s="173" customFormat="1" ht="12" hidden="1" customHeight="1">
      <c r="A10010" s="172"/>
    </row>
    <row r="10011" spans="1:1" s="173" customFormat="1" ht="12" hidden="1" customHeight="1">
      <c r="A10011" s="172"/>
    </row>
    <row r="10012" spans="1:1" s="173" customFormat="1" ht="12" hidden="1" customHeight="1">
      <c r="A10012" s="172"/>
    </row>
    <row r="10013" spans="1:1" s="173" customFormat="1" ht="12" hidden="1" customHeight="1">
      <c r="A10013" s="172"/>
    </row>
    <row r="10014" spans="1:1" s="173" customFormat="1" ht="12" hidden="1" customHeight="1">
      <c r="A10014" s="172"/>
    </row>
    <row r="10015" spans="1:1" s="173" customFormat="1" ht="12" hidden="1" customHeight="1">
      <c r="A10015" s="172"/>
    </row>
    <row r="10016" spans="1:1" s="173" customFormat="1" ht="12" hidden="1" customHeight="1">
      <c r="A10016" s="172"/>
    </row>
    <row r="10017" spans="1:1" s="173" customFormat="1" ht="12" hidden="1" customHeight="1">
      <c r="A10017" s="172"/>
    </row>
    <row r="10018" spans="1:1" s="173" customFormat="1" ht="12" hidden="1" customHeight="1">
      <c r="A10018" s="172"/>
    </row>
    <row r="10019" spans="1:1" s="173" customFormat="1" ht="12" hidden="1" customHeight="1">
      <c r="A10019" s="172"/>
    </row>
    <row r="10020" spans="1:1" s="173" customFormat="1" ht="12" hidden="1" customHeight="1">
      <c r="A10020" s="172"/>
    </row>
    <row r="10021" spans="1:1" s="173" customFormat="1" ht="12" hidden="1" customHeight="1">
      <c r="A10021" s="172"/>
    </row>
    <row r="10022" spans="1:1" s="173" customFormat="1" ht="12" hidden="1" customHeight="1">
      <c r="A10022" s="172"/>
    </row>
    <row r="10023" spans="1:1" s="173" customFormat="1" ht="12" hidden="1" customHeight="1">
      <c r="A10023" s="172"/>
    </row>
    <row r="10024" spans="1:1" s="173" customFormat="1" ht="12" hidden="1" customHeight="1">
      <c r="A10024" s="172"/>
    </row>
    <row r="10025" spans="1:1" s="173" customFormat="1" ht="12" hidden="1" customHeight="1">
      <c r="A10025" s="172"/>
    </row>
    <row r="10026" spans="1:1" s="173" customFormat="1" ht="12" hidden="1" customHeight="1">
      <c r="A10026" s="172"/>
    </row>
    <row r="10027" spans="1:1" s="173" customFormat="1" ht="12" hidden="1" customHeight="1">
      <c r="A10027" s="172"/>
    </row>
    <row r="10028" spans="1:1" s="173" customFormat="1" ht="12" hidden="1" customHeight="1">
      <c r="A10028" s="172"/>
    </row>
    <row r="10029" spans="1:1" s="173" customFormat="1" ht="12" hidden="1" customHeight="1">
      <c r="A10029" s="172"/>
    </row>
    <row r="10030" spans="1:1" s="173" customFormat="1" ht="12" hidden="1" customHeight="1">
      <c r="A10030" s="172"/>
    </row>
    <row r="10031" spans="1:1" s="173" customFormat="1" ht="12" hidden="1" customHeight="1">
      <c r="A10031" s="172"/>
    </row>
    <row r="10032" spans="1:1" s="173" customFormat="1" ht="12" hidden="1" customHeight="1">
      <c r="A10032" s="172"/>
    </row>
    <row r="10033" spans="1:1" s="173" customFormat="1" ht="12" hidden="1" customHeight="1">
      <c r="A10033" s="172"/>
    </row>
    <row r="10034" spans="1:1" s="173" customFormat="1" ht="12" hidden="1" customHeight="1">
      <c r="A10034" s="172"/>
    </row>
    <row r="10035" spans="1:1" s="173" customFormat="1" ht="12" hidden="1" customHeight="1">
      <c r="A10035" s="172"/>
    </row>
    <row r="10036" spans="1:1" s="173" customFormat="1" ht="12" hidden="1" customHeight="1">
      <c r="A10036" s="172"/>
    </row>
    <row r="10037" spans="1:1" s="173" customFormat="1" ht="12" hidden="1" customHeight="1">
      <c r="A10037" s="172"/>
    </row>
    <row r="10038" spans="1:1" s="173" customFormat="1" ht="12" hidden="1" customHeight="1">
      <c r="A10038" s="172"/>
    </row>
    <row r="10039" spans="1:1" s="173" customFormat="1" ht="12" hidden="1" customHeight="1">
      <c r="A10039" s="172"/>
    </row>
    <row r="10040" spans="1:1" s="173" customFormat="1" ht="12" hidden="1" customHeight="1">
      <c r="A10040" s="172"/>
    </row>
    <row r="10041" spans="1:1" s="173" customFormat="1" ht="12" hidden="1" customHeight="1">
      <c r="A10041" s="172"/>
    </row>
    <row r="10042" spans="1:1" s="173" customFormat="1" ht="12" hidden="1" customHeight="1">
      <c r="A10042" s="172"/>
    </row>
    <row r="10043" spans="1:1" s="173" customFormat="1" ht="12" hidden="1" customHeight="1">
      <c r="A10043" s="172"/>
    </row>
    <row r="10044" spans="1:1" s="173" customFormat="1" ht="12" hidden="1" customHeight="1">
      <c r="A10044" s="172"/>
    </row>
    <row r="10045" spans="1:1" s="173" customFormat="1" ht="12" hidden="1" customHeight="1">
      <c r="A10045" s="172"/>
    </row>
    <row r="10046" spans="1:1" s="173" customFormat="1" ht="12" hidden="1" customHeight="1">
      <c r="A10046" s="172"/>
    </row>
    <row r="10047" spans="1:1" s="173" customFormat="1" ht="12" hidden="1" customHeight="1">
      <c r="A10047" s="172"/>
    </row>
    <row r="10048" spans="1:1" s="173" customFormat="1" ht="12" hidden="1" customHeight="1">
      <c r="A10048" s="172"/>
    </row>
    <row r="10049" spans="1:1" s="173" customFormat="1" ht="12" hidden="1" customHeight="1">
      <c r="A10049" s="172"/>
    </row>
    <row r="10050" spans="1:1" s="173" customFormat="1" ht="12" hidden="1" customHeight="1">
      <c r="A10050" s="172"/>
    </row>
    <row r="10051" spans="1:1" s="173" customFormat="1" ht="12" hidden="1" customHeight="1">
      <c r="A10051" s="172"/>
    </row>
    <row r="10052" spans="1:1" s="173" customFormat="1" ht="12" hidden="1" customHeight="1">
      <c r="A10052" s="172"/>
    </row>
    <row r="10053" spans="1:1" s="173" customFormat="1" ht="12" hidden="1" customHeight="1">
      <c r="A10053" s="172"/>
    </row>
    <row r="10054" spans="1:1" s="173" customFormat="1" ht="12" hidden="1" customHeight="1">
      <c r="A10054" s="172"/>
    </row>
    <row r="10055" spans="1:1" s="173" customFormat="1" ht="12" hidden="1" customHeight="1">
      <c r="A10055" s="172"/>
    </row>
    <row r="10056" spans="1:1" s="173" customFormat="1" ht="12" hidden="1" customHeight="1">
      <c r="A10056" s="172"/>
    </row>
    <row r="10057" spans="1:1" s="173" customFormat="1" ht="12" hidden="1" customHeight="1">
      <c r="A10057" s="172"/>
    </row>
    <row r="10058" spans="1:1" s="173" customFormat="1" ht="12" hidden="1" customHeight="1">
      <c r="A10058" s="172"/>
    </row>
    <row r="10059" spans="1:1" s="173" customFormat="1" ht="12" hidden="1" customHeight="1">
      <c r="A10059" s="172"/>
    </row>
    <row r="10060" spans="1:1" s="173" customFormat="1" ht="12" hidden="1" customHeight="1">
      <c r="A10060" s="172"/>
    </row>
    <row r="10061" spans="1:1" s="173" customFormat="1" ht="12" hidden="1" customHeight="1">
      <c r="A10061" s="172"/>
    </row>
    <row r="10062" spans="1:1" s="173" customFormat="1" ht="12" hidden="1" customHeight="1">
      <c r="A10062" s="172"/>
    </row>
    <row r="10063" spans="1:1" s="173" customFormat="1" ht="12" hidden="1" customHeight="1">
      <c r="A10063" s="172"/>
    </row>
    <row r="10064" spans="1:1" s="173" customFormat="1" ht="12" hidden="1" customHeight="1">
      <c r="A10064" s="172"/>
    </row>
    <row r="10065" spans="1:1" s="173" customFormat="1" ht="12" hidden="1" customHeight="1">
      <c r="A10065" s="172"/>
    </row>
    <row r="10066" spans="1:1" s="173" customFormat="1" ht="12" hidden="1" customHeight="1">
      <c r="A10066" s="172"/>
    </row>
    <row r="10067" spans="1:1" s="173" customFormat="1" ht="12" hidden="1" customHeight="1">
      <c r="A10067" s="172"/>
    </row>
    <row r="10068" spans="1:1" s="173" customFormat="1" ht="12" hidden="1" customHeight="1">
      <c r="A10068" s="172"/>
    </row>
    <row r="10069" spans="1:1" s="173" customFormat="1" ht="12" hidden="1" customHeight="1">
      <c r="A10069" s="172"/>
    </row>
    <row r="10070" spans="1:1" s="173" customFormat="1" ht="12" hidden="1" customHeight="1">
      <c r="A10070" s="172"/>
    </row>
    <row r="10071" spans="1:1" s="173" customFormat="1" ht="12" hidden="1" customHeight="1">
      <c r="A10071" s="172"/>
    </row>
    <row r="10072" spans="1:1" s="173" customFormat="1" ht="12" hidden="1" customHeight="1">
      <c r="A10072" s="172"/>
    </row>
    <row r="10073" spans="1:1" s="173" customFormat="1" ht="12" hidden="1" customHeight="1">
      <c r="A10073" s="172"/>
    </row>
    <row r="10074" spans="1:1" s="173" customFormat="1" ht="12" hidden="1" customHeight="1">
      <c r="A10074" s="172"/>
    </row>
    <row r="10075" spans="1:1" s="173" customFormat="1" ht="12" hidden="1" customHeight="1">
      <c r="A10075" s="172"/>
    </row>
    <row r="10076" spans="1:1" s="173" customFormat="1" ht="12" hidden="1" customHeight="1">
      <c r="A10076" s="172"/>
    </row>
    <row r="10077" spans="1:1" s="173" customFormat="1" ht="12" hidden="1" customHeight="1">
      <c r="A10077" s="172"/>
    </row>
    <row r="10078" spans="1:1" s="173" customFormat="1" ht="12" hidden="1" customHeight="1">
      <c r="A10078" s="172"/>
    </row>
    <row r="10079" spans="1:1" s="173" customFormat="1" ht="12" hidden="1" customHeight="1">
      <c r="A10079" s="172"/>
    </row>
    <row r="10080" spans="1:1" s="173" customFormat="1" ht="12" hidden="1" customHeight="1">
      <c r="A10080" s="172"/>
    </row>
    <row r="10081" spans="1:1" s="173" customFormat="1" ht="12" hidden="1" customHeight="1">
      <c r="A10081" s="172"/>
    </row>
    <row r="10082" spans="1:1" s="173" customFormat="1" ht="12" hidden="1" customHeight="1">
      <c r="A10082" s="172"/>
    </row>
    <row r="10083" spans="1:1" s="173" customFormat="1" ht="12" hidden="1" customHeight="1">
      <c r="A10083" s="172"/>
    </row>
    <row r="10084" spans="1:1" s="173" customFormat="1" ht="12" hidden="1" customHeight="1">
      <c r="A10084" s="172"/>
    </row>
    <row r="10085" spans="1:1" s="173" customFormat="1" ht="12" hidden="1" customHeight="1">
      <c r="A10085" s="172"/>
    </row>
    <row r="10086" spans="1:1" s="173" customFormat="1" ht="12" hidden="1" customHeight="1">
      <c r="A10086" s="172"/>
    </row>
    <row r="10087" spans="1:1" s="173" customFormat="1" ht="12" hidden="1" customHeight="1">
      <c r="A10087" s="172"/>
    </row>
    <row r="10088" spans="1:1" s="173" customFormat="1" ht="12" hidden="1" customHeight="1">
      <c r="A10088" s="172"/>
    </row>
    <row r="10089" spans="1:1" s="173" customFormat="1" ht="12" hidden="1" customHeight="1">
      <c r="A10089" s="172"/>
    </row>
    <row r="10090" spans="1:1" s="173" customFormat="1" ht="12" hidden="1" customHeight="1">
      <c r="A10090" s="172"/>
    </row>
    <row r="10091" spans="1:1" s="173" customFormat="1" ht="12" hidden="1" customHeight="1">
      <c r="A10091" s="172"/>
    </row>
    <row r="10092" spans="1:1" s="173" customFormat="1" ht="12" hidden="1" customHeight="1">
      <c r="A10092" s="172"/>
    </row>
    <row r="10093" spans="1:1" s="173" customFormat="1" ht="12" hidden="1" customHeight="1">
      <c r="A10093" s="172"/>
    </row>
    <row r="10094" spans="1:1" s="173" customFormat="1" ht="12" hidden="1" customHeight="1">
      <c r="A10094" s="172"/>
    </row>
    <row r="10095" spans="1:1" s="173" customFormat="1" ht="12" hidden="1" customHeight="1">
      <c r="A10095" s="172"/>
    </row>
    <row r="10096" spans="1:1" s="173" customFormat="1" ht="12" hidden="1" customHeight="1">
      <c r="A10096" s="172"/>
    </row>
    <row r="10097" spans="1:1" s="173" customFormat="1" ht="12" hidden="1" customHeight="1">
      <c r="A10097" s="172"/>
    </row>
    <row r="10098" spans="1:1" s="173" customFormat="1" ht="12" hidden="1" customHeight="1">
      <c r="A10098" s="172"/>
    </row>
    <row r="10099" spans="1:1" s="173" customFormat="1" ht="12" hidden="1" customHeight="1">
      <c r="A10099" s="172"/>
    </row>
    <row r="10100" spans="1:1" s="173" customFormat="1" ht="12" hidden="1" customHeight="1">
      <c r="A10100" s="172"/>
    </row>
    <row r="10101" spans="1:1" s="173" customFormat="1" ht="12" hidden="1" customHeight="1">
      <c r="A10101" s="172"/>
    </row>
    <row r="10102" spans="1:1" s="173" customFormat="1" ht="12" hidden="1" customHeight="1">
      <c r="A10102" s="172"/>
    </row>
    <row r="10103" spans="1:1" s="173" customFormat="1" ht="12" hidden="1" customHeight="1">
      <c r="A10103" s="172"/>
    </row>
    <row r="10104" spans="1:1" s="173" customFormat="1" ht="12" hidden="1" customHeight="1">
      <c r="A10104" s="172"/>
    </row>
    <row r="10105" spans="1:1" s="173" customFormat="1" ht="12" hidden="1" customHeight="1">
      <c r="A10105" s="172"/>
    </row>
    <row r="10106" spans="1:1" s="173" customFormat="1" ht="12" hidden="1" customHeight="1">
      <c r="A10106" s="172"/>
    </row>
    <row r="10107" spans="1:1" s="173" customFormat="1" ht="12" hidden="1" customHeight="1">
      <c r="A10107" s="172"/>
    </row>
    <row r="10108" spans="1:1" s="173" customFormat="1" ht="12" hidden="1" customHeight="1">
      <c r="A10108" s="172"/>
    </row>
    <row r="10109" spans="1:1" s="173" customFormat="1" ht="12" hidden="1" customHeight="1">
      <c r="A10109" s="172"/>
    </row>
    <row r="10110" spans="1:1" s="173" customFormat="1" ht="12" hidden="1" customHeight="1">
      <c r="A10110" s="172"/>
    </row>
    <row r="10111" spans="1:1" s="173" customFormat="1" ht="12" hidden="1" customHeight="1">
      <c r="A10111" s="172"/>
    </row>
    <row r="10112" spans="1:1" s="173" customFormat="1" ht="12" hidden="1" customHeight="1">
      <c r="A10112" s="172"/>
    </row>
    <row r="10113" spans="1:1" s="173" customFormat="1" ht="12" hidden="1" customHeight="1">
      <c r="A10113" s="172"/>
    </row>
    <row r="10114" spans="1:1" s="173" customFormat="1" ht="12" hidden="1" customHeight="1">
      <c r="A10114" s="172"/>
    </row>
    <row r="10115" spans="1:1" s="173" customFormat="1" ht="12" hidden="1" customHeight="1">
      <c r="A10115" s="172"/>
    </row>
    <row r="10116" spans="1:1" s="173" customFormat="1" ht="12" hidden="1" customHeight="1">
      <c r="A10116" s="172"/>
    </row>
    <row r="10117" spans="1:1" s="173" customFormat="1" ht="12" hidden="1" customHeight="1">
      <c r="A10117" s="172"/>
    </row>
    <row r="10118" spans="1:1" s="173" customFormat="1" ht="12" hidden="1" customHeight="1">
      <c r="A10118" s="172"/>
    </row>
    <row r="10119" spans="1:1" s="173" customFormat="1" ht="12" hidden="1" customHeight="1">
      <c r="A10119" s="172"/>
    </row>
    <row r="10120" spans="1:1" s="173" customFormat="1" ht="12" hidden="1" customHeight="1">
      <c r="A10120" s="172"/>
    </row>
    <row r="10121" spans="1:1" s="173" customFormat="1" ht="12" hidden="1" customHeight="1">
      <c r="A10121" s="172"/>
    </row>
    <row r="10122" spans="1:1" s="173" customFormat="1" ht="12" hidden="1" customHeight="1">
      <c r="A10122" s="172"/>
    </row>
    <row r="10123" spans="1:1" s="173" customFormat="1" ht="12" hidden="1" customHeight="1">
      <c r="A10123" s="172"/>
    </row>
    <row r="10124" spans="1:1" s="173" customFormat="1" ht="12" hidden="1" customHeight="1">
      <c r="A10124" s="172"/>
    </row>
    <row r="10125" spans="1:1" s="173" customFormat="1" ht="12" hidden="1" customHeight="1">
      <c r="A10125" s="172"/>
    </row>
    <row r="10126" spans="1:1" s="173" customFormat="1" ht="12" hidden="1" customHeight="1">
      <c r="A10126" s="172"/>
    </row>
    <row r="10127" spans="1:1" s="173" customFormat="1" ht="12" hidden="1" customHeight="1">
      <c r="A10127" s="172"/>
    </row>
    <row r="10128" spans="1:1" s="173" customFormat="1" ht="12" hidden="1" customHeight="1">
      <c r="A10128" s="172"/>
    </row>
    <row r="10129" spans="1:1" s="173" customFormat="1" ht="12" hidden="1" customHeight="1">
      <c r="A10129" s="172"/>
    </row>
    <row r="10130" spans="1:1" s="173" customFormat="1" ht="12" hidden="1" customHeight="1">
      <c r="A10130" s="172"/>
    </row>
    <row r="10131" spans="1:1" s="173" customFormat="1" ht="12" hidden="1" customHeight="1">
      <c r="A10131" s="172"/>
    </row>
    <row r="10132" spans="1:1" s="173" customFormat="1" ht="12" hidden="1" customHeight="1">
      <c r="A10132" s="172"/>
    </row>
    <row r="10133" spans="1:1" s="173" customFormat="1" ht="12" hidden="1" customHeight="1">
      <c r="A10133" s="172"/>
    </row>
    <row r="10134" spans="1:1" s="173" customFormat="1" ht="12" hidden="1" customHeight="1">
      <c r="A10134" s="172"/>
    </row>
    <row r="10135" spans="1:1" s="173" customFormat="1" ht="12" hidden="1" customHeight="1">
      <c r="A10135" s="172"/>
    </row>
    <row r="10136" spans="1:1" s="173" customFormat="1" ht="12" hidden="1" customHeight="1">
      <c r="A10136" s="172"/>
    </row>
    <row r="10137" spans="1:1" s="173" customFormat="1" ht="12" hidden="1" customHeight="1">
      <c r="A10137" s="172"/>
    </row>
    <row r="10138" spans="1:1" s="173" customFormat="1" ht="12" hidden="1" customHeight="1">
      <c r="A10138" s="172"/>
    </row>
    <row r="10139" spans="1:1" s="173" customFormat="1" ht="12" hidden="1" customHeight="1">
      <c r="A10139" s="172"/>
    </row>
    <row r="10140" spans="1:1" s="173" customFormat="1" ht="12" hidden="1" customHeight="1">
      <c r="A10140" s="172"/>
    </row>
    <row r="10141" spans="1:1" s="173" customFormat="1" ht="12" hidden="1" customHeight="1">
      <c r="A10141" s="172"/>
    </row>
    <row r="10142" spans="1:1" s="173" customFormat="1" ht="12" hidden="1" customHeight="1">
      <c r="A10142" s="172"/>
    </row>
    <row r="10143" spans="1:1" s="173" customFormat="1" ht="12" hidden="1" customHeight="1">
      <c r="A10143" s="172"/>
    </row>
    <row r="10144" spans="1:1" s="173" customFormat="1" ht="12" hidden="1" customHeight="1">
      <c r="A10144" s="172"/>
    </row>
    <row r="10145" spans="1:1" s="173" customFormat="1" ht="12" hidden="1" customHeight="1">
      <c r="A10145" s="172"/>
    </row>
    <row r="10146" spans="1:1" s="173" customFormat="1" ht="12" hidden="1" customHeight="1">
      <c r="A10146" s="172"/>
    </row>
    <row r="10147" spans="1:1" s="173" customFormat="1" ht="12" hidden="1" customHeight="1">
      <c r="A10147" s="172"/>
    </row>
    <row r="10148" spans="1:1" s="173" customFormat="1" ht="12" hidden="1" customHeight="1">
      <c r="A10148" s="172"/>
    </row>
    <row r="10149" spans="1:1" s="173" customFormat="1" ht="12" hidden="1" customHeight="1">
      <c r="A10149" s="172"/>
    </row>
    <row r="10150" spans="1:1" s="173" customFormat="1" ht="12" hidden="1" customHeight="1">
      <c r="A10150" s="172"/>
    </row>
    <row r="10151" spans="1:1" s="173" customFormat="1" ht="12" hidden="1" customHeight="1">
      <c r="A10151" s="172"/>
    </row>
    <row r="10152" spans="1:1" s="173" customFormat="1" ht="12" hidden="1" customHeight="1">
      <c r="A10152" s="172"/>
    </row>
    <row r="10153" spans="1:1" s="173" customFormat="1" ht="12" hidden="1" customHeight="1">
      <c r="A10153" s="172"/>
    </row>
    <row r="10154" spans="1:1" s="173" customFormat="1" ht="12" hidden="1" customHeight="1">
      <c r="A10154" s="172"/>
    </row>
    <row r="10155" spans="1:1" s="173" customFormat="1" ht="12" hidden="1" customHeight="1">
      <c r="A10155" s="172"/>
    </row>
    <row r="10156" spans="1:1" s="173" customFormat="1" ht="12" hidden="1" customHeight="1">
      <c r="A10156" s="172"/>
    </row>
    <row r="10157" spans="1:1" s="173" customFormat="1" ht="12" hidden="1" customHeight="1">
      <c r="A10157" s="172"/>
    </row>
    <row r="10158" spans="1:1" s="173" customFormat="1" ht="12" hidden="1" customHeight="1">
      <c r="A10158" s="172"/>
    </row>
    <row r="10159" spans="1:1" s="173" customFormat="1" ht="12" hidden="1" customHeight="1">
      <c r="A10159" s="172"/>
    </row>
    <row r="10160" spans="1:1" s="173" customFormat="1" ht="12" hidden="1" customHeight="1">
      <c r="A10160" s="172"/>
    </row>
    <row r="10161" spans="1:1" s="173" customFormat="1" ht="12" hidden="1" customHeight="1">
      <c r="A10161" s="172"/>
    </row>
    <row r="10162" spans="1:1" s="173" customFormat="1" ht="12" hidden="1" customHeight="1">
      <c r="A10162" s="172"/>
    </row>
    <row r="10163" spans="1:1" s="173" customFormat="1" ht="12" hidden="1" customHeight="1">
      <c r="A10163" s="172"/>
    </row>
    <row r="10164" spans="1:1" s="173" customFormat="1" ht="12" hidden="1" customHeight="1">
      <c r="A10164" s="172"/>
    </row>
    <row r="10165" spans="1:1" s="173" customFormat="1" ht="12" hidden="1" customHeight="1">
      <c r="A10165" s="172"/>
    </row>
    <row r="10166" spans="1:1" s="173" customFormat="1" ht="12" hidden="1" customHeight="1">
      <c r="A10166" s="172"/>
    </row>
    <row r="10167" spans="1:1" s="173" customFormat="1" ht="12" hidden="1" customHeight="1">
      <c r="A10167" s="172"/>
    </row>
    <row r="10168" spans="1:1" s="173" customFormat="1" ht="12" hidden="1" customHeight="1">
      <c r="A10168" s="172"/>
    </row>
    <row r="10169" spans="1:1" s="173" customFormat="1" ht="12" hidden="1" customHeight="1">
      <c r="A10169" s="172"/>
    </row>
    <row r="10170" spans="1:1" s="173" customFormat="1" ht="12" hidden="1" customHeight="1">
      <c r="A10170" s="172"/>
    </row>
    <row r="10171" spans="1:1" s="173" customFormat="1" ht="12" hidden="1" customHeight="1">
      <c r="A10171" s="172"/>
    </row>
    <row r="10172" spans="1:1" s="173" customFormat="1" ht="12" hidden="1" customHeight="1">
      <c r="A10172" s="172"/>
    </row>
    <row r="10173" spans="1:1" s="173" customFormat="1" ht="12" hidden="1" customHeight="1">
      <c r="A10173" s="172"/>
    </row>
    <row r="10174" spans="1:1" s="173" customFormat="1" ht="12" hidden="1" customHeight="1">
      <c r="A10174" s="172"/>
    </row>
    <row r="10175" spans="1:1" s="173" customFormat="1" ht="12" hidden="1" customHeight="1">
      <c r="A10175" s="172"/>
    </row>
    <row r="10176" spans="1:1" s="173" customFormat="1" ht="12" hidden="1" customHeight="1">
      <c r="A10176" s="172"/>
    </row>
    <row r="10177" spans="1:1" s="173" customFormat="1" ht="12" hidden="1" customHeight="1">
      <c r="A10177" s="172"/>
    </row>
    <row r="10178" spans="1:1" s="173" customFormat="1" ht="12" hidden="1" customHeight="1">
      <c r="A10178" s="172"/>
    </row>
    <row r="10179" spans="1:1" s="173" customFormat="1" ht="12" hidden="1" customHeight="1">
      <c r="A10179" s="172"/>
    </row>
    <row r="10180" spans="1:1" s="173" customFormat="1" ht="12" hidden="1" customHeight="1">
      <c r="A10180" s="172"/>
    </row>
    <row r="10181" spans="1:1" s="173" customFormat="1" ht="12" hidden="1" customHeight="1">
      <c r="A10181" s="172"/>
    </row>
    <row r="10182" spans="1:1" s="173" customFormat="1" ht="12" hidden="1" customHeight="1">
      <c r="A10182" s="172"/>
    </row>
    <row r="10183" spans="1:1" s="173" customFormat="1" ht="12" hidden="1" customHeight="1">
      <c r="A10183" s="172"/>
    </row>
    <row r="10184" spans="1:1" s="173" customFormat="1" ht="12" hidden="1" customHeight="1">
      <c r="A10184" s="172"/>
    </row>
    <row r="10185" spans="1:1" s="173" customFormat="1" ht="12" hidden="1" customHeight="1">
      <c r="A10185" s="172"/>
    </row>
    <row r="10186" spans="1:1" s="173" customFormat="1" ht="12" hidden="1" customHeight="1">
      <c r="A10186" s="172"/>
    </row>
    <row r="10187" spans="1:1" s="173" customFormat="1" ht="12" hidden="1" customHeight="1">
      <c r="A10187" s="172"/>
    </row>
    <row r="10188" spans="1:1" s="173" customFormat="1" ht="12" hidden="1" customHeight="1">
      <c r="A10188" s="172"/>
    </row>
    <row r="10189" spans="1:1" s="173" customFormat="1" ht="12" hidden="1" customHeight="1">
      <c r="A10189" s="172"/>
    </row>
    <row r="10190" spans="1:1" s="173" customFormat="1" ht="12" hidden="1" customHeight="1">
      <c r="A10190" s="172"/>
    </row>
    <row r="10191" spans="1:1" s="173" customFormat="1" ht="12" hidden="1" customHeight="1">
      <c r="A10191" s="172"/>
    </row>
    <row r="10192" spans="1:1" s="173" customFormat="1" ht="12" hidden="1" customHeight="1">
      <c r="A10192" s="172"/>
    </row>
    <row r="10193" spans="1:1" s="173" customFormat="1" ht="12" hidden="1" customHeight="1">
      <c r="A10193" s="172"/>
    </row>
    <row r="10194" spans="1:1" s="173" customFormat="1" ht="12" hidden="1" customHeight="1">
      <c r="A10194" s="172"/>
    </row>
    <row r="10195" spans="1:1" s="173" customFormat="1" ht="12" hidden="1" customHeight="1">
      <c r="A10195" s="172"/>
    </row>
    <row r="10196" spans="1:1" s="173" customFormat="1" ht="12" hidden="1" customHeight="1">
      <c r="A10196" s="172"/>
    </row>
    <row r="10197" spans="1:1" s="173" customFormat="1" ht="12" hidden="1" customHeight="1">
      <c r="A10197" s="172"/>
    </row>
    <row r="10198" spans="1:1" s="173" customFormat="1" ht="12" hidden="1" customHeight="1">
      <c r="A10198" s="172"/>
    </row>
    <row r="10199" spans="1:1" s="173" customFormat="1" ht="12" hidden="1" customHeight="1">
      <c r="A10199" s="172"/>
    </row>
    <row r="10200" spans="1:1" s="173" customFormat="1" ht="12" hidden="1" customHeight="1">
      <c r="A10200" s="172"/>
    </row>
    <row r="10201" spans="1:1" s="173" customFormat="1" ht="12" hidden="1" customHeight="1">
      <c r="A10201" s="172"/>
    </row>
    <row r="10202" spans="1:1" s="173" customFormat="1" ht="12" hidden="1" customHeight="1">
      <c r="A10202" s="172"/>
    </row>
    <row r="10203" spans="1:1" s="173" customFormat="1" ht="12" hidden="1" customHeight="1">
      <c r="A10203" s="172"/>
    </row>
    <row r="10204" spans="1:1" s="173" customFormat="1" ht="12" hidden="1" customHeight="1">
      <c r="A10204" s="172"/>
    </row>
    <row r="10205" spans="1:1" s="173" customFormat="1" ht="12" hidden="1" customHeight="1">
      <c r="A10205" s="172"/>
    </row>
    <row r="10206" spans="1:1" s="173" customFormat="1" ht="12" hidden="1" customHeight="1">
      <c r="A10206" s="172"/>
    </row>
    <row r="10207" spans="1:1" s="173" customFormat="1" ht="12" hidden="1" customHeight="1">
      <c r="A10207" s="172"/>
    </row>
    <row r="10208" spans="1:1" s="173" customFormat="1" ht="12" hidden="1" customHeight="1">
      <c r="A10208" s="172"/>
    </row>
    <row r="10209" spans="1:1" s="173" customFormat="1" ht="12" hidden="1" customHeight="1">
      <c r="A10209" s="172"/>
    </row>
    <row r="10210" spans="1:1" s="173" customFormat="1" ht="12" hidden="1" customHeight="1">
      <c r="A10210" s="172"/>
    </row>
    <row r="10211" spans="1:1" s="173" customFormat="1" ht="12" hidden="1" customHeight="1">
      <c r="A10211" s="172"/>
    </row>
    <row r="10212" spans="1:1" s="173" customFormat="1" ht="12" hidden="1" customHeight="1">
      <c r="A10212" s="172"/>
    </row>
    <row r="10213" spans="1:1" s="173" customFormat="1" ht="12" hidden="1" customHeight="1">
      <c r="A10213" s="172"/>
    </row>
    <row r="10214" spans="1:1" s="173" customFormat="1" ht="12" hidden="1" customHeight="1">
      <c r="A10214" s="172"/>
    </row>
    <row r="10215" spans="1:1" s="173" customFormat="1" ht="12" hidden="1" customHeight="1">
      <c r="A10215" s="172"/>
    </row>
    <row r="10216" spans="1:1" s="173" customFormat="1" ht="12" hidden="1" customHeight="1">
      <c r="A10216" s="172"/>
    </row>
    <row r="10217" spans="1:1" s="173" customFormat="1" ht="12" hidden="1" customHeight="1">
      <c r="A10217" s="172"/>
    </row>
    <row r="10218" spans="1:1" s="173" customFormat="1" ht="12" hidden="1" customHeight="1">
      <c r="A10218" s="172"/>
    </row>
    <row r="10219" spans="1:1" s="173" customFormat="1" ht="12" hidden="1" customHeight="1">
      <c r="A10219" s="172"/>
    </row>
    <row r="10220" spans="1:1" s="173" customFormat="1" ht="12" hidden="1" customHeight="1">
      <c r="A10220" s="172"/>
    </row>
    <row r="10221" spans="1:1" s="173" customFormat="1" ht="12" hidden="1" customHeight="1">
      <c r="A10221" s="172"/>
    </row>
    <row r="10222" spans="1:1" s="173" customFormat="1" ht="12" hidden="1" customHeight="1">
      <c r="A10222" s="172"/>
    </row>
    <row r="10223" spans="1:1" s="173" customFormat="1" ht="12" hidden="1" customHeight="1">
      <c r="A10223" s="172"/>
    </row>
    <row r="10224" spans="1:1" s="173" customFormat="1" ht="12" hidden="1" customHeight="1">
      <c r="A10224" s="172"/>
    </row>
    <row r="10225" spans="1:1" s="173" customFormat="1" ht="12" hidden="1" customHeight="1">
      <c r="A10225" s="172"/>
    </row>
    <row r="10226" spans="1:1" s="173" customFormat="1" ht="12" hidden="1" customHeight="1">
      <c r="A10226" s="172"/>
    </row>
    <row r="10227" spans="1:1" s="173" customFormat="1" ht="12" hidden="1" customHeight="1">
      <c r="A10227" s="172"/>
    </row>
    <row r="10228" spans="1:1" s="173" customFormat="1" ht="12" hidden="1" customHeight="1">
      <c r="A10228" s="172"/>
    </row>
    <row r="10229" spans="1:1" s="173" customFormat="1" ht="12" hidden="1" customHeight="1">
      <c r="A10229" s="172"/>
    </row>
    <row r="10230" spans="1:1" s="173" customFormat="1" ht="12" hidden="1" customHeight="1">
      <c r="A10230" s="172"/>
    </row>
    <row r="10231" spans="1:1" s="173" customFormat="1" ht="12" hidden="1" customHeight="1">
      <c r="A10231" s="172"/>
    </row>
    <row r="10232" spans="1:1" s="173" customFormat="1" ht="12" hidden="1" customHeight="1">
      <c r="A10232" s="172"/>
    </row>
    <row r="10233" spans="1:1" s="173" customFormat="1" ht="12" hidden="1" customHeight="1">
      <c r="A10233" s="172"/>
    </row>
    <row r="10234" spans="1:1" s="173" customFormat="1" ht="12" hidden="1" customHeight="1">
      <c r="A10234" s="172"/>
    </row>
    <row r="10235" spans="1:1" s="173" customFormat="1" ht="12" hidden="1" customHeight="1">
      <c r="A10235" s="172"/>
    </row>
    <row r="10236" spans="1:1" s="173" customFormat="1" ht="12" hidden="1" customHeight="1">
      <c r="A10236" s="172"/>
    </row>
    <row r="10237" spans="1:1" s="173" customFormat="1" ht="12" hidden="1" customHeight="1">
      <c r="A10237" s="172"/>
    </row>
    <row r="10238" spans="1:1" s="173" customFormat="1" ht="12" hidden="1" customHeight="1">
      <c r="A10238" s="172"/>
    </row>
    <row r="10239" spans="1:1" s="173" customFormat="1" ht="12" hidden="1" customHeight="1">
      <c r="A10239" s="172"/>
    </row>
    <row r="10240" spans="1:1" s="173" customFormat="1" ht="12" hidden="1" customHeight="1">
      <c r="A10240" s="172"/>
    </row>
    <row r="10241" spans="1:1" s="173" customFormat="1" ht="12" hidden="1" customHeight="1">
      <c r="A10241" s="172"/>
    </row>
    <row r="10242" spans="1:1" s="173" customFormat="1" ht="12" hidden="1" customHeight="1">
      <c r="A10242" s="172"/>
    </row>
    <row r="10243" spans="1:1" s="173" customFormat="1" ht="12" hidden="1" customHeight="1">
      <c r="A10243" s="172"/>
    </row>
    <row r="10244" spans="1:1" s="173" customFormat="1" ht="12" hidden="1" customHeight="1">
      <c r="A10244" s="172"/>
    </row>
    <row r="10245" spans="1:1" s="173" customFormat="1" ht="12" hidden="1" customHeight="1">
      <c r="A10245" s="172"/>
    </row>
    <row r="10246" spans="1:1" s="173" customFormat="1" ht="12" hidden="1" customHeight="1">
      <c r="A10246" s="172"/>
    </row>
    <row r="10247" spans="1:1" s="173" customFormat="1" ht="12" hidden="1" customHeight="1">
      <c r="A10247" s="172"/>
    </row>
    <row r="10248" spans="1:1" s="173" customFormat="1" ht="12" hidden="1" customHeight="1">
      <c r="A10248" s="172"/>
    </row>
    <row r="10249" spans="1:1" s="173" customFormat="1" ht="12" hidden="1" customHeight="1">
      <c r="A10249" s="172"/>
    </row>
    <row r="10250" spans="1:1" s="173" customFormat="1" ht="12" hidden="1" customHeight="1">
      <c r="A10250" s="172"/>
    </row>
    <row r="10251" spans="1:1" s="173" customFormat="1" ht="12" hidden="1" customHeight="1">
      <c r="A10251" s="172"/>
    </row>
    <row r="10252" spans="1:1" s="173" customFormat="1" ht="12" hidden="1" customHeight="1">
      <c r="A10252" s="172"/>
    </row>
    <row r="10253" spans="1:1" s="173" customFormat="1" ht="12" hidden="1" customHeight="1">
      <c r="A10253" s="172"/>
    </row>
    <row r="10254" spans="1:1" s="173" customFormat="1" ht="12" hidden="1" customHeight="1">
      <c r="A10254" s="172"/>
    </row>
    <row r="10255" spans="1:1" s="173" customFormat="1" ht="12" hidden="1" customHeight="1">
      <c r="A10255" s="172"/>
    </row>
    <row r="10256" spans="1:1" s="173" customFormat="1" ht="12" hidden="1" customHeight="1">
      <c r="A10256" s="172"/>
    </row>
    <row r="10257" spans="1:1" s="173" customFormat="1" ht="12" hidden="1" customHeight="1">
      <c r="A10257" s="172"/>
    </row>
    <row r="10258" spans="1:1" s="173" customFormat="1" ht="12" hidden="1" customHeight="1">
      <c r="A10258" s="172"/>
    </row>
    <row r="10259" spans="1:1" s="173" customFormat="1" ht="12" hidden="1" customHeight="1">
      <c r="A10259" s="172"/>
    </row>
    <row r="10260" spans="1:1" s="173" customFormat="1" ht="12" hidden="1" customHeight="1">
      <c r="A10260" s="172"/>
    </row>
    <row r="10261" spans="1:1" s="173" customFormat="1" ht="12" hidden="1" customHeight="1">
      <c r="A10261" s="172"/>
    </row>
    <row r="10262" spans="1:1" s="173" customFormat="1" ht="12" hidden="1" customHeight="1">
      <c r="A10262" s="172"/>
    </row>
    <row r="10263" spans="1:1" s="173" customFormat="1" ht="12" hidden="1" customHeight="1">
      <c r="A10263" s="172"/>
    </row>
    <row r="10264" spans="1:1" s="173" customFormat="1" ht="12" hidden="1" customHeight="1">
      <c r="A10264" s="172"/>
    </row>
    <row r="10265" spans="1:1" s="173" customFormat="1" ht="12" hidden="1" customHeight="1">
      <c r="A10265" s="172"/>
    </row>
    <row r="10266" spans="1:1" s="173" customFormat="1" ht="12" hidden="1" customHeight="1">
      <c r="A10266" s="172"/>
    </row>
    <row r="10267" spans="1:1" s="173" customFormat="1" ht="12" hidden="1" customHeight="1">
      <c r="A10267" s="172"/>
    </row>
    <row r="10268" spans="1:1" s="173" customFormat="1" ht="12" hidden="1" customHeight="1">
      <c r="A10268" s="172"/>
    </row>
    <row r="10269" spans="1:1" s="173" customFormat="1" ht="12" hidden="1" customHeight="1">
      <c r="A10269" s="172"/>
    </row>
    <row r="10270" spans="1:1" s="173" customFormat="1" ht="12" hidden="1" customHeight="1">
      <c r="A10270" s="172"/>
    </row>
    <row r="10271" spans="1:1" s="173" customFormat="1" ht="12" hidden="1" customHeight="1">
      <c r="A10271" s="172"/>
    </row>
    <row r="10272" spans="1:1" s="173" customFormat="1" ht="12" hidden="1" customHeight="1">
      <c r="A10272" s="172"/>
    </row>
    <row r="10273" spans="1:1" s="173" customFormat="1" ht="12" hidden="1" customHeight="1">
      <c r="A10273" s="172"/>
    </row>
    <row r="10274" spans="1:1" s="173" customFormat="1" ht="12" hidden="1" customHeight="1">
      <c r="A10274" s="172"/>
    </row>
    <row r="10275" spans="1:1" s="173" customFormat="1" ht="12" hidden="1" customHeight="1">
      <c r="A10275" s="172"/>
    </row>
    <row r="10276" spans="1:1" s="173" customFormat="1" ht="12" hidden="1" customHeight="1">
      <c r="A10276" s="172"/>
    </row>
    <row r="10277" spans="1:1" s="173" customFormat="1" ht="12" hidden="1" customHeight="1">
      <c r="A10277" s="172"/>
    </row>
    <row r="10278" spans="1:1" s="173" customFormat="1" ht="12" hidden="1" customHeight="1">
      <c r="A10278" s="172"/>
    </row>
    <row r="10279" spans="1:1" s="173" customFormat="1" ht="12" hidden="1" customHeight="1">
      <c r="A10279" s="172"/>
    </row>
    <row r="10280" spans="1:1" s="173" customFormat="1" ht="12" hidden="1" customHeight="1">
      <c r="A10280" s="172"/>
    </row>
    <row r="10281" spans="1:1" s="173" customFormat="1" ht="12" hidden="1" customHeight="1">
      <c r="A10281" s="172"/>
    </row>
    <row r="10282" spans="1:1" s="173" customFormat="1" ht="12" hidden="1" customHeight="1">
      <c r="A10282" s="172"/>
    </row>
    <row r="10283" spans="1:1" s="173" customFormat="1" ht="12" hidden="1" customHeight="1">
      <c r="A10283" s="172"/>
    </row>
    <row r="10284" spans="1:1" s="173" customFormat="1" ht="12" hidden="1" customHeight="1">
      <c r="A10284" s="172"/>
    </row>
    <row r="10285" spans="1:1" s="173" customFormat="1" ht="12" hidden="1" customHeight="1">
      <c r="A10285" s="172"/>
    </row>
    <row r="10286" spans="1:1" s="173" customFormat="1" ht="12" hidden="1" customHeight="1">
      <c r="A10286" s="172"/>
    </row>
    <row r="10287" spans="1:1" s="173" customFormat="1" ht="12" hidden="1" customHeight="1">
      <c r="A10287" s="172"/>
    </row>
    <row r="10288" spans="1:1" s="173" customFormat="1" ht="12" hidden="1" customHeight="1">
      <c r="A10288" s="172"/>
    </row>
    <row r="10289" spans="1:1" s="173" customFormat="1" ht="12" hidden="1" customHeight="1">
      <c r="A10289" s="172"/>
    </row>
    <row r="10290" spans="1:1" s="173" customFormat="1" ht="12" hidden="1" customHeight="1">
      <c r="A10290" s="172"/>
    </row>
    <row r="10291" spans="1:1" s="173" customFormat="1" ht="12" hidden="1" customHeight="1">
      <c r="A10291" s="172"/>
    </row>
    <row r="10292" spans="1:1" s="173" customFormat="1" ht="12" hidden="1" customHeight="1">
      <c r="A10292" s="172"/>
    </row>
    <row r="10293" spans="1:1" s="173" customFormat="1" ht="12" hidden="1" customHeight="1">
      <c r="A10293" s="172"/>
    </row>
    <row r="10294" spans="1:1" s="173" customFormat="1" ht="12" hidden="1" customHeight="1">
      <c r="A10294" s="172"/>
    </row>
    <row r="10295" spans="1:1" s="173" customFormat="1" ht="12" hidden="1" customHeight="1">
      <c r="A10295" s="172"/>
    </row>
    <row r="10296" spans="1:1" s="173" customFormat="1" ht="12" hidden="1" customHeight="1">
      <c r="A10296" s="172"/>
    </row>
    <row r="10297" spans="1:1" s="173" customFormat="1" ht="12" hidden="1" customHeight="1">
      <c r="A10297" s="172"/>
    </row>
    <row r="10298" spans="1:1" s="173" customFormat="1" ht="12" hidden="1" customHeight="1">
      <c r="A10298" s="172"/>
    </row>
    <row r="10299" spans="1:1" s="173" customFormat="1" ht="12" hidden="1" customHeight="1">
      <c r="A10299" s="172"/>
    </row>
    <row r="10300" spans="1:1" s="173" customFormat="1" ht="12" hidden="1" customHeight="1">
      <c r="A10300" s="172"/>
    </row>
    <row r="10301" spans="1:1" s="173" customFormat="1" ht="12" hidden="1" customHeight="1">
      <c r="A10301" s="172"/>
    </row>
    <row r="10302" spans="1:1" s="173" customFormat="1" ht="12" hidden="1" customHeight="1">
      <c r="A10302" s="172"/>
    </row>
    <row r="10303" spans="1:1" s="173" customFormat="1" ht="12" hidden="1" customHeight="1">
      <c r="A10303" s="172"/>
    </row>
    <row r="10304" spans="1:1" s="173" customFormat="1" ht="12" hidden="1" customHeight="1">
      <c r="A10304" s="172"/>
    </row>
    <row r="10305" spans="1:1" s="173" customFormat="1" ht="12" hidden="1" customHeight="1">
      <c r="A10305" s="172"/>
    </row>
    <row r="10306" spans="1:1" s="173" customFormat="1" ht="12" hidden="1" customHeight="1">
      <c r="A10306" s="172"/>
    </row>
    <row r="10307" spans="1:1" s="173" customFormat="1" ht="12" hidden="1" customHeight="1">
      <c r="A10307" s="172"/>
    </row>
    <row r="10308" spans="1:1" s="173" customFormat="1" ht="12" hidden="1" customHeight="1">
      <c r="A10308" s="172"/>
    </row>
    <row r="10309" spans="1:1" s="173" customFormat="1" ht="12" hidden="1" customHeight="1">
      <c r="A10309" s="172"/>
    </row>
    <row r="10310" spans="1:1" s="173" customFormat="1" ht="12" hidden="1" customHeight="1">
      <c r="A10310" s="172"/>
    </row>
    <row r="10311" spans="1:1" s="173" customFormat="1" ht="12" hidden="1" customHeight="1">
      <c r="A10311" s="172"/>
    </row>
    <row r="10312" spans="1:1" s="173" customFormat="1" ht="12" hidden="1" customHeight="1">
      <c r="A10312" s="172"/>
    </row>
    <row r="10313" spans="1:1" s="173" customFormat="1" ht="12" hidden="1" customHeight="1">
      <c r="A10313" s="172"/>
    </row>
    <row r="10314" spans="1:1" s="173" customFormat="1" ht="12" hidden="1" customHeight="1">
      <c r="A10314" s="172"/>
    </row>
    <row r="10315" spans="1:1" s="173" customFormat="1" ht="12" hidden="1" customHeight="1">
      <c r="A10315" s="172"/>
    </row>
    <row r="10316" spans="1:1" s="173" customFormat="1" ht="12" hidden="1" customHeight="1">
      <c r="A10316" s="172"/>
    </row>
    <row r="10317" spans="1:1" s="173" customFormat="1" ht="12" hidden="1" customHeight="1">
      <c r="A10317" s="172"/>
    </row>
    <row r="10318" spans="1:1" s="173" customFormat="1" ht="12" hidden="1" customHeight="1">
      <c r="A10318" s="172"/>
    </row>
    <row r="10319" spans="1:1" s="173" customFormat="1" ht="12" hidden="1" customHeight="1">
      <c r="A10319" s="172"/>
    </row>
    <row r="10320" spans="1:1" s="173" customFormat="1" ht="12" hidden="1" customHeight="1">
      <c r="A10320" s="172"/>
    </row>
    <row r="10321" spans="1:1" s="173" customFormat="1" ht="12" hidden="1" customHeight="1">
      <c r="A10321" s="172"/>
    </row>
    <row r="10322" spans="1:1" s="173" customFormat="1" ht="12" hidden="1" customHeight="1">
      <c r="A10322" s="172"/>
    </row>
    <row r="10323" spans="1:1" s="173" customFormat="1" ht="12" hidden="1" customHeight="1">
      <c r="A10323" s="172"/>
    </row>
    <row r="10324" spans="1:1" s="173" customFormat="1" ht="12" hidden="1" customHeight="1">
      <c r="A10324" s="172"/>
    </row>
    <row r="10325" spans="1:1" s="173" customFormat="1" ht="12" hidden="1" customHeight="1">
      <c r="A10325" s="172"/>
    </row>
    <row r="10326" spans="1:1" s="173" customFormat="1" ht="12" hidden="1" customHeight="1">
      <c r="A10326" s="172"/>
    </row>
    <row r="10327" spans="1:1" s="173" customFormat="1" ht="12" hidden="1" customHeight="1">
      <c r="A10327" s="172"/>
    </row>
    <row r="10328" spans="1:1" s="173" customFormat="1" ht="12" hidden="1" customHeight="1">
      <c r="A10328" s="172"/>
    </row>
    <row r="10329" spans="1:1" s="173" customFormat="1" ht="12" hidden="1" customHeight="1">
      <c r="A10329" s="172"/>
    </row>
    <row r="10330" spans="1:1" s="173" customFormat="1" ht="12" hidden="1" customHeight="1">
      <c r="A10330" s="172"/>
    </row>
    <row r="10331" spans="1:1" s="173" customFormat="1" ht="12" hidden="1" customHeight="1">
      <c r="A10331" s="172"/>
    </row>
    <row r="10332" spans="1:1" s="173" customFormat="1" ht="12" hidden="1" customHeight="1">
      <c r="A10332" s="172"/>
    </row>
    <row r="10333" spans="1:1" s="173" customFormat="1" ht="12" hidden="1" customHeight="1">
      <c r="A10333" s="172"/>
    </row>
    <row r="10334" spans="1:1" s="173" customFormat="1" ht="12" hidden="1" customHeight="1">
      <c r="A10334" s="172"/>
    </row>
    <row r="10335" spans="1:1" s="173" customFormat="1" ht="12" hidden="1" customHeight="1">
      <c r="A10335" s="172"/>
    </row>
    <row r="10336" spans="1:1" s="173" customFormat="1" ht="12" hidden="1" customHeight="1">
      <c r="A10336" s="172"/>
    </row>
    <row r="10337" spans="1:1" s="173" customFormat="1" ht="12" hidden="1" customHeight="1">
      <c r="A10337" s="172"/>
    </row>
    <row r="10338" spans="1:1" s="173" customFormat="1" ht="12" hidden="1" customHeight="1">
      <c r="A10338" s="172"/>
    </row>
    <row r="10339" spans="1:1" s="173" customFormat="1" ht="12" hidden="1" customHeight="1">
      <c r="A10339" s="172"/>
    </row>
    <row r="10340" spans="1:1" s="173" customFormat="1" ht="12" hidden="1" customHeight="1">
      <c r="A10340" s="172"/>
    </row>
    <row r="10341" spans="1:1" s="173" customFormat="1" ht="12" hidden="1" customHeight="1">
      <c r="A10341" s="172"/>
    </row>
    <row r="10342" spans="1:1" s="173" customFormat="1" ht="12" hidden="1" customHeight="1">
      <c r="A10342" s="172"/>
    </row>
    <row r="10343" spans="1:1" s="173" customFormat="1" ht="12" hidden="1" customHeight="1">
      <c r="A10343" s="172"/>
    </row>
    <row r="10344" spans="1:1" s="173" customFormat="1" ht="12" hidden="1" customHeight="1">
      <c r="A10344" s="172"/>
    </row>
    <row r="10345" spans="1:1" s="173" customFormat="1" ht="12" hidden="1" customHeight="1">
      <c r="A10345" s="172"/>
    </row>
    <row r="10346" spans="1:1" s="173" customFormat="1" ht="12" hidden="1" customHeight="1">
      <c r="A10346" s="172"/>
    </row>
    <row r="10347" spans="1:1" s="173" customFormat="1" ht="12" hidden="1" customHeight="1">
      <c r="A10347" s="172"/>
    </row>
    <row r="10348" spans="1:1" s="173" customFormat="1" ht="12" hidden="1" customHeight="1">
      <c r="A10348" s="172"/>
    </row>
    <row r="10349" spans="1:1" s="173" customFormat="1" ht="12" hidden="1" customHeight="1">
      <c r="A10349" s="172"/>
    </row>
    <row r="10350" spans="1:1" s="173" customFormat="1" ht="12" hidden="1" customHeight="1">
      <c r="A10350" s="172"/>
    </row>
    <row r="10351" spans="1:1" s="173" customFormat="1" ht="12" hidden="1" customHeight="1">
      <c r="A10351" s="172"/>
    </row>
    <row r="10352" spans="1:1" s="173" customFormat="1" ht="12" hidden="1" customHeight="1">
      <c r="A10352" s="172"/>
    </row>
    <row r="10353" spans="1:1" s="173" customFormat="1" ht="12" hidden="1" customHeight="1">
      <c r="A10353" s="172"/>
    </row>
    <row r="10354" spans="1:1" s="173" customFormat="1" ht="12" hidden="1" customHeight="1">
      <c r="A10354" s="172"/>
    </row>
    <row r="10355" spans="1:1" s="173" customFormat="1" ht="12" hidden="1" customHeight="1">
      <c r="A10355" s="172"/>
    </row>
    <row r="10356" spans="1:1" s="173" customFormat="1" ht="12" hidden="1" customHeight="1">
      <c r="A10356" s="172"/>
    </row>
    <row r="10357" spans="1:1" s="173" customFormat="1" ht="12" hidden="1" customHeight="1">
      <c r="A10357" s="172"/>
    </row>
    <row r="10358" spans="1:1" s="173" customFormat="1" ht="12" hidden="1" customHeight="1">
      <c r="A10358" s="172"/>
    </row>
    <row r="10359" spans="1:1" s="173" customFormat="1" ht="12" hidden="1" customHeight="1">
      <c r="A10359" s="172"/>
    </row>
    <row r="10360" spans="1:1" s="173" customFormat="1" ht="12" hidden="1" customHeight="1">
      <c r="A10360" s="172"/>
    </row>
    <row r="10361" spans="1:1" s="173" customFormat="1" ht="12" hidden="1" customHeight="1">
      <c r="A10361" s="172"/>
    </row>
    <row r="10362" spans="1:1" s="173" customFormat="1" ht="12" hidden="1" customHeight="1">
      <c r="A10362" s="172"/>
    </row>
    <row r="10363" spans="1:1" s="173" customFormat="1" ht="12" hidden="1" customHeight="1">
      <c r="A10363" s="172"/>
    </row>
    <row r="10364" spans="1:1" s="173" customFormat="1" ht="12" hidden="1" customHeight="1">
      <c r="A10364" s="172"/>
    </row>
    <row r="10365" spans="1:1" s="173" customFormat="1" ht="12" hidden="1" customHeight="1">
      <c r="A10365" s="172"/>
    </row>
    <row r="10366" spans="1:1" s="173" customFormat="1" ht="12" hidden="1" customHeight="1">
      <c r="A10366" s="172"/>
    </row>
    <row r="10367" spans="1:1" s="173" customFormat="1" ht="12" hidden="1" customHeight="1">
      <c r="A10367" s="172"/>
    </row>
    <row r="10368" spans="1:1" s="173" customFormat="1" ht="12" hidden="1" customHeight="1">
      <c r="A10368" s="172"/>
    </row>
    <row r="10369" spans="1:1" s="173" customFormat="1" ht="12" hidden="1" customHeight="1">
      <c r="A10369" s="172"/>
    </row>
    <row r="10370" spans="1:1" s="173" customFormat="1" ht="12" hidden="1" customHeight="1">
      <c r="A10370" s="172"/>
    </row>
    <row r="10371" spans="1:1" s="173" customFormat="1" ht="12" hidden="1" customHeight="1">
      <c r="A10371" s="172"/>
    </row>
    <row r="10372" spans="1:1" s="173" customFormat="1" ht="12" hidden="1" customHeight="1">
      <c r="A10372" s="172"/>
    </row>
    <row r="10373" spans="1:1" s="173" customFormat="1" ht="12" hidden="1" customHeight="1">
      <c r="A10373" s="172"/>
    </row>
    <row r="10374" spans="1:1" s="173" customFormat="1" ht="12" hidden="1" customHeight="1">
      <c r="A10374" s="172"/>
    </row>
    <row r="10375" spans="1:1" s="173" customFormat="1" ht="12" hidden="1" customHeight="1">
      <c r="A10375" s="172"/>
    </row>
    <row r="10376" spans="1:1" s="173" customFormat="1" ht="12" hidden="1" customHeight="1">
      <c r="A10376" s="172"/>
    </row>
    <row r="10377" spans="1:1" s="173" customFormat="1" ht="12" hidden="1" customHeight="1">
      <c r="A10377" s="172"/>
    </row>
    <row r="10378" spans="1:1" s="173" customFormat="1" ht="12" hidden="1" customHeight="1">
      <c r="A10378" s="172"/>
    </row>
    <row r="10379" spans="1:1" s="173" customFormat="1" ht="12" hidden="1" customHeight="1">
      <c r="A10379" s="172"/>
    </row>
    <row r="10380" spans="1:1" s="173" customFormat="1" ht="12" hidden="1" customHeight="1">
      <c r="A10380" s="172"/>
    </row>
    <row r="10381" spans="1:1" s="173" customFormat="1" ht="12" hidden="1" customHeight="1">
      <c r="A10381" s="172"/>
    </row>
    <row r="10382" spans="1:1" s="173" customFormat="1" ht="12" hidden="1" customHeight="1">
      <c r="A10382" s="172"/>
    </row>
    <row r="10383" spans="1:1" s="173" customFormat="1" ht="12" hidden="1" customHeight="1">
      <c r="A10383" s="172"/>
    </row>
    <row r="10384" spans="1:1" s="173" customFormat="1" ht="12" hidden="1" customHeight="1">
      <c r="A10384" s="172"/>
    </row>
    <row r="10385" spans="1:1" s="173" customFormat="1" ht="12" hidden="1" customHeight="1">
      <c r="A10385" s="172"/>
    </row>
    <row r="10386" spans="1:1" s="173" customFormat="1" ht="12" hidden="1" customHeight="1">
      <c r="A10386" s="172"/>
    </row>
    <row r="10387" spans="1:1" s="173" customFormat="1" ht="12" hidden="1" customHeight="1">
      <c r="A10387" s="172"/>
    </row>
    <row r="10388" spans="1:1" s="173" customFormat="1" ht="12" hidden="1" customHeight="1">
      <c r="A10388" s="172"/>
    </row>
    <row r="10389" spans="1:1" s="173" customFormat="1" ht="12" hidden="1" customHeight="1">
      <c r="A10389" s="172"/>
    </row>
    <row r="10390" spans="1:1" s="173" customFormat="1" ht="12" hidden="1" customHeight="1">
      <c r="A10390" s="172"/>
    </row>
    <row r="10391" spans="1:1" s="173" customFormat="1" ht="12" hidden="1" customHeight="1">
      <c r="A10391" s="172"/>
    </row>
    <row r="10392" spans="1:1" s="173" customFormat="1" ht="12" hidden="1" customHeight="1">
      <c r="A10392" s="172"/>
    </row>
    <row r="10393" spans="1:1" s="173" customFormat="1" ht="12" hidden="1" customHeight="1">
      <c r="A10393" s="172"/>
    </row>
    <row r="10394" spans="1:1" s="173" customFormat="1" ht="12" hidden="1" customHeight="1">
      <c r="A10394" s="172"/>
    </row>
    <row r="10395" spans="1:1" s="173" customFormat="1" ht="12" hidden="1" customHeight="1">
      <c r="A10395" s="172"/>
    </row>
    <row r="10396" spans="1:1" s="173" customFormat="1" ht="12" hidden="1" customHeight="1">
      <c r="A10396" s="172"/>
    </row>
    <row r="10397" spans="1:1" s="173" customFormat="1" ht="12" hidden="1" customHeight="1">
      <c r="A10397" s="172"/>
    </row>
    <row r="10398" spans="1:1" s="173" customFormat="1" ht="12" hidden="1" customHeight="1">
      <c r="A10398" s="172"/>
    </row>
    <row r="10399" spans="1:1" s="173" customFormat="1" ht="12" hidden="1" customHeight="1">
      <c r="A10399" s="172"/>
    </row>
    <row r="10400" spans="1:1" s="173" customFormat="1" ht="12" hidden="1" customHeight="1">
      <c r="A10400" s="172"/>
    </row>
    <row r="10401" spans="1:1" s="173" customFormat="1" ht="12" hidden="1" customHeight="1">
      <c r="A10401" s="172"/>
    </row>
    <row r="10402" spans="1:1" s="173" customFormat="1" ht="12" hidden="1" customHeight="1">
      <c r="A10402" s="172"/>
    </row>
    <row r="10403" spans="1:1" s="173" customFormat="1" ht="12" hidden="1" customHeight="1">
      <c r="A10403" s="172"/>
    </row>
    <row r="10404" spans="1:1" s="173" customFormat="1" ht="12" hidden="1" customHeight="1">
      <c r="A10404" s="172"/>
    </row>
    <row r="10405" spans="1:1" s="173" customFormat="1" ht="12" hidden="1" customHeight="1">
      <c r="A10405" s="172"/>
    </row>
    <row r="10406" spans="1:1" s="173" customFormat="1" ht="12" hidden="1" customHeight="1">
      <c r="A10406" s="172"/>
    </row>
    <row r="10407" spans="1:1" s="173" customFormat="1" ht="12" hidden="1" customHeight="1">
      <c r="A10407" s="172"/>
    </row>
    <row r="10408" spans="1:1" s="173" customFormat="1" ht="12" hidden="1" customHeight="1">
      <c r="A10408" s="172"/>
    </row>
    <row r="10409" spans="1:1" s="173" customFormat="1" ht="12" hidden="1" customHeight="1">
      <c r="A10409" s="172"/>
    </row>
    <row r="10410" spans="1:1" s="173" customFormat="1" ht="12" hidden="1" customHeight="1">
      <c r="A10410" s="172"/>
    </row>
    <row r="10411" spans="1:1" s="173" customFormat="1" ht="12" hidden="1" customHeight="1">
      <c r="A10411" s="172"/>
    </row>
    <row r="10412" spans="1:1" s="173" customFormat="1" ht="12" hidden="1" customHeight="1">
      <c r="A10412" s="172"/>
    </row>
    <row r="10413" spans="1:1" s="173" customFormat="1" ht="12" hidden="1" customHeight="1">
      <c r="A10413" s="172"/>
    </row>
    <row r="10414" spans="1:1" s="173" customFormat="1" ht="12" hidden="1" customHeight="1">
      <c r="A10414" s="172"/>
    </row>
    <row r="10415" spans="1:1" s="173" customFormat="1" ht="12" hidden="1" customHeight="1">
      <c r="A10415" s="172"/>
    </row>
    <row r="10416" spans="1:1" s="173" customFormat="1" ht="12" hidden="1" customHeight="1">
      <c r="A10416" s="172"/>
    </row>
    <row r="10417" spans="1:1" s="173" customFormat="1" ht="12" hidden="1" customHeight="1">
      <c r="A10417" s="172"/>
    </row>
    <row r="10418" spans="1:1" s="173" customFormat="1" ht="12" hidden="1" customHeight="1">
      <c r="A10418" s="172"/>
    </row>
    <row r="10419" spans="1:1" s="173" customFormat="1" ht="12" hidden="1" customHeight="1">
      <c r="A10419" s="172"/>
    </row>
    <row r="10420" spans="1:1" s="173" customFormat="1" ht="12" hidden="1" customHeight="1">
      <c r="A10420" s="172"/>
    </row>
    <row r="10421" spans="1:1" s="173" customFormat="1" ht="12" hidden="1" customHeight="1">
      <c r="A10421" s="172"/>
    </row>
    <row r="10422" spans="1:1" s="173" customFormat="1" ht="12" hidden="1" customHeight="1">
      <c r="A10422" s="172"/>
    </row>
    <row r="10423" spans="1:1" s="173" customFormat="1" ht="12" hidden="1" customHeight="1">
      <c r="A10423" s="172"/>
    </row>
    <row r="10424" spans="1:1" s="173" customFormat="1" ht="12" hidden="1" customHeight="1">
      <c r="A10424" s="172"/>
    </row>
    <row r="10425" spans="1:1" s="173" customFormat="1" ht="12" hidden="1" customHeight="1">
      <c r="A10425" s="172"/>
    </row>
    <row r="10426" spans="1:1" s="173" customFormat="1" ht="12" hidden="1" customHeight="1">
      <c r="A10426" s="172"/>
    </row>
    <row r="10427" spans="1:1" s="173" customFormat="1" ht="12" hidden="1" customHeight="1">
      <c r="A10427" s="172"/>
    </row>
    <row r="10428" spans="1:1" s="173" customFormat="1" ht="12" hidden="1" customHeight="1">
      <c r="A10428" s="172"/>
    </row>
    <row r="10429" spans="1:1" s="173" customFormat="1" ht="12" hidden="1" customHeight="1">
      <c r="A10429" s="172"/>
    </row>
    <row r="10430" spans="1:1" s="173" customFormat="1" ht="12" hidden="1" customHeight="1">
      <c r="A10430" s="172"/>
    </row>
    <row r="10431" spans="1:1" s="173" customFormat="1" ht="12" hidden="1" customHeight="1">
      <c r="A10431" s="172"/>
    </row>
    <row r="10432" spans="1:1" s="173" customFormat="1" ht="12" hidden="1" customHeight="1">
      <c r="A10432" s="172"/>
    </row>
    <row r="10433" spans="1:1" s="173" customFormat="1" ht="12" hidden="1" customHeight="1">
      <c r="A10433" s="172"/>
    </row>
    <row r="10434" spans="1:1" s="173" customFormat="1" ht="12" hidden="1" customHeight="1">
      <c r="A10434" s="172"/>
    </row>
    <row r="10435" spans="1:1" s="173" customFormat="1" ht="12" hidden="1" customHeight="1">
      <c r="A10435" s="172"/>
    </row>
    <row r="10436" spans="1:1" s="173" customFormat="1" ht="12" hidden="1" customHeight="1">
      <c r="A10436" s="172"/>
    </row>
    <row r="10437" spans="1:1" s="173" customFormat="1" ht="12" hidden="1" customHeight="1">
      <c r="A10437" s="172"/>
    </row>
    <row r="10438" spans="1:1" s="173" customFormat="1" ht="12" hidden="1" customHeight="1">
      <c r="A10438" s="172"/>
    </row>
    <row r="10439" spans="1:1" s="173" customFormat="1" ht="12" hidden="1" customHeight="1">
      <c r="A10439" s="172"/>
    </row>
    <row r="10440" spans="1:1" s="173" customFormat="1" ht="12" hidden="1" customHeight="1">
      <c r="A10440" s="172"/>
    </row>
    <row r="10441" spans="1:1" s="173" customFormat="1" ht="12" hidden="1" customHeight="1">
      <c r="A10441" s="172"/>
    </row>
    <row r="10442" spans="1:1" s="173" customFormat="1" ht="12" hidden="1" customHeight="1">
      <c r="A10442" s="172"/>
    </row>
    <row r="10443" spans="1:1" s="173" customFormat="1" ht="12" hidden="1" customHeight="1">
      <c r="A10443" s="172"/>
    </row>
    <row r="10444" spans="1:1" s="173" customFormat="1" ht="12" hidden="1" customHeight="1">
      <c r="A10444" s="172"/>
    </row>
    <row r="10445" spans="1:1" s="173" customFormat="1" ht="12" hidden="1" customHeight="1">
      <c r="A10445" s="172"/>
    </row>
    <row r="10446" spans="1:1" s="173" customFormat="1" ht="12" hidden="1" customHeight="1">
      <c r="A10446" s="172"/>
    </row>
    <row r="10447" spans="1:1" s="173" customFormat="1" ht="12" hidden="1" customHeight="1">
      <c r="A10447" s="172"/>
    </row>
    <row r="10448" spans="1:1" s="173" customFormat="1" ht="12" hidden="1" customHeight="1">
      <c r="A10448" s="172"/>
    </row>
    <row r="10449" spans="1:1" s="173" customFormat="1" ht="12" hidden="1" customHeight="1">
      <c r="A10449" s="172"/>
    </row>
    <row r="10450" spans="1:1" s="173" customFormat="1" ht="12" hidden="1" customHeight="1">
      <c r="A10450" s="172"/>
    </row>
    <row r="10451" spans="1:1" s="173" customFormat="1" ht="12" hidden="1" customHeight="1">
      <c r="A10451" s="172"/>
    </row>
    <row r="10452" spans="1:1" s="173" customFormat="1" ht="12" hidden="1" customHeight="1">
      <c r="A10452" s="172"/>
    </row>
    <row r="10453" spans="1:1" s="173" customFormat="1" ht="12" hidden="1" customHeight="1">
      <c r="A10453" s="172"/>
    </row>
    <row r="10454" spans="1:1" s="173" customFormat="1" ht="12" hidden="1" customHeight="1">
      <c r="A10454" s="172"/>
    </row>
    <row r="10455" spans="1:1" s="173" customFormat="1" ht="12" hidden="1" customHeight="1">
      <c r="A10455" s="172"/>
    </row>
    <row r="10456" spans="1:1" s="173" customFormat="1" ht="12" hidden="1" customHeight="1">
      <c r="A10456" s="172"/>
    </row>
    <row r="10457" spans="1:1" s="173" customFormat="1" ht="12" hidden="1" customHeight="1">
      <c r="A10457" s="172"/>
    </row>
    <row r="10458" spans="1:1" s="173" customFormat="1" ht="12" hidden="1" customHeight="1">
      <c r="A10458" s="172"/>
    </row>
    <row r="10459" spans="1:1" s="173" customFormat="1" ht="12" hidden="1" customHeight="1">
      <c r="A10459" s="172"/>
    </row>
    <row r="10460" spans="1:1" s="173" customFormat="1" ht="12" hidden="1" customHeight="1">
      <c r="A10460" s="172"/>
    </row>
    <row r="10461" spans="1:1" s="173" customFormat="1" ht="12" hidden="1" customHeight="1">
      <c r="A10461" s="172"/>
    </row>
    <row r="10462" spans="1:1" s="173" customFormat="1" ht="12" hidden="1" customHeight="1">
      <c r="A10462" s="172"/>
    </row>
    <row r="10463" spans="1:1" s="173" customFormat="1" ht="12" hidden="1" customHeight="1">
      <c r="A10463" s="172"/>
    </row>
    <row r="10464" spans="1:1" s="173" customFormat="1" ht="12" hidden="1" customHeight="1">
      <c r="A10464" s="172"/>
    </row>
    <row r="10465" spans="1:1" s="173" customFormat="1" ht="12" hidden="1" customHeight="1">
      <c r="A10465" s="172"/>
    </row>
    <row r="10466" spans="1:1" s="173" customFormat="1" ht="12" hidden="1" customHeight="1">
      <c r="A10466" s="172"/>
    </row>
    <row r="10467" spans="1:1" s="173" customFormat="1" ht="12" hidden="1" customHeight="1">
      <c r="A10467" s="172"/>
    </row>
    <row r="10468" spans="1:1" s="173" customFormat="1" ht="12" hidden="1" customHeight="1">
      <c r="A10468" s="172"/>
    </row>
    <row r="10469" spans="1:1" s="173" customFormat="1" ht="12" hidden="1" customHeight="1">
      <c r="A10469" s="172"/>
    </row>
    <row r="10470" spans="1:1" s="173" customFormat="1" ht="12" hidden="1" customHeight="1">
      <c r="A10470" s="172"/>
    </row>
    <row r="10471" spans="1:1" s="173" customFormat="1" ht="12" hidden="1" customHeight="1">
      <c r="A10471" s="172"/>
    </row>
    <row r="10472" spans="1:1" s="173" customFormat="1" ht="12" hidden="1" customHeight="1">
      <c r="A10472" s="172"/>
    </row>
    <row r="10473" spans="1:1" s="173" customFormat="1" ht="12" hidden="1" customHeight="1">
      <c r="A10473" s="172"/>
    </row>
    <row r="10474" spans="1:1" s="173" customFormat="1" ht="12" hidden="1" customHeight="1">
      <c r="A10474" s="172"/>
    </row>
    <row r="10475" spans="1:1" s="173" customFormat="1" ht="12" hidden="1" customHeight="1">
      <c r="A10475" s="172"/>
    </row>
    <row r="10476" spans="1:1" s="173" customFormat="1" ht="12" hidden="1" customHeight="1">
      <c r="A10476" s="172"/>
    </row>
    <row r="10477" spans="1:1" s="173" customFormat="1" ht="12" hidden="1" customHeight="1">
      <c r="A10477" s="172"/>
    </row>
    <row r="10478" spans="1:1" s="173" customFormat="1" ht="12" hidden="1" customHeight="1">
      <c r="A10478" s="172"/>
    </row>
    <row r="10479" spans="1:1" s="173" customFormat="1" ht="12" hidden="1" customHeight="1">
      <c r="A10479" s="172"/>
    </row>
    <row r="10480" spans="1:1" s="173" customFormat="1" ht="12" hidden="1" customHeight="1">
      <c r="A10480" s="172"/>
    </row>
    <row r="10481" spans="1:1" s="173" customFormat="1" ht="12" hidden="1" customHeight="1">
      <c r="A10481" s="172"/>
    </row>
    <row r="10482" spans="1:1" s="173" customFormat="1" ht="12" hidden="1" customHeight="1">
      <c r="A10482" s="172"/>
    </row>
    <row r="10483" spans="1:1" s="173" customFormat="1" ht="12" hidden="1" customHeight="1">
      <c r="A10483" s="172"/>
    </row>
    <row r="10484" spans="1:1" s="173" customFormat="1" ht="12" hidden="1" customHeight="1">
      <c r="A10484" s="172"/>
    </row>
    <row r="10485" spans="1:1" s="173" customFormat="1" ht="12" hidden="1" customHeight="1">
      <c r="A10485" s="172"/>
    </row>
    <row r="10486" spans="1:1" s="173" customFormat="1" ht="12" hidden="1" customHeight="1">
      <c r="A10486" s="172"/>
    </row>
    <row r="10487" spans="1:1" s="173" customFormat="1" ht="12" hidden="1" customHeight="1">
      <c r="A10487" s="172"/>
    </row>
    <row r="10488" spans="1:1" s="173" customFormat="1" ht="12" hidden="1" customHeight="1">
      <c r="A10488" s="172"/>
    </row>
    <row r="10489" spans="1:1" s="173" customFormat="1" ht="12" hidden="1" customHeight="1">
      <c r="A10489" s="172"/>
    </row>
    <row r="10490" spans="1:1" s="173" customFormat="1" ht="12" hidden="1" customHeight="1">
      <c r="A10490" s="172"/>
    </row>
    <row r="10491" spans="1:1" s="173" customFormat="1" ht="12" hidden="1" customHeight="1">
      <c r="A10491" s="172"/>
    </row>
    <row r="10492" spans="1:1" s="173" customFormat="1" ht="12" hidden="1" customHeight="1">
      <c r="A10492" s="172"/>
    </row>
    <row r="10493" spans="1:1" s="173" customFormat="1" ht="12" hidden="1" customHeight="1">
      <c r="A10493" s="172"/>
    </row>
    <row r="10494" spans="1:1" s="173" customFormat="1" ht="12" hidden="1" customHeight="1">
      <c r="A10494" s="172"/>
    </row>
    <row r="10495" spans="1:1" s="173" customFormat="1" ht="12" hidden="1" customHeight="1">
      <c r="A10495" s="172"/>
    </row>
    <row r="10496" spans="1:1" s="173" customFormat="1" ht="12" hidden="1" customHeight="1">
      <c r="A10496" s="172"/>
    </row>
    <row r="10497" spans="1:1" s="173" customFormat="1" ht="12" hidden="1" customHeight="1">
      <c r="A10497" s="172"/>
    </row>
    <row r="10498" spans="1:1" s="173" customFormat="1" ht="12" hidden="1" customHeight="1">
      <c r="A10498" s="172"/>
    </row>
    <row r="10499" spans="1:1" s="173" customFormat="1" ht="12" hidden="1" customHeight="1">
      <c r="A10499" s="172"/>
    </row>
    <row r="10500" spans="1:1" s="173" customFormat="1" ht="12" hidden="1" customHeight="1">
      <c r="A10500" s="172"/>
    </row>
    <row r="10501" spans="1:1" s="173" customFormat="1" ht="12" hidden="1" customHeight="1">
      <c r="A10501" s="172"/>
    </row>
    <row r="10502" spans="1:1" s="173" customFormat="1" ht="12" hidden="1" customHeight="1">
      <c r="A10502" s="172"/>
    </row>
    <row r="10503" spans="1:1" s="173" customFormat="1" ht="12" hidden="1" customHeight="1">
      <c r="A10503" s="172"/>
    </row>
    <row r="10504" spans="1:1" s="173" customFormat="1" ht="12" hidden="1" customHeight="1">
      <c r="A10504" s="172"/>
    </row>
    <row r="10505" spans="1:1" s="173" customFormat="1" ht="12" hidden="1" customHeight="1">
      <c r="A10505" s="172"/>
    </row>
    <row r="10506" spans="1:1" s="173" customFormat="1" ht="12" hidden="1" customHeight="1">
      <c r="A10506" s="172"/>
    </row>
    <row r="10507" spans="1:1" s="173" customFormat="1" ht="12" hidden="1" customHeight="1">
      <c r="A10507" s="172"/>
    </row>
    <row r="10508" spans="1:1" s="173" customFormat="1" ht="12" hidden="1" customHeight="1">
      <c r="A10508" s="172"/>
    </row>
    <row r="10509" spans="1:1" s="173" customFormat="1" ht="12" hidden="1" customHeight="1">
      <c r="A10509" s="172"/>
    </row>
    <row r="10510" spans="1:1" s="173" customFormat="1" ht="12" hidden="1" customHeight="1">
      <c r="A10510" s="172"/>
    </row>
    <row r="10511" spans="1:1" s="173" customFormat="1" ht="12" hidden="1" customHeight="1">
      <c r="A10511" s="172"/>
    </row>
    <row r="10512" spans="1:1" s="173" customFormat="1" ht="12" hidden="1" customHeight="1">
      <c r="A10512" s="172"/>
    </row>
    <row r="10513" spans="1:1" s="173" customFormat="1" ht="12" hidden="1" customHeight="1">
      <c r="A10513" s="172"/>
    </row>
    <row r="10514" spans="1:1" s="173" customFormat="1" ht="12" hidden="1" customHeight="1">
      <c r="A10514" s="172"/>
    </row>
    <row r="10515" spans="1:1" s="173" customFormat="1" ht="12" hidden="1" customHeight="1">
      <c r="A10515" s="172"/>
    </row>
    <row r="10516" spans="1:1" s="173" customFormat="1" ht="12" hidden="1" customHeight="1">
      <c r="A10516" s="172"/>
    </row>
    <row r="10517" spans="1:1" s="173" customFormat="1" ht="12" hidden="1" customHeight="1">
      <c r="A10517" s="172"/>
    </row>
    <row r="10518" spans="1:1" s="173" customFormat="1" ht="12" hidden="1" customHeight="1">
      <c r="A10518" s="172"/>
    </row>
    <row r="10519" spans="1:1" s="173" customFormat="1" ht="12" hidden="1" customHeight="1">
      <c r="A10519" s="172"/>
    </row>
    <row r="10520" spans="1:1" s="173" customFormat="1" ht="12" hidden="1" customHeight="1">
      <c r="A10520" s="172"/>
    </row>
    <row r="10521" spans="1:1" s="173" customFormat="1" ht="12" hidden="1" customHeight="1">
      <c r="A10521" s="172"/>
    </row>
    <row r="10522" spans="1:1" s="173" customFormat="1" ht="12" hidden="1" customHeight="1">
      <c r="A10522" s="172"/>
    </row>
    <row r="10523" spans="1:1" s="173" customFormat="1" ht="12" hidden="1" customHeight="1">
      <c r="A10523" s="172"/>
    </row>
    <row r="10524" spans="1:1" s="173" customFormat="1" ht="12" hidden="1" customHeight="1">
      <c r="A10524" s="172"/>
    </row>
    <row r="10525" spans="1:1" s="173" customFormat="1" ht="12" hidden="1" customHeight="1">
      <c r="A10525" s="172"/>
    </row>
    <row r="10526" spans="1:1" s="173" customFormat="1" ht="12" hidden="1" customHeight="1">
      <c r="A10526" s="172"/>
    </row>
    <row r="10527" spans="1:1" s="173" customFormat="1" ht="12" hidden="1" customHeight="1">
      <c r="A10527" s="172"/>
    </row>
    <row r="10528" spans="1:1" s="173" customFormat="1" ht="12" hidden="1" customHeight="1">
      <c r="A10528" s="172"/>
    </row>
    <row r="10529" spans="1:1" s="173" customFormat="1" ht="12" hidden="1" customHeight="1">
      <c r="A10529" s="172"/>
    </row>
    <row r="10530" spans="1:1" s="173" customFormat="1" ht="12" hidden="1" customHeight="1">
      <c r="A10530" s="172"/>
    </row>
    <row r="10531" spans="1:1" s="173" customFormat="1" ht="12" hidden="1" customHeight="1">
      <c r="A10531" s="172"/>
    </row>
    <row r="10532" spans="1:1" s="173" customFormat="1" ht="12" hidden="1" customHeight="1">
      <c r="A10532" s="172"/>
    </row>
    <row r="10533" spans="1:1" s="173" customFormat="1" ht="12" hidden="1" customHeight="1">
      <c r="A10533" s="172"/>
    </row>
    <row r="10534" spans="1:1" s="173" customFormat="1" ht="12" hidden="1" customHeight="1">
      <c r="A10534" s="172"/>
    </row>
    <row r="10535" spans="1:1" s="173" customFormat="1" ht="12" hidden="1" customHeight="1">
      <c r="A10535" s="172"/>
    </row>
    <row r="10536" spans="1:1" s="173" customFormat="1" ht="12" hidden="1" customHeight="1">
      <c r="A10536" s="172"/>
    </row>
    <row r="10537" spans="1:1" s="173" customFormat="1" ht="12" hidden="1" customHeight="1">
      <c r="A10537" s="172"/>
    </row>
    <row r="10538" spans="1:1" s="173" customFormat="1" ht="12" hidden="1" customHeight="1">
      <c r="A10538" s="172"/>
    </row>
    <row r="10539" spans="1:1" s="173" customFormat="1" ht="12" hidden="1" customHeight="1">
      <c r="A10539" s="172"/>
    </row>
    <row r="10540" spans="1:1" s="173" customFormat="1" ht="12" hidden="1" customHeight="1">
      <c r="A10540" s="172"/>
    </row>
    <row r="10541" spans="1:1" s="173" customFormat="1" ht="12" hidden="1" customHeight="1">
      <c r="A10541" s="172"/>
    </row>
    <row r="10542" spans="1:1" s="173" customFormat="1" ht="12" hidden="1" customHeight="1">
      <c r="A10542" s="172"/>
    </row>
    <row r="10543" spans="1:1" s="173" customFormat="1" ht="12" hidden="1" customHeight="1">
      <c r="A10543" s="172"/>
    </row>
    <row r="10544" spans="1:1" s="173" customFormat="1" ht="12" hidden="1" customHeight="1">
      <c r="A10544" s="172"/>
    </row>
    <row r="10545" spans="1:1" s="173" customFormat="1" ht="12" hidden="1" customHeight="1">
      <c r="A10545" s="172"/>
    </row>
    <row r="10546" spans="1:1" s="173" customFormat="1" ht="12" hidden="1" customHeight="1">
      <c r="A10546" s="172"/>
    </row>
    <row r="10547" spans="1:1" s="173" customFormat="1" ht="12" hidden="1" customHeight="1">
      <c r="A10547" s="172"/>
    </row>
    <row r="10548" spans="1:1" s="173" customFormat="1" ht="12" hidden="1" customHeight="1">
      <c r="A10548" s="172"/>
    </row>
    <row r="10549" spans="1:1" s="173" customFormat="1" ht="12" hidden="1" customHeight="1">
      <c r="A10549" s="172"/>
    </row>
    <row r="10550" spans="1:1" s="173" customFormat="1" ht="12" hidden="1" customHeight="1">
      <c r="A10550" s="172"/>
    </row>
    <row r="10551" spans="1:1" s="173" customFormat="1" ht="12" hidden="1" customHeight="1">
      <c r="A10551" s="172"/>
    </row>
    <row r="10552" spans="1:1" s="173" customFormat="1" ht="12" hidden="1" customHeight="1">
      <c r="A10552" s="172"/>
    </row>
    <row r="10553" spans="1:1" s="173" customFormat="1" ht="12" hidden="1" customHeight="1">
      <c r="A10553" s="172"/>
    </row>
    <row r="10554" spans="1:1" s="173" customFormat="1" ht="12" hidden="1" customHeight="1">
      <c r="A10554" s="172"/>
    </row>
    <row r="10555" spans="1:1" s="173" customFormat="1" ht="12" hidden="1" customHeight="1">
      <c r="A10555" s="172"/>
    </row>
    <row r="10556" spans="1:1" s="173" customFormat="1" ht="12" hidden="1" customHeight="1">
      <c r="A10556" s="172"/>
    </row>
    <row r="10557" spans="1:1" s="173" customFormat="1" ht="12" hidden="1" customHeight="1">
      <c r="A10557" s="172"/>
    </row>
    <row r="10558" spans="1:1" s="173" customFormat="1" ht="12" hidden="1" customHeight="1">
      <c r="A10558" s="172"/>
    </row>
    <row r="10559" spans="1:1" s="173" customFormat="1" ht="12" hidden="1" customHeight="1">
      <c r="A10559" s="172"/>
    </row>
    <row r="10560" spans="1:1" s="173" customFormat="1" ht="12" hidden="1" customHeight="1">
      <c r="A10560" s="172"/>
    </row>
    <row r="10561" spans="1:1" s="173" customFormat="1" ht="12" hidden="1" customHeight="1">
      <c r="A10561" s="172"/>
    </row>
    <row r="10562" spans="1:1" s="173" customFormat="1" ht="12" hidden="1" customHeight="1">
      <c r="A10562" s="172"/>
    </row>
    <row r="10563" spans="1:1" s="173" customFormat="1" ht="12" hidden="1" customHeight="1">
      <c r="A10563" s="172"/>
    </row>
    <row r="10564" spans="1:1" s="173" customFormat="1" ht="12" hidden="1" customHeight="1">
      <c r="A10564" s="172"/>
    </row>
    <row r="10565" spans="1:1" s="173" customFormat="1" ht="12" hidden="1" customHeight="1">
      <c r="A10565" s="172"/>
    </row>
    <row r="10566" spans="1:1" s="173" customFormat="1" ht="12" hidden="1" customHeight="1">
      <c r="A10566" s="172"/>
    </row>
    <row r="10567" spans="1:1" s="173" customFormat="1" ht="12" hidden="1" customHeight="1">
      <c r="A10567" s="172"/>
    </row>
    <row r="10568" spans="1:1" s="173" customFormat="1" ht="12" hidden="1" customHeight="1">
      <c r="A10568" s="172"/>
    </row>
    <row r="10569" spans="1:1" s="173" customFormat="1" ht="12" hidden="1" customHeight="1">
      <c r="A10569" s="172"/>
    </row>
    <row r="10570" spans="1:1" s="173" customFormat="1" ht="12" hidden="1" customHeight="1">
      <c r="A10570" s="172"/>
    </row>
    <row r="10571" spans="1:1" s="173" customFormat="1" ht="12" hidden="1" customHeight="1">
      <c r="A10571" s="172"/>
    </row>
    <row r="10572" spans="1:1" s="173" customFormat="1" ht="12" hidden="1" customHeight="1">
      <c r="A10572" s="172"/>
    </row>
    <row r="10573" spans="1:1" s="173" customFormat="1" ht="12" hidden="1" customHeight="1">
      <c r="A10573" s="172"/>
    </row>
    <row r="10574" spans="1:1" s="173" customFormat="1" ht="12" hidden="1" customHeight="1">
      <c r="A10574" s="172"/>
    </row>
    <row r="10575" spans="1:1" s="173" customFormat="1" ht="12" hidden="1" customHeight="1">
      <c r="A10575" s="172"/>
    </row>
    <row r="10576" spans="1:1" s="173" customFormat="1" ht="12" hidden="1" customHeight="1">
      <c r="A10576" s="172"/>
    </row>
    <row r="10577" spans="1:1" s="173" customFormat="1" ht="12" hidden="1" customHeight="1">
      <c r="A10577" s="172"/>
    </row>
    <row r="10578" spans="1:1" s="173" customFormat="1" ht="12" hidden="1" customHeight="1">
      <c r="A10578" s="172"/>
    </row>
    <row r="10579" spans="1:1" s="173" customFormat="1" ht="12" hidden="1" customHeight="1">
      <c r="A10579" s="172"/>
    </row>
    <row r="10580" spans="1:1" s="173" customFormat="1" ht="12" hidden="1" customHeight="1">
      <c r="A10580" s="172"/>
    </row>
    <row r="10581" spans="1:1" s="173" customFormat="1" ht="12" hidden="1" customHeight="1">
      <c r="A10581" s="172"/>
    </row>
    <row r="10582" spans="1:1" s="173" customFormat="1" ht="12" hidden="1" customHeight="1">
      <c r="A10582" s="172"/>
    </row>
    <row r="10583" spans="1:1" s="173" customFormat="1" ht="12" hidden="1" customHeight="1">
      <c r="A10583" s="172"/>
    </row>
    <row r="10584" spans="1:1" s="173" customFormat="1" ht="12" hidden="1" customHeight="1">
      <c r="A10584" s="172"/>
    </row>
    <row r="10585" spans="1:1" s="173" customFormat="1" ht="12" hidden="1" customHeight="1">
      <c r="A10585" s="172"/>
    </row>
    <row r="10586" spans="1:1" s="173" customFormat="1" ht="12" hidden="1" customHeight="1">
      <c r="A10586" s="172"/>
    </row>
    <row r="10587" spans="1:1" s="173" customFormat="1" ht="12" hidden="1" customHeight="1">
      <c r="A10587" s="172"/>
    </row>
    <row r="10588" spans="1:1" s="173" customFormat="1" ht="12" hidden="1" customHeight="1">
      <c r="A10588" s="172"/>
    </row>
    <row r="10589" spans="1:1" s="173" customFormat="1" ht="12" hidden="1" customHeight="1">
      <c r="A10589" s="172"/>
    </row>
    <row r="10590" spans="1:1" s="173" customFormat="1" ht="12" hidden="1" customHeight="1">
      <c r="A10590" s="172"/>
    </row>
    <row r="10591" spans="1:1" s="173" customFormat="1" ht="12" hidden="1" customHeight="1">
      <c r="A10591" s="172"/>
    </row>
    <row r="10592" spans="1:1" s="173" customFormat="1" ht="12" hidden="1" customHeight="1">
      <c r="A10592" s="172"/>
    </row>
    <row r="10593" spans="1:1" s="173" customFormat="1" ht="12" hidden="1" customHeight="1">
      <c r="A10593" s="172"/>
    </row>
    <row r="10594" spans="1:1" s="173" customFormat="1" ht="12" hidden="1" customHeight="1">
      <c r="A10594" s="172"/>
    </row>
    <row r="10595" spans="1:1" s="173" customFormat="1" ht="12" hidden="1" customHeight="1">
      <c r="A10595" s="172"/>
    </row>
    <row r="10596" spans="1:1" s="173" customFormat="1" ht="12" hidden="1" customHeight="1">
      <c r="A10596" s="172"/>
    </row>
    <row r="10597" spans="1:1" s="173" customFormat="1" ht="12" hidden="1" customHeight="1">
      <c r="A10597" s="172"/>
    </row>
    <row r="10598" spans="1:1" s="173" customFormat="1" ht="12" hidden="1" customHeight="1">
      <c r="A10598" s="172"/>
    </row>
    <row r="10599" spans="1:1" s="173" customFormat="1" ht="12" hidden="1" customHeight="1">
      <c r="A10599" s="172"/>
    </row>
    <row r="10600" spans="1:1" s="173" customFormat="1" ht="12" hidden="1" customHeight="1">
      <c r="A10600" s="172"/>
    </row>
    <row r="10601" spans="1:1" s="173" customFormat="1" ht="12" hidden="1" customHeight="1">
      <c r="A10601" s="172"/>
    </row>
    <row r="10602" spans="1:1" s="173" customFormat="1" ht="12" hidden="1" customHeight="1">
      <c r="A10602" s="172"/>
    </row>
    <row r="10603" spans="1:1" s="173" customFormat="1" ht="12" hidden="1" customHeight="1">
      <c r="A10603" s="172"/>
    </row>
    <row r="10604" spans="1:1" s="173" customFormat="1" ht="12" hidden="1" customHeight="1">
      <c r="A10604" s="172"/>
    </row>
    <row r="10605" spans="1:1" s="173" customFormat="1" ht="12" hidden="1" customHeight="1">
      <c r="A10605" s="172"/>
    </row>
    <row r="10606" spans="1:1" s="173" customFormat="1" ht="12" hidden="1" customHeight="1">
      <c r="A10606" s="172"/>
    </row>
    <row r="10607" spans="1:1" s="173" customFormat="1" ht="12" hidden="1" customHeight="1">
      <c r="A10607" s="172"/>
    </row>
    <row r="10608" spans="1:1" s="173" customFormat="1" ht="12" hidden="1" customHeight="1">
      <c r="A10608" s="172"/>
    </row>
    <row r="10609" spans="1:1" s="173" customFormat="1" ht="12" hidden="1" customHeight="1">
      <c r="A10609" s="172"/>
    </row>
    <row r="10610" spans="1:1" s="173" customFormat="1" ht="12" hidden="1" customHeight="1">
      <c r="A10610" s="172"/>
    </row>
    <row r="10611" spans="1:1" s="173" customFormat="1" ht="12" hidden="1" customHeight="1">
      <c r="A10611" s="172"/>
    </row>
    <row r="10612" spans="1:1" s="173" customFormat="1" ht="12" hidden="1" customHeight="1">
      <c r="A10612" s="172"/>
    </row>
    <row r="10613" spans="1:1" s="173" customFormat="1" ht="12" hidden="1" customHeight="1">
      <c r="A10613" s="172"/>
    </row>
    <row r="10614" spans="1:1" s="173" customFormat="1" ht="12" hidden="1" customHeight="1">
      <c r="A10614" s="172"/>
    </row>
    <row r="10615" spans="1:1" s="173" customFormat="1" ht="12" hidden="1" customHeight="1">
      <c r="A10615" s="172"/>
    </row>
    <row r="10616" spans="1:1" s="173" customFormat="1" ht="12" hidden="1" customHeight="1">
      <c r="A10616" s="172"/>
    </row>
    <row r="10617" spans="1:1" s="173" customFormat="1" ht="12" hidden="1" customHeight="1">
      <c r="A10617" s="172"/>
    </row>
    <row r="10618" spans="1:1" s="173" customFormat="1" ht="12" hidden="1" customHeight="1">
      <c r="A10618" s="172"/>
    </row>
    <row r="10619" spans="1:1" s="173" customFormat="1" ht="12" hidden="1" customHeight="1">
      <c r="A10619" s="172"/>
    </row>
    <row r="10620" spans="1:1" s="173" customFormat="1" ht="12" hidden="1" customHeight="1">
      <c r="A10620" s="172"/>
    </row>
    <row r="10621" spans="1:1" s="173" customFormat="1" ht="12" hidden="1" customHeight="1">
      <c r="A10621" s="172"/>
    </row>
    <row r="10622" spans="1:1" s="173" customFormat="1" ht="12" hidden="1" customHeight="1">
      <c r="A10622" s="172"/>
    </row>
    <row r="10623" spans="1:1" s="173" customFormat="1" ht="12" hidden="1" customHeight="1">
      <c r="A10623" s="172"/>
    </row>
    <row r="10624" spans="1:1" s="173" customFormat="1" ht="12" hidden="1" customHeight="1">
      <c r="A10624" s="172"/>
    </row>
    <row r="10625" spans="1:1" s="173" customFormat="1" ht="12" hidden="1" customHeight="1">
      <c r="A10625" s="172"/>
    </row>
    <row r="10626" spans="1:1" s="173" customFormat="1" ht="12" hidden="1" customHeight="1">
      <c r="A10626" s="172"/>
    </row>
    <row r="10627" spans="1:1" s="173" customFormat="1" ht="12" hidden="1" customHeight="1">
      <c r="A10627" s="172"/>
    </row>
    <row r="10628" spans="1:1" s="173" customFormat="1" ht="12" hidden="1" customHeight="1">
      <c r="A10628" s="172"/>
    </row>
    <row r="10629" spans="1:1" s="173" customFormat="1" ht="12" hidden="1" customHeight="1">
      <c r="A10629" s="172"/>
    </row>
    <row r="10630" spans="1:1" s="173" customFormat="1" ht="12" hidden="1" customHeight="1">
      <c r="A10630" s="172"/>
    </row>
    <row r="10631" spans="1:1" s="173" customFormat="1" ht="12" hidden="1" customHeight="1">
      <c r="A10631" s="172"/>
    </row>
    <row r="10632" spans="1:1" s="173" customFormat="1" ht="12" hidden="1" customHeight="1">
      <c r="A10632" s="172"/>
    </row>
    <row r="10633" spans="1:1" s="173" customFormat="1" ht="12" hidden="1" customHeight="1">
      <c r="A10633" s="172"/>
    </row>
    <row r="10634" spans="1:1" s="173" customFormat="1" ht="12" hidden="1" customHeight="1">
      <c r="A10634" s="172"/>
    </row>
    <row r="10635" spans="1:1" s="173" customFormat="1" ht="12" hidden="1" customHeight="1">
      <c r="A10635" s="172"/>
    </row>
    <row r="10636" spans="1:1" s="173" customFormat="1" ht="12" hidden="1" customHeight="1">
      <c r="A10636" s="172"/>
    </row>
    <row r="10637" spans="1:1" s="173" customFormat="1" ht="12" hidden="1" customHeight="1">
      <c r="A10637" s="172"/>
    </row>
    <row r="10638" spans="1:1" s="173" customFormat="1" ht="12" hidden="1" customHeight="1">
      <c r="A10638" s="172"/>
    </row>
    <row r="10639" spans="1:1" s="173" customFormat="1" ht="12" hidden="1" customHeight="1">
      <c r="A10639" s="172"/>
    </row>
    <row r="10640" spans="1:1" s="173" customFormat="1" ht="12" hidden="1" customHeight="1">
      <c r="A10640" s="172"/>
    </row>
    <row r="10641" spans="1:1" s="173" customFormat="1" ht="12" hidden="1" customHeight="1">
      <c r="A10641" s="172"/>
    </row>
    <row r="10642" spans="1:1" s="173" customFormat="1" ht="12" hidden="1" customHeight="1">
      <c r="A10642" s="172"/>
    </row>
    <row r="10643" spans="1:1" s="173" customFormat="1" ht="12" hidden="1" customHeight="1">
      <c r="A10643" s="172"/>
    </row>
    <row r="10644" spans="1:1" s="173" customFormat="1" ht="12" hidden="1" customHeight="1">
      <c r="A10644" s="172"/>
    </row>
    <row r="10645" spans="1:1" s="173" customFormat="1" ht="12" hidden="1" customHeight="1">
      <c r="A10645" s="172"/>
    </row>
    <row r="10646" spans="1:1" s="173" customFormat="1" ht="12" hidden="1" customHeight="1">
      <c r="A10646" s="172"/>
    </row>
    <row r="10647" spans="1:1" s="173" customFormat="1" ht="12" hidden="1" customHeight="1">
      <c r="A10647" s="172"/>
    </row>
    <row r="10648" spans="1:1" s="173" customFormat="1" ht="12" hidden="1" customHeight="1">
      <c r="A10648" s="172"/>
    </row>
    <row r="10649" spans="1:1" s="173" customFormat="1" ht="12" hidden="1" customHeight="1">
      <c r="A10649" s="172"/>
    </row>
    <row r="10650" spans="1:1" s="173" customFormat="1" ht="12" hidden="1" customHeight="1">
      <c r="A10650" s="172"/>
    </row>
    <row r="10651" spans="1:1" s="173" customFormat="1" ht="12" hidden="1" customHeight="1">
      <c r="A10651" s="172"/>
    </row>
    <row r="10652" spans="1:1" s="173" customFormat="1" ht="12" hidden="1" customHeight="1">
      <c r="A10652" s="172"/>
    </row>
    <row r="10653" spans="1:1" s="173" customFormat="1" ht="12" hidden="1" customHeight="1">
      <c r="A10653" s="172"/>
    </row>
    <row r="10654" spans="1:1" s="173" customFormat="1" ht="12" hidden="1" customHeight="1">
      <c r="A10654" s="172"/>
    </row>
    <row r="10655" spans="1:1" s="173" customFormat="1" ht="12" hidden="1" customHeight="1">
      <c r="A10655" s="172"/>
    </row>
    <row r="10656" spans="1:1" s="173" customFormat="1" ht="12" hidden="1" customHeight="1">
      <c r="A10656" s="172"/>
    </row>
    <row r="10657" spans="1:1" s="173" customFormat="1" ht="12" hidden="1" customHeight="1">
      <c r="A10657" s="172"/>
    </row>
    <row r="10658" spans="1:1" s="173" customFormat="1" ht="12" hidden="1" customHeight="1">
      <c r="A10658" s="172"/>
    </row>
    <row r="10659" spans="1:1" s="173" customFormat="1" ht="12" hidden="1" customHeight="1">
      <c r="A10659" s="172"/>
    </row>
    <row r="10660" spans="1:1" s="173" customFormat="1" ht="12" hidden="1" customHeight="1">
      <c r="A10660" s="172"/>
    </row>
    <row r="10661" spans="1:1" s="173" customFormat="1" ht="12" hidden="1" customHeight="1">
      <c r="A10661" s="172"/>
    </row>
    <row r="10662" spans="1:1" s="173" customFormat="1" ht="12" hidden="1" customHeight="1">
      <c r="A10662" s="172"/>
    </row>
    <row r="10663" spans="1:1" s="173" customFormat="1" ht="12" hidden="1" customHeight="1">
      <c r="A10663" s="172"/>
    </row>
    <row r="10664" spans="1:1" s="173" customFormat="1" ht="12" hidden="1" customHeight="1">
      <c r="A10664" s="172"/>
    </row>
    <row r="10665" spans="1:1" s="173" customFormat="1" ht="12" hidden="1" customHeight="1">
      <c r="A10665" s="172"/>
    </row>
    <row r="10666" spans="1:1" s="173" customFormat="1" ht="12" hidden="1" customHeight="1">
      <c r="A10666" s="172"/>
    </row>
    <row r="10667" spans="1:1" s="173" customFormat="1" ht="12" hidden="1" customHeight="1">
      <c r="A10667" s="172"/>
    </row>
    <row r="10668" spans="1:1" s="173" customFormat="1" ht="12" hidden="1" customHeight="1">
      <c r="A10668" s="172"/>
    </row>
    <row r="10669" spans="1:1" s="173" customFormat="1" ht="12" hidden="1" customHeight="1">
      <c r="A10669" s="172"/>
    </row>
    <row r="10670" spans="1:1" s="173" customFormat="1" ht="12" hidden="1" customHeight="1">
      <c r="A10670" s="172"/>
    </row>
    <row r="10671" spans="1:1" s="173" customFormat="1" ht="12" hidden="1" customHeight="1">
      <c r="A10671" s="172"/>
    </row>
    <row r="10672" spans="1:1" s="173" customFormat="1" ht="12" hidden="1" customHeight="1">
      <c r="A10672" s="172"/>
    </row>
    <row r="10673" spans="1:1" s="173" customFormat="1" ht="12" hidden="1" customHeight="1">
      <c r="A10673" s="172"/>
    </row>
    <row r="10674" spans="1:1" s="173" customFormat="1" ht="12" hidden="1" customHeight="1">
      <c r="A10674" s="172"/>
    </row>
    <row r="10675" spans="1:1" s="173" customFormat="1" ht="12" hidden="1" customHeight="1">
      <c r="A10675" s="172"/>
    </row>
    <row r="10676" spans="1:1" s="173" customFormat="1" ht="12" hidden="1" customHeight="1">
      <c r="A10676" s="172"/>
    </row>
    <row r="10677" spans="1:1" s="173" customFormat="1" ht="12" hidden="1" customHeight="1">
      <c r="A10677" s="172"/>
    </row>
    <row r="10678" spans="1:1" s="173" customFormat="1" ht="12" hidden="1" customHeight="1">
      <c r="A10678" s="172"/>
    </row>
    <row r="10679" spans="1:1" s="173" customFormat="1" ht="12" hidden="1" customHeight="1">
      <c r="A10679" s="172"/>
    </row>
    <row r="10680" spans="1:1" s="173" customFormat="1" ht="12" hidden="1" customHeight="1">
      <c r="A10680" s="172"/>
    </row>
    <row r="10681" spans="1:1" s="173" customFormat="1" ht="12" hidden="1" customHeight="1">
      <c r="A10681" s="172"/>
    </row>
    <row r="10682" spans="1:1" s="173" customFormat="1" ht="12" hidden="1" customHeight="1">
      <c r="A10682" s="172"/>
    </row>
    <row r="10683" spans="1:1" s="173" customFormat="1" ht="12" hidden="1" customHeight="1">
      <c r="A10683" s="172"/>
    </row>
    <row r="10684" spans="1:1" s="173" customFormat="1" ht="12" hidden="1" customHeight="1">
      <c r="A10684" s="172"/>
    </row>
    <row r="10685" spans="1:1" s="173" customFormat="1" ht="12" hidden="1" customHeight="1">
      <c r="A10685" s="172"/>
    </row>
    <row r="10686" spans="1:1" s="173" customFormat="1" ht="12" hidden="1" customHeight="1">
      <c r="A10686" s="172"/>
    </row>
    <row r="10687" spans="1:1" s="173" customFormat="1" ht="12" hidden="1" customHeight="1">
      <c r="A10687" s="172"/>
    </row>
    <row r="10688" spans="1:1" s="173" customFormat="1" ht="12" hidden="1" customHeight="1">
      <c r="A10688" s="172"/>
    </row>
    <row r="10689" spans="1:1" s="173" customFormat="1" ht="12" hidden="1" customHeight="1">
      <c r="A10689" s="172"/>
    </row>
    <row r="10690" spans="1:1" s="173" customFormat="1" ht="12" hidden="1" customHeight="1">
      <c r="A10690" s="172"/>
    </row>
    <row r="10691" spans="1:1" s="173" customFormat="1" ht="12" hidden="1" customHeight="1">
      <c r="A10691" s="172"/>
    </row>
    <row r="10692" spans="1:1" s="173" customFormat="1" ht="12" hidden="1" customHeight="1">
      <c r="A10692" s="172"/>
    </row>
    <row r="10693" spans="1:1" s="173" customFormat="1" ht="12" hidden="1" customHeight="1">
      <c r="A10693" s="172"/>
    </row>
    <row r="10694" spans="1:1" s="173" customFormat="1" ht="12" hidden="1" customHeight="1">
      <c r="A10694" s="172"/>
    </row>
    <row r="10695" spans="1:1" s="173" customFormat="1" ht="12" hidden="1" customHeight="1">
      <c r="A10695" s="172"/>
    </row>
    <row r="10696" spans="1:1" s="173" customFormat="1" ht="12" hidden="1" customHeight="1">
      <c r="A10696" s="172"/>
    </row>
    <row r="10697" spans="1:1" s="173" customFormat="1" ht="12" hidden="1" customHeight="1">
      <c r="A10697" s="172"/>
    </row>
    <row r="10698" spans="1:1" s="173" customFormat="1" ht="12" hidden="1" customHeight="1">
      <c r="A10698" s="172"/>
    </row>
    <row r="10699" spans="1:1" s="173" customFormat="1" ht="12" hidden="1" customHeight="1">
      <c r="A10699" s="172"/>
    </row>
    <row r="10700" spans="1:1" s="173" customFormat="1" ht="12" hidden="1" customHeight="1">
      <c r="A10700" s="172"/>
    </row>
    <row r="10701" spans="1:1" s="173" customFormat="1" ht="12" hidden="1" customHeight="1">
      <c r="A10701" s="172"/>
    </row>
    <row r="10702" spans="1:1" s="173" customFormat="1" ht="12" hidden="1" customHeight="1">
      <c r="A10702" s="172"/>
    </row>
    <row r="10703" spans="1:1" s="173" customFormat="1" ht="12" hidden="1" customHeight="1">
      <c r="A10703" s="172"/>
    </row>
    <row r="10704" spans="1:1" s="173" customFormat="1" ht="12" hidden="1" customHeight="1">
      <c r="A10704" s="172"/>
    </row>
    <row r="10705" spans="1:1" s="173" customFormat="1" ht="12" hidden="1" customHeight="1">
      <c r="A10705" s="172"/>
    </row>
    <row r="10706" spans="1:1" s="173" customFormat="1" ht="12" hidden="1" customHeight="1">
      <c r="A10706" s="172"/>
    </row>
    <row r="10707" spans="1:1" s="173" customFormat="1" ht="12" hidden="1" customHeight="1">
      <c r="A10707" s="172"/>
    </row>
    <row r="10708" spans="1:1" s="173" customFormat="1" ht="12" hidden="1" customHeight="1">
      <c r="A10708" s="172"/>
    </row>
    <row r="10709" spans="1:1" s="173" customFormat="1" ht="12" hidden="1" customHeight="1">
      <c r="A10709" s="172"/>
    </row>
    <row r="10710" spans="1:1" s="173" customFormat="1" ht="12" hidden="1" customHeight="1">
      <c r="A10710" s="172"/>
    </row>
    <row r="10711" spans="1:1" s="173" customFormat="1" ht="12" hidden="1" customHeight="1">
      <c r="A10711" s="172"/>
    </row>
    <row r="10712" spans="1:1" s="173" customFormat="1" ht="12" hidden="1" customHeight="1">
      <c r="A10712" s="172"/>
    </row>
    <row r="10713" spans="1:1" s="173" customFormat="1" ht="12" hidden="1" customHeight="1">
      <c r="A10713" s="172"/>
    </row>
    <row r="10714" spans="1:1" s="173" customFormat="1" ht="12" hidden="1" customHeight="1">
      <c r="A10714" s="172"/>
    </row>
    <row r="10715" spans="1:1" s="173" customFormat="1" ht="12" hidden="1" customHeight="1">
      <c r="A10715" s="172"/>
    </row>
    <row r="10716" spans="1:1" s="173" customFormat="1" ht="12" hidden="1" customHeight="1">
      <c r="A10716" s="172"/>
    </row>
    <row r="10717" spans="1:1" s="173" customFormat="1" ht="12" hidden="1" customHeight="1">
      <c r="A10717" s="172"/>
    </row>
    <row r="10718" spans="1:1" s="173" customFormat="1" ht="12" hidden="1" customHeight="1">
      <c r="A10718" s="172"/>
    </row>
    <row r="10719" spans="1:1" s="173" customFormat="1" ht="12" hidden="1" customHeight="1">
      <c r="A10719" s="172"/>
    </row>
    <row r="10720" spans="1:1" s="173" customFormat="1" ht="12" hidden="1" customHeight="1">
      <c r="A10720" s="172"/>
    </row>
    <row r="10721" spans="1:1" s="173" customFormat="1" ht="12" hidden="1" customHeight="1">
      <c r="A10721" s="172"/>
    </row>
    <row r="10722" spans="1:1" s="173" customFormat="1" ht="12" hidden="1" customHeight="1">
      <c r="A10722" s="172"/>
    </row>
    <row r="10723" spans="1:1" s="173" customFormat="1" ht="12" hidden="1" customHeight="1">
      <c r="A10723" s="172"/>
    </row>
    <row r="10724" spans="1:1" s="173" customFormat="1" ht="12" hidden="1" customHeight="1">
      <c r="A10724" s="172"/>
    </row>
    <row r="10725" spans="1:1" s="173" customFormat="1" ht="12" hidden="1" customHeight="1">
      <c r="A10725" s="172"/>
    </row>
    <row r="10726" spans="1:1" s="173" customFormat="1" ht="12" hidden="1" customHeight="1">
      <c r="A10726" s="172"/>
    </row>
    <row r="10727" spans="1:1" s="173" customFormat="1" ht="12" hidden="1" customHeight="1">
      <c r="A10727" s="172"/>
    </row>
    <row r="10728" spans="1:1" s="173" customFormat="1" ht="12" hidden="1" customHeight="1">
      <c r="A10728" s="172"/>
    </row>
    <row r="10729" spans="1:1" s="173" customFormat="1" ht="12" hidden="1" customHeight="1">
      <c r="A10729" s="172"/>
    </row>
    <row r="10730" spans="1:1" s="173" customFormat="1" ht="12" hidden="1" customHeight="1">
      <c r="A10730" s="172"/>
    </row>
    <row r="10731" spans="1:1" s="173" customFormat="1" ht="12" hidden="1" customHeight="1">
      <c r="A10731" s="172"/>
    </row>
    <row r="10732" spans="1:1" s="173" customFormat="1" ht="12" hidden="1" customHeight="1">
      <c r="A10732" s="172"/>
    </row>
    <row r="10733" spans="1:1" s="173" customFormat="1" ht="12" hidden="1" customHeight="1">
      <c r="A10733" s="172"/>
    </row>
    <row r="10734" spans="1:1" s="173" customFormat="1" ht="12" hidden="1" customHeight="1">
      <c r="A10734" s="172"/>
    </row>
    <row r="10735" spans="1:1" s="173" customFormat="1" ht="12" hidden="1" customHeight="1">
      <c r="A10735" s="172"/>
    </row>
    <row r="10736" spans="1:1" s="173" customFormat="1" ht="12" hidden="1" customHeight="1">
      <c r="A10736" s="172"/>
    </row>
    <row r="10737" spans="1:1" s="173" customFormat="1" ht="12" hidden="1" customHeight="1">
      <c r="A10737" s="172"/>
    </row>
    <row r="10738" spans="1:1" s="173" customFormat="1" ht="12" hidden="1" customHeight="1">
      <c r="A10738" s="172"/>
    </row>
    <row r="10739" spans="1:1" s="173" customFormat="1" ht="12" hidden="1" customHeight="1">
      <c r="A10739" s="172"/>
    </row>
    <row r="10740" spans="1:1" s="173" customFormat="1" ht="12" hidden="1" customHeight="1">
      <c r="A10740" s="172"/>
    </row>
    <row r="10741" spans="1:1" s="173" customFormat="1" ht="12" hidden="1" customHeight="1">
      <c r="A10741" s="172"/>
    </row>
    <row r="10742" spans="1:1" s="173" customFormat="1" ht="12" hidden="1" customHeight="1">
      <c r="A10742" s="172"/>
    </row>
    <row r="10743" spans="1:1" s="173" customFormat="1" ht="12" hidden="1" customHeight="1">
      <c r="A10743" s="172"/>
    </row>
    <row r="10744" spans="1:1" s="173" customFormat="1" ht="12" hidden="1" customHeight="1">
      <c r="A10744" s="172"/>
    </row>
    <row r="10745" spans="1:1" s="173" customFormat="1" ht="12" hidden="1" customHeight="1">
      <c r="A10745" s="172"/>
    </row>
    <row r="10746" spans="1:1" s="173" customFormat="1" ht="12" hidden="1" customHeight="1">
      <c r="A10746" s="172"/>
    </row>
    <row r="10747" spans="1:1" s="173" customFormat="1" ht="12" hidden="1" customHeight="1">
      <c r="A10747" s="172"/>
    </row>
    <row r="10748" spans="1:1" s="173" customFormat="1" ht="12" hidden="1" customHeight="1">
      <c r="A10748" s="172"/>
    </row>
    <row r="10749" spans="1:1" s="173" customFormat="1" ht="12" hidden="1" customHeight="1">
      <c r="A10749" s="172"/>
    </row>
    <row r="10750" spans="1:1" s="173" customFormat="1" ht="12" hidden="1" customHeight="1">
      <c r="A10750" s="172"/>
    </row>
    <row r="10751" spans="1:1" s="173" customFormat="1" ht="12" hidden="1" customHeight="1">
      <c r="A10751" s="172"/>
    </row>
    <row r="10752" spans="1:1" s="173" customFormat="1" ht="12" hidden="1" customHeight="1">
      <c r="A10752" s="172"/>
    </row>
    <row r="10753" spans="1:1" s="173" customFormat="1" ht="12" hidden="1" customHeight="1">
      <c r="A10753" s="172"/>
    </row>
    <row r="10754" spans="1:1" s="173" customFormat="1" ht="12" hidden="1" customHeight="1">
      <c r="A10754" s="172"/>
    </row>
    <row r="10755" spans="1:1" s="173" customFormat="1" ht="12" hidden="1" customHeight="1">
      <c r="A10755" s="172"/>
    </row>
    <row r="10756" spans="1:1" s="173" customFormat="1" ht="12" hidden="1" customHeight="1">
      <c r="A10756" s="172"/>
    </row>
    <row r="10757" spans="1:1" s="173" customFormat="1" ht="12" hidden="1" customHeight="1">
      <c r="A10757" s="172"/>
    </row>
    <row r="10758" spans="1:1" s="173" customFormat="1" ht="12" hidden="1" customHeight="1">
      <c r="A10758" s="172"/>
    </row>
    <row r="10759" spans="1:1" s="173" customFormat="1" ht="12" hidden="1" customHeight="1">
      <c r="A10759" s="172"/>
    </row>
    <row r="10760" spans="1:1" s="173" customFormat="1" ht="12" hidden="1" customHeight="1">
      <c r="A10760" s="172"/>
    </row>
    <row r="10761" spans="1:1" s="173" customFormat="1" ht="12" hidden="1" customHeight="1">
      <c r="A10761" s="172"/>
    </row>
    <row r="10762" spans="1:1" s="173" customFormat="1" ht="12" hidden="1" customHeight="1">
      <c r="A10762" s="172"/>
    </row>
    <row r="10763" spans="1:1" s="173" customFormat="1" ht="12" hidden="1" customHeight="1">
      <c r="A10763" s="172"/>
    </row>
    <row r="10764" spans="1:1" s="173" customFormat="1" ht="12" hidden="1" customHeight="1">
      <c r="A10764" s="172"/>
    </row>
    <row r="10765" spans="1:1" s="173" customFormat="1" ht="12" hidden="1" customHeight="1">
      <c r="A10765" s="172"/>
    </row>
    <row r="10766" spans="1:1" s="173" customFormat="1" ht="12" hidden="1" customHeight="1">
      <c r="A10766" s="172"/>
    </row>
    <row r="10767" spans="1:1" s="173" customFormat="1" ht="12" hidden="1" customHeight="1">
      <c r="A10767" s="172"/>
    </row>
    <row r="10768" spans="1:1" s="173" customFormat="1" ht="12" hidden="1" customHeight="1">
      <c r="A10768" s="172"/>
    </row>
    <row r="10769" spans="1:1" s="173" customFormat="1" ht="12" hidden="1" customHeight="1">
      <c r="A10769" s="172"/>
    </row>
    <row r="10770" spans="1:1" s="173" customFormat="1" ht="12" hidden="1" customHeight="1">
      <c r="A10770" s="172"/>
    </row>
    <row r="10771" spans="1:1" s="173" customFormat="1" ht="12" hidden="1" customHeight="1">
      <c r="A10771" s="172"/>
    </row>
    <row r="10772" spans="1:1" s="173" customFormat="1" ht="12" hidden="1" customHeight="1">
      <c r="A10772" s="172"/>
    </row>
    <row r="10773" spans="1:1" s="173" customFormat="1" ht="12" hidden="1" customHeight="1">
      <c r="A10773" s="172"/>
    </row>
    <row r="10774" spans="1:1" s="173" customFormat="1" ht="12" hidden="1" customHeight="1">
      <c r="A10774" s="172"/>
    </row>
    <row r="10775" spans="1:1" s="173" customFormat="1" ht="12" hidden="1" customHeight="1">
      <c r="A10775" s="172"/>
    </row>
    <row r="10776" spans="1:1" s="173" customFormat="1" ht="12" hidden="1" customHeight="1">
      <c r="A10776" s="172"/>
    </row>
    <row r="10777" spans="1:1" s="173" customFormat="1" ht="12" hidden="1" customHeight="1">
      <c r="A10777" s="172"/>
    </row>
    <row r="10778" spans="1:1" s="173" customFormat="1" ht="12" hidden="1" customHeight="1">
      <c r="A10778" s="172"/>
    </row>
    <row r="10779" spans="1:1" s="173" customFormat="1" ht="12" hidden="1" customHeight="1">
      <c r="A10779" s="172"/>
    </row>
    <row r="10780" spans="1:1" s="173" customFormat="1" ht="12" hidden="1" customHeight="1">
      <c r="A10780" s="172"/>
    </row>
    <row r="10781" spans="1:1" s="173" customFormat="1" ht="12" hidden="1" customHeight="1">
      <c r="A10781" s="172"/>
    </row>
    <row r="10782" spans="1:1" s="173" customFormat="1" ht="12" hidden="1" customHeight="1">
      <c r="A10782" s="172"/>
    </row>
    <row r="10783" spans="1:1" s="173" customFormat="1" ht="12" hidden="1" customHeight="1">
      <c r="A10783" s="172"/>
    </row>
    <row r="10784" spans="1:1" s="173" customFormat="1" ht="12" hidden="1" customHeight="1">
      <c r="A10784" s="172"/>
    </row>
    <row r="10785" spans="1:1" s="173" customFormat="1" ht="12" hidden="1" customHeight="1">
      <c r="A10785" s="172"/>
    </row>
    <row r="10786" spans="1:1" s="173" customFormat="1" ht="12" hidden="1" customHeight="1">
      <c r="A10786" s="172"/>
    </row>
    <row r="10787" spans="1:1" s="173" customFormat="1" ht="12" hidden="1" customHeight="1">
      <c r="A10787" s="172"/>
    </row>
    <row r="10788" spans="1:1" s="173" customFormat="1" ht="12" hidden="1" customHeight="1">
      <c r="A10788" s="172"/>
    </row>
    <row r="10789" spans="1:1" s="173" customFormat="1" ht="12" hidden="1" customHeight="1">
      <c r="A10789" s="172"/>
    </row>
    <row r="10790" spans="1:1" s="173" customFormat="1" ht="12" hidden="1" customHeight="1">
      <c r="A10790" s="172"/>
    </row>
    <row r="10791" spans="1:1" s="173" customFormat="1" ht="12" hidden="1" customHeight="1">
      <c r="A10791" s="172"/>
    </row>
    <row r="10792" spans="1:1" s="173" customFormat="1" ht="12" hidden="1" customHeight="1">
      <c r="A10792" s="172"/>
    </row>
    <row r="10793" spans="1:1" s="173" customFormat="1" ht="12" hidden="1" customHeight="1">
      <c r="A10793" s="172"/>
    </row>
    <row r="10794" spans="1:1" s="173" customFormat="1" ht="12" hidden="1" customHeight="1">
      <c r="A10794" s="172"/>
    </row>
    <row r="10795" spans="1:1" s="173" customFormat="1" ht="12" hidden="1" customHeight="1">
      <c r="A10795" s="172"/>
    </row>
    <row r="10796" spans="1:1" s="173" customFormat="1" ht="12" hidden="1" customHeight="1">
      <c r="A10796" s="172"/>
    </row>
    <row r="10797" spans="1:1" s="173" customFormat="1" ht="12" hidden="1" customHeight="1">
      <c r="A10797" s="172"/>
    </row>
    <row r="10798" spans="1:1" s="173" customFormat="1" ht="12" hidden="1" customHeight="1">
      <c r="A10798" s="172"/>
    </row>
    <row r="10799" spans="1:1" s="173" customFormat="1" ht="12" hidden="1" customHeight="1">
      <c r="A10799" s="172"/>
    </row>
    <row r="10800" spans="1:1" s="173" customFormat="1" ht="12" hidden="1" customHeight="1">
      <c r="A10800" s="172"/>
    </row>
    <row r="10801" spans="1:1" s="173" customFormat="1" ht="12" hidden="1" customHeight="1">
      <c r="A10801" s="172"/>
    </row>
    <row r="10802" spans="1:1" s="173" customFormat="1" ht="12" hidden="1" customHeight="1">
      <c r="A10802" s="172"/>
    </row>
    <row r="10803" spans="1:1" s="173" customFormat="1" ht="12" hidden="1" customHeight="1">
      <c r="A10803" s="172"/>
    </row>
    <row r="10804" spans="1:1" s="173" customFormat="1" ht="12" hidden="1" customHeight="1">
      <c r="A10804" s="172"/>
    </row>
    <row r="10805" spans="1:1" s="173" customFormat="1" ht="12" hidden="1" customHeight="1">
      <c r="A10805" s="172"/>
    </row>
    <row r="10806" spans="1:1" s="173" customFormat="1" ht="12" hidden="1" customHeight="1">
      <c r="A10806" s="172"/>
    </row>
    <row r="10807" spans="1:1" s="173" customFormat="1" ht="12" hidden="1" customHeight="1">
      <c r="A10807" s="172"/>
    </row>
    <row r="10808" spans="1:1" s="173" customFormat="1" ht="12" hidden="1" customHeight="1">
      <c r="A10808" s="172"/>
    </row>
    <row r="10809" spans="1:1" s="173" customFormat="1" ht="12" hidden="1" customHeight="1">
      <c r="A10809" s="172"/>
    </row>
    <row r="10810" spans="1:1" s="173" customFormat="1" ht="12" hidden="1" customHeight="1">
      <c r="A10810" s="172"/>
    </row>
    <row r="10811" spans="1:1" s="173" customFormat="1" ht="12" hidden="1" customHeight="1">
      <c r="A10811" s="172"/>
    </row>
    <row r="10812" spans="1:1" s="173" customFormat="1" ht="12" hidden="1" customHeight="1">
      <c r="A10812" s="172"/>
    </row>
    <row r="10813" spans="1:1" s="173" customFormat="1" ht="12" hidden="1" customHeight="1">
      <c r="A10813" s="172"/>
    </row>
    <row r="10814" spans="1:1" s="173" customFormat="1" ht="12" hidden="1" customHeight="1">
      <c r="A10814" s="172"/>
    </row>
    <row r="10815" spans="1:1" s="173" customFormat="1" ht="12" hidden="1" customHeight="1">
      <c r="A10815" s="172"/>
    </row>
    <row r="10816" spans="1:1" s="173" customFormat="1" ht="12" hidden="1" customHeight="1">
      <c r="A10816" s="172"/>
    </row>
    <row r="10817" spans="1:1" s="173" customFormat="1" ht="12" hidden="1" customHeight="1">
      <c r="A10817" s="172"/>
    </row>
    <row r="10818" spans="1:1" s="173" customFormat="1" ht="12" hidden="1" customHeight="1">
      <c r="A10818" s="172"/>
    </row>
    <row r="10819" spans="1:1" s="173" customFormat="1" ht="12" hidden="1" customHeight="1">
      <c r="A10819" s="172"/>
    </row>
    <row r="10820" spans="1:1" s="173" customFormat="1" ht="12" hidden="1" customHeight="1">
      <c r="A10820" s="172"/>
    </row>
    <row r="10821" spans="1:1" s="173" customFormat="1" ht="12" hidden="1" customHeight="1">
      <c r="A10821" s="172"/>
    </row>
    <row r="10822" spans="1:1" s="173" customFormat="1" ht="12" hidden="1" customHeight="1">
      <c r="A10822" s="172"/>
    </row>
    <row r="10823" spans="1:1" s="173" customFormat="1" ht="12" hidden="1" customHeight="1">
      <c r="A10823" s="172"/>
    </row>
    <row r="10824" spans="1:1" s="173" customFormat="1" ht="12" hidden="1" customHeight="1">
      <c r="A10824" s="172"/>
    </row>
    <row r="10825" spans="1:1" s="173" customFormat="1" ht="12" hidden="1" customHeight="1">
      <c r="A10825" s="172"/>
    </row>
    <row r="10826" spans="1:1" s="173" customFormat="1" ht="12" hidden="1" customHeight="1">
      <c r="A10826" s="172"/>
    </row>
    <row r="10827" spans="1:1" s="173" customFormat="1" ht="12" hidden="1" customHeight="1">
      <c r="A10827" s="172"/>
    </row>
    <row r="10828" spans="1:1" s="173" customFormat="1" ht="12" hidden="1" customHeight="1">
      <c r="A10828" s="172"/>
    </row>
    <row r="10829" spans="1:1" s="173" customFormat="1" ht="12" hidden="1" customHeight="1">
      <c r="A10829" s="172"/>
    </row>
    <row r="10830" spans="1:1" s="173" customFormat="1" ht="12" hidden="1" customHeight="1">
      <c r="A10830" s="172"/>
    </row>
    <row r="10831" spans="1:1" s="173" customFormat="1" ht="12" hidden="1" customHeight="1">
      <c r="A10831" s="172"/>
    </row>
    <row r="10832" spans="1:1" s="173" customFormat="1" ht="12" hidden="1" customHeight="1">
      <c r="A10832" s="172"/>
    </row>
    <row r="10833" spans="1:1" s="173" customFormat="1" ht="12" hidden="1" customHeight="1">
      <c r="A10833" s="172"/>
    </row>
    <row r="10834" spans="1:1" s="173" customFormat="1" ht="12" hidden="1" customHeight="1">
      <c r="A10834" s="172"/>
    </row>
    <row r="10835" spans="1:1" s="173" customFormat="1" ht="12" hidden="1" customHeight="1">
      <c r="A10835" s="172"/>
    </row>
    <row r="10836" spans="1:1" s="173" customFormat="1" ht="12" hidden="1" customHeight="1">
      <c r="A10836" s="172"/>
    </row>
    <row r="10837" spans="1:1" s="173" customFormat="1" ht="12" hidden="1" customHeight="1">
      <c r="A10837" s="172"/>
    </row>
    <row r="10838" spans="1:1" s="173" customFormat="1" ht="12" hidden="1" customHeight="1">
      <c r="A10838" s="172"/>
    </row>
    <row r="10839" spans="1:1" s="173" customFormat="1" ht="12" hidden="1" customHeight="1">
      <c r="A10839" s="172"/>
    </row>
    <row r="10840" spans="1:1" s="173" customFormat="1" ht="12" hidden="1" customHeight="1">
      <c r="A10840" s="172"/>
    </row>
    <row r="10841" spans="1:1" s="173" customFormat="1" ht="12" hidden="1" customHeight="1">
      <c r="A10841" s="172"/>
    </row>
    <row r="10842" spans="1:1" s="173" customFormat="1" ht="12" hidden="1" customHeight="1">
      <c r="A10842" s="172"/>
    </row>
    <row r="10843" spans="1:1" s="173" customFormat="1" ht="12" hidden="1" customHeight="1">
      <c r="A10843" s="172"/>
    </row>
    <row r="10844" spans="1:1" s="173" customFormat="1" ht="12" hidden="1" customHeight="1">
      <c r="A10844" s="172"/>
    </row>
    <row r="10845" spans="1:1" s="173" customFormat="1" ht="12" hidden="1" customHeight="1">
      <c r="A10845" s="172"/>
    </row>
    <row r="10846" spans="1:1" s="173" customFormat="1" ht="12" hidden="1" customHeight="1">
      <c r="A10846" s="172"/>
    </row>
    <row r="10847" spans="1:1" s="173" customFormat="1" ht="12" hidden="1" customHeight="1">
      <c r="A10847" s="172"/>
    </row>
    <row r="10848" spans="1:1" s="173" customFormat="1" ht="12" hidden="1" customHeight="1">
      <c r="A10848" s="172"/>
    </row>
    <row r="10849" spans="1:1" s="173" customFormat="1" ht="12" hidden="1" customHeight="1">
      <c r="A10849" s="172"/>
    </row>
    <row r="10850" spans="1:1" s="173" customFormat="1" ht="12" hidden="1" customHeight="1">
      <c r="A10850" s="172"/>
    </row>
    <row r="10851" spans="1:1" s="173" customFormat="1" ht="12" hidden="1" customHeight="1">
      <c r="A10851" s="172"/>
    </row>
    <row r="10852" spans="1:1" s="173" customFormat="1" ht="12" hidden="1" customHeight="1">
      <c r="A10852" s="172"/>
    </row>
    <row r="10853" spans="1:1" s="173" customFormat="1" ht="12" hidden="1" customHeight="1">
      <c r="A10853" s="172"/>
    </row>
    <row r="10854" spans="1:1" s="173" customFormat="1" ht="12" hidden="1" customHeight="1">
      <c r="A10854" s="172"/>
    </row>
    <row r="10855" spans="1:1" s="173" customFormat="1" ht="12" hidden="1" customHeight="1">
      <c r="A10855" s="172"/>
    </row>
    <row r="10856" spans="1:1" s="173" customFormat="1" ht="12" hidden="1" customHeight="1">
      <c r="A10856" s="172"/>
    </row>
    <row r="10857" spans="1:1" s="173" customFormat="1" ht="12" hidden="1" customHeight="1">
      <c r="A10857" s="172"/>
    </row>
    <row r="10858" spans="1:1" s="173" customFormat="1" ht="12" hidden="1" customHeight="1">
      <c r="A10858" s="172"/>
    </row>
    <row r="10859" spans="1:1" s="173" customFormat="1" ht="12" hidden="1" customHeight="1">
      <c r="A10859" s="172"/>
    </row>
    <row r="10860" spans="1:1" s="173" customFormat="1" ht="12" hidden="1" customHeight="1">
      <c r="A10860" s="172"/>
    </row>
    <row r="10861" spans="1:1" s="173" customFormat="1" ht="12" hidden="1" customHeight="1">
      <c r="A10861" s="172"/>
    </row>
    <row r="10862" spans="1:1" s="173" customFormat="1" ht="12" hidden="1" customHeight="1">
      <c r="A10862" s="172"/>
    </row>
    <row r="10863" spans="1:1" s="173" customFormat="1" ht="12" hidden="1" customHeight="1">
      <c r="A10863" s="172"/>
    </row>
    <row r="10864" spans="1:1" s="173" customFormat="1" ht="12" hidden="1" customHeight="1">
      <c r="A10864" s="172"/>
    </row>
    <row r="10865" spans="1:1" s="173" customFormat="1" ht="12" hidden="1" customHeight="1">
      <c r="A10865" s="172"/>
    </row>
    <row r="10866" spans="1:1" s="173" customFormat="1" ht="12" hidden="1" customHeight="1">
      <c r="A10866" s="172"/>
    </row>
    <row r="10867" spans="1:1" s="173" customFormat="1" ht="12" hidden="1" customHeight="1">
      <c r="A10867" s="172"/>
    </row>
    <row r="10868" spans="1:1" s="173" customFormat="1" ht="12" hidden="1" customHeight="1">
      <c r="A10868" s="172"/>
    </row>
    <row r="10869" spans="1:1" s="173" customFormat="1" ht="12" hidden="1" customHeight="1">
      <c r="A10869" s="172"/>
    </row>
    <row r="10870" spans="1:1" s="173" customFormat="1" ht="12" hidden="1" customHeight="1">
      <c r="A10870" s="172"/>
    </row>
    <row r="10871" spans="1:1" s="173" customFormat="1" ht="12" hidden="1" customHeight="1">
      <c r="A10871" s="172"/>
    </row>
    <row r="10872" spans="1:1" s="173" customFormat="1" ht="12" hidden="1" customHeight="1">
      <c r="A10872" s="172"/>
    </row>
    <row r="10873" spans="1:1" s="173" customFormat="1" ht="12" hidden="1" customHeight="1">
      <c r="A10873" s="172"/>
    </row>
    <row r="10874" spans="1:1" s="173" customFormat="1" ht="12" hidden="1" customHeight="1">
      <c r="A10874" s="172"/>
    </row>
    <row r="10875" spans="1:1" s="173" customFormat="1" ht="12" hidden="1" customHeight="1">
      <c r="A10875" s="172"/>
    </row>
    <row r="10876" spans="1:1" s="173" customFormat="1" ht="12" hidden="1" customHeight="1">
      <c r="A10876" s="172"/>
    </row>
    <row r="10877" spans="1:1" s="173" customFormat="1" ht="12" hidden="1" customHeight="1">
      <c r="A10877" s="172"/>
    </row>
    <row r="10878" spans="1:1" s="173" customFormat="1" ht="12" hidden="1" customHeight="1">
      <c r="A10878" s="172"/>
    </row>
    <row r="10879" spans="1:1" s="173" customFormat="1" ht="12" hidden="1" customHeight="1">
      <c r="A10879" s="172"/>
    </row>
    <row r="10880" spans="1:1" s="173" customFormat="1" ht="12" hidden="1" customHeight="1">
      <c r="A10880" s="172"/>
    </row>
    <row r="10881" spans="1:1" s="173" customFormat="1" ht="12" hidden="1" customHeight="1">
      <c r="A10881" s="172"/>
    </row>
    <row r="10882" spans="1:1" s="173" customFormat="1" ht="12" hidden="1" customHeight="1">
      <c r="A10882" s="172"/>
    </row>
    <row r="10883" spans="1:1" s="173" customFormat="1" ht="12" hidden="1" customHeight="1">
      <c r="A10883" s="172"/>
    </row>
    <row r="10884" spans="1:1" s="173" customFormat="1" ht="12" hidden="1" customHeight="1">
      <c r="A10884" s="172"/>
    </row>
    <row r="10885" spans="1:1" s="173" customFormat="1" ht="12" hidden="1" customHeight="1">
      <c r="A10885" s="172"/>
    </row>
    <row r="10886" spans="1:1" s="173" customFormat="1" ht="12" hidden="1" customHeight="1">
      <c r="A10886" s="172"/>
    </row>
    <row r="10887" spans="1:1" s="173" customFormat="1" ht="12" hidden="1" customHeight="1">
      <c r="A10887" s="172"/>
    </row>
    <row r="10888" spans="1:1" s="173" customFormat="1" ht="12" hidden="1" customHeight="1">
      <c r="A10888" s="172"/>
    </row>
    <row r="10889" spans="1:1" s="173" customFormat="1" ht="12" hidden="1" customHeight="1">
      <c r="A10889" s="172"/>
    </row>
    <row r="10890" spans="1:1" s="173" customFormat="1" ht="12" hidden="1" customHeight="1">
      <c r="A10890" s="172"/>
    </row>
    <row r="10891" spans="1:1" s="173" customFormat="1" ht="12" hidden="1" customHeight="1">
      <c r="A10891" s="172"/>
    </row>
    <row r="10892" spans="1:1" s="173" customFormat="1" ht="12" hidden="1" customHeight="1">
      <c r="A10892" s="172"/>
    </row>
    <row r="10893" spans="1:1" s="173" customFormat="1" ht="12" hidden="1" customHeight="1">
      <c r="A10893" s="172"/>
    </row>
    <row r="10894" spans="1:1" s="173" customFormat="1" ht="12" hidden="1" customHeight="1">
      <c r="A10894" s="172"/>
    </row>
    <row r="10895" spans="1:1" s="173" customFormat="1" ht="12" hidden="1" customHeight="1">
      <c r="A10895" s="172"/>
    </row>
    <row r="10896" spans="1:1" s="173" customFormat="1" ht="12" hidden="1" customHeight="1">
      <c r="A10896" s="172"/>
    </row>
    <row r="10897" spans="1:1" s="173" customFormat="1" ht="12" hidden="1" customHeight="1">
      <c r="A10897" s="172"/>
    </row>
    <row r="10898" spans="1:1" s="173" customFormat="1" ht="12" hidden="1" customHeight="1">
      <c r="A10898" s="172"/>
    </row>
    <row r="10899" spans="1:1" s="173" customFormat="1" ht="12" hidden="1" customHeight="1">
      <c r="A10899" s="172"/>
    </row>
    <row r="10900" spans="1:1" s="173" customFormat="1" ht="12" hidden="1" customHeight="1">
      <c r="A10900" s="172"/>
    </row>
    <row r="10901" spans="1:1" s="173" customFormat="1" ht="12" hidden="1" customHeight="1">
      <c r="A10901" s="172"/>
    </row>
    <row r="10902" spans="1:1" s="173" customFormat="1" ht="12" hidden="1" customHeight="1">
      <c r="A10902" s="172"/>
    </row>
    <row r="10903" spans="1:1" s="173" customFormat="1" ht="12" hidden="1" customHeight="1">
      <c r="A10903" s="172"/>
    </row>
    <row r="10904" spans="1:1" s="173" customFormat="1" ht="12" hidden="1" customHeight="1">
      <c r="A10904" s="172"/>
    </row>
    <row r="10905" spans="1:1" s="173" customFormat="1" ht="12" hidden="1" customHeight="1">
      <c r="A10905" s="172"/>
    </row>
    <row r="10906" spans="1:1" s="173" customFormat="1" ht="12" hidden="1" customHeight="1">
      <c r="A10906" s="172"/>
    </row>
    <row r="10907" spans="1:1" s="173" customFormat="1" ht="12" hidden="1" customHeight="1">
      <c r="A10907" s="172"/>
    </row>
    <row r="10908" spans="1:1" s="173" customFormat="1" ht="12" hidden="1" customHeight="1">
      <c r="A10908" s="172"/>
    </row>
    <row r="10909" spans="1:1" s="173" customFormat="1" ht="12" hidden="1" customHeight="1">
      <c r="A10909" s="172"/>
    </row>
    <row r="10910" spans="1:1" s="173" customFormat="1" ht="12" hidden="1" customHeight="1">
      <c r="A10910" s="172"/>
    </row>
    <row r="10911" spans="1:1" s="173" customFormat="1" ht="12" hidden="1" customHeight="1">
      <c r="A10911" s="172"/>
    </row>
    <row r="10912" spans="1:1" s="173" customFormat="1" ht="12" hidden="1" customHeight="1">
      <c r="A10912" s="172"/>
    </row>
    <row r="10913" spans="1:1" s="173" customFormat="1" ht="12" hidden="1" customHeight="1">
      <c r="A10913" s="172"/>
    </row>
    <row r="10914" spans="1:1" s="173" customFormat="1" ht="12" hidden="1" customHeight="1">
      <c r="A10914" s="172"/>
    </row>
    <row r="10915" spans="1:1" s="173" customFormat="1" ht="12" hidden="1" customHeight="1">
      <c r="A10915" s="172"/>
    </row>
    <row r="10916" spans="1:1" s="173" customFormat="1" ht="12" hidden="1" customHeight="1">
      <c r="A10916" s="172"/>
    </row>
    <row r="10917" spans="1:1" s="173" customFormat="1" ht="12" hidden="1" customHeight="1">
      <c r="A10917" s="172"/>
    </row>
    <row r="10918" spans="1:1" s="173" customFormat="1" ht="12" hidden="1" customHeight="1">
      <c r="A10918" s="172"/>
    </row>
    <row r="10919" spans="1:1" s="173" customFormat="1" ht="12" hidden="1" customHeight="1">
      <c r="A10919" s="172"/>
    </row>
    <row r="10920" spans="1:1" s="173" customFormat="1" ht="12" hidden="1" customHeight="1">
      <c r="A10920" s="172"/>
    </row>
    <row r="10921" spans="1:1" s="173" customFormat="1" ht="12" hidden="1" customHeight="1">
      <c r="A10921" s="172"/>
    </row>
    <row r="10922" spans="1:1" s="173" customFormat="1" ht="12" hidden="1" customHeight="1">
      <c r="A10922" s="172"/>
    </row>
    <row r="10923" spans="1:1" s="173" customFormat="1" ht="12" hidden="1" customHeight="1">
      <c r="A10923" s="172"/>
    </row>
    <row r="10924" spans="1:1" s="173" customFormat="1" ht="12" hidden="1" customHeight="1">
      <c r="A10924" s="172"/>
    </row>
    <row r="10925" spans="1:1" s="173" customFormat="1" ht="12" hidden="1" customHeight="1">
      <c r="A10925" s="172"/>
    </row>
    <row r="10926" spans="1:1" s="173" customFormat="1" ht="12" hidden="1" customHeight="1">
      <c r="A10926" s="172"/>
    </row>
    <row r="10927" spans="1:1" s="173" customFormat="1" ht="12" hidden="1" customHeight="1">
      <c r="A10927" s="172"/>
    </row>
    <row r="10928" spans="1:1" s="173" customFormat="1" ht="12" hidden="1" customHeight="1">
      <c r="A10928" s="172"/>
    </row>
    <row r="10929" spans="1:1" s="173" customFormat="1" ht="12" hidden="1" customHeight="1">
      <c r="A10929" s="172"/>
    </row>
    <row r="10930" spans="1:1" s="173" customFormat="1" ht="12" hidden="1" customHeight="1">
      <c r="A10930" s="172"/>
    </row>
    <row r="10931" spans="1:1" s="173" customFormat="1" ht="12" hidden="1" customHeight="1">
      <c r="A10931" s="172"/>
    </row>
    <row r="10932" spans="1:1" s="173" customFormat="1" ht="12" hidden="1" customHeight="1">
      <c r="A10932" s="172"/>
    </row>
    <row r="10933" spans="1:1" s="173" customFormat="1" ht="12" hidden="1" customHeight="1">
      <c r="A10933" s="172"/>
    </row>
    <row r="10934" spans="1:1" s="173" customFormat="1" ht="12" hidden="1" customHeight="1">
      <c r="A10934" s="172"/>
    </row>
    <row r="10935" spans="1:1" s="173" customFormat="1" ht="12" hidden="1" customHeight="1">
      <c r="A10935" s="172"/>
    </row>
    <row r="10936" spans="1:1" s="173" customFormat="1" ht="12" hidden="1" customHeight="1">
      <c r="A10936" s="172"/>
    </row>
    <row r="10937" spans="1:1" s="173" customFormat="1" ht="12" hidden="1" customHeight="1">
      <c r="A10937" s="172"/>
    </row>
    <row r="10938" spans="1:1" s="173" customFormat="1" ht="12" hidden="1" customHeight="1">
      <c r="A10938" s="172"/>
    </row>
    <row r="10939" spans="1:1" s="173" customFormat="1" ht="12" hidden="1" customHeight="1">
      <c r="A10939" s="172"/>
    </row>
    <row r="10940" spans="1:1" s="173" customFormat="1" ht="12" hidden="1" customHeight="1">
      <c r="A10940" s="172"/>
    </row>
    <row r="10941" spans="1:1" s="173" customFormat="1" ht="12" hidden="1" customHeight="1">
      <c r="A10941" s="172"/>
    </row>
    <row r="10942" spans="1:1" s="173" customFormat="1" ht="12" hidden="1" customHeight="1">
      <c r="A10942" s="172"/>
    </row>
    <row r="10943" spans="1:1" s="173" customFormat="1" ht="12" hidden="1" customHeight="1">
      <c r="A10943" s="172"/>
    </row>
    <row r="10944" spans="1:1" s="173" customFormat="1" ht="12" hidden="1" customHeight="1">
      <c r="A10944" s="172"/>
    </row>
    <row r="10945" spans="1:1" s="173" customFormat="1" ht="12" hidden="1" customHeight="1">
      <c r="A10945" s="172"/>
    </row>
    <row r="10946" spans="1:1" s="173" customFormat="1" ht="12" hidden="1" customHeight="1">
      <c r="A10946" s="172"/>
    </row>
    <row r="10947" spans="1:1" s="173" customFormat="1" ht="12" hidden="1" customHeight="1">
      <c r="A10947" s="172"/>
    </row>
    <row r="10948" spans="1:1" s="173" customFormat="1" ht="12" hidden="1" customHeight="1">
      <c r="A10948" s="172"/>
    </row>
    <row r="10949" spans="1:1" s="173" customFormat="1" ht="12" hidden="1" customHeight="1">
      <c r="A10949" s="172"/>
    </row>
    <row r="10950" spans="1:1" s="173" customFormat="1" ht="12" hidden="1" customHeight="1">
      <c r="A10950" s="172"/>
    </row>
    <row r="10951" spans="1:1" s="173" customFormat="1" ht="12" hidden="1" customHeight="1">
      <c r="A10951" s="172"/>
    </row>
    <row r="10952" spans="1:1" s="173" customFormat="1" ht="12" hidden="1" customHeight="1">
      <c r="A10952" s="172"/>
    </row>
    <row r="10953" spans="1:1" s="173" customFormat="1" ht="12" hidden="1" customHeight="1">
      <c r="A10953" s="172"/>
    </row>
    <row r="10954" spans="1:1" s="173" customFormat="1" ht="12" hidden="1" customHeight="1">
      <c r="A10954" s="172"/>
    </row>
    <row r="10955" spans="1:1" s="173" customFormat="1" ht="12" hidden="1" customHeight="1">
      <c r="A10955" s="172"/>
    </row>
    <row r="10956" spans="1:1" s="173" customFormat="1" ht="12" hidden="1" customHeight="1">
      <c r="A10956" s="172"/>
    </row>
    <row r="10957" spans="1:1" s="173" customFormat="1" ht="12" hidden="1" customHeight="1">
      <c r="A10957" s="172"/>
    </row>
    <row r="10958" spans="1:1" s="173" customFormat="1" ht="12" hidden="1" customHeight="1">
      <c r="A10958" s="172"/>
    </row>
    <row r="10959" spans="1:1" s="173" customFormat="1" ht="12" hidden="1" customHeight="1">
      <c r="A10959" s="172"/>
    </row>
    <row r="10960" spans="1:1" s="173" customFormat="1" ht="12" hidden="1" customHeight="1">
      <c r="A10960" s="172"/>
    </row>
    <row r="10961" spans="1:1" s="173" customFormat="1" ht="12" hidden="1" customHeight="1">
      <c r="A10961" s="172"/>
    </row>
    <row r="10962" spans="1:1" s="173" customFormat="1" ht="12" hidden="1" customHeight="1">
      <c r="A10962" s="172"/>
    </row>
    <row r="10963" spans="1:1" s="173" customFormat="1" ht="12" hidden="1" customHeight="1">
      <c r="A10963" s="172"/>
    </row>
    <row r="10964" spans="1:1" s="173" customFormat="1" ht="12" hidden="1" customHeight="1">
      <c r="A10964" s="172"/>
    </row>
    <row r="10965" spans="1:1" s="173" customFormat="1" ht="12" hidden="1" customHeight="1">
      <c r="A10965" s="172"/>
    </row>
    <row r="10966" spans="1:1" s="173" customFormat="1" ht="12" hidden="1" customHeight="1">
      <c r="A10966" s="172"/>
    </row>
    <row r="10967" spans="1:1" s="173" customFormat="1" ht="12" hidden="1" customHeight="1">
      <c r="A10967" s="172"/>
    </row>
    <row r="10968" spans="1:1" s="173" customFormat="1" ht="12" hidden="1" customHeight="1">
      <c r="A10968" s="172"/>
    </row>
    <row r="10969" spans="1:1" s="173" customFormat="1" ht="12" hidden="1" customHeight="1">
      <c r="A10969" s="172"/>
    </row>
    <row r="10970" spans="1:1" s="173" customFormat="1" ht="12" hidden="1" customHeight="1">
      <c r="A10970" s="172"/>
    </row>
    <row r="10971" spans="1:1" s="173" customFormat="1" ht="12" hidden="1" customHeight="1">
      <c r="A10971" s="172"/>
    </row>
    <row r="10972" spans="1:1" s="173" customFormat="1" ht="12" hidden="1" customHeight="1">
      <c r="A10972" s="172"/>
    </row>
    <row r="10973" spans="1:1" s="173" customFormat="1" ht="12" hidden="1" customHeight="1">
      <c r="A10973" s="172"/>
    </row>
    <row r="10974" spans="1:1" s="173" customFormat="1" ht="12" hidden="1" customHeight="1">
      <c r="A10974" s="172"/>
    </row>
    <row r="10975" spans="1:1" s="173" customFormat="1" ht="12" hidden="1" customHeight="1">
      <c r="A10975" s="172"/>
    </row>
    <row r="10976" spans="1:1" s="173" customFormat="1" ht="12" hidden="1" customHeight="1">
      <c r="A10976" s="172"/>
    </row>
    <row r="10977" spans="1:1" s="173" customFormat="1" ht="12" hidden="1" customHeight="1">
      <c r="A10977" s="172"/>
    </row>
    <row r="10978" spans="1:1" s="173" customFormat="1" ht="12" hidden="1" customHeight="1">
      <c r="A10978" s="172"/>
    </row>
    <row r="10979" spans="1:1" s="173" customFormat="1" ht="12" hidden="1" customHeight="1">
      <c r="A10979" s="172"/>
    </row>
    <row r="10980" spans="1:1" s="173" customFormat="1" ht="12" hidden="1" customHeight="1">
      <c r="A10980" s="172"/>
    </row>
    <row r="10981" spans="1:1" s="173" customFormat="1" ht="12" hidden="1" customHeight="1">
      <c r="A10981" s="172"/>
    </row>
    <row r="10982" spans="1:1" s="173" customFormat="1" ht="12" hidden="1" customHeight="1">
      <c r="A10982" s="172"/>
    </row>
    <row r="10983" spans="1:1" s="173" customFormat="1" ht="12" hidden="1" customHeight="1">
      <c r="A10983" s="172"/>
    </row>
    <row r="10984" spans="1:1" s="173" customFormat="1" ht="12" hidden="1" customHeight="1">
      <c r="A10984" s="172"/>
    </row>
    <row r="10985" spans="1:1" s="173" customFormat="1" ht="12" hidden="1" customHeight="1">
      <c r="A10985" s="172"/>
    </row>
    <row r="10986" spans="1:1" s="173" customFormat="1" ht="12" hidden="1" customHeight="1">
      <c r="A10986" s="172"/>
    </row>
    <row r="10987" spans="1:1" s="173" customFormat="1" ht="12" hidden="1" customHeight="1">
      <c r="A10987" s="172"/>
    </row>
    <row r="10988" spans="1:1" s="173" customFormat="1" ht="12" hidden="1" customHeight="1">
      <c r="A10988" s="172"/>
    </row>
    <row r="10989" spans="1:1" s="173" customFormat="1" ht="12" hidden="1" customHeight="1">
      <c r="A10989" s="172"/>
    </row>
    <row r="10990" spans="1:1" s="173" customFormat="1" ht="12" hidden="1" customHeight="1">
      <c r="A10990" s="172"/>
    </row>
    <row r="10991" spans="1:1" s="173" customFormat="1" ht="12" hidden="1" customHeight="1">
      <c r="A10991" s="172"/>
    </row>
    <row r="10992" spans="1:1" s="173" customFormat="1" ht="12" hidden="1" customHeight="1">
      <c r="A10992" s="172"/>
    </row>
    <row r="10993" spans="1:1" s="173" customFormat="1" ht="12" hidden="1" customHeight="1">
      <c r="A10993" s="172"/>
    </row>
    <row r="10994" spans="1:1" s="173" customFormat="1" ht="12" hidden="1" customHeight="1">
      <c r="A10994" s="172"/>
    </row>
    <row r="10995" spans="1:1" s="173" customFormat="1" ht="12" hidden="1" customHeight="1">
      <c r="A10995" s="172"/>
    </row>
    <row r="10996" spans="1:1" s="173" customFormat="1" ht="12" hidden="1" customHeight="1">
      <c r="A10996" s="172"/>
    </row>
    <row r="10997" spans="1:1" s="173" customFormat="1" ht="12" hidden="1" customHeight="1">
      <c r="A10997" s="172"/>
    </row>
    <row r="10998" spans="1:1" s="173" customFormat="1" ht="12" hidden="1" customHeight="1">
      <c r="A10998" s="172"/>
    </row>
    <row r="10999" spans="1:1" s="173" customFormat="1" ht="12" hidden="1" customHeight="1">
      <c r="A10999" s="172"/>
    </row>
    <row r="11000" spans="1:1" s="173" customFormat="1" ht="12" hidden="1" customHeight="1">
      <c r="A11000" s="172"/>
    </row>
    <row r="11001" spans="1:1" s="173" customFormat="1" ht="12" hidden="1" customHeight="1">
      <c r="A11001" s="172"/>
    </row>
    <row r="11002" spans="1:1" s="173" customFormat="1" ht="12" hidden="1" customHeight="1">
      <c r="A11002" s="172"/>
    </row>
    <row r="11003" spans="1:1" s="173" customFormat="1" ht="12" hidden="1" customHeight="1">
      <c r="A11003" s="172"/>
    </row>
    <row r="11004" spans="1:1" s="173" customFormat="1" ht="12" hidden="1" customHeight="1">
      <c r="A11004" s="172"/>
    </row>
    <row r="11005" spans="1:1" s="173" customFormat="1" ht="12" hidden="1" customHeight="1">
      <c r="A11005" s="172"/>
    </row>
    <row r="11006" spans="1:1" s="173" customFormat="1" ht="12" hidden="1" customHeight="1">
      <c r="A11006" s="172"/>
    </row>
    <row r="11007" spans="1:1" s="173" customFormat="1" ht="12" hidden="1" customHeight="1">
      <c r="A11007" s="172"/>
    </row>
    <row r="11008" spans="1:1" s="173" customFormat="1" ht="12" hidden="1" customHeight="1">
      <c r="A11008" s="172"/>
    </row>
    <row r="11009" spans="1:1" s="173" customFormat="1" ht="12" hidden="1" customHeight="1">
      <c r="A11009" s="172"/>
    </row>
    <row r="11010" spans="1:1" s="173" customFormat="1" ht="12" hidden="1" customHeight="1">
      <c r="A11010" s="172"/>
    </row>
    <row r="11011" spans="1:1" s="173" customFormat="1" ht="12" hidden="1" customHeight="1">
      <c r="A11011" s="172"/>
    </row>
    <row r="11012" spans="1:1" s="173" customFormat="1" ht="12" hidden="1" customHeight="1">
      <c r="A11012" s="172"/>
    </row>
    <row r="11013" spans="1:1" s="173" customFormat="1" ht="12" hidden="1" customHeight="1">
      <c r="A11013" s="172"/>
    </row>
    <row r="11014" spans="1:1" s="173" customFormat="1" ht="12" hidden="1" customHeight="1">
      <c r="A11014" s="172"/>
    </row>
    <row r="11015" spans="1:1" s="173" customFormat="1" ht="12" hidden="1" customHeight="1">
      <c r="A11015" s="172"/>
    </row>
    <row r="11016" spans="1:1" s="173" customFormat="1" ht="12" hidden="1" customHeight="1">
      <c r="A11016" s="172"/>
    </row>
    <row r="11017" spans="1:1" s="173" customFormat="1" ht="12" hidden="1" customHeight="1">
      <c r="A11017" s="172"/>
    </row>
    <row r="11018" spans="1:1" s="173" customFormat="1" ht="12" hidden="1" customHeight="1">
      <c r="A11018" s="172"/>
    </row>
    <row r="11019" spans="1:1" s="173" customFormat="1" ht="12" hidden="1" customHeight="1">
      <c r="A11019" s="172"/>
    </row>
    <row r="11020" spans="1:1" s="173" customFormat="1" ht="12" hidden="1" customHeight="1">
      <c r="A11020" s="172"/>
    </row>
    <row r="11021" spans="1:1" s="173" customFormat="1" ht="12" hidden="1" customHeight="1">
      <c r="A11021" s="172"/>
    </row>
    <row r="11022" spans="1:1" s="173" customFormat="1" ht="12" hidden="1" customHeight="1">
      <c r="A11022" s="172"/>
    </row>
    <row r="11023" spans="1:1" s="173" customFormat="1" ht="12" hidden="1" customHeight="1">
      <c r="A11023" s="172"/>
    </row>
    <row r="11024" spans="1:1" s="173" customFormat="1" ht="12" hidden="1" customHeight="1">
      <c r="A11024" s="172"/>
    </row>
    <row r="11025" spans="1:1" s="173" customFormat="1" ht="12" hidden="1" customHeight="1">
      <c r="A11025" s="172"/>
    </row>
    <row r="11026" spans="1:1" s="173" customFormat="1" ht="12" hidden="1" customHeight="1">
      <c r="A11026" s="172"/>
    </row>
    <row r="11027" spans="1:1" s="173" customFormat="1" ht="12" hidden="1" customHeight="1">
      <c r="A11027" s="172"/>
    </row>
    <row r="11028" spans="1:1" s="173" customFormat="1" ht="12" hidden="1" customHeight="1">
      <c r="A11028" s="172"/>
    </row>
    <row r="11029" spans="1:1" s="173" customFormat="1" ht="12" hidden="1" customHeight="1">
      <c r="A11029" s="172"/>
    </row>
    <row r="11030" spans="1:1" s="173" customFormat="1" ht="12" hidden="1" customHeight="1">
      <c r="A11030" s="172"/>
    </row>
    <row r="11031" spans="1:1" s="173" customFormat="1" ht="12" hidden="1" customHeight="1">
      <c r="A11031" s="172"/>
    </row>
    <row r="11032" spans="1:1" s="173" customFormat="1" ht="12" hidden="1" customHeight="1">
      <c r="A11032" s="172"/>
    </row>
    <row r="11033" spans="1:1" s="173" customFormat="1" ht="12" hidden="1" customHeight="1">
      <c r="A11033" s="172"/>
    </row>
    <row r="11034" spans="1:1" s="173" customFormat="1" ht="12" hidden="1" customHeight="1">
      <c r="A11034" s="172"/>
    </row>
    <row r="11035" spans="1:1" s="173" customFormat="1" ht="12" hidden="1" customHeight="1">
      <c r="A11035" s="172"/>
    </row>
    <row r="11036" spans="1:1" s="173" customFormat="1" ht="12" hidden="1" customHeight="1">
      <c r="A11036" s="172"/>
    </row>
    <row r="11037" spans="1:1" s="173" customFormat="1" ht="12" hidden="1" customHeight="1">
      <c r="A11037" s="172"/>
    </row>
    <row r="11038" spans="1:1" s="173" customFormat="1" ht="12" hidden="1" customHeight="1">
      <c r="A11038" s="172"/>
    </row>
    <row r="11039" spans="1:1" s="173" customFormat="1" ht="12" hidden="1" customHeight="1">
      <c r="A11039" s="172"/>
    </row>
    <row r="11040" spans="1:1" s="173" customFormat="1" ht="12" hidden="1" customHeight="1">
      <c r="A11040" s="172"/>
    </row>
    <row r="11041" spans="1:1" s="173" customFormat="1" ht="12" hidden="1" customHeight="1">
      <c r="A11041" s="172"/>
    </row>
    <row r="11042" spans="1:1" s="173" customFormat="1" ht="12" hidden="1" customHeight="1">
      <c r="A11042" s="172"/>
    </row>
    <row r="11043" spans="1:1" s="173" customFormat="1" ht="12" hidden="1" customHeight="1">
      <c r="A11043" s="172"/>
    </row>
    <row r="11044" spans="1:1" s="173" customFormat="1" ht="12" hidden="1" customHeight="1">
      <c r="A11044" s="172"/>
    </row>
    <row r="11045" spans="1:1" s="173" customFormat="1" ht="12" hidden="1" customHeight="1">
      <c r="A11045" s="172"/>
    </row>
    <row r="11046" spans="1:1" s="173" customFormat="1" ht="12" hidden="1" customHeight="1">
      <c r="A11046" s="172"/>
    </row>
    <row r="11047" spans="1:1" s="173" customFormat="1" ht="12" hidden="1" customHeight="1">
      <c r="A11047" s="172"/>
    </row>
    <row r="11048" spans="1:1" s="173" customFormat="1" ht="12" hidden="1" customHeight="1">
      <c r="A11048" s="172"/>
    </row>
    <row r="11049" spans="1:1" s="173" customFormat="1" ht="12" hidden="1" customHeight="1">
      <c r="A11049" s="172"/>
    </row>
    <row r="11050" spans="1:1" s="173" customFormat="1" ht="12" hidden="1" customHeight="1">
      <c r="A11050" s="172"/>
    </row>
    <row r="11051" spans="1:1" s="173" customFormat="1" ht="12" hidden="1" customHeight="1">
      <c r="A11051" s="172"/>
    </row>
    <row r="11052" spans="1:1" s="173" customFormat="1" ht="12" hidden="1" customHeight="1">
      <c r="A11052" s="172"/>
    </row>
    <row r="11053" spans="1:1" s="173" customFormat="1" ht="12" hidden="1" customHeight="1">
      <c r="A11053" s="172"/>
    </row>
    <row r="11054" spans="1:1" s="173" customFormat="1" ht="12" hidden="1" customHeight="1">
      <c r="A11054" s="172"/>
    </row>
    <row r="11055" spans="1:1" s="173" customFormat="1" ht="12" hidden="1" customHeight="1">
      <c r="A11055" s="172"/>
    </row>
    <row r="11056" spans="1:1" s="173" customFormat="1" ht="12" hidden="1" customHeight="1">
      <c r="A11056" s="172"/>
    </row>
    <row r="11057" spans="1:1" s="173" customFormat="1" ht="12" hidden="1" customHeight="1">
      <c r="A11057" s="172"/>
    </row>
    <row r="11058" spans="1:1" s="173" customFormat="1" ht="12" hidden="1" customHeight="1">
      <c r="A11058" s="172"/>
    </row>
    <row r="11059" spans="1:1" s="173" customFormat="1" ht="12" hidden="1" customHeight="1">
      <c r="A11059" s="172"/>
    </row>
    <row r="11060" spans="1:1" s="173" customFormat="1" ht="12" hidden="1" customHeight="1">
      <c r="A11060" s="172"/>
    </row>
    <row r="11061" spans="1:1" s="173" customFormat="1" ht="12" hidden="1" customHeight="1">
      <c r="A11061" s="172"/>
    </row>
    <row r="11062" spans="1:1" s="173" customFormat="1" ht="12" hidden="1" customHeight="1">
      <c r="A11062" s="172"/>
    </row>
    <row r="11063" spans="1:1" s="173" customFormat="1" ht="12" hidden="1" customHeight="1">
      <c r="A11063" s="172"/>
    </row>
    <row r="11064" spans="1:1" s="173" customFormat="1" ht="12" hidden="1" customHeight="1">
      <c r="A11064" s="172"/>
    </row>
    <row r="11065" spans="1:1" s="173" customFormat="1" ht="12" hidden="1" customHeight="1">
      <c r="A11065" s="172"/>
    </row>
    <row r="11066" spans="1:1" s="173" customFormat="1" ht="12" hidden="1" customHeight="1">
      <c r="A11066" s="172"/>
    </row>
    <row r="11067" spans="1:1" s="173" customFormat="1" ht="12" hidden="1" customHeight="1">
      <c r="A11067" s="172"/>
    </row>
    <row r="11068" spans="1:1" s="173" customFormat="1" ht="12" hidden="1" customHeight="1">
      <c r="A11068" s="172"/>
    </row>
    <row r="11069" spans="1:1" s="173" customFormat="1" ht="12" hidden="1" customHeight="1">
      <c r="A11069" s="172"/>
    </row>
    <row r="11070" spans="1:1" s="173" customFormat="1" ht="12" hidden="1" customHeight="1">
      <c r="A11070" s="172"/>
    </row>
    <row r="11071" spans="1:1" s="173" customFormat="1" ht="12" hidden="1" customHeight="1">
      <c r="A11071" s="172"/>
    </row>
    <row r="11072" spans="1:1" s="173" customFormat="1" ht="12" hidden="1" customHeight="1">
      <c r="A11072" s="172"/>
    </row>
    <row r="11073" spans="1:1" s="173" customFormat="1" ht="12" hidden="1" customHeight="1">
      <c r="A11073" s="172"/>
    </row>
    <row r="11074" spans="1:1" s="173" customFormat="1" ht="12" hidden="1" customHeight="1">
      <c r="A11074" s="172"/>
    </row>
    <row r="11075" spans="1:1" s="173" customFormat="1" ht="12" hidden="1" customHeight="1">
      <c r="A11075" s="172"/>
    </row>
    <row r="11076" spans="1:1" s="173" customFormat="1" ht="12" hidden="1" customHeight="1">
      <c r="A11076" s="172"/>
    </row>
    <row r="11077" spans="1:1" s="173" customFormat="1" ht="12" hidden="1" customHeight="1">
      <c r="A11077" s="172"/>
    </row>
    <row r="11078" spans="1:1" s="173" customFormat="1" ht="12" hidden="1" customHeight="1">
      <c r="A11078" s="172"/>
    </row>
    <row r="11079" spans="1:1" s="173" customFormat="1" ht="12" hidden="1" customHeight="1">
      <c r="A11079" s="172"/>
    </row>
    <row r="11080" spans="1:1" s="173" customFormat="1" ht="12" hidden="1" customHeight="1">
      <c r="A11080" s="172"/>
    </row>
    <row r="11081" spans="1:1" s="173" customFormat="1" ht="12" hidden="1" customHeight="1">
      <c r="A11081" s="172"/>
    </row>
    <row r="11082" spans="1:1" s="173" customFormat="1" ht="12" hidden="1" customHeight="1">
      <c r="A11082" s="172"/>
    </row>
    <row r="11083" spans="1:1" s="173" customFormat="1" ht="12" hidden="1" customHeight="1">
      <c r="A11083" s="172"/>
    </row>
    <row r="11084" spans="1:1" s="173" customFormat="1" ht="12" hidden="1" customHeight="1">
      <c r="A11084" s="172"/>
    </row>
    <row r="11085" spans="1:1" s="173" customFormat="1" ht="12" hidden="1" customHeight="1">
      <c r="A11085" s="172"/>
    </row>
    <row r="11086" spans="1:1" s="173" customFormat="1" ht="12" hidden="1" customHeight="1">
      <c r="A11086" s="172"/>
    </row>
    <row r="11087" spans="1:1" s="173" customFormat="1" ht="12" hidden="1" customHeight="1">
      <c r="A11087" s="172"/>
    </row>
    <row r="11088" spans="1:1" s="173" customFormat="1" ht="12" hidden="1" customHeight="1">
      <c r="A11088" s="172"/>
    </row>
    <row r="11089" spans="1:1" s="173" customFormat="1" ht="12" hidden="1" customHeight="1">
      <c r="A11089" s="172"/>
    </row>
    <row r="11090" spans="1:1" s="173" customFormat="1" ht="12" hidden="1" customHeight="1">
      <c r="A11090" s="172"/>
    </row>
    <row r="11091" spans="1:1" s="173" customFormat="1" ht="12" hidden="1" customHeight="1">
      <c r="A11091" s="172"/>
    </row>
    <row r="11092" spans="1:1" s="173" customFormat="1" ht="12" hidden="1" customHeight="1">
      <c r="A11092" s="172"/>
    </row>
    <row r="11093" spans="1:1" s="173" customFormat="1" ht="12" hidden="1" customHeight="1">
      <c r="A11093" s="172"/>
    </row>
    <row r="11094" spans="1:1" s="173" customFormat="1" ht="12" hidden="1" customHeight="1">
      <c r="A11094" s="172"/>
    </row>
    <row r="11095" spans="1:1" s="173" customFormat="1" ht="12" hidden="1" customHeight="1">
      <c r="A11095" s="172"/>
    </row>
    <row r="11096" spans="1:1" s="173" customFormat="1" ht="12" hidden="1" customHeight="1">
      <c r="A11096" s="172"/>
    </row>
    <row r="11097" spans="1:1" s="173" customFormat="1" ht="12" hidden="1" customHeight="1">
      <c r="A11097" s="172"/>
    </row>
    <row r="11098" spans="1:1" s="173" customFormat="1" ht="12" hidden="1" customHeight="1">
      <c r="A11098" s="172"/>
    </row>
    <row r="11099" spans="1:1" s="173" customFormat="1" ht="12" hidden="1" customHeight="1">
      <c r="A11099" s="172"/>
    </row>
    <row r="11100" spans="1:1" s="173" customFormat="1" ht="12" hidden="1" customHeight="1">
      <c r="A11100" s="172"/>
    </row>
    <row r="11101" spans="1:1" s="173" customFormat="1" ht="12" hidden="1" customHeight="1">
      <c r="A11101" s="172"/>
    </row>
    <row r="11102" spans="1:1" s="173" customFormat="1" ht="12" hidden="1" customHeight="1">
      <c r="A11102" s="172"/>
    </row>
    <row r="11103" spans="1:1" s="173" customFormat="1" ht="12" hidden="1" customHeight="1">
      <c r="A11103" s="172"/>
    </row>
    <row r="11104" spans="1:1" s="173" customFormat="1" ht="12" hidden="1" customHeight="1">
      <c r="A11104" s="172"/>
    </row>
    <row r="11105" spans="1:1" s="173" customFormat="1" ht="12" hidden="1" customHeight="1">
      <c r="A11105" s="172"/>
    </row>
    <row r="11106" spans="1:1" s="173" customFormat="1" ht="12" hidden="1" customHeight="1">
      <c r="A11106" s="172"/>
    </row>
    <row r="11107" spans="1:1" s="173" customFormat="1" ht="12" hidden="1" customHeight="1">
      <c r="A11107" s="172"/>
    </row>
    <row r="11108" spans="1:1" s="173" customFormat="1" ht="12" hidden="1" customHeight="1">
      <c r="A11108" s="172"/>
    </row>
    <row r="11109" spans="1:1" s="173" customFormat="1" ht="12" hidden="1" customHeight="1">
      <c r="A11109" s="172"/>
    </row>
    <row r="11110" spans="1:1" s="173" customFormat="1" ht="12" hidden="1" customHeight="1">
      <c r="A11110" s="172"/>
    </row>
    <row r="11111" spans="1:1" s="173" customFormat="1" ht="12" hidden="1" customHeight="1">
      <c r="A11111" s="172"/>
    </row>
    <row r="11112" spans="1:1" s="173" customFormat="1" ht="12" hidden="1" customHeight="1">
      <c r="A11112" s="172"/>
    </row>
    <row r="11113" spans="1:1" s="173" customFormat="1" ht="12" hidden="1" customHeight="1">
      <c r="A11113" s="172"/>
    </row>
    <row r="11114" spans="1:1" s="173" customFormat="1" ht="12" hidden="1" customHeight="1">
      <c r="A11114" s="172"/>
    </row>
    <row r="11115" spans="1:1" s="173" customFormat="1" ht="12" hidden="1" customHeight="1">
      <c r="A11115" s="172"/>
    </row>
    <row r="11116" spans="1:1" s="173" customFormat="1" ht="12" hidden="1" customHeight="1">
      <c r="A11116" s="172"/>
    </row>
    <row r="11117" spans="1:1" s="173" customFormat="1" ht="12" hidden="1" customHeight="1">
      <c r="A11117" s="172"/>
    </row>
    <row r="11118" spans="1:1" s="173" customFormat="1" ht="12" hidden="1" customHeight="1">
      <c r="A11118" s="172"/>
    </row>
    <row r="11119" spans="1:1" s="173" customFormat="1" ht="12" hidden="1" customHeight="1">
      <c r="A11119" s="172"/>
    </row>
    <row r="11120" spans="1:1" s="173" customFormat="1" ht="12" hidden="1" customHeight="1">
      <c r="A11120" s="172"/>
    </row>
    <row r="11121" spans="1:1" s="173" customFormat="1" ht="12" hidden="1" customHeight="1">
      <c r="A11121" s="172"/>
    </row>
    <row r="11122" spans="1:1" s="173" customFormat="1" ht="12" hidden="1" customHeight="1">
      <c r="A11122" s="172"/>
    </row>
    <row r="11123" spans="1:1" s="173" customFormat="1" ht="12" hidden="1" customHeight="1">
      <c r="A11123" s="172"/>
    </row>
    <row r="11124" spans="1:1" s="173" customFormat="1" ht="12" hidden="1" customHeight="1">
      <c r="A11124" s="172"/>
    </row>
    <row r="11125" spans="1:1" s="173" customFormat="1" ht="12" hidden="1" customHeight="1">
      <c r="A11125" s="172"/>
    </row>
    <row r="11126" spans="1:1" s="173" customFormat="1" ht="12" hidden="1" customHeight="1">
      <c r="A11126" s="172"/>
    </row>
    <row r="11127" spans="1:1" s="173" customFormat="1" ht="12" hidden="1" customHeight="1">
      <c r="A11127" s="172"/>
    </row>
    <row r="11128" spans="1:1" s="173" customFormat="1" ht="12" hidden="1" customHeight="1">
      <c r="A11128" s="172"/>
    </row>
    <row r="11129" spans="1:1" s="173" customFormat="1" ht="12" hidden="1" customHeight="1">
      <c r="A11129" s="172"/>
    </row>
    <row r="11130" spans="1:1" s="173" customFormat="1" ht="12" hidden="1" customHeight="1">
      <c r="A11130" s="172"/>
    </row>
    <row r="11131" spans="1:1" s="173" customFormat="1" ht="12" hidden="1" customHeight="1">
      <c r="A11131" s="172"/>
    </row>
    <row r="11132" spans="1:1" s="173" customFormat="1" ht="12" hidden="1" customHeight="1">
      <c r="A11132" s="172"/>
    </row>
    <row r="11133" spans="1:1" s="173" customFormat="1" ht="12" hidden="1" customHeight="1">
      <c r="A11133" s="172"/>
    </row>
    <row r="11134" spans="1:1" s="173" customFormat="1" ht="12" hidden="1" customHeight="1">
      <c r="A11134" s="172"/>
    </row>
    <row r="11135" spans="1:1" s="173" customFormat="1" ht="12" hidden="1" customHeight="1">
      <c r="A11135" s="172"/>
    </row>
    <row r="11136" spans="1:1" s="173" customFormat="1" ht="12" hidden="1" customHeight="1">
      <c r="A11136" s="172"/>
    </row>
    <row r="11137" spans="1:1" s="173" customFormat="1" ht="12" hidden="1" customHeight="1">
      <c r="A11137" s="172"/>
    </row>
    <row r="11138" spans="1:1" s="173" customFormat="1" ht="12" hidden="1" customHeight="1">
      <c r="A11138" s="172"/>
    </row>
    <row r="11139" spans="1:1" s="173" customFormat="1" ht="12" hidden="1" customHeight="1">
      <c r="A11139" s="172"/>
    </row>
    <row r="11140" spans="1:1" s="173" customFormat="1" ht="12" hidden="1" customHeight="1">
      <c r="A11140" s="172"/>
    </row>
    <row r="11141" spans="1:1" s="173" customFormat="1" ht="12" hidden="1" customHeight="1">
      <c r="A11141" s="172"/>
    </row>
    <row r="11142" spans="1:1" s="173" customFormat="1" ht="12" hidden="1" customHeight="1">
      <c r="A11142" s="172"/>
    </row>
    <row r="11143" spans="1:1" s="173" customFormat="1" ht="12" hidden="1" customHeight="1">
      <c r="A11143" s="172"/>
    </row>
    <row r="11144" spans="1:1" s="173" customFormat="1" ht="12" hidden="1" customHeight="1">
      <c r="A11144" s="172"/>
    </row>
    <row r="11145" spans="1:1" s="173" customFormat="1" ht="12" hidden="1" customHeight="1">
      <c r="A11145" s="172"/>
    </row>
    <row r="11146" spans="1:1" s="173" customFormat="1" ht="12" hidden="1" customHeight="1">
      <c r="A11146" s="172"/>
    </row>
    <row r="11147" spans="1:1" s="173" customFormat="1" ht="12" hidden="1" customHeight="1">
      <c r="A11147" s="172"/>
    </row>
    <row r="11148" spans="1:1" s="173" customFormat="1" ht="12" hidden="1" customHeight="1">
      <c r="A11148" s="172"/>
    </row>
    <row r="11149" spans="1:1" s="173" customFormat="1" ht="12" hidden="1" customHeight="1">
      <c r="A11149" s="172"/>
    </row>
    <row r="11150" spans="1:1" s="173" customFormat="1" ht="12" hidden="1" customHeight="1">
      <c r="A11150" s="172"/>
    </row>
    <row r="11151" spans="1:1" s="173" customFormat="1" ht="12" hidden="1" customHeight="1">
      <c r="A11151" s="172"/>
    </row>
    <row r="11152" spans="1:1" s="173" customFormat="1" ht="12" hidden="1" customHeight="1">
      <c r="A11152" s="172"/>
    </row>
    <row r="11153" spans="1:1" s="173" customFormat="1" ht="12" hidden="1" customHeight="1">
      <c r="A11153" s="172"/>
    </row>
    <row r="11154" spans="1:1" s="173" customFormat="1" ht="12" hidden="1" customHeight="1">
      <c r="A11154" s="172"/>
    </row>
    <row r="11155" spans="1:1" s="173" customFormat="1" ht="12" hidden="1" customHeight="1">
      <c r="A11155" s="172"/>
    </row>
    <row r="11156" spans="1:1" s="173" customFormat="1" ht="12" hidden="1" customHeight="1">
      <c r="A11156" s="172"/>
    </row>
    <row r="11157" spans="1:1" s="173" customFormat="1" ht="12" hidden="1" customHeight="1">
      <c r="A11157" s="172"/>
    </row>
    <row r="11158" spans="1:1" s="173" customFormat="1" ht="12" hidden="1" customHeight="1">
      <c r="A11158" s="172"/>
    </row>
    <row r="11159" spans="1:1" s="173" customFormat="1" ht="12" hidden="1" customHeight="1">
      <c r="A11159" s="172"/>
    </row>
    <row r="11160" spans="1:1" s="173" customFormat="1" ht="12" hidden="1" customHeight="1">
      <c r="A11160" s="172"/>
    </row>
    <row r="11161" spans="1:1" s="173" customFormat="1" ht="12" hidden="1" customHeight="1">
      <c r="A11161" s="172"/>
    </row>
    <row r="11162" spans="1:1" s="173" customFormat="1" ht="12" hidden="1" customHeight="1">
      <c r="A11162" s="172"/>
    </row>
    <row r="11163" spans="1:1" s="173" customFormat="1" ht="12" hidden="1" customHeight="1">
      <c r="A11163" s="172"/>
    </row>
    <row r="11164" spans="1:1" s="173" customFormat="1" ht="12" hidden="1" customHeight="1">
      <c r="A11164" s="172"/>
    </row>
    <row r="11165" spans="1:1" s="173" customFormat="1" ht="12" hidden="1" customHeight="1">
      <c r="A11165" s="172"/>
    </row>
    <row r="11166" spans="1:1" s="173" customFormat="1" ht="12" hidden="1" customHeight="1">
      <c r="A11166" s="172"/>
    </row>
    <row r="11167" spans="1:1" s="173" customFormat="1" ht="12" hidden="1" customHeight="1">
      <c r="A11167" s="172"/>
    </row>
    <row r="11168" spans="1:1" s="173" customFormat="1" ht="12" hidden="1" customHeight="1">
      <c r="A11168" s="172"/>
    </row>
    <row r="11169" spans="1:1" s="173" customFormat="1" ht="12" hidden="1" customHeight="1">
      <c r="A11169" s="172"/>
    </row>
    <row r="11170" spans="1:1" s="173" customFormat="1" ht="12" hidden="1" customHeight="1">
      <c r="A11170" s="172"/>
    </row>
    <row r="11171" spans="1:1" s="173" customFormat="1" ht="12" hidden="1" customHeight="1">
      <c r="A11171" s="172"/>
    </row>
    <row r="11172" spans="1:1" s="173" customFormat="1" ht="12" hidden="1" customHeight="1">
      <c r="A11172" s="172"/>
    </row>
    <row r="11173" spans="1:1" s="173" customFormat="1" ht="12" hidden="1" customHeight="1">
      <c r="A11173" s="172"/>
    </row>
    <row r="11174" spans="1:1" s="173" customFormat="1" ht="12" hidden="1" customHeight="1">
      <c r="A11174" s="172"/>
    </row>
    <row r="11175" spans="1:1" s="173" customFormat="1" ht="12" hidden="1" customHeight="1">
      <c r="A11175" s="172"/>
    </row>
    <row r="11176" spans="1:1" s="173" customFormat="1" ht="12" hidden="1" customHeight="1">
      <c r="A11176" s="172"/>
    </row>
    <row r="11177" spans="1:1" s="173" customFormat="1" ht="12" hidden="1" customHeight="1">
      <c r="A11177" s="172"/>
    </row>
    <row r="11178" spans="1:1" s="173" customFormat="1" ht="12" hidden="1" customHeight="1">
      <c r="A11178" s="172"/>
    </row>
    <row r="11179" spans="1:1" s="173" customFormat="1" ht="12" hidden="1" customHeight="1">
      <c r="A11179" s="172"/>
    </row>
    <row r="11180" spans="1:1" s="173" customFormat="1" ht="12" hidden="1" customHeight="1">
      <c r="A11180" s="172"/>
    </row>
    <row r="11181" spans="1:1" s="173" customFormat="1" ht="12" hidden="1" customHeight="1">
      <c r="A11181" s="172"/>
    </row>
    <row r="11182" spans="1:1" s="173" customFormat="1" ht="12" hidden="1" customHeight="1">
      <c r="A11182" s="172"/>
    </row>
    <row r="11183" spans="1:1" s="173" customFormat="1" ht="12" hidden="1" customHeight="1">
      <c r="A11183" s="172"/>
    </row>
    <row r="11184" spans="1:1" s="173" customFormat="1" ht="12" hidden="1" customHeight="1">
      <c r="A11184" s="172"/>
    </row>
    <row r="11185" spans="1:1" s="173" customFormat="1" ht="12" hidden="1" customHeight="1">
      <c r="A11185" s="172"/>
    </row>
    <row r="11186" spans="1:1" s="173" customFormat="1" ht="12" hidden="1" customHeight="1">
      <c r="A11186" s="172"/>
    </row>
    <row r="11187" spans="1:1" s="173" customFormat="1" ht="12" hidden="1" customHeight="1">
      <c r="A11187" s="172"/>
    </row>
    <row r="11188" spans="1:1" s="173" customFormat="1" ht="12" hidden="1" customHeight="1">
      <c r="A11188" s="172"/>
    </row>
    <row r="11189" spans="1:1" s="173" customFormat="1" ht="12" hidden="1" customHeight="1">
      <c r="A11189" s="172"/>
    </row>
    <row r="11190" spans="1:1" s="173" customFormat="1" ht="12" hidden="1" customHeight="1">
      <c r="A11190" s="172"/>
    </row>
    <row r="11191" spans="1:1" s="173" customFormat="1" ht="12" hidden="1" customHeight="1">
      <c r="A11191" s="172"/>
    </row>
    <row r="11192" spans="1:1" s="173" customFormat="1" ht="12" hidden="1" customHeight="1">
      <c r="A11192" s="172"/>
    </row>
    <row r="11193" spans="1:1" s="173" customFormat="1" ht="12" hidden="1" customHeight="1">
      <c r="A11193" s="172"/>
    </row>
    <row r="11194" spans="1:1" s="173" customFormat="1" ht="12" hidden="1" customHeight="1">
      <c r="A11194" s="172"/>
    </row>
    <row r="11195" spans="1:1" s="173" customFormat="1" ht="12" hidden="1" customHeight="1">
      <c r="A11195" s="172"/>
    </row>
    <row r="11196" spans="1:1" s="173" customFormat="1" ht="12" hidden="1" customHeight="1">
      <c r="A11196" s="172"/>
    </row>
    <row r="11197" spans="1:1" s="173" customFormat="1" ht="12" hidden="1" customHeight="1">
      <c r="A11197" s="172"/>
    </row>
    <row r="11198" spans="1:1" s="173" customFormat="1" ht="12" hidden="1" customHeight="1">
      <c r="A11198" s="172"/>
    </row>
    <row r="11199" spans="1:1" s="173" customFormat="1" ht="12" hidden="1" customHeight="1">
      <c r="A11199" s="172"/>
    </row>
    <row r="11200" spans="1:1" s="173" customFormat="1" ht="12" hidden="1" customHeight="1">
      <c r="A11200" s="172"/>
    </row>
    <row r="11201" spans="1:1" s="173" customFormat="1" ht="12" hidden="1" customHeight="1">
      <c r="A11201" s="172"/>
    </row>
    <row r="11202" spans="1:1" s="173" customFormat="1" ht="12" hidden="1" customHeight="1">
      <c r="A11202" s="172"/>
    </row>
    <row r="11203" spans="1:1" s="173" customFormat="1" ht="12" hidden="1" customHeight="1">
      <c r="A11203" s="172"/>
    </row>
    <row r="11204" spans="1:1" s="173" customFormat="1" ht="12" hidden="1" customHeight="1">
      <c r="A11204" s="172"/>
    </row>
    <row r="11205" spans="1:1" s="173" customFormat="1" ht="12" hidden="1" customHeight="1">
      <c r="A11205" s="172"/>
    </row>
    <row r="11206" spans="1:1" s="173" customFormat="1" ht="12" hidden="1" customHeight="1">
      <c r="A11206" s="172"/>
    </row>
    <row r="11207" spans="1:1" s="173" customFormat="1" ht="12" hidden="1" customHeight="1">
      <c r="A11207" s="172"/>
    </row>
    <row r="11208" spans="1:1" s="173" customFormat="1" ht="12" hidden="1" customHeight="1">
      <c r="A11208" s="172"/>
    </row>
    <row r="11209" spans="1:1" s="173" customFormat="1" ht="12" hidden="1" customHeight="1">
      <c r="A11209" s="172"/>
    </row>
    <row r="11210" spans="1:1" s="173" customFormat="1" ht="12" hidden="1" customHeight="1">
      <c r="A11210" s="172"/>
    </row>
    <row r="11211" spans="1:1" s="173" customFormat="1" ht="12" hidden="1" customHeight="1">
      <c r="A11211" s="172"/>
    </row>
    <row r="11212" spans="1:1" s="173" customFormat="1" ht="12" hidden="1" customHeight="1">
      <c r="A11212" s="172"/>
    </row>
    <row r="11213" spans="1:1" s="173" customFormat="1" ht="12" hidden="1" customHeight="1">
      <c r="A11213" s="172"/>
    </row>
    <row r="11214" spans="1:1" s="173" customFormat="1" ht="12" hidden="1" customHeight="1">
      <c r="A11214" s="172"/>
    </row>
    <row r="11215" spans="1:1" s="173" customFormat="1" ht="12" hidden="1" customHeight="1">
      <c r="A11215" s="172"/>
    </row>
    <row r="11216" spans="1:1" s="173" customFormat="1" ht="12" hidden="1" customHeight="1">
      <c r="A11216" s="172"/>
    </row>
    <row r="11217" spans="1:1" s="173" customFormat="1" ht="12" hidden="1" customHeight="1">
      <c r="A11217" s="172"/>
    </row>
    <row r="11218" spans="1:1" s="173" customFormat="1" ht="12" hidden="1" customHeight="1">
      <c r="A11218" s="172"/>
    </row>
    <row r="11219" spans="1:1" s="173" customFormat="1" ht="12" hidden="1" customHeight="1">
      <c r="A11219" s="172"/>
    </row>
    <row r="11220" spans="1:1" s="173" customFormat="1" ht="12" hidden="1" customHeight="1">
      <c r="A11220" s="172"/>
    </row>
    <row r="11221" spans="1:1" s="173" customFormat="1" ht="12" hidden="1" customHeight="1">
      <c r="A11221" s="172"/>
    </row>
    <row r="11222" spans="1:1" s="173" customFormat="1" ht="12" hidden="1" customHeight="1">
      <c r="A11222" s="172"/>
    </row>
    <row r="11223" spans="1:1" s="173" customFormat="1" ht="12" hidden="1" customHeight="1">
      <c r="A11223" s="172"/>
    </row>
    <row r="11224" spans="1:1" s="173" customFormat="1" ht="12" hidden="1" customHeight="1">
      <c r="A11224" s="172"/>
    </row>
    <row r="11225" spans="1:1" s="173" customFormat="1" ht="12" hidden="1" customHeight="1">
      <c r="A11225" s="172"/>
    </row>
    <row r="11226" spans="1:1" s="173" customFormat="1" ht="12" hidden="1" customHeight="1">
      <c r="A11226" s="172"/>
    </row>
    <row r="11227" spans="1:1" s="173" customFormat="1" ht="12" hidden="1" customHeight="1">
      <c r="A11227" s="172"/>
    </row>
    <row r="11228" spans="1:1" s="173" customFormat="1" ht="12" hidden="1" customHeight="1">
      <c r="A11228" s="172"/>
    </row>
    <row r="11229" spans="1:1" s="173" customFormat="1" ht="12" hidden="1" customHeight="1">
      <c r="A11229" s="172"/>
    </row>
    <row r="11230" spans="1:1" s="173" customFormat="1" ht="12" hidden="1" customHeight="1">
      <c r="A11230" s="172"/>
    </row>
    <row r="11231" spans="1:1" s="173" customFormat="1" ht="12" hidden="1" customHeight="1">
      <c r="A11231" s="172"/>
    </row>
    <row r="11232" spans="1:1" s="173" customFormat="1" ht="12" hidden="1" customHeight="1">
      <c r="A11232" s="172"/>
    </row>
    <row r="11233" spans="1:1" s="173" customFormat="1" ht="12" hidden="1" customHeight="1">
      <c r="A11233" s="172"/>
    </row>
    <row r="11234" spans="1:1" s="173" customFormat="1" ht="12" hidden="1" customHeight="1">
      <c r="A11234" s="172"/>
    </row>
    <row r="11235" spans="1:1" s="173" customFormat="1" ht="12" hidden="1" customHeight="1">
      <c r="A11235" s="172"/>
    </row>
    <row r="11236" spans="1:1" s="173" customFormat="1" ht="12" hidden="1" customHeight="1">
      <c r="A11236" s="172"/>
    </row>
    <row r="11237" spans="1:1" s="173" customFormat="1" ht="12" hidden="1" customHeight="1">
      <c r="A11237" s="172"/>
    </row>
    <row r="11238" spans="1:1" s="173" customFormat="1" ht="12" hidden="1" customHeight="1">
      <c r="A11238" s="172"/>
    </row>
    <row r="11239" spans="1:1" s="173" customFormat="1" ht="12" hidden="1" customHeight="1">
      <c r="A11239" s="172"/>
    </row>
    <row r="11240" spans="1:1" s="173" customFormat="1" ht="12" hidden="1" customHeight="1">
      <c r="A11240" s="172"/>
    </row>
    <row r="11241" spans="1:1" s="173" customFormat="1" ht="12" hidden="1" customHeight="1">
      <c r="A11241" s="172"/>
    </row>
    <row r="11242" spans="1:1" s="173" customFormat="1" ht="12" hidden="1" customHeight="1">
      <c r="A11242" s="172"/>
    </row>
    <row r="11243" spans="1:1" s="173" customFormat="1" ht="12" hidden="1" customHeight="1">
      <c r="A11243" s="172"/>
    </row>
    <row r="11244" spans="1:1" s="173" customFormat="1" ht="12" hidden="1" customHeight="1">
      <c r="A11244" s="172"/>
    </row>
    <row r="11245" spans="1:1" s="173" customFormat="1" ht="12" hidden="1" customHeight="1">
      <c r="A11245" s="172"/>
    </row>
    <row r="11246" spans="1:1" s="173" customFormat="1" ht="12" hidden="1" customHeight="1">
      <c r="A11246" s="172"/>
    </row>
    <row r="11247" spans="1:1" s="173" customFormat="1" ht="12" hidden="1" customHeight="1">
      <c r="A11247" s="172"/>
    </row>
    <row r="11248" spans="1:1" s="173" customFormat="1" ht="12" hidden="1" customHeight="1">
      <c r="A11248" s="172"/>
    </row>
    <row r="11249" spans="1:1" s="173" customFormat="1" ht="12" hidden="1" customHeight="1">
      <c r="A11249" s="172"/>
    </row>
    <row r="11250" spans="1:1" s="173" customFormat="1" ht="12" hidden="1" customHeight="1">
      <c r="A11250" s="172"/>
    </row>
    <row r="11251" spans="1:1" s="173" customFormat="1" ht="12" hidden="1" customHeight="1">
      <c r="A11251" s="172"/>
    </row>
    <row r="11252" spans="1:1" s="173" customFormat="1" ht="12" hidden="1" customHeight="1">
      <c r="A11252" s="172"/>
    </row>
    <row r="11253" spans="1:1" s="173" customFormat="1" ht="12" hidden="1" customHeight="1">
      <c r="A11253" s="172"/>
    </row>
    <row r="11254" spans="1:1" s="173" customFormat="1" ht="12" hidden="1" customHeight="1">
      <c r="A11254" s="172"/>
    </row>
    <row r="11255" spans="1:1" s="173" customFormat="1" ht="12" hidden="1" customHeight="1">
      <c r="A11255" s="172"/>
    </row>
    <row r="11256" spans="1:1" s="173" customFormat="1" ht="12" hidden="1" customHeight="1">
      <c r="A11256" s="172"/>
    </row>
    <row r="11257" spans="1:1" s="173" customFormat="1" ht="12" hidden="1" customHeight="1">
      <c r="A11257" s="172"/>
    </row>
    <row r="11258" spans="1:1" s="173" customFormat="1" ht="12" hidden="1" customHeight="1">
      <c r="A11258" s="172"/>
    </row>
    <row r="11259" spans="1:1" s="173" customFormat="1" ht="12" hidden="1" customHeight="1">
      <c r="A11259" s="172"/>
    </row>
    <row r="11260" spans="1:1" s="173" customFormat="1" ht="12" hidden="1" customHeight="1">
      <c r="A11260" s="172"/>
    </row>
    <row r="11261" spans="1:1" s="173" customFormat="1" ht="12" hidden="1" customHeight="1">
      <c r="A11261" s="172"/>
    </row>
    <row r="11262" spans="1:1" s="173" customFormat="1" ht="12" hidden="1" customHeight="1">
      <c r="A11262" s="172"/>
    </row>
    <row r="11263" spans="1:1" s="173" customFormat="1" ht="12" hidden="1" customHeight="1">
      <c r="A11263" s="172"/>
    </row>
    <row r="11264" spans="1:1" s="173" customFormat="1" ht="12" hidden="1" customHeight="1">
      <c r="A11264" s="172"/>
    </row>
    <row r="11265" spans="1:1" s="173" customFormat="1" ht="12" hidden="1" customHeight="1">
      <c r="A11265" s="172"/>
    </row>
    <row r="11266" spans="1:1" s="173" customFormat="1" ht="12" hidden="1" customHeight="1">
      <c r="A11266" s="172"/>
    </row>
    <row r="11267" spans="1:1" s="173" customFormat="1" ht="12" hidden="1" customHeight="1">
      <c r="A11267" s="172"/>
    </row>
    <row r="11268" spans="1:1" s="173" customFormat="1" ht="12" hidden="1" customHeight="1">
      <c r="A11268" s="172"/>
    </row>
    <row r="11269" spans="1:1" s="173" customFormat="1" ht="12" hidden="1" customHeight="1">
      <c r="A11269" s="172"/>
    </row>
    <row r="11270" spans="1:1" s="173" customFormat="1" ht="12" hidden="1" customHeight="1">
      <c r="A11270" s="172"/>
    </row>
    <row r="11271" spans="1:1" s="173" customFormat="1" ht="12" hidden="1" customHeight="1">
      <c r="A11271" s="172"/>
    </row>
    <row r="11272" spans="1:1" s="173" customFormat="1" ht="12" hidden="1" customHeight="1">
      <c r="A11272" s="172"/>
    </row>
    <row r="11273" spans="1:1" s="173" customFormat="1" ht="12" hidden="1" customHeight="1">
      <c r="A11273" s="172"/>
    </row>
    <row r="11274" spans="1:1" s="173" customFormat="1" ht="12" hidden="1" customHeight="1">
      <c r="A11274" s="172"/>
    </row>
    <row r="11275" spans="1:1" s="173" customFormat="1" ht="12" hidden="1" customHeight="1">
      <c r="A11275" s="172"/>
    </row>
    <row r="11276" spans="1:1" s="173" customFormat="1" ht="12" hidden="1" customHeight="1">
      <c r="A11276" s="172"/>
    </row>
    <row r="11277" spans="1:1" s="173" customFormat="1" ht="12" hidden="1" customHeight="1">
      <c r="A11277" s="172"/>
    </row>
    <row r="11278" spans="1:1" s="173" customFormat="1" ht="12" hidden="1" customHeight="1">
      <c r="A11278" s="172"/>
    </row>
    <row r="11279" spans="1:1" s="173" customFormat="1" ht="12" hidden="1" customHeight="1">
      <c r="A11279" s="172"/>
    </row>
    <row r="11280" spans="1:1" s="173" customFormat="1" ht="12" hidden="1" customHeight="1">
      <c r="A11280" s="172"/>
    </row>
    <row r="11281" spans="1:1" s="173" customFormat="1" ht="12" hidden="1" customHeight="1">
      <c r="A11281" s="172"/>
    </row>
    <row r="11282" spans="1:1" s="173" customFormat="1" ht="12" hidden="1" customHeight="1">
      <c r="A11282" s="172"/>
    </row>
    <row r="11283" spans="1:1" s="173" customFormat="1" ht="12" hidden="1" customHeight="1">
      <c r="A11283" s="172"/>
    </row>
    <row r="11284" spans="1:1" s="173" customFormat="1" ht="12" hidden="1" customHeight="1">
      <c r="A11284" s="172"/>
    </row>
    <row r="11285" spans="1:1" s="173" customFormat="1" ht="12" hidden="1" customHeight="1">
      <c r="A11285" s="172"/>
    </row>
    <row r="11286" spans="1:1" s="173" customFormat="1" ht="12" hidden="1" customHeight="1">
      <c r="A11286" s="172"/>
    </row>
    <row r="11287" spans="1:1" s="173" customFormat="1" ht="12" hidden="1" customHeight="1">
      <c r="A11287" s="172"/>
    </row>
    <row r="11288" spans="1:1" s="173" customFormat="1" ht="12" hidden="1" customHeight="1">
      <c r="A11288" s="172"/>
    </row>
    <row r="11289" spans="1:1" s="173" customFormat="1" ht="12" hidden="1" customHeight="1">
      <c r="A11289" s="172"/>
    </row>
    <row r="11290" spans="1:1" s="173" customFormat="1" ht="12" hidden="1" customHeight="1">
      <c r="A11290" s="172"/>
    </row>
    <row r="11291" spans="1:1" s="173" customFormat="1" ht="12" hidden="1" customHeight="1">
      <c r="A11291" s="172"/>
    </row>
    <row r="11292" spans="1:1" s="173" customFormat="1" ht="12" hidden="1" customHeight="1">
      <c r="A11292" s="172"/>
    </row>
    <row r="11293" spans="1:1" s="173" customFormat="1" ht="12" hidden="1" customHeight="1">
      <c r="A11293" s="172"/>
    </row>
    <row r="11294" spans="1:1" s="173" customFormat="1" ht="12" hidden="1" customHeight="1">
      <c r="A11294" s="172"/>
    </row>
    <row r="11295" spans="1:1" s="173" customFormat="1" ht="12" hidden="1" customHeight="1">
      <c r="A11295" s="172"/>
    </row>
    <row r="11296" spans="1:1" s="173" customFormat="1" ht="12" hidden="1" customHeight="1">
      <c r="A11296" s="172"/>
    </row>
    <row r="11297" spans="1:1" s="173" customFormat="1" ht="12" hidden="1" customHeight="1">
      <c r="A11297" s="172"/>
    </row>
    <row r="11298" spans="1:1" s="173" customFormat="1" ht="12" hidden="1" customHeight="1">
      <c r="A11298" s="172"/>
    </row>
    <row r="11299" spans="1:1" s="173" customFormat="1" ht="12" hidden="1" customHeight="1">
      <c r="A11299" s="172"/>
    </row>
    <row r="11300" spans="1:1" s="173" customFormat="1" ht="12" hidden="1" customHeight="1">
      <c r="A11300" s="172"/>
    </row>
    <row r="11301" spans="1:1" s="173" customFormat="1" ht="12" hidden="1" customHeight="1">
      <c r="A11301" s="172"/>
    </row>
    <row r="11302" spans="1:1" s="173" customFormat="1" ht="12" hidden="1" customHeight="1">
      <c r="A11302" s="172"/>
    </row>
    <row r="11303" spans="1:1" s="173" customFormat="1" ht="12" hidden="1" customHeight="1">
      <c r="A11303" s="172"/>
    </row>
    <row r="11304" spans="1:1" s="173" customFormat="1" ht="12" hidden="1" customHeight="1">
      <c r="A11304" s="172"/>
    </row>
    <row r="11305" spans="1:1" s="173" customFormat="1" ht="12" hidden="1" customHeight="1">
      <c r="A11305" s="172"/>
    </row>
    <row r="11306" spans="1:1" s="173" customFormat="1" ht="12" hidden="1" customHeight="1">
      <c r="A11306" s="172"/>
    </row>
    <row r="11307" spans="1:1" s="173" customFormat="1" ht="12" hidden="1" customHeight="1">
      <c r="A11307" s="172"/>
    </row>
    <row r="11308" spans="1:1" s="173" customFormat="1" ht="12" hidden="1" customHeight="1">
      <c r="A11308" s="172"/>
    </row>
    <row r="11309" spans="1:1" s="173" customFormat="1" ht="12" hidden="1" customHeight="1">
      <c r="A11309" s="172"/>
    </row>
    <row r="11310" spans="1:1" s="173" customFormat="1" ht="12" hidden="1" customHeight="1">
      <c r="A11310" s="172"/>
    </row>
    <row r="11311" spans="1:1" s="173" customFormat="1" ht="12" hidden="1" customHeight="1">
      <c r="A11311" s="172"/>
    </row>
    <row r="11312" spans="1:1" s="173" customFormat="1" ht="12" hidden="1" customHeight="1">
      <c r="A11312" s="172"/>
    </row>
    <row r="11313" spans="1:1" s="173" customFormat="1" ht="12" hidden="1" customHeight="1">
      <c r="A11313" s="172"/>
    </row>
    <row r="11314" spans="1:1" s="173" customFormat="1" ht="12" hidden="1" customHeight="1">
      <c r="A11314" s="172"/>
    </row>
    <row r="11315" spans="1:1" s="173" customFormat="1" ht="12" hidden="1" customHeight="1">
      <c r="A11315" s="172"/>
    </row>
    <row r="11316" spans="1:1" s="173" customFormat="1" ht="12" hidden="1" customHeight="1">
      <c r="A11316" s="172"/>
    </row>
    <row r="11317" spans="1:1" s="173" customFormat="1" ht="12" hidden="1" customHeight="1">
      <c r="A11317" s="172"/>
    </row>
    <row r="11318" spans="1:1" s="173" customFormat="1" ht="12" hidden="1" customHeight="1">
      <c r="A11318" s="172"/>
    </row>
    <row r="11319" spans="1:1" s="173" customFormat="1" ht="12" hidden="1" customHeight="1">
      <c r="A11319" s="172"/>
    </row>
    <row r="11320" spans="1:1" s="173" customFormat="1" ht="12" hidden="1" customHeight="1">
      <c r="A11320" s="172"/>
    </row>
    <row r="11321" spans="1:1" s="173" customFormat="1" ht="12" hidden="1" customHeight="1">
      <c r="A11321" s="172"/>
    </row>
    <row r="11322" spans="1:1" s="173" customFormat="1" ht="12" hidden="1" customHeight="1">
      <c r="A11322" s="172"/>
    </row>
    <row r="11323" spans="1:1" s="173" customFormat="1" ht="12" hidden="1" customHeight="1">
      <c r="A11323" s="172"/>
    </row>
    <row r="11324" spans="1:1" s="173" customFormat="1" ht="12" hidden="1" customHeight="1">
      <c r="A11324" s="172"/>
    </row>
    <row r="11325" spans="1:1" s="173" customFormat="1" ht="12" hidden="1" customHeight="1">
      <c r="A11325" s="172"/>
    </row>
    <row r="11326" spans="1:1" s="173" customFormat="1" ht="12" hidden="1" customHeight="1">
      <c r="A11326" s="172"/>
    </row>
    <row r="11327" spans="1:1" s="173" customFormat="1" ht="12" hidden="1" customHeight="1">
      <c r="A11327" s="172"/>
    </row>
    <row r="11328" spans="1:1" s="173" customFormat="1" ht="12" hidden="1" customHeight="1">
      <c r="A11328" s="172"/>
    </row>
    <row r="11329" spans="1:1" s="173" customFormat="1" ht="12" hidden="1" customHeight="1">
      <c r="A11329" s="172"/>
    </row>
    <row r="11330" spans="1:1" s="173" customFormat="1" ht="12" hidden="1" customHeight="1">
      <c r="A11330" s="172"/>
    </row>
    <row r="11331" spans="1:1" s="173" customFormat="1" ht="12" hidden="1" customHeight="1">
      <c r="A11331" s="172"/>
    </row>
    <row r="11332" spans="1:1" s="173" customFormat="1" ht="12" hidden="1" customHeight="1">
      <c r="A11332" s="172"/>
    </row>
    <row r="11333" spans="1:1" s="173" customFormat="1" ht="12" hidden="1" customHeight="1">
      <c r="A11333" s="172"/>
    </row>
    <row r="11334" spans="1:1" s="173" customFormat="1" ht="12" hidden="1" customHeight="1">
      <c r="A11334" s="172"/>
    </row>
    <row r="11335" spans="1:1" s="173" customFormat="1" ht="12" hidden="1" customHeight="1">
      <c r="A11335" s="172"/>
    </row>
    <row r="11336" spans="1:1" s="173" customFormat="1" ht="12" hidden="1" customHeight="1">
      <c r="A11336" s="172"/>
    </row>
    <row r="11337" spans="1:1" s="173" customFormat="1" ht="12" hidden="1" customHeight="1">
      <c r="A11337" s="172"/>
    </row>
    <row r="11338" spans="1:1" s="173" customFormat="1" ht="12" hidden="1" customHeight="1">
      <c r="A11338" s="172"/>
    </row>
    <row r="11339" spans="1:1" s="173" customFormat="1" ht="12" hidden="1" customHeight="1">
      <c r="A11339" s="172"/>
    </row>
    <row r="11340" spans="1:1" s="173" customFormat="1" ht="12" hidden="1" customHeight="1">
      <c r="A11340" s="172"/>
    </row>
    <row r="11341" spans="1:1" s="173" customFormat="1" ht="12" hidden="1" customHeight="1">
      <c r="A11341" s="172"/>
    </row>
    <row r="11342" spans="1:1" s="173" customFormat="1" ht="12" hidden="1" customHeight="1">
      <c r="A11342" s="172"/>
    </row>
    <row r="11343" spans="1:1" s="173" customFormat="1" ht="12" hidden="1" customHeight="1">
      <c r="A11343" s="172"/>
    </row>
    <row r="11344" spans="1:1" s="173" customFormat="1" ht="12" hidden="1" customHeight="1">
      <c r="A11344" s="172"/>
    </row>
    <row r="11345" spans="1:1" s="173" customFormat="1" ht="12" hidden="1" customHeight="1">
      <c r="A11345" s="172"/>
    </row>
    <row r="11346" spans="1:1" s="173" customFormat="1" ht="12" hidden="1" customHeight="1">
      <c r="A11346" s="172"/>
    </row>
    <row r="11347" spans="1:1" s="173" customFormat="1" ht="12" hidden="1" customHeight="1">
      <c r="A11347" s="172"/>
    </row>
    <row r="11348" spans="1:1" s="173" customFormat="1" ht="12" hidden="1" customHeight="1">
      <c r="A11348" s="172"/>
    </row>
    <row r="11349" spans="1:1" s="173" customFormat="1" ht="12" hidden="1" customHeight="1">
      <c r="A11349" s="172"/>
    </row>
    <row r="11350" spans="1:1" s="173" customFormat="1" ht="12" hidden="1" customHeight="1">
      <c r="A11350" s="172"/>
    </row>
    <row r="11351" spans="1:1" s="173" customFormat="1" ht="12" hidden="1" customHeight="1">
      <c r="A11351" s="172"/>
    </row>
    <row r="11352" spans="1:1" s="173" customFormat="1" ht="12" hidden="1" customHeight="1">
      <c r="A11352" s="172"/>
    </row>
    <row r="11353" spans="1:1" s="173" customFormat="1" ht="12" hidden="1" customHeight="1">
      <c r="A11353" s="172"/>
    </row>
    <row r="11354" spans="1:1" s="173" customFormat="1" ht="12" hidden="1" customHeight="1">
      <c r="A11354" s="172"/>
    </row>
    <row r="11355" spans="1:1" s="173" customFormat="1" ht="12" hidden="1" customHeight="1">
      <c r="A11355" s="172"/>
    </row>
    <row r="11356" spans="1:1" s="173" customFormat="1" ht="12" hidden="1" customHeight="1">
      <c r="A11356" s="172"/>
    </row>
    <row r="11357" spans="1:1" s="173" customFormat="1" ht="12" hidden="1" customHeight="1">
      <c r="A11357" s="172"/>
    </row>
    <row r="11358" spans="1:1" s="173" customFormat="1" ht="12" hidden="1" customHeight="1">
      <c r="A11358" s="172"/>
    </row>
    <row r="11359" spans="1:1" s="173" customFormat="1" ht="12" hidden="1" customHeight="1">
      <c r="A11359" s="172"/>
    </row>
    <row r="11360" spans="1:1" s="173" customFormat="1" ht="12" hidden="1" customHeight="1">
      <c r="A11360" s="172"/>
    </row>
    <row r="11361" spans="1:1" s="173" customFormat="1" ht="12" hidden="1" customHeight="1">
      <c r="A11361" s="172"/>
    </row>
    <row r="11362" spans="1:1" s="173" customFormat="1" ht="12" hidden="1" customHeight="1">
      <c r="A11362" s="172"/>
    </row>
    <row r="11363" spans="1:1" s="173" customFormat="1" ht="12" hidden="1" customHeight="1">
      <c r="A11363" s="172"/>
    </row>
    <row r="11364" spans="1:1" s="173" customFormat="1" ht="12" hidden="1" customHeight="1">
      <c r="A11364" s="172"/>
    </row>
    <row r="11365" spans="1:1" s="173" customFormat="1" ht="12" hidden="1" customHeight="1">
      <c r="A11365" s="172"/>
    </row>
    <row r="11366" spans="1:1" s="173" customFormat="1" ht="12" hidden="1" customHeight="1">
      <c r="A11366" s="172"/>
    </row>
    <row r="11367" spans="1:1" s="173" customFormat="1" ht="12" hidden="1" customHeight="1">
      <c r="A11367" s="172"/>
    </row>
    <row r="11368" spans="1:1" s="173" customFormat="1" ht="12" hidden="1" customHeight="1">
      <c r="A11368" s="172"/>
    </row>
    <row r="11369" spans="1:1" s="173" customFormat="1" ht="12" hidden="1" customHeight="1">
      <c r="A11369" s="172"/>
    </row>
    <row r="11370" spans="1:1" s="173" customFormat="1" ht="12" hidden="1" customHeight="1">
      <c r="A11370" s="172"/>
    </row>
    <row r="11371" spans="1:1" s="173" customFormat="1" ht="12" hidden="1" customHeight="1">
      <c r="A11371" s="172"/>
    </row>
    <row r="11372" spans="1:1" s="173" customFormat="1" ht="12" hidden="1" customHeight="1">
      <c r="A11372" s="172"/>
    </row>
    <row r="11373" spans="1:1" s="173" customFormat="1" ht="12" hidden="1" customHeight="1">
      <c r="A11373" s="172"/>
    </row>
    <row r="11374" spans="1:1" s="173" customFormat="1" ht="12" hidden="1" customHeight="1">
      <c r="A11374" s="172"/>
    </row>
    <row r="11375" spans="1:1" s="173" customFormat="1" ht="12" hidden="1" customHeight="1">
      <c r="A11375" s="172"/>
    </row>
    <row r="11376" spans="1:1" s="173" customFormat="1" ht="12" hidden="1" customHeight="1">
      <c r="A11376" s="172"/>
    </row>
    <row r="11377" spans="1:1" s="173" customFormat="1" ht="12" hidden="1" customHeight="1">
      <c r="A11377" s="172"/>
    </row>
    <row r="11378" spans="1:1" s="173" customFormat="1" ht="12" hidden="1" customHeight="1">
      <c r="A11378" s="172"/>
    </row>
    <row r="11379" spans="1:1" s="173" customFormat="1" ht="12" hidden="1" customHeight="1">
      <c r="A11379" s="172"/>
    </row>
    <row r="11380" spans="1:1" s="173" customFormat="1" ht="12" hidden="1" customHeight="1">
      <c r="A11380" s="172"/>
    </row>
    <row r="11381" spans="1:1" s="173" customFormat="1" ht="12" hidden="1" customHeight="1">
      <c r="A11381" s="172"/>
    </row>
    <row r="11382" spans="1:1" s="173" customFormat="1" ht="12" hidden="1" customHeight="1">
      <c r="A11382" s="172"/>
    </row>
    <row r="11383" spans="1:1" s="173" customFormat="1" ht="12" hidden="1" customHeight="1">
      <c r="A11383" s="172"/>
    </row>
    <row r="11384" spans="1:1" s="173" customFormat="1" ht="12" hidden="1" customHeight="1">
      <c r="A11384" s="172"/>
    </row>
    <row r="11385" spans="1:1" s="173" customFormat="1" ht="12" hidden="1" customHeight="1">
      <c r="A11385" s="172"/>
    </row>
    <row r="11386" spans="1:1" s="173" customFormat="1" ht="12" hidden="1" customHeight="1">
      <c r="A11386" s="172"/>
    </row>
    <row r="11387" spans="1:1" s="173" customFormat="1" ht="12" hidden="1" customHeight="1">
      <c r="A11387" s="172"/>
    </row>
    <row r="11388" spans="1:1" s="173" customFormat="1" ht="12" hidden="1" customHeight="1">
      <c r="A11388" s="172"/>
    </row>
    <row r="11389" spans="1:1" s="173" customFormat="1" ht="12" hidden="1" customHeight="1">
      <c r="A11389" s="172"/>
    </row>
    <row r="11390" spans="1:1" s="173" customFormat="1" ht="12" hidden="1" customHeight="1">
      <c r="A11390" s="172"/>
    </row>
    <row r="11391" spans="1:1" s="173" customFormat="1" ht="12" hidden="1" customHeight="1">
      <c r="A11391" s="172"/>
    </row>
    <row r="11392" spans="1:1" s="173" customFormat="1" ht="12" hidden="1" customHeight="1">
      <c r="A11392" s="172"/>
    </row>
    <row r="11393" spans="1:1" s="173" customFormat="1" ht="12" hidden="1" customHeight="1">
      <c r="A11393" s="172"/>
    </row>
    <row r="11394" spans="1:1" s="173" customFormat="1" ht="12" hidden="1" customHeight="1">
      <c r="A11394" s="172"/>
    </row>
    <row r="11395" spans="1:1" s="173" customFormat="1" ht="12" hidden="1" customHeight="1">
      <c r="A11395" s="172"/>
    </row>
    <row r="11396" spans="1:1" s="173" customFormat="1" ht="12" hidden="1" customHeight="1">
      <c r="A11396" s="172"/>
    </row>
    <row r="11397" spans="1:1" s="173" customFormat="1" ht="12" hidden="1" customHeight="1">
      <c r="A11397" s="172"/>
    </row>
    <row r="11398" spans="1:1" s="173" customFormat="1" ht="12" hidden="1" customHeight="1">
      <c r="A11398" s="172"/>
    </row>
    <row r="11399" spans="1:1" s="173" customFormat="1" ht="12" hidden="1" customHeight="1">
      <c r="A11399" s="172"/>
    </row>
    <row r="11400" spans="1:1" s="173" customFormat="1" ht="12" hidden="1" customHeight="1">
      <c r="A11400" s="172"/>
    </row>
    <row r="11401" spans="1:1" s="173" customFormat="1" ht="12" hidden="1" customHeight="1">
      <c r="A11401" s="172"/>
    </row>
    <row r="11402" spans="1:1" s="173" customFormat="1" ht="12" hidden="1" customHeight="1">
      <c r="A11402" s="172"/>
    </row>
    <row r="11403" spans="1:1" s="173" customFormat="1" ht="12" hidden="1" customHeight="1">
      <c r="A11403" s="172"/>
    </row>
    <row r="11404" spans="1:1" s="173" customFormat="1" ht="12" hidden="1" customHeight="1">
      <c r="A11404" s="172"/>
    </row>
    <row r="11405" spans="1:1" s="173" customFormat="1" ht="12" hidden="1" customHeight="1">
      <c r="A11405" s="172"/>
    </row>
    <row r="11406" spans="1:1" s="173" customFormat="1" ht="12" hidden="1" customHeight="1">
      <c r="A11406" s="172"/>
    </row>
    <row r="11407" spans="1:1" s="173" customFormat="1" ht="12" hidden="1" customHeight="1">
      <c r="A11407" s="172"/>
    </row>
    <row r="11408" spans="1:1" s="173" customFormat="1" ht="12" hidden="1" customHeight="1">
      <c r="A11408" s="172"/>
    </row>
    <row r="11409" spans="1:1" s="173" customFormat="1" ht="12" hidden="1" customHeight="1">
      <c r="A11409" s="172"/>
    </row>
    <row r="11410" spans="1:1" s="173" customFormat="1" ht="12" hidden="1" customHeight="1">
      <c r="A11410" s="172"/>
    </row>
    <row r="11411" spans="1:1" s="173" customFormat="1" ht="12" hidden="1" customHeight="1">
      <c r="A11411" s="172"/>
    </row>
    <row r="11412" spans="1:1" s="173" customFormat="1" ht="12" hidden="1" customHeight="1">
      <c r="A11412" s="172"/>
    </row>
    <row r="11413" spans="1:1" s="173" customFormat="1" ht="12" hidden="1" customHeight="1">
      <c r="A11413" s="172"/>
    </row>
    <row r="11414" spans="1:1" s="173" customFormat="1" ht="12" hidden="1" customHeight="1">
      <c r="A11414" s="172"/>
    </row>
    <row r="11415" spans="1:1" s="173" customFormat="1" ht="12" hidden="1" customHeight="1">
      <c r="A11415" s="172"/>
    </row>
    <row r="11416" spans="1:1" s="173" customFormat="1" ht="12" hidden="1" customHeight="1">
      <c r="A11416" s="172"/>
    </row>
    <row r="11417" spans="1:1" s="173" customFormat="1" ht="12" hidden="1" customHeight="1">
      <c r="A11417" s="172"/>
    </row>
    <row r="11418" spans="1:1" s="173" customFormat="1" ht="12" hidden="1" customHeight="1">
      <c r="A11418" s="172"/>
    </row>
    <row r="11419" spans="1:1" s="173" customFormat="1" ht="12" hidden="1" customHeight="1">
      <c r="A11419" s="172"/>
    </row>
    <row r="11420" spans="1:1" s="173" customFormat="1" ht="12" hidden="1" customHeight="1">
      <c r="A11420" s="172"/>
    </row>
    <row r="11421" spans="1:1" s="173" customFormat="1" ht="12" hidden="1" customHeight="1">
      <c r="A11421" s="172"/>
    </row>
    <row r="11422" spans="1:1" s="173" customFormat="1" ht="12" hidden="1" customHeight="1">
      <c r="A11422" s="172"/>
    </row>
    <row r="11423" spans="1:1" s="173" customFormat="1" ht="12" hidden="1" customHeight="1">
      <c r="A11423" s="172"/>
    </row>
    <row r="11424" spans="1:1" s="173" customFormat="1" ht="12" hidden="1" customHeight="1">
      <c r="A11424" s="172"/>
    </row>
    <row r="11425" spans="1:1" s="173" customFormat="1" ht="12" hidden="1" customHeight="1">
      <c r="A11425" s="172"/>
    </row>
    <row r="11426" spans="1:1" s="173" customFormat="1" ht="12" hidden="1" customHeight="1">
      <c r="A11426" s="172"/>
    </row>
    <row r="11427" spans="1:1" s="173" customFormat="1" ht="12" hidden="1" customHeight="1">
      <c r="A11427" s="172"/>
    </row>
    <row r="11428" spans="1:1" s="173" customFormat="1" ht="12" hidden="1" customHeight="1">
      <c r="A11428" s="172"/>
    </row>
    <row r="11429" spans="1:1" s="173" customFormat="1" ht="12" hidden="1" customHeight="1">
      <c r="A11429" s="172"/>
    </row>
    <row r="11430" spans="1:1" s="173" customFormat="1" ht="12" hidden="1" customHeight="1">
      <c r="A11430" s="172"/>
    </row>
    <row r="11431" spans="1:1" s="173" customFormat="1" ht="12" hidden="1" customHeight="1">
      <c r="A11431" s="172"/>
    </row>
    <row r="11432" spans="1:1" s="173" customFormat="1" ht="12" hidden="1" customHeight="1">
      <c r="A11432" s="172"/>
    </row>
    <row r="11433" spans="1:1" s="173" customFormat="1" ht="12" hidden="1" customHeight="1">
      <c r="A11433" s="172"/>
    </row>
    <row r="11434" spans="1:1" s="173" customFormat="1" ht="12" hidden="1" customHeight="1">
      <c r="A11434" s="172"/>
    </row>
    <row r="11435" spans="1:1" s="173" customFormat="1" ht="12" hidden="1" customHeight="1">
      <c r="A11435" s="172"/>
    </row>
    <row r="11436" spans="1:1" s="173" customFormat="1" ht="12" hidden="1" customHeight="1">
      <c r="A11436" s="172"/>
    </row>
    <row r="11437" spans="1:1" s="173" customFormat="1" ht="12" hidden="1" customHeight="1">
      <c r="A11437" s="172"/>
    </row>
    <row r="11438" spans="1:1" s="173" customFormat="1" ht="12" hidden="1" customHeight="1">
      <c r="A11438" s="172"/>
    </row>
    <row r="11439" spans="1:1" s="173" customFormat="1" ht="12" hidden="1" customHeight="1">
      <c r="A11439" s="172"/>
    </row>
    <row r="11440" spans="1:1" s="173" customFormat="1" ht="12" hidden="1" customHeight="1">
      <c r="A11440" s="172"/>
    </row>
    <row r="11441" spans="1:1" s="173" customFormat="1" ht="12" hidden="1" customHeight="1">
      <c r="A11441" s="172"/>
    </row>
    <row r="11442" spans="1:1" s="173" customFormat="1" ht="12" hidden="1" customHeight="1">
      <c r="A11442" s="172"/>
    </row>
    <row r="11443" spans="1:1" s="173" customFormat="1" ht="12" hidden="1" customHeight="1">
      <c r="A11443" s="172"/>
    </row>
    <row r="11444" spans="1:1" s="173" customFormat="1" ht="12" hidden="1" customHeight="1">
      <c r="A11444" s="172"/>
    </row>
    <row r="11445" spans="1:1" s="173" customFormat="1" ht="12" hidden="1" customHeight="1">
      <c r="A11445" s="172"/>
    </row>
    <row r="11446" spans="1:1" s="173" customFormat="1" ht="12" hidden="1" customHeight="1">
      <c r="A11446" s="172"/>
    </row>
    <row r="11447" spans="1:1" s="173" customFormat="1" ht="12" hidden="1" customHeight="1">
      <c r="A11447" s="172"/>
    </row>
    <row r="11448" spans="1:1" s="173" customFormat="1" ht="12" hidden="1" customHeight="1">
      <c r="A11448" s="172"/>
    </row>
    <row r="11449" spans="1:1" s="173" customFormat="1" ht="12" hidden="1" customHeight="1">
      <c r="A11449" s="172"/>
    </row>
    <row r="11450" spans="1:1" s="173" customFormat="1" ht="12" hidden="1" customHeight="1">
      <c r="A11450" s="172"/>
    </row>
    <row r="11451" spans="1:1" s="173" customFormat="1" ht="12" hidden="1" customHeight="1">
      <c r="A11451" s="172"/>
    </row>
    <row r="11452" spans="1:1" s="173" customFormat="1" ht="12" hidden="1" customHeight="1">
      <c r="A11452" s="172"/>
    </row>
    <row r="11453" spans="1:1" s="173" customFormat="1" ht="12" hidden="1" customHeight="1">
      <c r="A11453" s="172"/>
    </row>
    <row r="11454" spans="1:1" s="173" customFormat="1" ht="12" hidden="1" customHeight="1">
      <c r="A11454" s="172"/>
    </row>
    <row r="11455" spans="1:1" s="173" customFormat="1" ht="12" hidden="1" customHeight="1">
      <c r="A11455" s="172"/>
    </row>
    <row r="11456" spans="1:1" s="173" customFormat="1" ht="12" hidden="1" customHeight="1">
      <c r="A11456" s="172"/>
    </row>
    <row r="11457" spans="1:1" s="173" customFormat="1" ht="12" hidden="1" customHeight="1">
      <c r="A11457" s="172"/>
    </row>
    <row r="11458" spans="1:1" s="173" customFormat="1" ht="12" hidden="1" customHeight="1">
      <c r="A11458" s="172"/>
    </row>
    <row r="11459" spans="1:1" s="173" customFormat="1" ht="12" hidden="1" customHeight="1">
      <c r="A11459" s="172"/>
    </row>
    <row r="11460" spans="1:1" s="173" customFormat="1" ht="12" hidden="1" customHeight="1">
      <c r="A11460" s="172"/>
    </row>
    <row r="11461" spans="1:1" s="173" customFormat="1" ht="12" hidden="1" customHeight="1">
      <c r="A11461" s="172"/>
    </row>
    <row r="11462" spans="1:1" s="173" customFormat="1" ht="12" hidden="1" customHeight="1">
      <c r="A11462" s="172"/>
    </row>
    <row r="11463" spans="1:1" s="173" customFormat="1" ht="12" hidden="1" customHeight="1">
      <c r="A11463" s="172"/>
    </row>
    <row r="11464" spans="1:1" s="173" customFormat="1" ht="12" hidden="1" customHeight="1">
      <c r="A11464" s="172"/>
    </row>
    <row r="11465" spans="1:1" s="173" customFormat="1" ht="12" hidden="1" customHeight="1">
      <c r="A11465" s="172"/>
    </row>
    <row r="11466" spans="1:1" s="173" customFormat="1" ht="12" hidden="1" customHeight="1">
      <c r="A11466" s="172"/>
    </row>
    <row r="11467" spans="1:1" s="173" customFormat="1" ht="12" hidden="1" customHeight="1">
      <c r="A11467" s="172"/>
    </row>
    <row r="11468" spans="1:1" s="173" customFormat="1" ht="12" hidden="1" customHeight="1">
      <c r="A11468" s="172"/>
    </row>
    <row r="11469" spans="1:1" s="173" customFormat="1" ht="12" hidden="1" customHeight="1">
      <c r="A11469" s="172"/>
    </row>
    <row r="11470" spans="1:1" s="173" customFormat="1" ht="12" hidden="1" customHeight="1">
      <c r="A11470" s="172"/>
    </row>
    <row r="11471" spans="1:1" s="173" customFormat="1" ht="12" hidden="1" customHeight="1">
      <c r="A11471" s="172"/>
    </row>
    <row r="11472" spans="1:1" s="173" customFormat="1" ht="12" hidden="1" customHeight="1">
      <c r="A11472" s="172"/>
    </row>
    <row r="11473" spans="1:1" s="173" customFormat="1" ht="12" hidden="1" customHeight="1">
      <c r="A11473" s="172"/>
    </row>
    <row r="11474" spans="1:1" s="173" customFormat="1" ht="12" hidden="1" customHeight="1">
      <c r="A11474" s="172"/>
    </row>
    <row r="11475" spans="1:1" s="173" customFormat="1" ht="12" hidden="1" customHeight="1">
      <c r="A11475" s="172"/>
    </row>
    <row r="11476" spans="1:1" s="173" customFormat="1" ht="12" hidden="1" customHeight="1">
      <c r="A11476" s="172"/>
    </row>
    <row r="11477" spans="1:1" s="173" customFormat="1" ht="12" hidden="1" customHeight="1">
      <c r="A11477" s="172"/>
    </row>
    <row r="11478" spans="1:1" s="173" customFormat="1" ht="12" hidden="1" customHeight="1">
      <c r="A11478" s="172"/>
    </row>
    <row r="11479" spans="1:1" s="173" customFormat="1" ht="12" hidden="1" customHeight="1">
      <c r="A11479" s="172"/>
    </row>
    <row r="11480" spans="1:1" s="173" customFormat="1" ht="12" hidden="1" customHeight="1">
      <c r="A11480" s="172"/>
    </row>
    <row r="11481" spans="1:1" s="173" customFormat="1" ht="12" hidden="1" customHeight="1">
      <c r="A11481" s="172"/>
    </row>
    <row r="11482" spans="1:1" s="173" customFormat="1" ht="12" hidden="1" customHeight="1">
      <c r="A11482" s="172"/>
    </row>
    <row r="11483" spans="1:1" s="173" customFormat="1" ht="12" hidden="1" customHeight="1">
      <c r="A11483" s="172"/>
    </row>
    <row r="11484" spans="1:1" s="173" customFormat="1" ht="12" hidden="1" customHeight="1">
      <c r="A11484" s="172"/>
    </row>
    <row r="11485" spans="1:1" s="173" customFormat="1" ht="12" hidden="1" customHeight="1">
      <c r="A11485" s="172"/>
    </row>
    <row r="11486" spans="1:1" s="173" customFormat="1" ht="12" hidden="1" customHeight="1">
      <c r="A11486" s="172"/>
    </row>
    <row r="11487" spans="1:1" s="173" customFormat="1" ht="12" hidden="1" customHeight="1">
      <c r="A11487" s="172"/>
    </row>
    <row r="11488" spans="1:1" s="173" customFormat="1" ht="12" hidden="1" customHeight="1">
      <c r="A11488" s="172"/>
    </row>
    <row r="11489" spans="1:1" s="173" customFormat="1" ht="12" hidden="1" customHeight="1">
      <c r="A11489" s="172"/>
    </row>
    <row r="11490" spans="1:1" s="173" customFormat="1" ht="12" hidden="1" customHeight="1">
      <c r="A11490" s="172"/>
    </row>
    <row r="11491" spans="1:1" s="173" customFormat="1" ht="12" hidden="1" customHeight="1">
      <c r="A11491" s="172"/>
    </row>
    <row r="11492" spans="1:1" s="173" customFormat="1" ht="12" hidden="1" customHeight="1">
      <c r="A11492" s="172"/>
    </row>
    <row r="11493" spans="1:1" s="173" customFormat="1" ht="12" hidden="1" customHeight="1">
      <c r="A11493" s="172"/>
    </row>
    <row r="11494" spans="1:1" s="173" customFormat="1" ht="12" hidden="1" customHeight="1">
      <c r="A11494" s="172"/>
    </row>
    <row r="11495" spans="1:1" s="173" customFormat="1" ht="12" hidden="1" customHeight="1">
      <c r="A11495" s="172"/>
    </row>
    <row r="11496" spans="1:1" s="173" customFormat="1" ht="12" hidden="1" customHeight="1">
      <c r="A11496" s="172"/>
    </row>
    <row r="11497" spans="1:1" s="173" customFormat="1" ht="12" hidden="1" customHeight="1">
      <c r="A11497" s="172"/>
    </row>
    <row r="11498" spans="1:1" s="173" customFormat="1" ht="12" hidden="1" customHeight="1">
      <c r="A11498" s="172"/>
    </row>
    <row r="11499" spans="1:1" s="173" customFormat="1" ht="12" hidden="1" customHeight="1">
      <c r="A11499" s="172"/>
    </row>
    <row r="11500" spans="1:1" s="173" customFormat="1" ht="12" hidden="1" customHeight="1">
      <c r="A11500" s="172"/>
    </row>
    <row r="11501" spans="1:1" s="173" customFormat="1" ht="12" hidden="1" customHeight="1">
      <c r="A11501" s="172"/>
    </row>
    <row r="11502" spans="1:1" s="173" customFormat="1" ht="12" hidden="1" customHeight="1">
      <c r="A11502" s="172"/>
    </row>
    <row r="11503" spans="1:1" s="173" customFormat="1" ht="12" hidden="1" customHeight="1">
      <c r="A11503" s="172"/>
    </row>
    <row r="11504" spans="1:1" s="173" customFormat="1" ht="12" hidden="1" customHeight="1">
      <c r="A11504" s="172"/>
    </row>
    <row r="11505" spans="1:1" s="173" customFormat="1" ht="12" hidden="1" customHeight="1">
      <c r="A11505" s="172"/>
    </row>
    <row r="11506" spans="1:1" s="173" customFormat="1" ht="12" hidden="1" customHeight="1">
      <c r="A11506" s="172"/>
    </row>
    <row r="11507" spans="1:1" s="173" customFormat="1" ht="12" hidden="1" customHeight="1">
      <c r="A11507" s="172"/>
    </row>
    <row r="11508" spans="1:1" s="173" customFormat="1" ht="12" hidden="1" customHeight="1">
      <c r="A11508" s="172"/>
    </row>
    <row r="11509" spans="1:1" s="173" customFormat="1" ht="12" hidden="1" customHeight="1">
      <c r="A11509" s="172"/>
    </row>
    <row r="11510" spans="1:1" s="173" customFormat="1" ht="12" hidden="1" customHeight="1">
      <c r="A11510" s="172"/>
    </row>
    <row r="11511" spans="1:1" s="173" customFormat="1" ht="12" hidden="1" customHeight="1">
      <c r="A11511" s="172"/>
    </row>
    <row r="11512" spans="1:1" s="173" customFormat="1" ht="12" hidden="1" customHeight="1">
      <c r="A11512" s="172"/>
    </row>
    <row r="11513" spans="1:1" s="173" customFormat="1" ht="12" hidden="1" customHeight="1">
      <c r="A11513" s="172"/>
    </row>
    <row r="11514" spans="1:1" s="173" customFormat="1" ht="12" hidden="1" customHeight="1">
      <c r="A11514" s="172"/>
    </row>
    <row r="11515" spans="1:1" s="173" customFormat="1" ht="12" hidden="1" customHeight="1">
      <c r="A11515" s="172"/>
    </row>
    <row r="11516" spans="1:1" s="173" customFormat="1" ht="12" hidden="1" customHeight="1">
      <c r="A11516" s="172"/>
    </row>
    <row r="11517" spans="1:1" s="173" customFormat="1" ht="12" hidden="1" customHeight="1">
      <c r="A11517" s="172"/>
    </row>
    <row r="11518" spans="1:1" s="173" customFormat="1" ht="12" hidden="1" customHeight="1">
      <c r="A11518" s="172"/>
    </row>
    <row r="11519" spans="1:1" s="173" customFormat="1" ht="12" hidden="1" customHeight="1">
      <c r="A11519" s="172"/>
    </row>
    <row r="11520" spans="1:1" s="173" customFormat="1" ht="12" hidden="1" customHeight="1">
      <c r="A11520" s="172"/>
    </row>
    <row r="11521" spans="1:1" s="173" customFormat="1" ht="12" hidden="1" customHeight="1">
      <c r="A11521" s="172"/>
    </row>
    <row r="11522" spans="1:1" s="173" customFormat="1" ht="12" hidden="1" customHeight="1">
      <c r="A11522" s="172"/>
    </row>
    <row r="11523" spans="1:1" s="173" customFormat="1" ht="12" hidden="1" customHeight="1">
      <c r="A11523" s="172"/>
    </row>
    <row r="11524" spans="1:1" s="173" customFormat="1" ht="12" hidden="1" customHeight="1">
      <c r="A11524" s="172"/>
    </row>
    <row r="11525" spans="1:1" s="173" customFormat="1" ht="12" hidden="1" customHeight="1">
      <c r="A11525" s="172"/>
    </row>
    <row r="11526" spans="1:1" s="173" customFormat="1" ht="12" hidden="1" customHeight="1">
      <c r="A11526" s="172"/>
    </row>
    <row r="11527" spans="1:1" s="173" customFormat="1" ht="12" hidden="1" customHeight="1">
      <c r="A11527" s="172"/>
    </row>
    <row r="11528" spans="1:1" s="173" customFormat="1" ht="12" hidden="1" customHeight="1">
      <c r="A11528" s="172"/>
    </row>
    <row r="11529" spans="1:1" s="173" customFormat="1" ht="12" hidden="1" customHeight="1">
      <c r="A11529" s="172"/>
    </row>
    <row r="11530" spans="1:1" s="173" customFormat="1" ht="12" hidden="1" customHeight="1">
      <c r="A11530" s="172"/>
    </row>
    <row r="11531" spans="1:1" s="173" customFormat="1" ht="12" hidden="1" customHeight="1">
      <c r="A11531" s="172"/>
    </row>
    <row r="11532" spans="1:1" s="173" customFormat="1" ht="12" hidden="1" customHeight="1">
      <c r="A11532" s="172"/>
    </row>
    <row r="11533" spans="1:1" s="173" customFormat="1" ht="12" hidden="1" customHeight="1">
      <c r="A11533" s="172"/>
    </row>
    <row r="11534" spans="1:1" s="173" customFormat="1" ht="12" hidden="1" customHeight="1">
      <c r="A11534" s="172"/>
    </row>
    <row r="11535" spans="1:1" s="173" customFormat="1" ht="12" hidden="1" customHeight="1">
      <c r="A11535" s="172"/>
    </row>
    <row r="11536" spans="1:1" s="173" customFormat="1" ht="12" hidden="1" customHeight="1">
      <c r="A11536" s="172"/>
    </row>
    <row r="11537" spans="1:1" s="173" customFormat="1" ht="12" hidden="1" customHeight="1">
      <c r="A11537" s="172"/>
    </row>
    <row r="11538" spans="1:1" s="173" customFormat="1" ht="12" hidden="1" customHeight="1">
      <c r="A11538" s="172"/>
    </row>
    <row r="11539" spans="1:1" s="173" customFormat="1" ht="12" hidden="1" customHeight="1">
      <c r="A11539" s="172"/>
    </row>
    <row r="11540" spans="1:1" s="173" customFormat="1" ht="12" hidden="1" customHeight="1">
      <c r="A11540" s="172"/>
    </row>
    <row r="11541" spans="1:1" s="173" customFormat="1" ht="12" hidden="1" customHeight="1">
      <c r="A11541" s="172"/>
    </row>
    <row r="11542" spans="1:1" s="173" customFormat="1" ht="12" hidden="1" customHeight="1">
      <c r="A11542" s="172"/>
    </row>
    <row r="11543" spans="1:1" s="173" customFormat="1" ht="12" hidden="1" customHeight="1">
      <c r="A11543" s="172"/>
    </row>
    <row r="11544" spans="1:1" s="173" customFormat="1" ht="12" hidden="1" customHeight="1">
      <c r="A11544" s="172"/>
    </row>
    <row r="11545" spans="1:1" s="173" customFormat="1" ht="12" hidden="1" customHeight="1">
      <c r="A11545" s="172"/>
    </row>
    <row r="11546" spans="1:1" s="173" customFormat="1" ht="12" hidden="1" customHeight="1">
      <c r="A11546" s="172"/>
    </row>
    <row r="11547" spans="1:1" s="173" customFormat="1" ht="12" hidden="1" customHeight="1">
      <c r="A11547" s="172"/>
    </row>
    <row r="11548" spans="1:1" s="173" customFormat="1" ht="12" hidden="1" customHeight="1">
      <c r="A11548" s="172"/>
    </row>
    <row r="11549" spans="1:1" s="173" customFormat="1" ht="12" hidden="1" customHeight="1">
      <c r="A11549" s="172"/>
    </row>
    <row r="11550" spans="1:1" s="173" customFormat="1" ht="12" hidden="1" customHeight="1">
      <c r="A11550" s="172"/>
    </row>
    <row r="11551" spans="1:1" s="173" customFormat="1" ht="12" hidden="1" customHeight="1">
      <c r="A11551" s="172"/>
    </row>
    <row r="11552" spans="1:1" s="173" customFormat="1" ht="12" hidden="1" customHeight="1">
      <c r="A11552" s="172"/>
    </row>
    <row r="11553" spans="1:1" s="173" customFormat="1" ht="12" hidden="1" customHeight="1">
      <c r="A11553" s="172"/>
    </row>
    <row r="11554" spans="1:1" s="173" customFormat="1" ht="12" hidden="1" customHeight="1">
      <c r="A11554" s="172"/>
    </row>
    <row r="11555" spans="1:1" s="173" customFormat="1" ht="12" hidden="1" customHeight="1">
      <c r="A11555" s="172"/>
    </row>
    <row r="11556" spans="1:1" s="173" customFormat="1" ht="12" hidden="1" customHeight="1">
      <c r="A11556" s="172"/>
    </row>
    <row r="11557" spans="1:1" s="173" customFormat="1" ht="12" hidden="1" customHeight="1">
      <c r="A11557" s="172"/>
    </row>
    <row r="11558" spans="1:1" s="173" customFormat="1" ht="12" hidden="1" customHeight="1">
      <c r="A11558" s="172"/>
    </row>
    <row r="11559" spans="1:1" s="173" customFormat="1" ht="12" hidden="1" customHeight="1">
      <c r="A11559" s="172"/>
    </row>
    <row r="11560" spans="1:1" s="173" customFormat="1" ht="12" hidden="1" customHeight="1">
      <c r="A11560" s="172"/>
    </row>
    <row r="11561" spans="1:1" s="173" customFormat="1" ht="12" hidden="1" customHeight="1">
      <c r="A11561" s="172"/>
    </row>
    <row r="11562" spans="1:1" s="173" customFormat="1" ht="12" hidden="1" customHeight="1">
      <c r="A11562" s="172"/>
    </row>
    <row r="11563" spans="1:1" s="173" customFormat="1" ht="12" hidden="1" customHeight="1">
      <c r="A11563" s="172"/>
    </row>
    <row r="11564" spans="1:1" s="173" customFormat="1" ht="12" hidden="1" customHeight="1">
      <c r="A11564" s="172"/>
    </row>
    <row r="11565" spans="1:1" s="173" customFormat="1" ht="12" hidden="1" customHeight="1">
      <c r="A11565" s="172"/>
    </row>
    <row r="11566" spans="1:1" s="173" customFormat="1" ht="12" hidden="1" customHeight="1">
      <c r="A11566" s="172"/>
    </row>
    <row r="11567" spans="1:1" s="173" customFormat="1" ht="12" hidden="1" customHeight="1">
      <c r="A11567" s="172"/>
    </row>
    <row r="11568" spans="1:1" s="173" customFormat="1" ht="12" hidden="1" customHeight="1">
      <c r="A11568" s="172"/>
    </row>
    <row r="11569" spans="1:1" s="173" customFormat="1" ht="12" hidden="1" customHeight="1">
      <c r="A11569" s="172"/>
    </row>
    <row r="11570" spans="1:1" s="173" customFormat="1" ht="12" hidden="1" customHeight="1">
      <c r="A11570" s="172"/>
    </row>
    <row r="11571" spans="1:1" s="173" customFormat="1" ht="12" hidden="1" customHeight="1">
      <c r="A11571" s="172"/>
    </row>
    <row r="11572" spans="1:1" s="173" customFormat="1" ht="12" hidden="1" customHeight="1">
      <c r="A11572" s="172"/>
    </row>
    <row r="11573" spans="1:1" s="173" customFormat="1" ht="12" hidden="1" customHeight="1">
      <c r="A11573" s="172"/>
    </row>
    <row r="11574" spans="1:1" s="173" customFormat="1" ht="12" hidden="1" customHeight="1">
      <c r="A11574" s="172"/>
    </row>
    <row r="11575" spans="1:1" s="173" customFormat="1" ht="12" hidden="1" customHeight="1">
      <c r="A11575" s="172"/>
    </row>
    <row r="11576" spans="1:1" s="173" customFormat="1" ht="12" hidden="1" customHeight="1">
      <c r="A11576" s="172"/>
    </row>
    <row r="11577" spans="1:1" s="173" customFormat="1" ht="12" hidden="1" customHeight="1">
      <c r="A11577" s="172"/>
    </row>
    <row r="11578" spans="1:1" s="173" customFormat="1" ht="12" hidden="1" customHeight="1">
      <c r="A11578" s="172"/>
    </row>
    <row r="11579" spans="1:1" s="173" customFormat="1" ht="12" hidden="1" customHeight="1">
      <c r="A11579" s="172"/>
    </row>
    <row r="11580" spans="1:1" s="173" customFormat="1" ht="12" hidden="1" customHeight="1">
      <c r="A11580" s="172"/>
    </row>
    <row r="11581" spans="1:1" s="173" customFormat="1" ht="12" hidden="1" customHeight="1">
      <c r="A11581" s="172"/>
    </row>
    <row r="11582" spans="1:1" s="173" customFormat="1" ht="12" hidden="1" customHeight="1">
      <c r="A11582" s="172"/>
    </row>
    <row r="11583" spans="1:1" s="173" customFormat="1" ht="12" hidden="1" customHeight="1">
      <c r="A11583" s="172"/>
    </row>
    <row r="11584" spans="1:1" s="173" customFormat="1" ht="12" hidden="1" customHeight="1">
      <c r="A11584" s="172"/>
    </row>
    <row r="11585" spans="1:1" s="173" customFormat="1" ht="12" hidden="1" customHeight="1">
      <c r="A11585" s="172"/>
    </row>
    <row r="11586" spans="1:1" s="173" customFormat="1" ht="12" hidden="1" customHeight="1">
      <c r="A11586" s="172"/>
    </row>
    <row r="11587" spans="1:1" s="173" customFormat="1" ht="12" hidden="1" customHeight="1">
      <c r="A11587" s="172"/>
    </row>
    <row r="11588" spans="1:1" s="173" customFormat="1" ht="12" hidden="1" customHeight="1">
      <c r="A11588" s="172"/>
    </row>
    <row r="11589" spans="1:1" s="173" customFormat="1" ht="12" hidden="1" customHeight="1">
      <c r="A11589" s="172"/>
    </row>
    <row r="11590" spans="1:1" s="173" customFormat="1" ht="12" hidden="1" customHeight="1">
      <c r="A11590" s="172"/>
    </row>
    <row r="11591" spans="1:1" s="173" customFormat="1" ht="12" hidden="1" customHeight="1">
      <c r="A11591" s="172"/>
    </row>
    <row r="11592" spans="1:1" s="173" customFormat="1" ht="12" hidden="1" customHeight="1">
      <c r="A11592" s="172"/>
    </row>
    <row r="11593" spans="1:1" s="173" customFormat="1" ht="12" hidden="1" customHeight="1">
      <c r="A11593" s="172"/>
    </row>
    <row r="11594" spans="1:1" s="173" customFormat="1" ht="12" hidden="1" customHeight="1">
      <c r="A11594" s="172"/>
    </row>
    <row r="11595" spans="1:1" s="173" customFormat="1" ht="12" hidden="1" customHeight="1">
      <c r="A11595" s="172"/>
    </row>
    <row r="11596" spans="1:1" s="173" customFormat="1" ht="12" hidden="1" customHeight="1">
      <c r="A11596" s="172"/>
    </row>
    <row r="11597" spans="1:1" s="173" customFormat="1" ht="12" hidden="1" customHeight="1">
      <c r="A11597" s="172"/>
    </row>
    <row r="11598" spans="1:1" s="173" customFormat="1" ht="12" hidden="1" customHeight="1">
      <c r="A11598" s="172"/>
    </row>
    <row r="11599" spans="1:1" s="173" customFormat="1" ht="12" hidden="1" customHeight="1">
      <c r="A11599" s="172"/>
    </row>
    <row r="11600" spans="1:1" s="173" customFormat="1" ht="12" hidden="1" customHeight="1">
      <c r="A11600" s="172"/>
    </row>
    <row r="11601" spans="1:1" s="173" customFormat="1" ht="12" hidden="1" customHeight="1">
      <c r="A11601" s="172"/>
    </row>
    <row r="11602" spans="1:1" s="173" customFormat="1" ht="12" hidden="1" customHeight="1">
      <c r="A11602" s="172"/>
    </row>
    <row r="11603" spans="1:1" s="173" customFormat="1" ht="12" hidden="1" customHeight="1">
      <c r="A11603" s="172"/>
    </row>
    <row r="11604" spans="1:1" s="173" customFormat="1" ht="12" hidden="1" customHeight="1">
      <c r="A11604" s="172"/>
    </row>
    <row r="11605" spans="1:1" s="173" customFormat="1" ht="12" hidden="1" customHeight="1">
      <c r="A11605" s="172"/>
    </row>
    <row r="11606" spans="1:1" s="173" customFormat="1" ht="12" hidden="1" customHeight="1">
      <c r="A11606" s="172"/>
    </row>
    <row r="11607" spans="1:1" s="173" customFormat="1" ht="12" hidden="1" customHeight="1">
      <c r="A11607" s="172"/>
    </row>
    <row r="11608" spans="1:1" s="173" customFormat="1" ht="12" hidden="1" customHeight="1">
      <c r="A11608" s="172"/>
    </row>
    <row r="11609" spans="1:1" s="173" customFormat="1" ht="12" hidden="1" customHeight="1">
      <c r="A11609" s="172"/>
    </row>
    <row r="11610" spans="1:1" s="173" customFormat="1" ht="12" hidden="1" customHeight="1">
      <c r="A11610" s="172"/>
    </row>
    <row r="11611" spans="1:1" s="173" customFormat="1" ht="12" hidden="1" customHeight="1">
      <c r="A11611" s="172"/>
    </row>
    <row r="11612" spans="1:1" s="173" customFormat="1" ht="12" hidden="1" customHeight="1">
      <c r="A11612" s="172"/>
    </row>
    <row r="11613" spans="1:1" s="173" customFormat="1" ht="12" hidden="1" customHeight="1">
      <c r="A11613" s="172"/>
    </row>
    <row r="11614" spans="1:1" s="173" customFormat="1" ht="12" hidden="1" customHeight="1">
      <c r="A11614" s="172"/>
    </row>
    <row r="11615" spans="1:1" s="173" customFormat="1" ht="12" hidden="1" customHeight="1">
      <c r="A11615" s="172"/>
    </row>
    <row r="11616" spans="1:1" s="173" customFormat="1" ht="12" hidden="1" customHeight="1">
      <c r="A11616" s="172"/>
    </row>
    <row r="11617" spans="1:1" s="173" customFormat="1" ht="12" hidden="1" customHeight="1">
      <c r="A11617" s="172"/>
    </row>
    <row r="11618" spans="1:1" s="173" customFormat="1" ht="12" hidden="1" customHeight="1">
      <c r="A11618" s="172"/>
    </row>
    <row r="11619" spans="1:1" s="173" customFormat="1" ht="12" hidden="1" customHeight="1">
      <c r="A11619" s="172"/>
    </row>
    <row r="11620" spans="1:1" s="173" customFormat="1" ht="12" hidden="1" customHeight="1">
      <c r="A11620" s="172"/>
    </row>
    <row r="11621" spans="1:1" s="173" customFormat="1" ht="12" hidden="1" customHeight="1">
      <c r="A11621" s="172"/>
    </row>
    <row r="11622" spans="1:1" s="173" customFormat="1" ht="12" hidden="1" customHeight="1">
      <c r="A11622" s="172"/>
    </row>
    <row r="11623" spans="1:1" s="173" customFormat="1" ht="12" hidden="1" customHeight="1">
      <c r="A11623" s="172"/>
    </row>
    <row r="11624" spans="1:1" s="173" customFormat="1" ht="12" hidden="1" customHeight="1">
      <c r="A11624" s="172"/>
    </row>
    <row r="11625" spans="1:1" s="173" customFormat="1" ht="12" hidden="1" customHeight="1">
      <c r="A11625" s="172"/>
    </row>
    <row r="11626" spans="1:1" s="173" customFormat="1" ht="12" hidden="1" customHeight="1">
      <c r="A11626" s="172"/>
    </row>
    <row r="11627" spans="1:1" s="173" customFormat="1" ht="12" hidden="1" customHeight="1">
      <c r="A11627" s="172"/>
    </row>
    <row r="11628" spans="1:1" s="173" customFormat="1" ht="12" hidden="1" customHeight="1">
      <c r="A11628" s="172"/>
    </row>
    <row r="11629" spans="1:1" s="173" customFormat="1" ht="12" hidden="1" customHeight="1">
      <c r="A11629" s="172"/>
    </row>
    <row r="11630" spans="1:1" s="173" customFormat="1" ht="12" hidden="1" customHeight="1">
      <c r="A11630" s="172"/>
    </row>
    <row r="11631" spans="1:1" s="173" customFormat="1" ht="12" hidden="1" customHeight="1">
      <c r="A11631" s="172"/>
    </row>
    <row r="11632" spans="1:1" s="173" customFormat="1" ht="12" hidden="1" customHeight="1">
      <c r="A11632" s="172"/>
    </row>
    <row r="11633" spans="1:1" s="173" customFormat="1" ht="12" hidden="1" customHeight="1">
      <c r="A11633" s="172"/>
    </row>
    <row r="11634" spans="1:1" s="173" customFormat="1" ht="12" hidden="1" customHeight="1">
      <c r="A11634" s="172"/>
    </row>
    <row r="11635" spans="1:1" s="173" customFormat="1" ht="12" hidden="1" customHeight="1">
      <c r="A11635" s="172"/>
    </row>
    <row r="11636" spans="1:1" s="173" customFormat="1" ht="12" hidden="1" customHeight="1">
      <c r="A11636" s="172"/>
    </row>
    <row r="11637" spans="1:1" s="173" customFormat="1" ht="12" hidden="1" customHeight="1">
      <c r="A11637" s="172"/>
    </row>
    <row r="11638" spans="1:1" s="173" customFormat="1" ht="12" hidden="1" customHeight="1">
      <c r="A11638" s="172"/>
    </row>
    <row r="11639" spans="1:1" s="173" customFormat="1" ht="12" hidden="1" customHeight="1">
      <c r="A11639" s="172"/>
    </row>
    <row r="11640" spans="1:1" s="173" customFormat="1" ht="12" hidden="1" customHeight="1">
      <c r="A11640" s="172"/>
    </row>
    <row r="11641" spans="1:1" s="173" customFormat="1" ht="12" hidden="1" customHeight="1">
      <c r="A11641" s="172"/>
    </row>
    <row r="11642" spans="1:1" s="173" customFormat="1" ht="12" hidden="1" customHeight="1">
      <c r="A11642" s="172"/>
    </row>
    <row r="11643" spans="1:1" s="173" customFormat="1" ht="12" hidden="1" customHeight="1">
      <c r="A11643" s="172"/>
    </row>
    <row r="11644" spans="1:1" s="173" customFormat="1" ht="12" hidden="1" customHeight="1">
      <c r="A11644" s="172"/>
    </row>
    <row r="11645" spans="1:1" s="173" customFormat="1" ht="12" hidden="1" customHeight="1">
      <c r="A11645" s="172"/>
    </row>
    <row r="11646" spans="1:1" s="173" customFormat="1" ht="12" hidden="1" customHeight="1">
      <c r="A11646" s="172"/>
    </row>
    <row r="11647" spans="1:1" s="173" customFormat="1" ht="12" hidden="1" customHeight="1">
      <c r="A11647" s="172"/>
    </row>
    <row r="11648" spans="1:1" s="173" customFormat="1" ht="12" hidden="1" customHeight="1">
      <c r="A11648" s="172"/>
    </row>
    <row r="11649" spans="1:1" s="173" customFormat="1" ht="12" hidden="1" customHeight="1">
      <c r="A11649" s="172"/>
    </row>
    <row r="11650" spans="1:1" s="173" customFormat="1" ht="12" hidden="1" customHeight="1">
      <c r="A11650" s="172"/>
    </row>
    <row r="11651" spans="1:1" s="173" customFormat="1" ht="12" hidden="1" customHeight="1">
      <c r="A11651" s="172"/>
    </row>
    <row r="11652" spans="1:1" s="173" customFormat="1" ht="12" hidden="1" customHeight="1">
      <c r="A11652" s="172"/>
    </row>
    <row r="11653" spans="1:1" s="173" customFormat="1" ht="12" hidden="1" customHeight="1">
      <c r="A11653" s="172"/>
    </row>
    <row r="11654" spans="1:1" s="173" customFormat="1" ht="12" hidden="1" customHeight="1">
      <c r="A11654" s="172"/>
    </row>
    <row r="11655" spans="1:1" s="173" customFormat="1" ht="12" hidden="1" customHeight="1">
      <c r="A11655" s="172"/>
    </row>
    <row r="11656" spans="1:1" s="173" customFormat="1" ht="12" hidden="1" customHeight="1">
      <c r="A11656" s="172"/>
    </row>
    <row r="11657" spans="1:1" s="173" customFormat="1" ht="12" hidden="1" customHeight="1">
      <c r="A11657" s="172"/>
    </row>
    <row r="11658" spans="1:1" s="173" customFormat="1" ht="12" hidden="1" customHeight="1">
      <c r="A11658" s="172"/>
    </row>
    <row r="11659" spans="1:1" s="173" customFormat="1" ht="12" hidden="1" customHeight="1">
      <c r="A11659" s="172"/>
    </row>
    <row r="11660" spans="1:1" s="173" customFormat="1" ht="12" hidden="1" customHeight="1">
      <c r="A11660" s="172"/>
    </row>
    <row r="11661" spans="1:1" s="173" customFormat="1" ht="12" hidden="1" customHeight="1">
      <c r="A11661" s="172"/>
    </row>
    <row r="11662" spans="1:1" s="173" customFormat="1" ht="12" hidden="1" customHeight="1">
      <c r="A11662" s="172"/>
    </row>
    <row r="11663" spans="1:1" s="173" customFormat="1" ht="12" hidden="1" customHeight="1">
      <c r="A11663" s="172"/>
    </row>
    <row r="11664" spans="1:1" s="173" customFormat="1" ht="12" hidden="1" customHeight="1">
      <c r="A11664" s="172"/>
    </row>
    <row r="11665" spans="1:1" s="173" customFormat="1" ht="12" hidden="1" customHeight="1">
      <c r="A11665" s="172"/>
    </row>
    <row r="11666" spans="1:1" s="173" customFormat="1" ht="12" hidden="1" customHeight="1">
      <c r="A11666" s="172"/>
    </row>
    <row r="11667" spans="1:1" s="173" customFormat="1" ht="12" hidden="1" customHeight="1">
      <c r="A11667" s="172"/>
    </row>
    <row r="11668" spans="1:1" s="173" customFormat="1" ht="12" hidden="1" customHeight="1">
      <c r="A11668" s="172"/>
    </row>
    <row r="11669" spans="1:1" s="173" customFormat="1" ht="12" hidden="1" customHeight="1">
      <c r="A11669" s="172"/>
    </row>
    <row r="11670" spans="1:1" s="173" customFormat="1" ht="12" hidden="1" customHeight="1">
      <c r="A11670" s="172"/>
    </row>
    <row r="11671" spans="1:1" s="173" customFormat="1" ht="12" hidden="1" customHeight="1">
      <c r="A11671" s="172"/>
    </row>
    <row r="11672" spans="1:1" s="173" customFormat="1" ht="12" hidden="1" customHeight="1">
      <c r="A11672" s="172"/>
    </row>
    <row r="11673" spans="1:1" s="173" customFormat="1" ht="12" hidden="1" customHeight="1">
      <c r="A11673" s="172"/>
    </row>
    <row r="11674" spans="1:1" s="173" customFormat="1" ht="12" hidden="1" customHeight="1">
      <c r="A11674" s="172"/>
    </row>
    <row r="11675" spans="1:1" s="173" customFormat="1" ht="12" hidden="1" customHeight="1">
      <c r="A11675" s="172"/>
    </row>
    <row r="11676" spans="1:1" s="173" customFormat="1" ht="12" hidden="1" customHeight="1">
      <c r="A11676" s="172"/>
    </row>
    <row r="11677" spans="1:1" s="173" customFormat="1" ht="12" hidden="1" customHeight="1">
      <c r="A11677" s="172"/>
    </row>
    <row r="11678" spans="1:1" s="173" customFormat="1" ht="12" hidden="1" customHeight="1">
      <c r="A11678" s="172"/>
    </row>
    <row r="11679" spans="1:1" s="173" customFormat="1" ht="12" hidden="1" customHeight="1">
      <c r="A11679" s="172"/>
    </row>
    <row r="11680" spans="1:1" s="173" customFormat="1" ht="12" hidden="1" customHeight="1">
      <c r="A11680" s="172"/>
    </row>
    <row r="11681" spans="1:1" s="173" customFormat="1" ht="12" hidden="1" customHeight="1">
      <c r="A11681" s="172"/>
    </row>
    <row r="11682" spans="1:1" s="173" customFormat="1" ht="12" hidden="1" customHeight="1">
      <c r="A11682" s="172"/>
    </row>
    <row r="11683" spans="1:1" s="173" customFormat="1" ht="12" hidden="1" customHeight="1">
      <c r="A11683" s="172"/>
    </row>
    <row r="11684" spans="1:1" s="173" customFormat="1" ht="12" hidden="1" customHeight="1">
      <c r="A11684" s="172"/>
    </row>
    <row r="11685" spans="1:1" s="173" customFormat="1" ht="12" hidden="1" customHeight="1">
      <c r="A11685" s="172"/>
    </row>
    <row r="11686" spans="1:1" s="173" customFormat="1" ht="12" hidden="1" customHeight="1">
      <c r="A11686" s="172"/>
    </row>
    <row r="11687" spans="1:1" s="173" customFormat="1" ht="12" hidden="1" customHeight="1">
      <c r="A11687" s="172"/>
    </row>
    <row r="11688" spans="1:1" s="173" customFormat="1" ht="12" hidden="1" customHeight="1">
      <c r="A11688" s="172"/>
    </row>
    <row r="11689" spans="1:1" s="173" customFormat="1" ht="12" hidden="1" customHeight="1">
      <c r="A11689" s="172"/>
    </row>
    <row r="11690" spans="1:1" s="173" customFormat="1" ht="12" hidden="1" customHeight="1">
      <c r="A11690" s="172"/>
    </row>
    <row r="11691" spans="1:1" s="173" customFormat="1" ht="12" hidden="1" customHeight="1">
      <c r="A11691" s="172"/>
    </row>
    <row r="11692" spans="1:1" s="173" customFormat="1" ht="12" hidden="1" customHeight="1">
      <c r="A11692" s="172"/>
    </row>
    <row r="11693" spans="1:1" s="173" customFormat="1" ht="12" hidden="1" customHeight="1">
      <c r="A11693" s="172"/>
    </row>
    <row r="11694" spans="1:1" s="173" customFormat="1" ht="12" hidden="1" customHeight="1">
      <c r="A11694" s="172"/>
    </row>
    <row r="11695" spans="1:1" s="173" customFormat="1" ht="12" hidden="1" customHeight="1">
      <c r="A11695" s="172"/>
    </row>
    <row r="11696" spans="1:1" s="173" customFormat="1" ht="12" hidden="1" customHeight="1">
      <c r="A11696" s="172"/>
    </row>
    <row r="11697" spans="1:1" s="173" customFormat="1" ht="12" hidden="1" customHeight="1">
      <c r="A11697" s="172"/>
    </row>
    <row r="11698" spans="1:1" s="173" customFormat="1" ht="12" hidden="1" customHeight="1">
      <c r="A11698" s="172"/>
    </row>
    <row r="11699" spans="1:1" s="173" customFormat="1" ht="12" hidden="1" customHeight="1">
      <c r="A11699" s="172"/>
    </row>
    <row r="11700" spans="1:1" s="173" customFormat="1" ht="12" hidden="1" customHeight="1">
      <c r="A11700" s="172"/>
    </row>
    <row r="11701" spans="1:1" s="173" customFormat="1" ht="12" hidden="1" customHeight="1">
      <c r="A11701" s="172"/>
    </row>
    <row r="11702" spans="1:1" s="173" customFormat="1" ht="12" hidden="1" customHeight="1">
      <c r="A11702" s="172"/>
    </row>
    <row r="11703" spans="1:1" s="173" customFormat="1" ht="12" hidden="1" customHeight="1">
      <c r="A11703" s="172"/>
    </row>
    <row r="11704" spans="1:1" s="173" customFormat="1" ht="12" hidden="1" customHeight="1">
      <c r="A11704" s="172"/>
    </row>
    <row r="11705" spans="1:1" s="173" customFormat="1" ht="12" hidden="1" customHeight="1">
      <c r="A11705" s="172"/>
    </row>
    <row r="11706" spans="1:1" s="173" customFormat="1" ht="12" hidden="1" customHeight="1">
      <c r="A11706" s="172"/>
    </row>
    <row r="11707" spans="1:1" s="173" customFormat="1" ht="12" hidden="1" customHeight="1">
      <c r="A11707" s="172"/>
    </row>
    <row r="11708" spans="1:1" s="173" customFormat="1" ht="12" hidden="1" customHeight="1">
      <c r="A11708" s="172"/>
    </row>
    <row r="11709" spans="1:1" s="173" customFormat="1" ht="12" hidden="1" customHeight="1">
      <c r="A11709" s="172"/>
    </row>
    <row r="11710" spans="1:1" s="173" customFormat="1" ht="12" hidden="1" customHeight="1">
      <c r="A11710" s="172"/>
    </row>
    <row r="11711" spans="1:1" s="173" customFormat="1" ht="12" hidden="1" customHeight="1">
      <c r="A11711" s="172"/>
    </row>
    <row r="11712" spans="1:1" s="173" customFormat="1" ht="12" hidden="1" customHeight="1">
      <c r="A11712" s="172"/>
    </row>
    <row r="11713" spans="1:1" s="173" customFormat="1" ht="12" hidden="1" customHeight="1">
      <c r="A11713" s="172"/>
    </row>
    <row r="11714" spans="1:1" s="173" customFormat="1" ht="12" hidden="1" customHeight="1">
      <c r="A11714" s="172"/>
    </row>
    <row r="11715" spans="1:1" s="173" customFormat="1" ht="12" hidden="1" customHeight="1">
      <c r="A11715" s="172"/>
    </row>
    <row r="11716" spans="1:1" s="173" customFormat="1" ht="12" hidden="1" customHeight="1">
      <c r="A11716" s="172"/>
    </row>
    <row r="11717" spans="1:1" s="173" customFormat="1" ht="12" hidden="1" customHeight="1">
      <c r="A11717" s="172"/>
    </row>
    <row r="11718" spans="1:1" s="173" customFormat="1" ht="12" hidden="1" customHeight="1">
      <c r="A11718" s="172"/>
    </row>
    <row r="11719" spans="1:1" s="173" customFormat="1" ht="12" hidden="1" customHeight="1">
      <c r="A11719" s="172"/>
    </row>
    <row r="11720" spans="1:1" s="173" customFormat="1" ht="12" hidden="1" customHeight="1">
      <c r="A11720" s="172"/>
    </row>
    <row r="11721" spans="1:1" s="173" customFormat="1" ht="12" hidden="1" customHeight="1">
      <c r="A11721" s="172"/>
    </row>
    <row r="11722" spans="1:1" s="173" customFormat="1" ht="12" hidden="1" customHeight="1">
      <c r="A11722" s="172"/>
    </row>
    <row r="11723" spans="1:1" s="173" customFormat="1" ht="12" hidden="1" customHeight="1">
      <c r="A11723" s="172"/>
    </row>
    <row r="11724" spans="1:1" s="173" customFormat="1" ht="12" hidden="1" customHeight="1">
      <c r="A11724" s="172"/>
    </row>
    <row r="11725" spans="1:1" s="173" customFormat="1" ht="12" hidden="1" customHeight="1">
      <c r="A11725" s="172"/>
    </row>
    <row r="11726" spans="1:1" s="173" customFormat="1" ht="12" hidden="1" customHeight="1">
      <c r="A11726" s="172"/>
    </row>
    <row r="11727" spans="1:1" s="173" customFormat="1" ht="12" hidden="1" customHeight="1">
      <c r="A11727" s="172"/>
    </row>
    <row r="11728" spans="1:1" s="173" customFormat="1" ht="12" hidden="1" customHeight="1">
      <c r="A11728" s="172"/>
    </row>
    <row r="11729" spans="1:1" s="173" customFormat="1" ht="12" hidden="1" customHeight="1">
      <c r="A11729" s="172"/>
    </row>
    <row r="11730" spans="1:1" s="173" customFormat="1" ht="12" hidden="1" customHeight="1">
      <c r="A11730" s="172"/>
    </row>
    <row r="11731" spans="1:1" s="173" customFormat="1" ht="12" hidden="1" customHeight="1">
      <c r="A11731" s="172"/>
    </row>
    <row r="11732" spans="1:1" s="173" customFormat="1" ht="12" hidden="1" customHeight="1">
      <c r="A11732" s="172"/>
    </row>
    <row r="11733" spans="1:1" s="173" customFormat="1" ht="12" hidden="1" customHeight="1">
      <c r="A11733" s="172"/>
    </row>
    <row r="11734" spans="1:1" s="173" customFormat="1" ht="12" hidden="1" customHeight="1">
      <c r="A11734" s="172"/>
    </row>
    <row r="11735" spans="1:1" s="173" customFormat="1" ht="12" hidden="1" customHeight="1">
      <c r="A11735" s="172"/>
    </row>
    <row r="11736" spans="1:1" s="173" customFormat="1" ht="12" hidden="1" customHeight="1">
      <c r="A11736" s="172"/>
    </row>
    <row r="11737" spans="1:1" s="173" customFormat="1" ht="12" hidden="1" customHeight="1">
      <c r="A11737" s="172"/>
    </row>
    <row r="11738" spans="1:1" s="173" customFormat="1" ht="12" hidden="1" customHeight="1">
      <c r="A11738" s="172"/>
    </row>
    <row r="11739" spans="1:1" s="173" customFormat="1" ht="12" hidden="1" customHeight="1">
      <c r="A11739" s="172"/>
    </row>
    <row r="11740" spans="1:1" s="173" customFormat="1" ht="12" hidden="1" customHeight="1">
      <c r="A11740" s="172"/>
    </row>
    <row r="11741" spans="1:1" s="173" customFormat="1" ht="12" hidden="1" customHeight="1">
      <c r="A11741" s="172"/>
    </row>
    <row r="11742" spans="1:1" s="173" customFormat="1" ht="12" hidden="1" customHeight="1">
      <c r="A11742" s="172"/>
    </row>
    <row r="11743" spans="1:1" s="173" customFormat="1" ht="12" hidden="1" customHeight="1">
      <c r="A11743" s="172"/>
    </row>
    <row r="11744" spans="1:1" s="173" customFormat="1" ht="12" hidden="1" customHeight="1">
      <c r="A11744" s="172"/>
    </row>
    <row r="11745" spans="1:1" s="173" customFormat="1" ht="12" hidden="1" customHeight="1">
      <c r="A11745" s="172"/>
    </row>
    <row r="11746" spans="1:1" s="173" customFormat="1" ht="12" hidden="1" customHeight="1">
      <c r="A11746" s="172"/>
    </row>
    <row r="11747" spans="1:1" s="173" customFormat="1" ht="12" hidden="1" customHeight="1">
      <c r="A11747" s="172"/>
    </row>
    <row r="11748" spans="1:1" s="173" customFormat="1" ht="12" hidden="1" customHeight="1">
      <c r="A11748" s="172"/>
    </row>
    <row r="11749" spans="1:1" s="173" customFormat="1" ht="12" hidden="1" customHeight="1">
      <c r="A11749" s="172"/>
    </row>
    <row r="11750" spans="1:1" s="173" customFormat="1" ht="12" hidden="1" customHeight="1">
      <c r="A11750" s="172"/>
    </row>
    <row r="11751" spans="1:1" s="173" customFormat="1" ht="12" hidden="1" customHeight="1">
      <c r="A11751" s="172"/>
    </row>
    <row r="11752" spans="1:1" s="173" customFormat="1" ht="12" hidden="1" customHeight="1">
      <c r="A11752" s="172"/>
    </row>
    <row r="11753" spans="1:1" s="173" customFormat="1" ht="12" hidden="1" customHeight="1">
      <c r="A11753" s="172"/>
    </row>
    <row r="11754" spans="1:1" s="173" customFormat="1" ht="12" hidden="1" customHeight="1">
      <c r="A11754" s="172"/>
    </row>
    <row r="11755" spans="1:1" s="173" customFormat="1" ht="12" hidden="1" customHeight="1">
      <c r="A11755" s="172"/>
    </row>
    <row r="11756" spans="1:1" s="173" customFormat="1" ht="12" hidden="1" customHeight="1">
      <c r="A11756" s="172"/>
    </row>
    <row r="11757" spans="1:1" s="173" customFormat="1" ht="12" hidden="1" customHeight="1">
      <c r="A11757" s="172"/>
    </row>
    <row r="11758" spans="1:1" s="173" customFormat="1" ht="12" hidden="1" customHeight="1">
      <c r="A11758" s="172"/>
    </row>
    <row r="11759" spans="1:1" s="173" customFormat="1" ht="12" hidden="1" customHeight="1">
      <c r="A11759" s="172"/>
    </row>
    <row r="11760" spans="1:1" s="173" customFormat="1" ht="12" hidden="1" customHeight="1">
      <c r="A11760" s="172"/>
    </row>
    <row r="11761" spans="1:1" s="173" customFormat="1" ht="12" hidden="1" customHeight="1">
      <c r="A11761" s="172"/>
    </row>
    <row r="11762" spans="1:1" s="173" customFormat="1" ht="12" hidden="1" customHeight="1">
      <c r="A11762" s="172"/>
    </row>
    <row r="11763" spans="1:1" s="173" customFormat="1" ht="12" hidden="1" customHeight="1">
      <c r="A11763" s="172"/>
    </row>
    <row r="11764" spans="1:1" s="173" customFormat="1" ht="12" hidden="1" customHeight="1">
      <c r="A11764" s="172"/>
    </row>
    <row r="11765" spans="1:1" s="173" customFormat="1" ht="12" hidden="1" customHeight="1">
      <c r="A11765" s="172"/>
    </row>
    <row r="11766" spans="1:1" s="173" customFormat="1" ht="12" hidden="1" customHeight="1">
      <c r="A11766" s="172"/>
    </row>
    <row r="11767" spans="1:1" s="173" customFormat="1" ht="12" hidden="1" customHeight="1">
      <c r="A11767" s="172"/>
    </row>
    <row r="11768" spans="1:1" s="173" customFormat="1" ht="12" hidden="1" customHeight="1">
      <c r="A11768" s="172"/>
    </row>
    <row r="11769" spans="1:1" s="173" customFormat="1" ht="12" hidden="1" customHeight="1">
      <c r="A11769" s="172"/>
    </row>
    <row r="11770" spans="1:1" s="173" customFormat="1" ht="12" hidden="1" customHeight="1">
      <c r="A11770" s="172"/>
    </row>
    <row r="11771" spans="1:1" s="173" customFormat="1" ht="12" hidden="1" customHeight="1">
      <c r="A11771" s="172"/>
    </row>
    <row r="11772" spans="1:1" s="173" customFormat="1" ht="12" hidden="1" customHeight="1">
      <c r="A11772" s="172"/>
    </row>
    <row r="11773" spans="1:1" s="173" customFormat="1" ht="12" hidden="1" customHeight="1">
      <c r="A11773" s="172"/>
    </row>
    <row r="11774" spans="1:1" s="173" customFormat="1" ht="12" hidden="1" customHeight="1">
      <c r="A11774" s="172"/>
    </row>
    <row r="11775" spans="1:1" s="173" customFormat="1" ht="12" hidden="1" customHeight="1">
      <c r="A11775" s="172"/>
    </row>
    <row r="11776" spans="1:1" s="173" customFormat="1" ht="12" hidden="1" customHeight="1">
      <c r="A11776" s="172"/>
    </row>
    <row r="11777" spans="1:1" s="173" customFormat="1" ht="12" hidden="1" customHeight="1">
      <c r="A11777" s="172"/>
    </row>
    <row r="11778" spans="1:1" s="173" customFormat="1" ht="12" hidden="1" customHeight="1">
      <c r="A11778" s="172"/>
    </row>
    <row r="11779" spans="1:1" s="173" customFormat="1" ht="12" hidden="1" customHeight="1">
      <c r="A11779" s="172"/>
    </row>
    <row r="11780" spans="1:1" s="173" customFormat="1" ht="12" hidden="1" customHeight="1">
      <c r="A11780" s="172"/>
    </row>
    <row r="11781" spans="1:1" s="173" customFormat="1" ht="12" hidden="1" customHeight="1">
      <c r="A11781" s="172"/>
    </row>
    <row r="11782" spans="1:1" s="173" customFormat="1" ht="12" hidden="1" customHeight="1">
      <c r="A11782" s="172"/>
    </row>
    <row r="11783" spans="1:1" s="173" customFormat="1" ht="12" hidden="1" customHeight="1">
      <c r="A11783" s="172"/>
    </row>
    <row r="11784" spans="1:1" s="173" customFormat="1" ht="12" hidden="1" customHeight="1">
      <c r="A11784" s="172"/>
    </row>
    <row r="11785" spans="1:1" s="173" customFormat="1" ht="12" hidden="1" customHeight="1">
      <c r="A11785" s="172"/>
    </row>
    <row r="11786" spans="1:1" s="173" customFormat="1" ht="12" hidden="1" customHeight="1">
      <c r="A11786" s="172"/>
    </row>
    <row r="11787" spans="1:1" s="173" customFormat="1" ht="12" hidden="1" customHeight="1">
      <c r="A11787" s="172"/>
    </row>
    <row r="11788" spans="1:1" s="173" customFormat="1" ht="12" hidden="1" customHeight="1">
      <c r="A11788" s="172"/>
    </row>
    <row r="11789" spans="1:1" s="173" customFormat="1" ht="12" hidden="1" customHeight="1">
      <c r="A11789" s="172"/>
    </row>
    <row r="11790" spans="1:1" s="173" customFormat="1" ht="12" hidden="1" customHeight="1">
      <c r="A11790" s="172"/>
    </row>
    <row r="11791" spans="1:1" s="173" customFormat="1" ht="12" hidden="1" customHeight="1">
      <c r="A11791" s="172"/>
    </row>
    <row r="11792" spans="1:1" s="173" customFormat="1" ht="12" hidden="1" customHeight="1">
      <c r="A11792" s="172"/>
    </row>
    <row r="11793" spans="1:1" s="173" customFormat="1" ht="12" hidden="1" customHeight="1">
      <c r="A11793" s="172"/>
    </row>
    <row r="11794" spans="1:1" s="173" customFormat="1" ht="12" hidden="1" customHeight="1">
      <c r="A11794" s="172"/>
    </row>
    <row r="11795" spans="1:1" s="173" customFormat="1" ht="12" hidden="1" customHeight="1">
      <c r="A11795" s="172"/>
    </row>
    <row r="11796" spans="1:1" s="173" customFormat="1" ht="12" hidden="1" customHeight="1">
      <c r="A11796" s="172"/>
    </row>
    <row r="11797" spans="1:1" s="173" customFormat="1" ht="12" hidden="1" customHeight="1">
      <c r="A11797" s="172"/>
    </row>
    <row r="11798" spans="1:1" s="173" customFormat="1" ht="12" hidden="1" customHeight="1">
      <c r="A11798" s="172"/>
    </row>
    <row r="11799" spans="1:1" s="173" customFormat="1" ht="12" hidden="1" customHeight="1">
      <c r="A11799" s="172"/>
    </row>
    <row r="11800" spans="1:1" s="173" customFormat="1" ht="12" hidden="1" customHeight="1">
      <c r="A11800" s="172"/>
    </row>
    <row r="11801" spans="1:1" s="173" customFormat="1" ht="12" hidden="1" customHeight="1">
      <c r="A11801" s="172"/>
    </row>
    <row r="11802" spans="1:1" s="173" customFormat="1" ht="12" hidden="1" customHeight="1">
      <c r="A11802" s="172"/>
    </row>
    <row r="11803" spans="1:1" s="173" customFormat="1" ht="12" hidden="1" customHeight="1">
      <c r="A11803" s="172"/>
    </row>
    <row r="11804" spans="1:1" s="173" customFormat="1" ht="12" hidden="1" customHeight="1">
      <c r="A11804" s="172"/>
    </row>
    <row r="11805" spans="1:1" s="173" customFormat="1" ht="12" hidden="1" customHeight="1">
      <c r="A11805" s="172"/>
    </row>
    <row r="11806" spans="1:1" s="173" customFormat="1" ht="12" hidden="1" customHeight="1">
      <c r="A11806" s="172"/>
    </row>
    <row r="11807" spans="1:1" s="173" customFormat="1" ht="12" hidden="1" customHeight="1">
      <c r="A11807" s="172"/>
    </row>
    <row r="11808" spans="1:1" s="173" customFormat="1" ht="12" hidden="1" customHeight="1">
      <c r="A11808" s="172"/>
    </row>
    <row r="11809" spans="1:1" s="173" customFormat="1" ht="12" hidden="1" customHeight="1">
      <c r="A11809" s="172"/>
    </row>
    <row r="11810" spans="1:1" s="173" customFormat="1" ht="12" hidden="1" customHeight="1">
      <c r="A11810" s="172"/>
    </row>
    <row r="11811" spans="1:1" s="173" customFormat="1" ht="12" hidden="1" customHeight="1">
      <c r="A11811" s="172"/>
    </row>
    <row r="11812" spans="1:1" s="173" customFormat="1" ht="12" hidden="1" customHeight="1">
      <c r="A11812" s="172"/>
    </row>
    <row r="11813" spans="1:1" s="173" customFormat="1" ht="12" hidden="1" customHeight="1">
      <c r="A11813" s="172"/>
    </row>
    <row r="11814" spans="1:1" s="173" customFormat="1" ht="12" hidden="1" customHeight="1">
      <c r="A11814" s="172"/>
    </row>
    <row r="11815" spans="1:1" s="173" customFormat="1" ht="12" hidden="1" customHeight="1">
      <c r="A11815" s="172"/>
    </row>
    <row r="11816" spans="1:1" s="173" customFormat="1" ht="12" hidden="1" customHeight="1">
      <c r="A11816" s="172"/>
    </row>
    <row r="11817" spans="1:1" s="173" customFormat="1" ht="12" hidden="1" customHeight="1">
      <c r="A11817" s="172"/>
    </row>
    <row r="11818" spans="1:1" s="173" customFormat="1" ht="12" hidden="1" customHeight="1">
      <c r="A11818" s="172"/>
    </row>
    <row r="11819" spans="1:1" s="173" customFormat="1" ht="12" hidden="1" customHeight="1">
      <c r="A11819" s="172"/>
    </row>
    <row r="11820" spans="1:1" s="173" customFormat="1" ht="12" hidden="1" customHeight="1">
      <c r="A11820" s="172"/>
    </row>
    <row r="11821" spans="1:1" s="173" customFormat="1" ht="12" hidden="1" customHeight="1">
      <c r="A11821" s="172"/>
    </row>
    <row r="11822" spans="1:1" s="173" customFormat="1" ht="12" hidden="1" customHeight="1">
      <c r="A11822" s="172"/>
    </row>
    <row r="11823" spans="1:1" s="173" customFormat="1" ht="12" hidden="1" customHeight="1">
      <c r="A11823" s="172"/>
    </row>
    <row r="11824" spans="1:1" s="173" customFormat="1" ht="12" hidden="1" customHeight="1">
      <c r="A11824" s="172"/>
    </row>
    <row r="11825" spans="1:1" s="173" customFormat="1" ht="12" hidden="1" customHeight="1">
      <c r="A11825" s="172"/>
    </row>
    <row r="11826" spans="1:1" s="173" customFormat="1" ht="12" hidden="1" customHeight="1">
      <c r="A11826" s="172"/>
    </row>
    <row r="11827" spans="1:1" s="173" customFormat="1" ht="12" hidden="1" customHeight="1">
      <c r="A11827" s="172"/>
    </row>
    <row r="11828" spans="1:1" s="173" customFormat="1" ht="12" hidden="1" customHeight="1">
      <c r="A11828" s="172"/>
    </row>
    <row r="11829" spans="1:1" s="173" customFormat="1" ht="12" hidden="1" customHeight="1">
      <c r="A11829" s="172"/>
    </row>
    <row r="11830" spans="1:1" s="173" customFormat="1" ht="12" hidden="1" customHeight="1">
      <c r="A11830" s="172"/>
    </row>
    <row r="11831" spans="1:1" s="173" customFormat="1" ht="12" hidden="1" customHeight="1">
      <c r="A11831" s="172"/>
    </row>
    <row r="11832" spans="1:1" s="173" customFormat="1" ht="12" hidden="1" customHeight="1">
      <c r="A11832" s="172"/>
    </row>
    <row r="11833" spans="1:1" s="173" customFormat="1" ht="12" hidden="1" customHeight="1">
      <c r="A11833" s="172"/>
    </row>
    <row r="11834" spans="1:1" s="173" customFormat="1" ht="12" hidden="1" customHeight="1">
      <c r="A11834" s="172"/>
    </row>
    <row r="11835" spans="1:1" s="173" customFormat="1" ht="12" hidden="1" customHeight="1">
      <c r="A11835" s="172"/>
    </row>
    <row r="11836" spans="1:1" s="173" customFormat="1" ht="12" hidden="1" customHeight="1">
      <c r="A11836" s="172"/>
    </row>
    <row r="11837" spans="1:1" s="173" customFormat="1" ht="12" hidden="1" customHeight="1">
      <c r="A11837" s="172"/>
    </row>
    <row r="11838" spans="1:1" s="173" customFormat="1" ht="12" hidden="1" customHeight="1">
      <c r="A11838" s="172"/>
    </row>
    <row r="11839" spans="1:1" s="173" customFormat="1" ht="12" hidden="1" customHeight="1">
      <c r="A11839" s="172"/>
    </row>
    <row r="11840" spans="1:1" s="173" customFormat="1" ht="12" hidden="1" customHeight="1">
      <c r="A11840" s="172"/>
    </row>
    <row r="11841" spans="1:1" s="173" customFormat="1" ht="12" hidden="1" customHeight="1">
      <c r="A11841" s="172"/>
    </row>
    <row r="11842" spans="1:1" s="173" customFormat="1" ht="12" hidden="1" customHeight="1">
      <c r="A11842" s="172"/>
    </row>
    <row r="11843" spans="1:1" s="173" customFormat="1" ht="12" hidden="1" customHeight="1">
      <c r="A11843" s="172"/>
    </row>
    <row r="11844" spans="1:1" s="173" customFormat="1" ht="12" hidden="1" customHeight="1">
      <c r="A11844" s="172"/>
    </row>
    <row r="11845" spans="1:1" s="173" customFormat="1" ht="12" hidden="1" customHeight="1">
      <c r="A11845" s="172"/>
    </row>
    <row r="11846" spans="1:1" s="173" customFormat="1" ht="12" hidden="1" customHeight="1">
      <c r="A11846" s="172"/>
    </row>
    <row r="11847" spans="1:1" s="173" customFormat="1" ht="12" hidden="1" customHeight="1">
      <c r="A11847" s="172"/>
    </row>
    <row r="11848" spans="1:1" s="173" customFormat="1" ht="12" hidden="1" customHeight="1">
      <c r="A11848" s="172"/>
    </row>
    <row r="11849" spans="1:1" s="173" customFormat="1" ht="12" hidden="1" customHeight="1">
      <c r="A11849" s="172"/>
    </row>
    <row r="11850" spans="1:1" s="173" customFormat="1" ht="12" hidden="1" customHeight="1">
      <c r="A11850" s="172"/>
    </row>
    <row r="11851" spans="1:1" s="173" customFormat="1" ht="12" hidden="1" customHeight="1">
      <c r="A11851" s="172"/>
    </row>
    <row r="11852" spans="1:1" s="173" customFormat="1" ht="12" hidden="1" customHeight="1">
      <c r="A11852" s="172"/>
    </row>
    <row r="11853" spans="1:1" s="173" customFormat="1" ht="12" hidden="1" customHeight="1">
      <c r="A11853" s="172"/>
    </row>
    <row r="11854" spans="1:1" s="173" customFormat="1" ht="12" hidden="1" customHeight="1">
      <c r="A11854" s="172"/>
    </row>
    <row r="11855" spans="1:1" s="173" customFormat="1" ht="12" hidden="1" customHeight="1">
      <c r="A11855" s="172"/>
    </row>
    <row r="11856" spans="1:1" s="173" customFormat="1" ht="12" hidden="1" customHeight="1">
      <c r="A11856" s="172"/>
    </row>
    <row r="11857" spans="1:1" s="173" customFormat="1" ht="12" hidden="1" customHeight="1">
      <c r="A11857" s="172"/>
    </row>
    <row r="11858" spans="1:1" s="173" customFormat="1" ht="12" hidden="1" customHeight="1">
      <c r="A11858" s="172"/>
    </row>
    <row r="11859" spans="1:1" s="173" customFormat="1" ht="12" hidden="1" customHeight="1">
      <c r="A11859" s="172"/>
    </row>
    <row r="11860" spans="1:1" s="173" customFormat="1" ht="12" hidden="1" customHeight="1">
      <c r="A11860" s="172"/>
    </row>
    <row r="11861" spans="1:1" s="173" customFormat="1" ht="12" hidden="1" customHeight="1">
      <c r="A11861" s="172"/>
    </row>
    <row r="11862" spans="1:1" s="173" customFormat="1" ht="12" hidden="1" customHeight="1">
      <c r="A11862" s="172"/>
    </row>
    <row r="11863" spans="1:1" s="173" customFormat="1" ht="12" hidden="1" customHeight="1">
      <c r="A11863" s="172"/>
    </row>
    <row r="11864" spans="1:1" s="173" customFormat="1" ht="12" hidden="1" customHeight="1">
      <c r="A11864" s="172"/>
    </row>
    <row r="11865" spans="1:1" s="173" customFormat="1" ht="12" hidden="1" customHeight="1">
      <c r="A11865" s="172"/>
    </row>
    <row r="11866" spans="1:1" s="173" customFormat="1" ht="12" hidden="1" customHeight="1">
      <c r="A11866" s="172"/>
    </row>
    <row r="11867" spans="1:1" s="173" customFormat="1" ht="12" hidden="1" customHeight="1">
      <c r="A11867" s="172"/>
    </row>
    <row r="11868" spans="1:1" s="173" customFormat="1" ht="12" hidden="1" customHeight="1">
      <c r="A11868" s="172"/>
    </row>
    <row r="11869" spans="1:1" s="173" customFormat="1" ht="12" hidden="1" customHeight="1">
      <c r="A11869" s="172"/>
    </row>
    <row r="11870" spans="1:1" s="173" customFormat="1" ht="12" hidden="1" customHeight="1">
      <c r="A11870" s="172"/>
    </row>
    <row r="11871" spans="1:1" s="173" customFormat="1" ht="12" hidden="1" customHeight="1">
      <c r="A11871" s="172"/>
    </row>
    <row r="11872" spans="1:1" s="173" customFormat="1" ht="12" hidden="1" customHeight="1">
      <c r="A11872" s="172"/>
    </row>
    <row r="11873" spans="1:1" s="173" customFormat="1" ht="12" hidden="1" customHeight="1">
      <c r="A11873" s="172"/>
    </row>
    <row r="11874" spans="1:1" s="173" customFormat="1" ht="12" hidden="1" customHeight="1">
      <c r="A11874" s="172"/>
    </row>
    <row r="11875" spans="1:1" s="173" customFormat="1" ht="12" hidden="1" customHeight="1">
      <c r="A11875" s="172"/>
    </row>
    <row r="11876" spans="1:1" s="173" customFormat="1" ht="12" hidden="1" customHeight="1">
      <c r="A11876" s="172"/>
    </row>
    <row r="11877" spans="1:1" s="173" customFormat="1" ht="12" hidden="1" customHeight="1">
      <c r="A11877" s="172"/>
    </row>
    <row r="11878" spans="1:1" s="173" customFormat="1" ht="12" hidden="1" customHeight="1">
      <c r="A11878" s="172"/>
    </row>
    <row r="11879" spans="1:1" s="173" customFormat="1" ht="12" hidden="1" customHeight="1">
      <c r="A11879" s="172"/>
    </row>
    <row r="11880" spans="1:1" s="173" customFormat="1" ht="12" hidden="1" customHeight="1">
      <c r="A11880" s="172"/>
    </row>
    <row r="11881" spans="1:1" s="173" customFormat="1" ht="12" hidden="1" customHeight="1">
      <c r="A11881" s="172"/>
    </row>
    <row r="11882" spans="1:1" s="173" customFormat="1" ht="12" hidden="1" customHeight="1">
      <c r="A11882" s="172"/>
    </row>
    <row r="11883" spans="1:1" s="173" customFormat="1" ht="12" hidden="1" customHeight="1">
      <c r="A11883" s="172"/>
    </row>
    <row r="11884" spans="1:1" s="173" customFormat="1" ht="12" hidden="1" customHeight="1">
      <c r="A11884" s="172"/>
    </row>
    <row r="11885" spans="1:1" s="173" customFormat="1" ht="12" hidden="1" customHeight="1">
      <c r="A11885" s="172"/>
    </row>
    <row r="11886" spans="1:1" s="173" customFormat="1" ht="12" hidden="1" customHeight="1">
      <c r="A11886" s="172"/>
    </row>
    <row r="11887" spans="1:1" s="173" customFormat="1" ht="12" hidden="1" customHeight="1">
      <c r="A11887" s="172"/>
    </row>
    <row r="11888" spans="1:1" s="173" customFormat="1" ht="12" hidden="1" customHeight="1">
      <c r="A11888" s="172"/>
    </row>
    <row r="11889" spans="1:1" s="173" customFormat="1" ht="12" hidden="1" customHeight="1">
      <c r="A11889" s="172"/>
    </row>
    <row r="11890" spans="1:1" s="173" customFormat="1" ht="12" hidden="1" customHeight="1">
      <c r="A11890" s="172"/>
    </row>
    <row r="11891" spans="1:1" s="173" customFormat="1" ht="12" hidden="1" customHeight="1">
      <c r="A11891" s="172"/>
    </row>
    <row r="11892" spans="1:1" s="173" customFormat="1" ht="12" hidden="1" customHeight="1">
      <c r="A11892" s="172"/>
    </row>
    <row r="11893" spans="1:1" s="173" customFormat="1" ht="12" hidden="1" customHeight="1">
      <c r="A11893" s="172"/>
    </row>
    <row r="11894" spans="1:1" s="173" customFormat="1" ht="12" hidden="1" customHeight="1">
      <c r="A11894" s="172"/>
    </row>
    <row r="11895" spans="1:1" s="173" customFormat="1" ht="12" hidden="1" customHeight="1">
      <c r="A11895" s="172"/>
    </row>
    <row r="11896" spans="1:1" s="173" customFormat="1" ht="12" hidden="1" customHeight="1">
      <c r="A11896" s="172"/>
    </row>
    <row r="11897" spans="1:1" s="173" customFormat="1" ht="12" hidden="1" customHeight="1">
      <c r="A11897" s="172"/>
    </row>
    <row r="11898" spans="1:1" s="173" customFormat="1" ht="12" hidden="1" customHeight="1">
      <c r="A11898" s="172"/>
    </row>
    <row r="11899" spans="1:1" s="173" customFormat="1" ht="12" hidden="1" customHeight="1">
      <c r="A11899" s="172"/>
    </row>
    <row r="11900" spans="1:1" s="173" customFormat="1" ht="12" hidden="1" customHeight="1">
      <c r="A11900" s="172"/>
    </row>
    <row r="11901" spans="1:1" s="173" customFormat="1" ht="12" hidden="1" customHeight="1">
      <c r="A11901" s="172"/>
    </row>
    <row r="11902" spans="1:1" s="173" customFormat="1" ht="12" hidden="1" customHeight="1">
      <c r="A11902" s="172"/>
    </row>
    <row r="11903" spans="1:1" s="173" customFormat="1" ht="12" hidden="1" customHeight="1">
      <c r="A11903" s="172"/>
    </row>
    <row r="11904" spans="1:1" s="173" customFormat="1" ht="12" hidden="1" customHeight="1">
      <c r="A11904" s="172"/>
    </row>
    <row r="11905" spans="1:1" s="173" customFormat="1" ht="12" hidden="1" customHeight="1">
      <c r="A11905" s="172"/>
    </row>
    <row r="11906" spans="1:1" s="173" customFormat="1" ht="12" hidden="1" customHeight="1">
      <c r="A11906" s="172"/>
    </row>
    <row r="11907" spans="1:1" s="173" customFormat="1" ht="12" hidden="1" customHeight="1">
      <c r="A11907" s="172"/>
    </row>
    <row r="11908" spans="1:1" s="173" customFormat="1" ht="12" hidden="1" customHeight="1">
      <c r="A11908" s="172"/>
    </row>
    <row r="11909" spans="1:1" s="173" customFormat="1" ht="12" hidden="1" customHeight="1">
      <c r="A11909" s="172"/>
    </row>
    <row r="11910" spans="1:1" s="173" customFormat="1" ht="12" hidden="1" customHeight="1">
      <c r="A11910" s="172"/>
    </row>
    <row r="11911" spans="1:1" s="173" customFormat="1" ht="12" hidden="1" customHeight="1">
      <c r="A11911" s="172"/>
    </row>
    <row r="11912" spans="1:1" s="173" customFormat="1" ht="12" hidden="1" customHeight="1">
      <c r="A11912" s="172"/>
    </row>
    <row r="11913" spans="1:1" s="173" customFormat="1" ht="12" hidden="1" customHeight="1">
      <c r="A11913" s="172"/>
    </row>
    <row r="11914" spans="1:1" s="173" customFormat="1" ht="12" hidden="1" customHeight="1">
      <c r="A11914" s="172"/>
    </row>
    <row r="11915" spans="1:1" s="173" customFormat="1" ht="12" hidden="1" customHeight="1">
      <c r="A11915" s="172"/>
    </row>
    <row r="11916" spans="1:1" s="173" customFormat="1" ht="12" hidden="1" customHeight="1">
      <c r="A11916" s="172"/>
    </row>
    <row r="11917" spans="1:1" s="173" customFormat="1" ht="12" hidden="1" customHeight="1">
      <c r="A11917" s="172"/>
    </row>
    <row r="11918" spans="1:1" s="173" customFormat="1" ht="12" hidden="1" customHeight="1">
      <c r="A11918" s="172"/>
    </row>
    <row r="11919" spans="1:1" s="173" customFormat="1" ht="12" hidden="1" customHeight="1">
      <c r="A11919" s="172"/>
    </row>
    <row r="11920" spans="1:1" s="173" customFormat="1" ht="12" hidden="1" customHeight="1">
      <c r="A11920" s="172"/>
    </row>
    <row r="11921" spans="1:1" s="173" customFormat="1" ht="12" hidden="1" customHeight="1">
      <c r="A11921" s="172"/>
    </row>
    <row r="11922" spans="1:1" s="173" customFormat="1" ht="12" hidden="1" customHeight="1">
      <c r="A11922" s="172"/>
    </row>
    <row r="11923" spans="1:1" s="173" customFormat="1" ht="12" hidden="1" customHeight="1">
      <c r="A11923" s="172"/>
    </row>
    <row r="11924" spans="1:1" s="173" customFormat="1" ht="12" hidden="1" customHeight="1">
      <c r="A11924" s="172"/>
    </row>
    <row r="11925" spans="1:1" s="173" customFormat="1" ht="12" hidden="1" customHeight="1">
      <c r="A11925" s="172"/>
    </row>
    <row r="11926" spans="1:1" s="173" customFormat="1" ht="12" hidden="1" customHeight="1">
      <c r="A11926" s="172"/>
    </row>
    <row r="11927" spans="1:1" s="173" customFormat="1" ht="12" hidden="1" customHeight="1">
      <c r="A11927" s="172"/>
    </row>
    <row r="11928" spans="1:1" s="173" customFormat="1" ht="12" hidden="1" customHeight="1">
      <c r="A11928" s="172"/>
    </row>
    <row r="11929" spans="1:1" s="173" customFormat="1" ht="12" hidden="1" customHeight="1">
      <c r="A11929" s="172"/>
    </row>
    <row r="11930" spans="1:1" s="173" customFormat="1" ht="12" hidden="1" customHeight="1">
      <c r="A11930" s="172"/>
    </row>
    <row r="11931" spans="1:1" s="173" customFormat="1" ht="12" hidden="1" customHeight="1">
      <c r="A11931" s="172"/>
    </row>
    <row r="11932" spans="1:1" s="173" customFormat="1" ht="12" hidden="1" customHeight="1">
      <c r="A11932" s="172"/>
    </row>
    <row r="11933" spans="1:1" s="173" customFormat="1" ht="12" hidden="1" customHeight="1">
      <c r="A11933" s="172"/>
    </row>
    <row r="11934" spans="1:1" s="173" customFormat="1" ht="12" hidden="1" customHeight="1">
      <c r="A11934" s="172"/>
    </row>
    <row r="11935" spans="1:1" s="173" customFormat="1" ht="12" hidden="1" customHeight="1">
      <c r="A11935" s="172"/>
    </row>
    <row r="11936" spans="1:1" s="173" customFormat="1" ht="12" hidden="1" customHeight="1">
      <c r="A11936" s="172"/>
    </row>
    <row r="11937" spans="1:1" s="173" customFormat="1" ht="12" hidden="1" customHeight="1">
      <c r="A11937" s="172"/>
    </row>
    <row r="11938" spans="1:1" s="173" customFormat="1" ht="12" hidden="1" customHeight="1">
      <c r="A11938" s="172"/>
    </row>
    <row r="11939" spans="1:1" s="173" customFormat="1" ht="12" hidden="1" customHeight="1">
      <c r="A11939" s="172"/>
    </row>
    <row r="11940" spans="1:1" s="173" customFormat="1" ht="12" hidden="1" customHeight="1">
      <c r="A11940" s="172"/>
    </row>
    <row r="11941" spans="1:1" s="173" customFormat="1" ht="12" hidden="1" customHeight="1">
      <c r="A11941" s="172"/>
    </row>
    <row r="11942" spans="1:1" s="173" customFormat="1" ht="12" hidden="1" customHeight="1">
      <c r="A11942" s="172"/>
    </row>
    <row r="11943" spans="1:1" s="173" customFormat="1" ht="12" hidden="1" customHeight="1">
      <c r="A11943" s="172"/>
    </row>
    <row r="11944" spans="1:1" s="173" customFormat="1" ht="12" hidden="1" customHeight="1">
      <c r="A11944" s="172"/>
    </row>
    <row r="11945" spans="1:1" s="173" customFormat="1" ht="12" hidden="1" customHeight="1">
      <c r="A11945" s="172"/>
    </row>
    <row r="11946" spans="1:1" s="173" customFormat="1" ht="12" hidden="1" customHeight="1">
      <c r="A11946" s="172"/>
    </row>
    <row r="11947" spans="1:1" s="173" customFormat="1" ht="12" hidden="1" customHeight="1">
      <c r="A11947" s="172"/>
    </row>
    <row r="11948" spans="1:1" s="173" customFormat="1" ht="12" hidden="1" customHeight="1">
      <c r="A11948" s="172"/>
    </row>
    <row r="11949" spans="1:1" s="173" customFormat="1" ht="12" hidden="1" customHeight="1">
      <c r="A11949" s="172"/>
    </row>
    <row r="11950" spans="1:1" s="173" customFormat="1" ht="12" hidden="1" customHeight="1">
      <c r="A11950" s="172"/>
    </row>
    <row r="11951" spans="1:1" s="173" customFormat="1" ht="12" hidden="1" customHeight="1">
      <c r="A11951" s="172"/>
    </row>
    <row r="11952" spans="1:1" s="173" customFormat="1" ht="12" hidden="1" customHeight="1">
      <c r="A11952" s="172"/>
    </row>
    <row r="11953" spans="1:1" s="173" customFormat="1" ht="12" hidden="1" customHeight="1">
      <c r="A11953" s="172"/>
    </row>
    <row r="11954" spans="1:1" s="173" customFormat="1" ht="12" hidden="1" customHeight="1">
      <c r="A11954" s="172"/>
    </row>
    <row r="11955" spans="1:1" s="173" customFormat="1" ht="12" hidden="1" customHeight="1">
      <c r="A11955" s="172"/>
    </row>
    <row r="11956" spans="1:1" s="173" customFormat="1" ht="12" hidden="1" customHeight="1">
      <c r="A11956" s="172"/>
    </row>
    <row r="11957" spans="1:1" s="173" customFormat="1" ht="12" hidden="1" customHeight="1">
      <c r="A11957" s="172"/>
    </row>
    <row r="11958" spans="1:1" s="173" customFormat="1" ht="12" hidden="1" customHeight="1">
      <c r="A11958" s="172"/>
    </row>
    <row r="11959" spans="1:1" s="173" customFormat="1" ht="12" hidden="1" customHeight="1">
      <c r="A11959" s="172"/>
    </row>
    <row r="11960" spans="1:1" s="173" customFormat="1" ht="12" hidden="1" customHeight="1">
      <c r="A11960" s="172"/>
    </row>
    <row r="11961" spans="1:1" s="173" customFormat="1" ht="12" hidden="1" customHeight="1">
      <c r="A11961" s="172"/>
    </row>
    <row r="11962" spans="1:1" s="173" customFormat="1" ht="12" hidden="1" customHeight="1">
      <c r="A11962" s="172"/>
    </row>
    <row r="11963" spans="1:1" s="173" customFormat="1" ht="12" hidden="1" customHeight="1">
      <c r="A11963" s="172"/>
    </row>
    <row r="11964" spans="1:1" s="173" customFormat="1" ht="12" hidden="1" customHeight="1">
      <c r="A11964" s="172"/>
    </row>
    <row r="11965" spans="1:1" s="173" customFormat="1" ht="12" hidden="1" customHeight="1">
      <c r="A11965" s="172"/>
    </row>
    <row r="11966" spans="1:1" s="173" customFormat="1" ht="12" hidden="1" customHeight="1">
      <c r="A11966" s="172"/>
    </row>
    <row r="11967" spans="1:1" s="173" customFormat="1" ht="12" hidden="1" customHeight="1">
      <c r="A11967" s="172"/>
    </row>
    <row r="11968" spans="1:1" s="173" customFormat="1" ht="12" hidden="1" customHeight="1">
      <c r="A11968" s="172"/>
    </row>
    <row r="11969" spans="1:1" s="173" customFormat="1" ht="12" hidden="1" customHeight="1">
      <c r="A11969" s="172"/>
    </row>
    <row r="11970" spans="1:1" s="173" customFormat="1" ht="12" hidden="1" customHeight="1">
      <c r="A11970" s="172"/>
    </row>
    <row r="11971" spans="1:1" s="173" customFormat="1" ht="12" hidden="1" customHeight="1">
      <c r="A11971" s="172"/>
    </row>
    <row r="11972" spans="1:1" s="173" customFormat="1" ht="12" hidden="1" customHeight="1">
      <c r="A11972" s="172"/>
    </row>
    <row r="11973" spans="1:1" s="173" customFormat="1" ht="12" hidden="1" customHeight="1">
      <c r="A11973" s="172"/>
    </row>
    <row r="11974" spans="1:1" s="173" customFormat="1" ht="12" hidden="1" customHeight="1">
      <c r="A11974" s="172"/>
    </row>
    <row r="11975" spans="1:1" s="173" customFormat="1" ht="12" hidden="1" customHeight="1">
      <c r="A11975" s="172"/>
    </row>
    <row r="11976" spans="1:1" s="173" customFormat="1" ht="12" hidden="1" customHeight="1">
      <c r="A11976" s="172"/>
    </row>
    <row r="11977" spans="1:1" s="173" customFormat="1" ht="12" hidden="1" customHeight="1">
      <c r="A11977" s="172"/>
    </row>
    <row r="11978" spans="1:1" s="173" customFormat="1" ht="12" hidden="1" customHeight="1">
      <c r="A11978" s="172"/>
    </row>
    <row r="11979" spans="1:1" s="173" customFormat="1" ht="12" hidden="1" customHeight="1">
      <c r="A11979" s="172"/>
    </row>
    <row r="11980" spans="1:1" s="173" customFormat="1" ht="12" hidden="1" customHeight="1">
      <c r="A11980" s="172"/>
    </row>
    <row r="11981" spans="1:1" s="173" customFormat="1" ht="12" hidden="1" customHeight="1">
      <c r="A11981" s="172"/>
    </row>
    <row r="11982" spans="1:1" s="173" customFormat="1" ht="12" hidden="1" customHeight="1">
      <c r="A11982" s="172"/>
    </row>
    <row r="11983" spans="1:1" s="173" customFormat="1" ht="12" hidden="1" customHeight="1">
      <c r="A11983" s="172"/>
    </row>
    <row r="11984" spans="1:1" s="173" customFormat="1" ht="12" hidden="1" customHeight="1">
      <c r="A11984" s="172"/>
    </row>
    <row r="11985" spans="1:1" s="173" customFormat="1" ht="12" hidden="1" customHeight="1">
      <c r="A11985" s="172"/>
    </row>
    <row r="11986" spans="1:1" s="173" customFormat="1" ht="12" hidden="1" customHeight="1">
      <c r="A11986" s="172"/>
    </row>
    <row r="11987" spans="1:1" s="173" customFormat="1" ht="12" hidden="1" customHeight="1">
      <c r="A11987" s="172"/>
    </row>
    <row r="11988" spans="1:1" s="173" customFormat="1" ht="12" hidden="1" customHeight="1">
      <c r="A11988" s="172"/>
    </row>
    <row r="11989" spans="1:1" s="173" customFormat="1" ht="12" hidden="1" customHeight="1">
      <c r="A11989" s="172"/>
    </row>
    <row r="11990" spans="1:1" s="173" customFormat="1" ht="12" hidden="1" customHeight="1">
      <c r="A11990" s="172"/>
    </row>
    <row r="11991" spans="1:1" s="173" customFormat="1" ht="12" hidden="1" customHeight="1">
      <c r="A11991" s="172"/>
    </row>
    <row r="11992" spans="1:1" s="173" customFormat="1" ht="12" hidden="1" customHeight="1">
      <c r="A11992" s="172"/>
    </row>
    <row r="11993" spans="1:1" s="173" customFormat="1" ht="12" hidden="1" customHeight="1">
      <c r="A11993" s="172"/>
    </row>
    <row r="11994" spans="1:1" s="173" customFormat="1" ht="12" hidden="1" customHeight="1">
      <c r="A11994" s="172"/>
    </row>
    <row r="11995" spans="1:1" s="173" customFormat="1" ht="12" hidden="1" customHeight="1">
      <c r="A11995" s="172"/>
    </row>
    <row r="11996" spans="1:1" s="173" customFormat="1" ht="12" hidden="1" customHeight="1">
      <c r="A11996" s="172"/>
    </row>
    <row r="11997" spans="1:1" s="173" customFormat="1" ht="12" hidden="1" customHeight="1">
      <c r="A11997" s="172"/>
    </row>
    <row r="11998" spans="1:1" s="173" customFormat="1" ht="12" hidden="1" customHeight="1">
      <c r="A11998" s="172"/>
    </row>
    <row r="11999" spans="1:1" s="173" customFormat="1" ht="12" hidden="1" customHeight="1">
      <c r="A11999" s="172"/>
    </row>
    <row r="12000" spans="1:1" s="173" customFormat="1" ht="12" hidden="1" customHeight="1">
      <c r="A12000" s="172"/>
    </row>
    <row r="12001" spans="1:1" s="173" customFormat="1" ht="12" hidden="1" customHeight="1">
      <c r="A12001" s="172"/>
    </row>
    <row r="12002" spans="1:1" s="173" customFormat="1" ht="12" hidden="1" customHeight="1">
      <c r="A12002" s="172"/>
    </row>
    <row r="12003" spans="1:1" s="173" customFormat="1" ht="12" hidden="1" customHeight="1">
      <c r="A12003" s="172"/>
    </row>
    <row r="12004" spans="1:1" s="173" customFormat="1" ht="12" hidden="1" customHeight="1">
      <c r="A12004" s="172"/>
    </row>
    <row r="12005" spans="1:1" s="173" customFormat="1" ht="12" hidden="1" customHeight="1">
      <c r="A12005" s="172"/>
    </row>
    <row r="12006" spans="1:1" s="173" customFormat="1" ht="12" hidden="1" customHeight="1">
      <c r="A12006" s="172"/>
    </row>
    <row r="12007" spans="1:1" s="173" customFormat="1" ht="12" hidden="1" customHeight="1">
      <c r="A12007" s="172"/>
    </row>
    <row r="12008" spans="1:1" s="173" customFormat="1" ht="12" hidden="1" customHeight="1">
      <c r="A12008" s="172"/>
    </row>
    <row r="12009" spans="1:1" s="173" customFormat="1" ht="12" hidden="1" customHeight="1">
      <c r="A12009" s="172"/>
    </row>
    <row r="12010" spans="1:1" s="173" customFormat="1" ht="12" hidden="1" customHeight="1">
      <c r="A12010" s="172"/>
    </row>
    <row r="12011" spans="1:1" s="173" customFormat="1" ht="12" hidden="1" customHeight="1">
      <c r="A12011" s="172"/>
    </row>
    <row r="12012" spans="1:1" s="173" customFormat="1" ht="12" hidden="1" customHeight="1">
      <c r="A12012" s="172"/>
    </row>
    <row r="12013" spans="1:1" s="173" customFormat="1" ht="12" hidden="1" customHeight="1">
      <c r="A12013" s="172"/>
    </row>
    <row r="12014" spans="1:1" s="173" customFormat="1" ht="12" hidden="1" customHeight="1">
      <c r="A12014" s="172"/>
    </row>
    <row r="12015" spans="1:1" s="173" customFormat="1" ht="12" hidden="1" customHeight="1">
      <c r="A12015" s="172"/>
    </row>
    <row r="12016" spans="1:1" s="173" customFormat="1" ht="12" hidden="1" customHeight="1">
      <c r="A12016" s="172"/>
    </row>
    <row r="12017" spans="1:1" s="173" customFormat="1" ht="12" hidden="1" customHeight="1">
      <c r="A12017" s="172"/>
    </row>
    <row r="12018" spans="1:1" s="173" customFormat="1" ht="12" hidden="1" customHeight="1">
      <c r="A12018" s="172"/>
    </row>
    <row r="12019" spans="1:1" s="173" customFormat="1" ht="12" hidden="1" customHeight="1">
      <c r="A12019" s="172"/>
    </row>
    <row r="12020" spans="1:1" s="173" customFormat="1" ht="12" hidden="1" customHeight="1">
      <c r="A12020" s="172"/>
    </row>
    <row r="12021" spans="1:1" s="173" customFormat="1" ht="12" hidden="1" customHeight="1">
      <c r="A12021" s="172"/>
    </row>
    <row r="12022" spans="1:1" s="173" customFormat="1" ht="12" hidden="1" customHeight="1">
      <c r="A12022" s="172"/>
    </row>
    <row r="12023" spans="1:1" s="173" customFormat="1" ht="12" hidden="1" customHeight="1">
      <c r="A12023" s="172"/>
    </row>
    <row r="12024" spans="1:1" s="173" customFormat="1" ht="12" hidden="1" customHeight="1">
      <c r="A12024" s="172"/>
    </row>
    <row r="12025" spans="1:1" s="173" customFormat="1" ht="12" hidden="1" customHeight="1">
      <c r="A12025" s="172"/>
    </row>
    <row r="12026" spans="1:1" s="173" customFormat="1" ht="12" hidden="1" customHeight="1">
      <c r="A12026" s="172"/>
    </row>
    <row r="12027" spans="1:1" s="173" customFormat="1" ht="12" hidden="1" customHeight="1">
      <c r="A12027" s="172"/>
    </row>
    <row r="12028" spans="1:1" s="173" customFormat="1" ht="12" hidden="1" customHeight="1">
      <c r="A12028" s="172"/>
    </row>
    <row r="12029" spans="1:1" s="173" customFormat="1" ht="12" hidden="1" customHeight="1">
      <c r="A12029" s="172"/>
    </row>
    <row r="12030" spans="1:1" s="173" customFormat="1" ht="12" hidden="1" customHeight="1">
      <c r="A12030" s="172"/>
    </row>
    <row r="12031" spans="1:1" s="173" customFormat="1" ht="12" hidden="1" customHeight="1">
      <c r="A12031" s="172"/>
    </row>
    <row r="12032" spans="1:1" s="173" customFormat="1" ht="12" hidden="1" customHeight="1">
      <c r="A12032" s="172"/>
    </row>
    <row r="12033" spans="1:1" s="173" customFormat="1" ht="12" hidden="1" customHeight="1">
      <c r="A12033" s="172"/>
    </row>
    <row r="12034" spans="1:1" s="173" customFormat="1" ht="12" hidden="1" customHeight="1">
      <c r="A12034" s="172"/>
    </row>
    <row r="12035" spans="1:1" s="173" customFormat="1" ht="12" hidden="1" customHeight="1">
      <c r="A12035" s="172"/>
    </row>
    <row r="12036" spans="1:1" s="173" customFormat="1" ht="12" hidden="1" customHeight="1">
      <c r="A12036" s="172"/>
    </row>
    <row r="12037" spans="1:1" s="173" customFormat="1" ht="12" hidden="1" customHeight="1">
      <c r="A12037" s="172"/>
    </row>
    <row r="12038" spans="1:1" s="173" customFormat="1" ht="12" hidden="1" customHeight="1">
      <c r="A12038" s="172"/>
    </row>
    <row r="12039" spans="1:1" s="173" customFormat="1" ht="12" hidden="1" customHeight="1">
      <c r="A12039" s="172"/>
    </row>
    <row r="12040" spans="1:1" s="173" customFormat="1" ht="12" hidden="1" customHeight="1">
      <c r="A12040" s="172"/>
    </row>
    <row r="12041" spans="1:1" s="173" customFormat="1" ht="12" hidden="1" customHeight="1">
      <c r="A12041" s="172"/>
    </row>
    <row r="12042" spans="1:1" s="173" customFormat="1" ht="12" hidden="1" customHeight="1">
      <c r="A12042" s="172"/>
    </row>
    <row r="12043" spans="1:1" s="173" customFormat="1" ht="12" hidden="1" customHeight="1">
      <c r="A12043" s="172"/>
    </row>
    <row r="12044" spans="1:1" s="173" customFormat="1" ht="12" hidden="1" customHeight="1">
      <c r="A12044" s="172"/>
    </row>
    <row r="12045" spans="1:1" s="173" customFormat="1" ht="12" hidden="1" customHeight="1">
      <c r="A12045" s="172"/>
    </row>
    <row r="12046" spans="1:1" s="173" customFormat="1" ht="12" hidden="1" customHeight="1">
      <c r="A12046" s="172"/>
    </row>
    <row r="12047" spans="1:1" s="173" customFormat="1" ht="12" hidden="1" customHeight="1">
      <c r="A12047" s="172"/>
    </row>
    <row r="12048" spans="1:1" s="173" customFormat="1" ht="12" hidden="1" customHeight="1">
      <c r="A12048" s="172"/>
    </row>
    <row r="12049" spans="1:1" s="173" customFormat="1" ht="12" hidden="1" customHeight="1">
      <c r="A12049" s="172"/>
    </row>
    <row r="12050" spans="1:1" s="173" customFormat="1" ht="12" hidden="1" customHeight="1">
      <c r="A12050" s="172"/>
    </row>
    <row r="12051" spans="1:1" s="173" customFormat="1" ht="12" hidden="1" customHeight="1">
      <c r="A12051" s="172"/>
    </row>
    <row r="12052" spans="1:1" s="173" customFormat="1" ht="12" hidden="1" customHeight="1">
      <c r="A12052" s="172"/>
    </row>
    <row r="12053" spans="1:1" s="173" customFormat="1" ht="12" hidden="1" customHeight="1">
      <c r="A12053" s="172"/>
    </row>
    <row r="12054" spans="1:1" s="173" customFormat="1" ht="12" hidden="1" customHeight="1">
      <c r="A12054" s="172"/>
    </row>
    <row r="12055" spans="1:1" s="173" customFormat="1" ht="12" hidden="1" customHeight="1">
      <c r="A12055" s="172"/>
    </row>
    <row r="12056" spans="1:1" s="173" customFormat="1" ht="12" hidden="1" customHeight="1">
      <c r="A12056" s="172"/>
    </row>
    <row r="12057" spans="1:1" s="173" customFormat="1" ht="12" hidden="1" customHeight="1">
      <c r="A12057" s="172"/>
    </row>
    <row r="12058" spans="1:1" s="173" customFormat="1" ht="12" hidden="1" customHeight="1">
      <c r="A12058" s="172"/>
    </row>
    <row r="12059" spans="1:1" s="173" customFormat="1" ht="12" hidden="1" customHeight="1">
      <c r="A12059" s="172"/>
    </row>
    <row r="12060" spans="1:1" s="173" customFormat="1" ht="12" hidden="1" customHeight="1">
      <c r="A12060" s="172"/>
    </row>
    <row r="12061" spans="1:1" s="173" customFormat="1" ht="12" hidden="1" customHeight="1">
      <c r="A12061" s="172"/>
    </row>
    <row r="12062" spans="1:1" s="173" customFormat="1" ht="12" hidden="1" customHeight="1">
      <c r="A12062" s="172"/>
    </row>
    <row r="12063" spans="1:1" s="173" customFormat="1" ht="12" hidden="1" customHeight="1">
      <c r="A12063" s="172"/>
    </row>
    <row r="12064" spans="1:1" s="173" customFormat="1" ht="12" hidden="1" customHeight="1">
      <c r="A12064" s="172"/>
    </row>
    <row r="12065" spans="1:1" s="173" customFormat="1" ht="12" hidden="1" customHeight="1">
      <c r="A12065" s="172"/>
    </row>
    <row r="12066" spans="1:1" s="173" customFormat="1" ht="12" hidden="1" customHeight="1">
      <c r="A12066" s="172"/>
    </row>
    <row r="12067" spans="1:1" s="173" customFormat="1" ht="12" hidden="1" customHeight="1">
      <c r="A12067" s="172"/>
    </row>
    <row r="12068" spans="1:1" s="173" customFormat="1" ht="12" hidden="1" customHeight="1">
      <c r="A12068" s="172"/>
    </row>
    <row r="12069" spans="1:1" s="173" customFormat="1" ht="12" hidden="1" customHeight="1">
      <c r="A12069" s="172"/>
    </row>
    <row r="12070" spans="1:1" s="173" customFormat="1" ht="12" hidden="1" customHeight="1">
      <c r="A12070" s="172"/>
    </row>
    <row r="12071" spans="1:1" s="173" customFormat="1" ht="12" hidden="1" customHeight="1">
      <c r="A12071" s="172"/>
    </row>
    <row r="12072" spans="1:1" s="173" customFormat="1" ht="12" hidden="1" customHeight="1">
      <c r="A12072" s="172"/>
    </row>
    <row r="12073" spans="1:1" s="173" customFormat="1" ht="12" hidden="1" customHeight="1">
      <c r="A12073" s="172"/>
    </row>
    <row r="12074" spans="1:1" s="173" customFormat="1" ht="12" hidden="1" customHeight="1">
      <c r="A12074" s="172"/>
    </row>
    <row r="12075" spans="1:1" s="173" customFormat="1" ht="12" hidden="1" customHeight="1">
      <c r="A12075" s="172"/>
    </row>
    <row r="12076" spans="1:1" s="173" customFormat="1" ht="12" hidden="1" customHeight="1">
      <c r="A12076" s="172"/>
    </row>
    <row r="12077" spans="1:1" s="173" customFormat="1" ht="12" hidden="1" customHeight="1">
      <c r="A12077" s="172"/>
    </row>
    <row r="12078" spans="1:1" s="173" customFormat="1" ht="12" hidden="1" customHeight="1">
      <c r="A12078" s="172"/>
    </row>
    <row r="12079" spans="1:1" s="173" customFormat="1" ht="12" hidden="1" customHeight="1">
      <c r="A12079" s="172"/>
    </row>
    <row r="12080" spans="1:1" s="173" customFormat="1" ht="12" hidden="1" customHeight="1">
      <c r="A12080" s="172"/>
    </row>
    <row r="12081" spans="1:1" s="173" customFormat="1" ht="12" hidden="1" customHeight="1">
      <c r="A12081" s="172"/>
    </row>
    <row r="12082" spans="1:1" s="173" customFormat="1" ht="12" hidden="1" customHeight="1">
      <c r="A12082" s="172"/>
    </row>
    <row r="12083" spans="1:1" s="173" customFormat="1" ht="12" hidden="1" customHeight="1">
      <c r="A12083" s="172"/>
    </row>
    <row r="12084" spans="1:1" s="173" customFormat="1" ht="12" hidden="1" customHeight="1">
      <c r="A12084" s="172"/>
    </row>
    <row r="12085" spans="1:1" s="173" customFormat="1" ht="12" hidden="1" customHeight="1">
      <c r="A12085" s="172"/>
    </row>
    <row r="12086" spans="1:1" s="173" customFormat="1" ht="12" hidden="1" customHeight="1">
      <c r="A12086" s="172"/>
    </row>
    <row r="12087" spans="1:1" s="173" customFormat="1" ht="12" hidden="1" customHeight="1">
      <c r="A12087" s="172"/>
    </row>
    <row r="12088" spans="1:1" s="173" customFormat="1" ht="12" hidden="1" customHeight="1">
      <c r="A12088" s="172"/>
    </row>
    <row r="12089" spans="1:1" s="173" customFormat="1" ht="12" hidden="1" customHeight="1">
      <c r="A12089" s="172"/>
    </row>
    <row r="12090" spans="1:1" s="173" customFormat="1" ht="12" hidden="1" customHeight="1">
      <c r="A12090" s="172"/>
    </row>
    <row r="12091" spans="1:1" s="173" customFormat="1" ht="12" hidden="1" customHeight="1">
      <c r="A12091" s="172"/>
    </row>
    <row r="12092" spans="1:1" s="173" customFormat="1" ht="12" hidden="1" customHeight="1">
      <c r="A12092" s="172"/>
    </row>
    <row r="12093" spans="1:1" s="173" customFormat="1" ht="12" hidden="1" customHeight="1">
      <c r="A12093" s="172"/>
    </row>
    <row r="12094" spans="1:1" s="173" customFormat="1" ht="12" hidden="1" customHeight="1">
      <c r="A12094" s="172"/>
    </row>
    <row r="12095" spans="1:1" s="173" customFormat="1" ht="12" hidden="1" customHeight="1">
      <c r="A12095" s="172"/>
    </row>
    <row r="12096" spans="1:1" s="173" customFormat="1" ht="12" hidden="1" customHeight="1">
      <c r="A12096" s="172"/>
    </row>
    <row r="12097" spans="1:1" s="173" customFormat="1" ht="12" hidden="1" customHeight="1">
      <c r="A12097" s="172"/>
    </row>
    <row r="12098" spans="1:1" s="173" customFormat="1" ht="12" hidden="1" customHeight="1">
      <c r="A12098" s="172"/>
    </row>
    <row r="12099" spans="1:1" s="173" customFormat="1" ht="12" hidden="1" customHeight="1">
      <c r="A12099" s="172"/>
    </row>
    <row r="12100" spans="1:1" s="173" customFormat="1" ht="12" hidden="1" customHeight="1">
      <c r="A12100" s="172"/>
    </row>
    <row r="12101" spans="1:1" s="173" customFormat="1" ht="12" hidden="1" customHeight="1">
      <c r="A12101" s="172"/>
    </row>
    <row r="12102" spans="1:1" s="173" customFormat="1" ht="12" hidden="1" customHeight="1">
      <c r="A12102" s="172"/>
    </row>
    <row r="12103" spans="1:1" s="173" customFormat="1" ht="12" hidden="1" customHeight="1">
      <c r="A12103" s="172"/>
    </row>
    <row r="12104" spans="1:1" s="173" customFormat="1" ht="12" hidden="1" customHeight="1">
      <c r="A12104" s="172"/>
    </row>
    <row r="12105" spans="1:1" s="173" customFormat="1" ht="12" hidden="1" customHeight="1">
      <c r="A12105" s="172"/>
    </row>
    <row r="12106" spans="1:1" s="173" customFormat="1" ht="12" hidden="1" customHeight="1">
      <c r="A12106" s="172"/>
    </row>
    <row r="12107" spans="1:1" s="173" customFormat="1" ht="12" hidden="1" customHeight="1">
      <c r="A12107" s="172"/>
    </row>
    <row r="12108" spans="1:1" s="173" customFormat="1" ht="12" hidden="1" customHeight="1">
      <c r="A12108" s="172"/>
    </row>
    <row r="12109" spans="1:1" s="173" customFormat="1" ht="12" hidden="1" customHeight="1">
      <c r="A12109" s="172"/>
    </row>
    <row r="12110" spans="1:1" s="173" customFormat="1" ht="12" hidden="1" customHeight="1">
      <c r="A12110" s="172"/>
    </row>
    <row r="12111" spans="1:1" s="173" customFormat="1" ht="12" hidden="1" customHeight="1">
      <c r="A12111" s="172"/>
    </row>
    <row r="12112" spans="1:1" s="173" customFormat="1" ht="12" hidden="1" customHeight="1">
      <c r="A12112" s="172"/>
    </row>
    <row r="12113" spans="1:1" s="173" customFormat="1" ht="12" hidden="1" customHeight="1">
      <c r="A12113" s="172"/>
    </row>
    <row r="12114" spans="1:1" s="173" customFormat="1" ht="12" hidden="1" customHeight="1">
      <c r="A12114" s="172"/>
    </row>
    <row r="12115" spans="1:1" s="173" customFormat="1" ht="12" hidden="1" customHeight="1">
      <c r="A12115" s="172"/>
    </row>
    <row r="12116" spans="1:1" s="173" customFormat="1" ht="12" hidden="1" customHeight="1">
      <c r="A12116" s="172"/>
    </row>
    <row r="12117" spans="1:1" s="173" customFormat="1" ht="12" hidden="1" customHeight="1">
      <c r="A12117" s="172"/>
    </row>
    <row r="12118" spans="1:1" s="173" customFormat="1" ht="12" hidden="1" customHeight="1">
      <c r="A12118" s="172"/>
    </row>
    <row r="12119" spans="1:1" s="173" customFormat="1" ht="12" hidden="1" customHeight="1">
      <c r="A12119" s="172"/>
    </row>
    <row r="12120" spans="1:1" s="173" customFormat="1" ht="12" hidden="1" customHeight="1">
      <c r="A12120" s="172"/>
    </row>
    <row r="12121" spans="1:1" s="173" customFormat="1" ht="12" hidden="1" customHeight="1">
      <c r="A12121" s="172"/>
    </row>
    <row r="12122" spans="1:1" s="173" customFormat="1" ht="12" hidden="1" customHeight="1">
      <c r="A12122" s="172"/>
    </row>
    <row r="12123" spans="1:1" s="173" customFormat="1" ht="12" hidden="1" customHeight="1">
      <c r="A12123" s="172"/>
    </row>
    <row r="12124" spans="1:1" s="173" customFormat="1" ht="12" hidden="1" customHeight="1">
      <c r="A12124" s="172"/>
    </row>
    <row r="12125" spans="1:1" s="173" customFormat="1" ht="12" hidden="1" customHeight="1">
      <c r="A12125" s="172"/>
    </row>
    <row r="12126" spans="1:1" s="173" customFormat="1" ht="12" hidden="1" customHeight="1">
      <c r="A12126" s="172"/>
    </row>
    <row r="12127" spans="1:1" s="173" customFormat="1" ht="12" hidden="1" customHeight="1">
      <c r="A12127" s="172"/>
    </row>
    <row r="12128" spans="1:1" s="173" customFormat="1" ht="12" hidden="1" customHeight="1">
      <c r="A12128" s="172"/>
    </row>
    <row r="12129" spans="1:1" s="173" customFormat="1" ht="12" hidden="1" customHeight="1">
      <c r="A12129" s="172"/>
    </row>
    <row r="12130" spans="1:1" s="173" customFormat="1" ht="12" hidden="1" customHeight="1">
      <c r="A12130" s="172"/>
    </row>
    <row r="12131" spans="1:1" s="173" customFormat="1" ht="12" hidden="1" customHeight="1">
      <c r="A12131" s="172"/>
    </row>
    <row r="12132" spans="1:1" s="173" customFormat="1" ht="12" hidden="1" customHeight="1">
      <c r="A12132" s="172"/>
    </row>
    <row r="12133" spans="1:1" s="173" customFormat="1" ht="12" hidden="1" customHeight="1">
      <c r="A12133" s="172"/>
    </row>
    <row r="12134" spans="1:1" s="173" customFormat="1" ht="12" hidden="1" customHeight="1">
      <c r="A12134" s="172"/>
    </row>
    <row r="12135" spans="1:1" s="173" customFormat="1" ht="12" hidden="1" customHeight="1">
      <c r="A12135" s="172"/>
    </row>
    <row r="12136" spans="1:1" s="173" customFormat="1" ht="12" hidden="1" customHeight="1">
      <c r="A12136" s="172"/>
    </row>
    <row r="12137" spans="1:1" s="173" customFormat="1" ht="12" hidden="1" customHeight="1">
      <c r="A12137" s="172"/>
    </row>
    <row r="12138" spans="1:1" s="173" customFormat="1" ht="12" hidden="1" customHeight="1">
      <c r="A12138" s="172"/>
    </row>
    <row r="12139" spans="1:1" s="173" customFormat="1" ht="12" hidden="1" customHeight="1">
      <c r="A12139" s="172"/>
    </row>
    <row r="12140" spans="1:1" s="173" customFormat="1" ht="12" hidden="1" customHeight="1">
      <c r="A12140" s="172"/>
    </row>
    <row r="12141" spans="1:1" s="173" customFormat="1" ht="12" hidden="1" customHeight="1">
      <c r="A12141" s="172"/>
    </row>
    <row r="12142" spans="1:1" s="173" customFormat="1" ht="12" hidden="1" customHeight="1">
      <c r="A12142" s="172"/>
    </row>
    <row r="12143" spans="1:1" s="173" customFormat="1" ht="12" hidden="1" customHeight="1">
      <c r="A12143" s="172"/>
    </row>
    <row r="12144" spans="1:1" s="173" customFormat="1" ht="12" hidden="1" customHeight="1">
      <c r="A12144" s="172"/>
    </row>
    <row r="12145" spans="1:1" s="173" customFormat="1" ht="12" hidden="1" customHeight="1">
      <c r="A12145" s="172"/>
    </row>
    <row r="12146" spans="1:1" s="173" customFormat="1" ht="12" hidden="1" customHeight="1">
      <c r="A12146" s="172"/>
    </row>
    <row r="12147" spans="1:1" s="173" customFormat="1" ht="12" hidden="1" customHeight="1">
      <c r="A12147" s="172"/>
    </row>
    <row r="12148" spans="1:1" s="173" customFormat="1" ht="12" hidden="1" customHeight="1">
      <c r="A12148" s="172"/>
    </row>
    <row r="12149" spans="1:1" s="173" customFormat="1" ht="12" hidden="1" customHeight="1">
      <c r="A12149" s="172"/>
    </row>
    <row r="12150" spans="1:1" s="173" customFormat="1" ht="12" hidden="1" customHeight="1">
      <c r="A12150" s="172"/>
    </row>
    <row r="12151" spans="1:1" s="173" customFormat="1" ht="12" hidden="1" customHeight="1">
      <c r="A12151" s="172"/>
    </row>
    <row r="12152" spans="1:1" s="173" customFormat="1" ht="12" hidden="1" customHeight="1">
      <c r="A12152" s="172"/>
    </row>
    <row r="12153" spans="1:1" s="173" customFormat="1" ht="12" hidden="1" customHeight="1">
      <c r="A12153" s="172"/>
    </row>
    <row r="12154" spans="1:1" s="173" customFormat="1" ht="12" hidden="1" customHeight="1">
      <c r="A12154" s="172"/>
    </row>
    <row r="12155" spans="1:1" s="173" customFormat="1" ht="12" hidden="1" customHeight="1">
      <c r="A12155" s="172"/>
    </row>
    <row r="12156" spans="1:1" s="173" customFormat="1" ht="12" hidden="1" customHeight="1">
      <c r="A12156" s="172"/>
    </row>
    <row r="12157" spans="1:1" s="173" customFormat="1" ht="12" hidden="1" customHeight="1">
      <c r="A12157" s="172"/>
    </row>
    <row r="12158" spans="1:1" s="173" customFormat="1" ht="12" hidden="1" customHeight="1">
      <c r="A12158" s="172"/>
    </row>
    <row r="12159" spans="1:1" s="173" customFormat="1" ht="12" hidden="1" customHeight="1">
      <c r="A12159" s="172"/>
    </row>
    <row r="12160" spans="1:1" s="173" customFormat="1" ht="12" hidden="1" customHeight="1">
      <c r="A12160" s="172"/>
    </row>
    <row r="12161" spans="1:1" s="173" customFormat="1" ht="12" hidden="1" customHeight="1">
      <c r="A12161" s="172"/>
    </row>
    <row r="12162" spans="1:1" s="173" customFormat="1" ht="12" hidden="1" customHeight="1">
      <c r="A12162" s="172"/>
    </row>
    <row r="12163" spans="1:1" s="173" customFormat="1" ht="12" hidden="1" customHeight="1">
      <c r="A12163" s="172"/>
    </row>
    <row r="12164" spans="1:1" s="173" customFormat="1" ht="12" hidden="1" customHeight="1">
      <c r="A12164" s="172"/>
    </row>
    <row r="12165" spans="1:1" s="173" customFormat="1" ht="12" hidden="1" customHeight="1">
      <c r="A12165" s="172"/>
    </row>
    <row r="12166" spans="1:1" s="173" customFormat="1" ht="12" hidden="1" customHeight="1">
      <c r="A12166" s="172"/>
    </row>
    <row r="12167" spans="1:1" s="173" customFormat="1" ht="12" hidden="1" customHeight="1">
      <c r="A12167" s="172"/>
    </row>
    <row r="12168" spans="1:1" s="173" customFormat="1" ht="12" hidden="1" customHeight="1">
      <c r="A12168" s="172"/>
    </row>
    <row r="12169" spans="1:1" s="173" customFormat="1" ht="12" hidden="1" customHeight="1">
      <c r="A12169" s="172"/>
    </row>
    <row r="12170" spans="1:1" s="173" customFormat="1" ht="12" hidden="1" customHeight="1">
      <c r="A12170" s="172"/>
    </row>
    <row r="12171" spans="1:1" s="173" customFormat="1" ht="12" hidden="1" customHeight="1">
      <c r="A12171" s="172"/>
    </row>
    <row r="12172" spans="1:1" s="173" customFormat="1" ht="12" hidden="1" customHeight="1">
      <c r="A12172" s="172"/>
    </row>
    <row r="12173" spans="1:1" s="173" customFormat="1" ht="12" hidden="1" customHeight="1">
      <c r="A12173" s="172"/>
    </row>
    <row r="12174" spans="1:1" s="173" customFormat="1" ht="12" hidden="1" customHeight="1">
      <c r="A12174" s="172"/>
    </row>
    <row r="12175" spans="1:1" s="173" customFormat="1" ht="12" hidden="1" customHeight="1">
      <c r="A12175" s="172"/>
    </row>
    <row r="12176" spans="1:1" s="173" customFormat="1" ht="12" hidden="1" customHeight="1">
      <c r="A12176" s="172"/>
    </row>
    <row r="12177" spans="1:1" s="173" customFormat="1" ht="12" hidden="1" customHeight="1">
      <c r="A12177" s="172"/>
    </row>
    <row r="12178" spans="1:1" s="173" customFormat="1" ht="12" hidden="1" customHeight="1">
      <c r="A12178" s="172"/>
    </row>
    <row r="12179" spans="1:1" s="173" customFormat="1" ht="12" hidden="1" customHeight="1">
      <c r="A12179" s="172"/>
    </row>
    <row r="12180" spans="1:1" s="173" customFormat="1" ht="12" hidden="1" customHeight="1">
      <c r="A12180" s="172"/>
    </row>
    <row r="12181" spans="1:1" s="173" customFormat="1" ht="12" hidden="1" customHeight="1">
      <c r="A12181" s="172"/>
    </row>
    <row r="12182" spans="1:1" s="173" customFormat="1" ht="12" hidden="1" customHeight="1">
      <c r="A12182" s="172"/>
    </row>
    <row r="12183" spans="1:1" s="173" customFormat="1" ht="12" hidden="1" customHeight="1">
      <c r="A12183" s="172"/>
    </row>
    <row r="12184" spans="1:1" s="173" customFormat="1" ht="12" hidden="1" customHeight="1">
      <c r="A12184" s="172"/>
    </row>
    <row r="12185" spans="1:1" s="173" customFormat="1" ht="12" hidden="1" customHeight="1">
      <c r="A12185" s="172"/>
    </row>
    <row r="12186" spans="1:1" s="173" customFormat="1" ht="12" hidden="1" customHeight="1">
      <c r="A12186" s="172"/>
    </row>
    <row r="12187" spans="1:1" s="173" customFormat="1" ht="12" hidden="1" customHeight="1">
      <c r="A12187" s="172"/>
    </row>
    <row r="12188" spans="1:1" s="173" customFormat="1" ht="12" hidden="1" customHeight="1">
      <c r="A12188" s="172"/>
    </row>
    <row r="12189" spans="1:1" s="173" customFormat="1" ht="12" hidden="1" customHeight="1">
      <c r="A12189" s="172"/>
    </row>
    <row r="12190" spans="1:1" s="173" customFormat="1" ht="12" hidden="1" customHeight="1">
      <c r="A12190" s="172"/>
    </row>
    <row r="12191" spans="1:1" s="173" customFormat="1" ht="12" hidden="1" customHeight="1">
      <c r="A12191" s="172"/>
    </row>
    <row r="12192" spans="1:1" s="173" customFormat="1" ht="12" hidden="1" customHeight="1">
      <c r="A12192" s="172"/>
    </row>
    <row r="12193" spans="1:1" s="173" customFormat="1" ht="12" hidden="1" customHeight="1">
      <c r="A12193" s="172"/>
    </row>
    <row r="12194" spans="1:1" s="173" customFormat="1" ht="12" hidden="1" customHeight="1">
      <c r="A12194" s="172"/>
    </row>
    <row r="12195" spans="1:1" s="173" customFormat="1" ht="12" hidden="1" customHeight="1">
      <c r="A12195" s="172"/>
    </row>
    <row r="12196" spans="1:1" s="173" customFormat="1" ht="12" hidden="1" customHeight="1">
      <c r="A12196" s="172"/>
    </row>
    <row r="12197" spans="1:1" s="173" customFormat="1" ht="12" hidden="1" customHeight="1">
      <c r="A12197" s="172"/>
    </row>
    <row r="12198" spans="1:1" s="173" customFormat="1" ht="12" hidden="1" customHeight="1">
      <c r="A12198" s="172"/>
    </row>
    <row r="12199" spans="1:1" s="173" customFormat="1" ht="12" hidden="1" customHeight="1">
      <c r="A12199" s="172"/>
    </row>
    <row r="12200" spans="1:1" s="173" customFormat="1" ht="12" hidden="1" customHeight="1">
      <c r="A12200" s="172"/>
    </row>
    <row r="12201" spans="1:1" s="173" customFormat="1" ht="12" hidden="1" customHeight="1">
      <c r="A12201" s="172"/>
    </row>
    <row r="12202" spans="1:1" s="173" customFormat="1" ht="12" hidden="1" customHeight="1">
      <c r="A12202" s="172"/>
    </row>
    <row r="12203" spans="1:1" s="173" customFormat="1" ht="12" hidden="1" customHeight="1">
      <c r="A12203" s="172"/>
    </row>
    <row r="12204" spans="1:1" s="173" customFormat="1" ht="12" hidden="1" customHeight="1">
      <c r="A12204" s="172"/>
    </row>
    <row r="12205" spans="1:1" s="173" customFormat="1" ht="12" hidden="1" customHeight="1">
      <c r="A12205" s="172"/>
    </row>
    <row r="12206" spans="1:1" s="173" customFormat="1" ht="12" hidden="1" customHeight="1">
      <c r="A12206" s="172"/>
    </row>
    <row r="12207" spans="1:1" s="173" customFormat="1" ht="12" hidden="1" customHeight="1">
      <c r="A12207" s="172"/>
    </row>
    <row r="12208" spans="1:1" s="173" customFormat="1" ht="12" hidden="1" customHeight="1">
      <c r="A12208" s="172"/>
    </row>
    <row r="12209" spans="1:1" s="173" customFormat="1" ht="12" hidden="1" customHeight="1">
      <c r="A12209" s="172"/>
    </row>
    <row r="12210" spans="1:1" s="173" customFormat="1" ht="12" hidden="1" customHeight="1">
      <c r="A12210" s="172"/>
    </row>
    <row r="12211" spans="1:1" s="173" customFormat="1" ht="12" hidden="1" customHeight="1">
      <c r="A12211" s="172"/>
    </row>
    <row r="12212" spans="1:1" s="173" customFormat="1" ht="12" hidden="1" customHeight="1">
      <c r="A12212" s="172"/>
    </row>
    <row r="12213" spans="1:1" s="173" customFormat="1" ht="12" hidden="1" customHeight="1">
      <c r="A12213" s="172"/>
    </row>
    <row r="12214" spans="1:1" s="173" customFormat="1" ht="12" hidden="1" customHeight="1">
      <c r="A12214" s="172"/>
    </row>
    <row r="12215" spans="1:1" s="173" customFormat="1" ht="12" hidden="1" customHeight="1">
      <c r="A12215" s="172"/>
    </row>
    <row r="12216" spans="1:1" s="173" customFormat="1" ht="12" hidden="1" customHeight="1">
      <c r="A12216" s="172"/>
    </row>
    <row r="12217" spans="1:1" s="173" customFormat="1" ht="12" hidden="1" customHeight="1">
      <c r="A12217" s="172"/>
    </row>
    <row r="12218" spans="1:1" s="173" customFormat="1" ht="12" hidden="1" customHeight="1">
      <c r="A12218" s="172"/>
    </row>
    <row r="12219" spans="1:1" s="173" customFormat="1" ht="12" hidden="1" customHeight="1">
      <c r="A12219" s="172"/>
    </row>
    <row r="12220" spans="1:1" s="173" customFormat="1" ht="12" hidden="1" customHeight="1">
      <c r="A12220" s="172"/>
    </row>
    <row r="12221" spans="1:1" s="173" customFormat="1" ht="12" hidden="1" customHeight="1">
      <c r="A12221" s="172"/>
    </row>
    <row r="12222" spans="1:1" s="173" customFormat="1" ht="12" hidden="1" customHeight="1">
      <c r="A12222" s="172"/>
    </row>
    <row r="12223" spans="1:1" s="173" customFormat="1" ht="12" hidden="1" customHeight="1">
      <c r="A12223" s="172"/>
    </row>
    <row r="12224" spans="1:1" s="173" customFormat="1" ht="12" hidden="1" customHeight="1">
      <c r="A12224" s="172"/>
    </row>
    <row r="12225" spans="1:1" s="173" customFormat="1" ht="12" hidden="1" customHeight="1">
      <c r="A12225" s="172"/>
    </row>
    <row r="12226" spans="1:1" s="173" customFormat="1" ht="12" hidden="1" customHeight="1">
      <c r="A12226" s="172"/>
    </row>
    <row r="12227" spans="1:1" s="173" customFormat="1" ht="12" hidden="1" customHeight="1">
      <c r="A12227" s="172"/>
    </row>
    <row r="12228" spans="1:1" s="173" customFormat="1" ht="12" hidden="1" customHeight="1">
      <c r="A12228" s="172"/>
    </row>
    <row r="12229" spans="1:1" s="173" customFormat="1" ht="12" hidden="1" customHeight="1">
      <c r="A12229" s="172"/>
    </row>
    <row r="12230" spans="1:1" s="173" customFormat="1" ht="12" hidden="1" customHeight="1">
      <c r="A12230" s="172"/>
    </row>
    <row r="12231" spans="1:1" s="173" customFormat="1" ht="12" hidden="1" customHeight="1">
      <c r="A12231" s="172"/>
    </row>
    <row r="12232" spans="1:1" s="173" customFormat="1" ht="12" hidden="1" customHeight="1">
      <c r="A12232" s="172"/>
    </row>
    <row r="12233" spans="1:1" s="173" customFormat="1" ht="12" hidden="1" customHeight="1">
      <c r="A12233" s="172"/>
    </row>
    <row r="12234" spans="1:1" s="173" customFormat="1" ht="12" hidden="1" customHeight="1">
      <c r="A12234" s="172"/>
    </row>
    <row r="12235" spans="1:1" s="173" customFormat="1" ht="12" hidden="1" customHeight="1">
      <c r="A12235" s="172"/>
    </row>
    <row r="12236" spans="1:1" s="173" customFormat="1" ht="12" hidden="1" customHeight="1">
      <c r="A12236" s="172"/>
    </row>
    <row r="12237" spans="1:1" s="173" customFormat="1" ht="12" hidden="1" customHeight="1">
      <c r="A12237" s="172"/>
    </row>
    <row r="12238" spans="1:1" s="173" customFormat="1" ht="12" hidden="1" customHeight="1">
      <c r="A12238" s="172"/>
    </row>
    <row r="12239" spans="1:1" s="173" customFormat="1" ht="12" hidden="1" customHeight="1">
      <c r="A12239" s="172"/>
    </row>
    <row r="12240" spans="1:1" s="173" customFormat="1" ht="12" hidden="1" customHeight="1">
      <c r="A12240" s="172"/>
    </row>
    <row r="12241" spans="1:1" s="173" customFormat="1" ht="12" hidden="1" customHeight="1">
      <c r="A12241" s="172"/>
    </row>
    <row r="12242" spans="1:1" s="173" customFormat="1" ht="12" hidden="1" customHeight="1">
      <c r="A12242" s="172"/>
    </row>
    <row r="12243" spans="1:1" s="173" customFormat="1" ht="12" hidden="1" customHeight="1">
      <c r="A12243" s="172"/>
    </row>
    <row r="12244" spans="1:1" s="173" customFormat="1" ht="12" hidden="1" customHeight="1">
      <c r="A12244" s="172"/>
    </row>
    <row r="12245" spans="1:1" s="173" customFormat="1" ht="12" hidden="1" customHeight="1">
      <c r="A12245" s="172"/>
    </row>
    <row r="12246" spans="1:1" s="173" customFormat="1" ht="12" hidden="1" customHeight="1">
      <c r="A12246" s="172"/>
    </row>
    <row r="12247" spans="1:1" s="173" customFormat="1" ht="12" hidden="1" customHeight="1">
      <c r="A12247" s="172"/>
    </row>
    <row r="12248" spans="1:1" s="173" customFormat="1" ht="12" hidden="1" customHeight="1">
      <c r="A12248" s="172"/>
    </row>
    <row r="12249" spans="1:1" s="173" customFormat="1" ht="12" hidden="1" customHeight="1">
      <c r="A12249" s="172"/>
    </row>
    <row r="12250" spans="1:1" s="173" customFormat="1" ht="12" hidden="1" customHeight="1">
      <c r="A12250" s="172"/>
    </row>
    <row r="12251" spans="1:1" s="173" customFormat="1" ht="12" hidden="1" customHeight="1">
      <c r="A12251" s="172"/>
    </row>
    <row r="12252" spans="1:1" s="173" customFormat="1" ht="12" hidden="1" customHeight="1">
      <c r="A12252" s="172"/>
    </row>
    <row r="12253" spans="1:1" s="173" customFormat="1" ht="12" hidden="1" customHeight="1">
      <c r="A12253" s="172"/>
    </row>
    <row r="12254" spans="1:1" s="173" customFormat="1" ht="12" hidden="1" customHeight="1">
      <c r="A12254" s="172"/>
    </row>
    <row r="12255" spans="1:1" s="173" customFormat="1" ht="12" hidden="1" customHeight="1">
      <c r="A12255" s="172"/>
    </row>
    <row r="12256" spans="1:1" s="173" customFormat="1" ht="12" hidden="1" customHeight="1">
      <c r="A12256" s="172"/>
    </row>
    <row r="12257" spans="1:1" s="173" customFormat="1" ht="12" hidden="1" customHeight="1">
      <c r="A12257" s="172"/>
    </row>
    <row r="12258" spans="1:1" s="173" customFormat="1" ht="12" hidden="1" customHeight="1">
      <c r="A12258" s="172"/>
    </row>
    <row r="12259" spans="1:1" s="173" customFormat="1" ht="12" hidden="1" customHeight="1">
      <c r="A12259" s="172"/>
    </row>
    <row r="12260" spans="1:1" s="173" customFormat="1" ht="12" hidden="1" customHeight="1">
      <c r="A12260" s="172"/>
    </row>
    <row r="12261" spans="1:1" s="173" customFormat="1" ht="12" hidden="1" customHeight="1">
      <c r="A12261" s="172"/>
    </row>
    <row r="12262" spans="1:1" s="173" customFormat="1" ht="12" hidden="1" customHeight="1">
      <c r="A12262" s="172"/>
    </row>
    <row r="12263" spans="1:1" s="173" customFormat="1" ht="12" hidden="1" customHeight="1">
      <c r="A12263" s="172"/>
    </row>
    <row r="12264" spans="1:1" s="173" customFormat="1" ht="12" hidden="1" customHeight="1">
      <c r="A12264" s="172"/>
    </row>
    <row r="12265" spans="1:1" s="173" customFormat="1" ht="12" hidden="1" customHeight="1">
      <c r="A12265" s="172"/>
    </row>
    <row r="12266" spans="1:1" s="173" customFormat="1" ht="12" hidden="1" customHeight="1">
      <c r="A12266" s="172"/>
    </row>
    <row r="12267" spans="1:1" s="173" customFormat="1" ht="12" hidden="1" customHeight="1">
      <c r="A12267" s="172"/>
    </row>
    <row r="12268" spans="1:1" s="173" customFormat="1" ht="12" hidden="1" customHeight="1">
      <c r="A12268" s="172"/>
    </row>
    <row r="12269" spans="1:1" s="173" customFormat="1" ht="12" hidden="1" customHeight="1">
      <c r="A12269" s="172"/>
    </row>
    <row r="12270" spans="1:1" s="173" customFormat="1" ht="12" hidden="1" customHeight="1">
      <c r="A12270" s="172"/>
    </row>
    <row r="12271" spans="1:1" s="173" customFormat="1" ht="12" hidden="1" customHeight="1">
      <c r="A12271" s="172"/>
    </row>
    <row r="12272" spans="1:1" s="173" customFormat="1" ht="12" hidden="1" customHeight="1">
      <c r="A12272" s="172"/>
    </row>
    <row r="12273" spans="1:1" s="173" customFormat="1" ht="12" hidden="1" customHeight="1">
      <c r="A12273" s="172"/>
    </row>
    <row r="12274" spans="1:1" s="173" customFormat="1" ht="12" hidden="1" customHeight="1">
      <c r="A12274" s="172"/>
    </row>
    <row r="12275" spans="1:1" s="173" customFormat="1" ht="12" hidden="1" customHeight="1">
      <c r="A12275" s="172"/>
    </row>
    <row r="12276" spans="1:1" s="173" customFormat="1" ht="12" hidden="1" customHeight="1">
      <c r="A12276" s="172"/>
    </row>
    <row r="12277" spans="1:1" s="173" customFormat="1" ht="12" hidden="1" customHeight="1">
      <c r="A12277" s="172"/>
    </row>
    <row r="12278" spans="1:1" s="173" customFormat="1" ht="12" hidden="1" customHeight="1">
      <c r="A12278" s="172"/>
    </row>
    <row r="12279" spans="1:1" s="173" customFormat="1" ht="12" hidden="1" customHeight="1">
      <c r="A12279" s="172"/>
    </row>
    <row r="12280" spans="1:1" s="173" customFormat="1" ht="12" hidden="1" customHeight="1">
      <c r="A12280" s="172"/>
    </row>
    <row r="12281" spans="1:1" s="173" customFormat="1" ht="12" hidden="1" customHeight="1">
      <c r="A12281" s="172"/>
    </row>
    <row r="12282" spans="1:1" s="173" customFormat="1" ht="12" hidden="1" customHeight="1">
      <c r="A12282" s="172"/>
    </row>
    <row r="12283" spans="1:1" s="173" customFormat="1" ht="12" hidden="1" customHeight="1">
      <c r="A12283" s="172"/>
    </row>
    <row r="12284" spans="1:1" s="173" customFormat="1" ht="12" hidden="1" customHeight="1">
      <c r="A12284" s="172"/>
    </row>
    <row r="12285" spans="1:1" s="173" customFormat="1" ht="12" hidden="1" customHeight="1">
      <c r="A12285" s="172"/>
    </row>
    <row r="12286" spans="1:1" s="173" customFormat="1" ht="12" hidden="1" customHeight="1">
      <c r="A12286" s="172"/>
    </row>
    <row r="12287" spans="1:1" s="173" customFormat="1" ht="12" hidden="1" customHeight="1">
      <c r="A12287" s="172"/>
    </row>
    <row r="12288" spans="1:1" s="173" customFormat="1" ht="12" hidden="1" customHeight="1">
      <c r="A12288" s="172"/>
    </row>
    <row r="12289" spans="1:1" s="173" customFormat="1" ht="12" hidden="1" customHeight="1">
      <c r="A12289" s="172"/>
    </row>
    <row r="12290" spans="1:1" s="173" customFormat="1" ht="12" hidden="1" customHeight="1">
      <c r="A12290" s="172"/>
    </row>
    <row r="12291" spans="1:1" s="173" customFormat="1" ht="12" hidden="1" customHeight="1">
      <c r="A12291" s="172"/>
    </row>
    <row r="12292" spans="1:1" s="173" customFormat="1" ht="12" hidden="1" customHeight="1">
      <c r="A12292" s="172"/>
    </row>
    <row r="12293" spans="1:1" s="173" customFormat="1" ht="12" hidden="1" customHeight="1">
      <c r="A12293" s="172"/>
    </row>
    <row r="12294" spans="1:1" s="173" customFormat="1" ht="12" hidden="1" customHeight="1">
      <c r="A12294" s="172"/>
    </row>
    <row r="12295" spans="1:1" s="173" customFormat="1" ht="12" hidden="1" customHeight="1">
      <c r="A12295" s="172"/>
    </row>
    <row r="12296" spans="1:1" s="173" customFormat="1" ht="12" hidden="1" customHeight="1">
      <c r="A12296" s="172"/>
    </row>
    <row r="12297" spans="1:1" s="173" customFormat="1" ht="12" hidden="1" customHeight="1">
      <c r="A12297" s="172"/>
    </row>
    <row r="12298" spans="1:1" s="173" customFormat="1" ht="12" hidden="1" customHeight="1">
      <c r="A12298" s="172"/>
    </row>
    <row r="12299" spans="1:1" s="173" customFormat="1" ht="12" hidden="1" customHeight="1">
      <c r="A12299" s="172"/>
    </row>
    <row r="12300" spans="1:1" s="173" customFormat="1" ht="12" hidden="1" customHeight="1">
      <c r="A12300" s="172"/>
    </row>
    <row r="12301" spans="1:1" s="173" customFormat="1" ht="12" hidden="1" customHeight="1">
      <c r="A12301" s="172"/>
    </row>
    <row r="12302" spans="1:1" s="173" customFormat="1" ht="12" hidden="1" customHeight="1">
      <c r="A12302" s="172"/>
    </row>
    <row r="12303" spans="1:1" s="173" customFormat="1" ht="12" hidden="1" customHeight="1">
      <c r="A12303" s="172"/>
    </row>
    <row r="12304" spans="1:1" s="173" customFormat="1" ht="12" hidden="1" customHeight="1">
      <c r="A12304" s="172"/>
    </row>
    <row r="12305" spans="1:1" s="173" customFormat="1" ht="12" hidden="1" customHeight="1">
      <c r="A12305" s="172"/>
    </row>
    <row r="12306" spans="1:1" s="173" customFormat="1" ht="12" hidden="1" customHeight="1">
      <c r="A12306" s="172"/>
    </row>
    <row r="12307" spans="1:1" s="173" customFormat="1" ht="12" hidden="1" customHeight="1">
      <c r="A12307" s="172"/>
    </row>
    <row r="12308" spans="1:1" s="173" customFormat="1" ht="12" hidden="1" customHeight="1">
      <c r="A12308" s="172"/>
    </row>
    <row r="12309" spans="1:1" s="173" customFormat="1" ht="12" hidden="1" customHeight="1">
      <c r="A12309" s="172"/>
    </row>
    <row r="12310" spans="1:1" s="173" customFormat="1" ht="12" hidden="1" customHeight="1">
      <c r="A12310" s="172"/>
    </row>
    <row r="12311" spans="1:1" s="173" customFormat="1" ht="12" hidden="1" customHeight="1">
      <c r="A12311" s="172"/>
    </row>
    <row r="12312" spans="1:1" s="173" customFormat="1" ht="12" hidden="1" customHeight="1">
      <c r="A12312" s="172"/>
    </row>
    <row r="12313" spans="1:1" s="173" customFormat="1" ht="12" hidden="1" customHeight="1">
      <c r="A12313" s="172"/>
    </row>
    <row r="12314" spans="1:1" s="173" customFormat="1" ht="12" hidden="1" customHeight="1">
      <c r="A12314" s="172"/>
    </row>
    <row r="12315" spans="1:1" s="173" customFormat="1" ht="12" hidden="1" customHeight="1">
      <c r="A12315" s="172"/>
    </row>
    <row r="12316" spans="1:1" s="173" customFormat="1" ht="12" hidden="1" customHeight="1">
      <c r="A12316" s="172"/>
    </row>
    <row r="12317" spans="1:1" s="173" customFormat="1" ht="12" hidden="1" customHeight="1">
      <c r="A12317" s="172"/>
    </row>
    <row r="12318" spans="1:1" s="173" customFormat="1" ht="12" hidden="1" customHeight="1">
      <c r="A12318" s="172"/>
    </row>
    <row r="12319" spans="1:1" s="173" customFormat="1" ht="12" hidden="1" customHeight="1">
      <c r="A12319" s="172"/>
    </row>
    <row r="12320" spans="1:1" s="173" customFormat="1" ht="12" hidden="1" customHeight="1">
      <c r="A12320" s="172"/>
    </row>
    <row r="12321" spans="1:1" s="173" customFormat="1" ht="12" hidden="1" customHeight="1">
      <c r="A12321" s="172"/>
    </row>
    <row r="12322" spans="1:1" s="173" customFormat="1" ht="12" hidden="1" customHeight="1">
      <c r="A12322" s="172"/>
    </row>
    <row r="12323" spans="1:1" s="173" customFormat="1" ht="12" hidden="1" customHeight="1">
      <c r="A12323" s="172"/>
    </row>
    <row r="12324" spans="1:1" s="173" customFormat="1" ht="12" hidden="1" customHeight="1">
      <c r="A12324" s="172"/>
    </row>
    <row r="12325" spans="1:1" s="173" customFormat="1" ht="12" hidden="1" customHeight="1">
      <c r="A12325" s="172"/>
    </row>
    <row r="12326" spans="1:1" s="173" customFormat="1" ht="12" hidden="1" customHeight="1">
      <c r="A12326" s="172"/>
    </row>
    <row r="12327" spans="1:1" s="173" customFormat="1" ht="12" hidden="1" customHeight="1">
      <c r="A12327" s="172"/>
    </row>
    <row r="12328" spans="1:1" s="173" customFormat="1" ht="12" hidden="1" customHeight="1">
      <c r="A12328" s="172"/>
    </row>
    <row r="12329" spans="1:1" s="173" customFormat="1" ht="12" hidden="1" customHeight="1">
      <c r="A12329" s="172"/>
    </row>
    <row r="12330" spans="1:1" s="173" customFormat="1" ht="12" hidden="1" customHeight="1">
      <c r="A12330" s="172"/>
    </row>
    <row r="12331" spans="1:1" s="173" customFormat="1" ht="12" hidden="1" customHeight="1">
      <c r="A12331" s="172"/>
    </row>
    <row r="12332" spans="1:1" s="173" customFormat="1" ht="12" hidden="1" customHeight="1">
      <c r="A12332" s="172"/>
    </row>
    <row r="12333" spans="1:1" s="173" customFormat="1" ht="12" hidden="1" customHeight="1">
      <c r="A12333" s="172"/>
    </row>
    <row r="12334" spans="1:1" s="173" customFormat="1" ht="12" hidden="1" customHeight="1">
      <c r="A12334" s="172"/>
    </row>
    <row r="12335" spans="1:1" s="173" customFormat="1" ht="12" hidden="1" customHeight="1">
      <c r="A12335" s="172"/>
    </row>
    <row r="12336" spans="1:1" s="173" customFormat="1" ht="12" hidden="1" customHeight="1">
      <c r="A12336" s="172"/>
    </row>
    <row r="12337" spans="1:1" s="173" customFormat="1" ht="12" hidden="1" customHeight="1">
      <c r="A12337" s="172"/>
    </row>
    <row r="12338" spans="1:1" s="173" customFormat="1" ht="12" hidden="1" customHeight="1">
      <c r="A12338" s="172"/>
    </row>
    <row r="12339" spans="1:1" s="173" customFormat="1" ht="12" hidden="1" customHeight="1">
      <c r="A12339" s="172"/>
    </row>
    <row r="12340" spans="1:1" s="173" customFormat="1" ht="12" hidden="1" customHeight="1">
      <c r="A12340" s="172"/>
    </row>
    <row r="12341" spans="1:1" s="173" customFormat="1" ht="12" hidden="1" customHeight="1">
      <c r="A12341" s="172"/>
    </row>
    <row r="12342" spans="1:1" s="173" customFormat="1" ht="12" hidden="1" customHeight="1">
      <c r="A12342" s="172"/>
    </row>
    <row r="12343" spans="1:1" s="173" customFormat="1" ht="12" hidden="1" customHeight="1">
      <c r="A12343" s="172"/>
    </row>
    <row r="12344" spans="1:1" s="173" customFormat="1" ht="12" hidden="1" customHeight="1">
      <c r="A12344" s="172"/>
    </row>
    <row r="12345" spans="1:1" s="173" customFormat="1" ht="12" hidden="1" customHeight="1">
      <c r="A12345" s="172"/>
    </row>
    <row r="12346" spans="1:1" s="173" customFormat="1" ht="12" hidden="1" customHeight="1">
      <c r="A12346" s="172"/>
    </row>
    <row r="12347" spans="1:1" s="173" customFormat="1" ht="12" hidden="1" customHeight="1">
      <c r="A12347" s="172"/>
    </row>
    <row r="12348" spans="1:1" s="173" customFormat="1" ht="12" hidden="1" customHeight="1">
      <c r="A12348" s="172"/>
    </row>
    <row r="12349" spans="1:1" s="173" customFormat="1" ht="12" hidden="1" customHeight="1">
      <c r="A12349" s="172"/>
    </row>
    <row r="12350" spans="1:1" s="173" customFormat="1" ht="12" hidden="1" customHeight="1">
      <c r="A12350" s="172"/>
    </row>
    <row r="12351" spans="1:1" s="173" customFormat="1" ht="12" hidden="1" customHeight="1">
      <c r="A12351" s="172"/>
    </row>
    <row r="12352" spans="1:1" s="173" customFormat="1" ht="12" hidden="1" customHeight="1">
      <c r="A12352" s="172"/>
    </row>
    <row r="12353" spans="1:1" s="173" customFormat="1" ht="12" hidden="1" customHeight="1">
      <c r="A12353" s="172"/>
    </row>
    <row r="12354" spans="1:1" s="173" customFormat="1" ht="12" hidden="1" customHeight="1">
      <c r="A12354" s="172"/>
    </row>
    <row r="12355" spans="1:1" s="173" customFormat="1" ht="12" hidden="1" customHeight="1">
      <c r="A12355" s="172"/>
    </row>
    <row r="12356" spans="1:1" s="173" customFormat="1" ht="12" hidden="1" customHeight="1">
      <c r="A12356" s="172"/>
    </row>
    <row r="12357" spans="1:1" s="173" customFormat="1" ht="12" hidden="1" customHeight="1">
      <c r="A12357" s="172"/>
    </row>
    <row r="12358" spans="1:1" s="173" customFormat="1" ht="12" hidden="1" customHeight="1">
      <c r="A12358" s="172"/>
    </row>
    <row r="12359" spans="1:1" s="173" customFormat="1" ht="12" hidden="1" customHeight="1">
      <c r="A12359" s="172"/>
    </row>
    <row r="12360" spans="1:1" s="173" customFormat="1" ht="12" hidden="1" customHeight="1">
      <c r="A12360" s="172"/>
    </row>
    <row r="12361" spans="1:1" s="173" customFormat="1" ht="12" hidden="1" customHeight="1">
      <c r="A12361" s="172"/>
    </row>
    <row r="12362" spans="1:1" s="173" customFormat="1" ht="12" hidden="1" customHeight="1">
      <c r="A12362" s="172"/>
    </row>
    <row r="12363" spans="1:1" s="173" customFormat="1" ht="12" hidden="1" customHeight="1">
      <c r="A12363" s="172"/>
    </row>
    <row r="12364" spans="1:1" s="173" customFormat="1" ht="12" hidden="1" customHeight="1">
      <c r="A12364" s="172"/>
    </row>
    <row r="12365" spans="1:1" s="173" customFormat="1" ht="12" hidden="1" customHeight="1">
      <c r="A12365" s="172"/>
    </row>
    <row r="12366" spans="1:1" s="173" customFormat="1" ht="12" hidden="1" customHeight="1">
      <c r="A12366" s="172"/>
    </row>
    <row r="12367" spans="1:1" s="173" customFormat="1" ht="12" hidden="1" customHeight="1">
      <c r="A12367" s="172"/>
    </row>
    <row r="12368" spans="1:1" s="173" customFormat="1" ht="12" hidden="1" customHeight="1">
      <c r="A12368" s="172"/>
    </row>
    <row r="12369" spans="1:1" s="173" customFormat="1" ht="12" hidden="1" customHeight="1">
      <c r="A12369" s="172"/>
    </row>
    <row r="12370" spans="1:1" s="173" customFormat="1" ht="12" hidden="1" customHeight="1">
      <c r="A12370" s="172"/>
    </row>
    <row r="12371" spans="1:1" s="173" customFormat="1" ht="12" hidden="1" customHeight="1">
      <c r="A12371" s="172"/>
    </row>
    <row r="12372" spans="1:1" s="173" customFormat="1" ht="12" hidden="1" customHeight="1">
      <c r="A12372" s="172"/>
    </row>
    <row r="12373" spans="1:1" s="173" customFormat="1" ht="12" hidden="1" customHeight="1">
      <c r="A12373" s="172"/>
    </row>
    <row r="12374" spans="1:1" s="173" customFormat="1" ht="12" hidden="1" customHeight="1">
      <c r="A12374" s="172"/>
    </row>
    <row r="12375" spans="1:1" s="173" customFormat="1" ht="12" hidden="1" customHeight="1">
      <c r="A12375" s="172"/>
    </row>
    <row r="12376" spans="1:1" s="173" customFormat="1" ht="12" hidden="1" customHeight="1">
      <c r="A12376" s="172"/>
    </row>
    <row r="12377" spans="1:1" s="173" customFormat="1" ht="12" hidden="1" customHeight="1">
      <c r="A12377" s="172"/>
    </row>
    <row r="12378" spans="1:1" s="173" customFormat="1" ht="12" hidden="1" customHeight="1">
      <c r="A12378" s="172"/>
    </row>
    <row r="12379" spans="1:1" s="173" customFormat="1" ht="12" hidden="1" customHeight="1">
      <c r="A12379" s="172"/>
    </row>
    <row r="12380" spans="1:1" s="173" customFormat="1" ht="12" hidden="1" customHeight="1">
      <c r="A12380" s="172"/>
    </row>
    <row r="12381" spans="1:1" s="173" customFormat="1" ht="12" hidden="1" customHeight="1">
      <c r="A12381" s="172"/>
    </row>
    <row r="12382" spans="1:1" s="173" customFormat="1" ht="12" hidden="1" customHeight="1">
      <c r="A12382" s="172"/>
    </row>
    <row r="12383" spans="1:1" s="173" customFormat="1" ht="12" hidden="1" customHeight="1">
      <c r="A12383" s="172"/>
    </row>
    <row r="12384" spans="1:1" s="173" customFormat="1" ht="12" hidden="1" customHeight="1">
      <c r="A12384" s="172"/>
    </row>
    <row r="12385" spans="1:1" s="173" customFormat="1" ht="12" hidden="1" customHeight="1">
      <c r="A12385" s="172"/>
    </row>
    <row r="12386" spans="1:1" s="173" customFormat="1" ht="12" hidden="1" customHeight="1">
      <c r="A12386" s="172"/>
    </row>
    <row r="12387" spans="1:1" s="173" customFormat="1" ht="12" hidden="1" customHeight="1">
      <c r="A12387" s="172"/>
    </row>
    <row r="12388" spans="1:1" s="173" customFormat="1" ht="12" hidden="1" customHeight="1">
      <c r="A12388" s="172"/>
    </row>
    <row r="12389" spans="1:1" s="173" customFormat="1" ht="12" hidden="1" customHeight="1">
      <c r="A12389" s="172"/>
    </row>
    <row r="12390" spans="1:1" s="173" customFormat="1" ht="12" hidden="1" customHeight="1">
      <c r="A12390" s="172"/>
    </row>
    <row r="12391" spans="1:1" s="173" customFormat="1" ht="12" hidden="1" customHeight="1">
      <c r="A12391" s="172"/>
    </row>
    <row r="12392" spans="1:1" s="173" customFormat="1" ht="12" hidden="1" customHeight="1">
      <c r="A12392" s="172"/>
    </row>
    <row r="12393" spans="1:1" s="173" customFormat="1" ht="12" hidden="1" customHeight="1">
      <c r="A12393" s="172"/>
    </row>
    <row r="12394" spans="1:1" s="173" customFormat="1" ht="12" hidden="1" customHeight="1">
      <c r="A12394" s="172"/>
    </row>
    <row r="12395" spans="1:1" s="173" customFormat="1" ht="12" hidden="1" customHeight="1">
      <c r="A12395" s="172"/>
    </row>
    <row r="12396" spans="1:1" s="173" customFormat="1" ht="12" hidden="1" customHeight="1">
      <c r="A12396" s="172"/>
    </row>
    <row r="12397" spans="1:1" s="173" customFormat="1" ht="12" hidden="1" customHeight="1">
      <c r="A12397" s="172"/>
    </row>
    <row r="12398" spans="1:1" s="173" customFormat="1" ht="12" hidden="1" customHeight="1">
      <c r="A12398" s="172"/>
    </row>
    <row r="12399" spans="1:1" s="173" customFormat="1" ht="12" hidden="1" customHeight="1">
      <c r="A12399" s="172"/>
    </row>
    <row r="12400" spans="1:1" s="173" customFormat="1" ht="12" hidden="1" customHeight="1">
      <c r="A12400" s="172"/>
    </row>
    <row r="12401" spans="1:1" s="173" customFormat="1" ht="12" hidden="1" customHeight="1">
      <c r="A12401" s="172"/>
    </row>
    <row r="12402" spans="1:1" s="173" customFormat="1" ht="12" hidden="1" customHeight="1">
      <c r="A12402" s="172"/>
    </row>
    <row r="12403" spans="1:1" s="173" customFormat="1" ht="12" hidden="1" customHeight="1">
      <c r="A12403" s="172"/>
    </row>
    <row r="12404" spans="1:1" s="173" customFormat="1" ht="12" hidden="1" customHeight="1">
      <c r="A12404" s="172"/>
    </row>
    <row r="12405" spans="1:1" s="173" customFormat="1" ht="12" hidden="1" customHeight="1">
      <c r="A12405" s="172"/>
    </row>
    <row r="12406" spans="1:1" s="173" customFormat="1" ht="12" hidden="1" customHeight="1">
      <c r="A12406" s="172"/>
    </row>
    <row r="12407" spans="1:1" s="173" customFormat="1" ht="12" hidden="1" customHeight="1">
      <c r="A12407" s="172"/>
    </row>
    <row r="12408" spans="1:1" s="173" customFormat="1" ht="12" hidden="1" customHeight="1">
      <c r="A12408" s="172"/>
    </row>
    <row r="12409" spans="1:1" s="173" customFormat="1" ht="12" hidden="1" customHeight="1">
      <c r="A12409" s="172"/>
    </row>
    <row r="12410" spans="1:1" s="173" customFormat="1" ht="12" hidden="1" customHeight="1">
      <c r="A12410" s="172"/>
    </row>
    <row r="12411" spans="1:1" s="173" customFormat="1" ht="12" hidden="1" customHeight="1">
      <c r="A12411" s="172"/>
    </row>
    <row r="12412" spans="1:1" s="173" customFormat="1" ht="12" hidden="1" customHeight="1">
      <c r="A12412" s="172"/>
    </row>
    <row r="12413" spans="1:1" s="173" customFormat="1" ht="12" hidden="1" customHeight="1">
      <c r="A12413" s="172"/>
    </row>
    <row r="12414" spans="1:1" s="173" customFormat="1" ht="12" hidden="1" customHeight="1">
      <c r="A12414" s="172"/>
    </row>
    <row r="12415" spans="1:1" s="173" customFormat="1" ht="12" hidden="1" customHeight="1">
      <c r="A12415" s="172"/>
    </row>
    <row r="12416" spans="1:1" s="173" customFormat="1" ht="12" hidden="1" customHeight="1">
      <c r="A12416" s="172"/>
    </row>
    <row r="12417" spans="1:1" s="173" customFormat="1" ht="12" hidden="1" customHeight="1">
      <c r="A12417" s="172"/>
    </row>
    <row r="12418" spans="1:1" s="173" customFormat="1" ht="12" hidden="1" customHeight="1">
      <c r="A12418" s="172"/>
    </row>
    <row r="12419" spans="1:1" s="173" customFormat="1" ht="12" hidden="1" customHeight="1">
      <c r="A12419" s="172"/>
    </row>
    <row r="12420" spans="1:1" s="173" customFormat="1" ht="12" hidden="1" customHeight="1">
      <c r="A12420" s="172"/>
    </row>
    <row r="12421" spans="1:1" s="173" customFormat="1" ht="12" hidden="1" customHeight="1">
      <c r="A12421" s="172"/>
    </row>
    <row r="12422" spans="1:1" s="173" customFormat="1" ht="12" hidden="1" customHeight="1">
      <c r="A12422" s="172"/>
    </row>
    <row r="12423" spans="1:1" s="173" customFormat="1" ht="12" hidden="1" customHeight="1">
      <c r="A12423" s="172"/>
    </row>
    <row r="12424" spans="1:1" s="173" customFormat="1" ht="12" hidden="1" customHeight="1">
      <c r="A12424" s="172"/>
    </row>
    <row r="12425" spans="1:1" s="173" customFormat="1" ht="12" hidden="1" customHeight="1">
      <c r="A12425" s="172"/>
    </row>
    <row r="12426" spans="1:1" s="173" customFormat="1" ht="12" hidden="1" customHeight="1">
      <c r="A12426" s="172"/>
    </row>
    <row r="12427" spans="1:1" s="173" customFormat="1" ht="12" hidden="1" customHeight="1">
      <c r="A12427" s="172"/>
    </row>
    <row r="12428" spans="1:1" s="173" customFormat="1" ht="12" hidden="1" customHeight="1">
      <c r="A12428" s="172"/>
    </row>
    <row r="12429" spans="1:1" s="173" customFormat="1" ht="12" hidden="1" customHeight="1">
      <c r="A12429" s="172"/>
    </row>
    <row r="12430" spans="1:1" s="173" customFormat="1" ht="12" hidden="1" customHeight="1">
      <c r="A12430" s="172"/>
    </row>
    <row r="12431" spans="1:1" s="173" customFormat="1" ht="12" hidden="1" customHeight="1">
      <c r="A12431" s="172"/>
    </row>
    <row r="12432" spans="1:1" s="173" customFormat="1" ht="12" hidden="1" customHeight="1">
      <c r="A12432" s="172"/>
    </row>
    <row r="12433" spans="1:1" s="173" customFormat="1" ht="12" hidden="1" customHeight="1">
      <c r="A12433" s="172"/>
    </row>
    <row r="12434" spans="1:1" s="173" customFormat="1" ht="12" hidden="1" customHeight="1">
      <c r="A12434" s="172"/>
    </row>
    <row r="12435" spans="1:1" s="173" customFormat="1" ht="12" hidden="1" customHeight="1">
      <c r="A12435" s="172"/>
    </row>
    <row r="12436" spans="1:1" s="173" customFormat="1" ht="12" hidden="1" customHeight="1">
      <c r="A12436" s="172"/>
    </row>
    <row r="12437" spans="1:1" s="173" customFormat="1" ht="12" hidden="1" customHeight="1">
      <c r="A12437" s="172"/>
    </row>
    <row r="12438" spans="1:1" s="173" customFormat="1" ht="12" hidden="1" customHeight="1">
      <c r="A12438" s="172"/>
    </row>
    <row r="12439" spans="1:1" s="173" customFormat="1" ht="12" hidden="1" customHeight="1">
      <c r="A12439" s="172"/>
    </row>
    <row r="12440" spans="1:1" s="173" customFormat="1" ht="12" hidden="1" customHeight="1">
      <c r="A12440" s="172"/>
    </row>
    <row r="12441" spans="1:1" s="173" customFormat="1" ht="12" hidden="1" customHeight="1">
      <c r="A12441" s="172"/>
    </row>
    <row r="12442" spans="1:1" s="173" customFormat="1" ht="12" hidden="1" customHeight="1">
      <c r="A12442" s="172"/>
    </row>
    <row r="12443" spans="1:1" s="173" customFormat="1" ht="12" hidden="1" customHeight="1">
      <c r="A12443" s="172"/>
    </row>
    <row r="12444" spans="1:1" s="173" customFormat="1" ht="12" hidden="1" customHeight="1">
      <c r="A12444" s="172"/>
    </row>
    <row r="12445" spans="1:1" s="173" customFormat="1" ht="12" hidden="1" customHeight="1">
      <c r="A12445" s="172"/>
    </row>
    <row r="12446" spans="1:1" s="173" customFormat="1" ht="12" hidden="1" customHeight="1">
      <c r="A12446" s="172"/>
    </row>
    <row r="12447" spans="1:1" s="173" customFormat="1" ht="12" hidden="1" customHeight="1">
      <c r="A12447" s="172"/>
    </row>
    <row r="12448" spans="1:1" s="173" customFormat="1" ht="12" hidden="1" customHeight="1">
      <c r="A12448" s="172"/>
    </row>
    <row r="12449" spans="1:1" s="173" customFormat="1" ht="12" hidden="1" customHeight="1">
      <c r="A12449" s="172"/>
    </row>
    <row r="12450" spans="1:1" s="173" customFormat="1" ht="12" hidden="1" customHeight="1">
      <c r="A12450" s="172"/>
    </row>
    <row r="12451" spans="1:1" s="173" customFormat="1" ht="12" hidden="1" customHeight="1">
      <c r="A12451" s="172"/>
    </row>
    <row r="12452" spans="1:1" s="173" customFormat="1" ht="12" hidden="1" customHeight="1">
      <c r="A12452" s="172"/>
    </row>
    <row r="12453" spans="1:1" s="173" customFormat="1" ht="12" hidden="1" customHeight="1">
      <c r="A12453" s="172"/>
    </row>
    <row r="12454" spans="1:1" s="173" customFormat="1" ht="12" hidden="1" customHeight="1">
      <c r="A12454" s="172"/>
    </row>
    <row r="12455" spans="1:1" s="173" customFormat="1" ht="12" hidden="1" customHeight="1">
      <c r="A12455" s="172"/>
    </row>
    <row r="12456" spans="1:1" s="173" customFormat="1" ht="12" hidden="1" customHeight="1">
      <c r="A12456" s="172"/>
    </row>
    <row r="12457" spans="1:1" s="173" customFormat="1" ht="12" hidden="1" customHeight="1">
      <c r="A12457" s="172"/>
    </row>
    <row r="12458" spans="1:1" s="173" customFormat="1" ht="12" hidden="1" customHeight="1">
      <c r="A12458" s="172"/>
    </row>
    <row r="12459" spans="1:1" s="173" customFormat="1" ht="12" hidden="1" customHeight="1">
      <c r="A12459" s="172"/>
    </row>
    <row r="12460" spans="1:1" s="173" customFormat="1" ht="12" hidden="1" customHeight="1">
      <c r="A12460" s="172"/>
    </row>
    <row r="12461" spans="1:1" s="173" customFormat="1" ht="12" hidden="1" customHeight="1">
      <c r="A12461" s="172"/>
    </row>
    <row r="12462" spans="1:1" s="173" customFormat="1" ht="12" hidden="1" customHeight="1">
      <c r="A12462" s="172"/>
    </row>
    <row r="12463" spans="1:1" s="173" customFormat="1" ht="12" hidden="1" customHeight="1">
      <c r="A12463" s="172"/>
    </row>
    <row r="12464" spans="1:1" s="173" customFormat="1" ht="12" hidden="1" customHeight="1">
      <c r="A12464" s="172"/>
    </row>
    <row r="12465" spans="1:1" s="173" customFormat="1" ht="12" hidden="1" customHeight="1">
      <c r="A12465" s="172"/>
    </row>
    <row r="12466" spans="1:1" s="173" customFormat="1" ht="12" hidden="1" customHeight="1">
      <c r="A12466" s="172"/>
    </row>
    <row r="12467" spans="1:1" s="173" customFormat="1" ht="12" hidden="1" customHeight="1">
      <c r="A12467" s="172"/>
    </row>
    <row r="12468" spans="1:1" s="173" customFormat="1" ht="12" hidden="1" customHeight="1">
      <c r="A12468" s="172"/>
    </row>
    <row r="12469" spans="1:1" s="173" customFormat="1" ht="12" hidden="1" customHeight="1">
      <c r="A12469" s="172"/>
    </row>
    <row r="12470" spans="1:1" s="173" customFormat="1" ht="12" hidden="1" customHeight="1">
      <c r="A12470" s="172"/>
    </row>
    <row r="12471" spans="1:1" s="173" customFormat="1" ht="12" hidden="1" customHeight="1">
      <c r="A12471" s="172"/>
    </row>
    <row r="12472" spans="1:1" s="173" customFormat="1" ht="12" hidden="1" customHeight="1">
      <c r="A12472" s="172"/>
    </row>
    <row r="12473" spans="1:1" s="173" customFormat="1" ht="12" hidden="1" customHeight="1">
      <c r="A12473" s="172"/>
    </row>
    <row r="12474" spans="1:1" s="173" customFormat="1" ht="12" hidden="1" customHeight="1">
      <c r="A12474" s="172"/>
    </row>
    <row r="12475" spans="1:1" s="173" customFormat="1" ht="12" hidden="1" customHeight="1">
      <c r="A12475" s="172"/>
    </row>
    <row r="12476" spans="1:1" s="173" customFormat="1" ht="12" hidden="1" customHeight="1">
      <c r="A12476" s="172"/>
    </row>
    <row r="12477" spans="1:1" s="173" customFormat="1" ht="12" hidden="1" customHeight="1">
      <c r="A12477" s="172"/>
    </row>
    <row r="12478" spans="1:1" s="173" customFormat="1" ht="12" hidden="1" customHeight="1">
      <c r="A12478" s="172"/>
    </row>
    <row r="12479" spans="1:1" s="173" customFormat="1" ht="12" hidden="1" customHeight="1">
      <c r="A12479" s="172"/>
    </row>
    <row r="12480" spans="1:1" s="173" customFormat="1" ht="12" hidden="1" customHeight="1">
      <c r="A12480" s="172"/>
    </row>
    <row r="12481" spans="1:1" s="173" customFormat="1" ht="12" hidden="1" customHeight="1">
      <c r="A12481" s="172"/>
    </row>
    <row r="12482" spans="1:1" s="173" customFormat="1" ht="12" hidden="1" customHeight="1">
      <c r="A12482" s="172"/>
    </row>
    <row r="12483" spans="1:1" s="173" customFormat="1" ht="12" hidden="1" customHeight="1">
      <c r="A12483" s="172"/>
    </row>
    <row r="12484" spans="1:1" s="173" customFormat="1" ht="12" hidden="1" customHeight="1">
      <c r="A12484" s="172"/>
    </row>
    <row r="12485" spans="1:1" s="173" customFormat="1" ht="12" hidden="1" customHeight="1">
      <c r="A12485" s="172"/>
    </row>
    <row r="12486" spans="1:1" s="173" customFormat="1" ht="12" hidden="1" customHeight="1">
      <c r="A12486" s="172"/>
    </row>
    <row r="12487" spans="1:1" s="173" customFormat="1" ht="12" hidden="1" customHeight="1">
      <c r="A12487" s="172"/>
    </row>
    <row r="12488" spans="1:1" s="173" customFormat="1" ht="12" hidden="1" customHeight="1">
      <c r="A12488" s="172"/>
    </row>
    <row r="12489" spans="1:1" s="173" customFormat="1" ht="12" hidden="1" customHeight="1">
      <c r="A12489" s="172"/>
    </row>
    <row r="12490" spans="1:1" s="173" customFormat="1" ht="12" hidden="1" customHeight="1">
      <c r="A12490" s="172"/>
    </row>
    <row r="12491" spans="1:1" s="173" customFormat="1" ht="12" hidden="1" customHeight="1">
      <c r="A12491" s="172"/>
    </row>
    <row r="12492" spans="1:1" s="173" customFormat="1" ht="12" hidden="1" customHeight="1">
      <c r="A12492" s="172"/>
    </row>
    <row r="12493" spans="1:1" s="173" customFormat="1" ht="12" hidden="1" customHeight="1">
      <c r="A12493" s="172"/>
    </row>
    <row r="12494" spans="1:1" s="173" customFormat="1" ht="12" hidden="1" customHeight="1">
      <c r="A12494" s="172"/>
    </row>
    <row r="12495" spans="1:1" s="173" customFormat="1" ht="12" hidden="1" customHeight="1">
      <c r="A12495" s="172"/>
    </row>
    <row r="12496" spans="1:1" s="173" customFormat="1" ht="12" hidden="1" customHeight="1">
      <c r="A12496" s="172"/>
    </row>
    <row r="12497" spans="1:1" s="173" customFormat="1" ht="12" hidden="1" customHeight="1">
      <c r="A12497" s="172"/>
    </row>
    <row r="12498" spans="1:1" s="173" customFormat="1" ht="12" hidden="1" customHeight="1">
      <c r="A12498" s="172"/>
    </row>
    <row r="12499" spans="1:1" s="173" customFormat="1" ht="12" hidden="1" customHeight="1">
      <c r="A12499" s="172"/>
    </row>
    <row r="12500" spans="1:1" s="173" customFormat="1" ht="12" hidden="1" customHeight="1">
      <c r="A12500" s="172"/>
    </row>
    <row r="12501" spans="1:1" s="173" customFormat="1" ht="12" hidden="1" customHeight="1">
      <c r="A12501" s="172"/>
    </row>
    <row r="12502" spans="1:1" s="173" customFormat="1" ht="12" hidden="1" customHeight="1">
      <c r="A12502" s="172"/>
    </row>
    <row r="12503" spans="1:1" s="173" customFormat="1" ht="12" hidden="1" customHeight="1">
      <c r="A12503" s="172"/>
    </row>
    <row r="12504" spans="1:1" s="173" customFormat="1" ht="12" hidden="1" customHeight="1">
      <c r="A12504" s="172"/>
    </row>
    <row r="12505" spans="1:1" s="173" customFormat="1" ht="12" hidden="1" customHeight="1">
      <c r="A12505" s="172"/>
    </row>
    <row r="12506" spans="1:1" s="173" customFormat="1" ht="12" hidden="1" customHeight="1">
      <c r="A12506" s="172"/>
    </row>
    <row r="12507" spans="1:1" s="173" customFormat="1" ht="12" hidden="1" customHeight="1">
      <c r="A12507" s="172"/>
    </row>
    <row r="12508" spans="1:1" s="173" customFormat="1" ht="12" hidden="1" customHeight="1">
      <c r="A12508" s="172"/>
    </row>
    <row r="12509" spans="1:1" s="173" customFormat="1" ht="12" hidden="1" customHeight="1">
      <c r="A12509" s="172"/>
    </row>
    <row r="12510" spans="1:1" s="173" customFormat="1" ht="12" hidden="1" customHeight="1">
      <c r="A12510" s="172"/>
    </row>
    <row r="12511" spans="1:1" s="173" customFormat="1" ht="12" hidden="1" customHeight="1">
      <c r="A12511" s="172"/>
    </row>
    <row r="12512" spans="1:1" s="173" customFormat="1" ht="12" hidden="1" customHeight="1">
      <c r="A12512" s="172"/>
    </row>
    <row r="12513" spans="1:1" s="173" customFormat="1" ht="12" hidden="1" customHeight="1">
      <c r="A12513" s="172"/>
    </row>
    <row r="12514" spans="1:1" s="173" customFormat="1" ht="12" hidden="1" customHeight="1">
      <c r="A12514" s="172"/>
    </row>
    <row r="12515" spans="1:1" s="173" customFormat="1" ht="12" hidden="1" customHeight="1">
      <c r="A12515" s="172"/>
    </row>
    <row r="12516" spans="1:1" s="173" customFormat="1" ht="12" hidden="1" customHeight="1">
      <c r="A12516" s="172"/>
    </row>
    <row r="12517" spans="1:1" s="173" customFormat="1" ht="12" hidden="1" customHeight="1">
      <c r="A12517" s="172"/>
    </row>
    <row r="12518" spans="1:1" s="173" customFormat="1" ht="12" hidden="1" customHeight="1">
      <c r="A12518" s="172"/>
    </row>
    <row r="12519" spans="1:1" s="173" customFormat="1" ht="12" hidden="1" customHeight="1">
      <c r="A12519" s="172"/>
    </row>
    <row r="12520" spans="1:1" s="173" customFormat="1" ht="12" hidden="1" customHeight="1">
      <c r="A12520" s="172"/>
    </row>
    <row r="12521" spans="1:1" s="173" customFormat="1" ht="12" hidden="1" customHeight="1">
      <c r="A12521" s="172"/>
    </row>
    <row r="12522" spans="1:1" s="173" customFormat="1" ht="12" hidden="1" customHeight="1">
      <c r="A12522" s="172"/>
    </row>
    <row r="12523" spans="1:1" s="173" customFormat="1" ht="12" hidden="1" customHeight="1">
      <c r="A12523" s="172"/>
    </row>
    <row r="12524" spans="1:1" s="173" customFormat="1" ht="12" hidden="1" customHeight="1">
      <c r="A12524" s="172"/>
    </row>
    <row r="12525" spans="1:1" s="173" customFormat="1" ht="12" hidden="1" customHeight="1">
      <c r="A12525" s="172"/>
    </row>
    <row r="12526" spans="1:1" s="173" customFormat="1" ht="12" hidden="1" customHeight="1">
      <c r="A12526" s="172"/>
    </row>
    <row r="12527" spans="1:1" s="173" customFormat="1" ht="12" hidden="1" customHeight="1">
      <c r="A12527" s="172"/>
    </row>
    <row r="12528" spans="1:1" s="173" customFormat="1" ht="12" hidden="1" customHeight="1">
      <c r="A12528" s="172"/>
    </row>
    <row r="12529" spans="1:1" s="173" customFormat="1" ht="12" hidden="1" customHeight="1">
      <c r="A12529" s="172"/>
    </row>
    <row r="12530" spans="1:1" s="173" customFormat="1" ht="12" hidden="1" customHeight="1">
      <c r="A12530" s="172"/>
    </row>
    <row r="12531" spans="1:1" s="173" customFormat="1" ht="12" hidden="1" customHeight="1">
      <c r="A12531" s="172"/>
    </row>
    <row r="12532" spans="1:1" s="173" customFormat="1" ht="12" hidden="1" customHeight="1">
      <c r="A12532" s="172"/>
    </row>
    <row r="12533" spans="1:1" s="173" customFormat="1" ht="12" hidden="1" customHeight="1">
      <c r="A12533" s="172"/>
    </row>
    <row r="12534" spans="1:1" s="173" customFormat="1" ht="12" hidden="1" customHeight="1">
      <c r="A12534" s="172"/>
    </row>
    <row r="12535" spans="1:1" s="173" customFormat="1" ht="12" hidden="1" customHeight="1">
      <c r="A12535" s="172"/>
    </row>
    <row r="12536" spans="1:1" s="173" customFormat="1" ht="12" hidden="1" customHeight="1">
      <c r="A12536" s="172"/>
    </row>
    <row r="12537" spans="1:1" s="173" customFormat="1" ht="12" hidden="1" customHeight="1">
      <c r="A12537" s="172"/>
    </row>
    <row r="12538" spans="1:1" s="173" customFormat="1" ht="12" hidden="1" customHeight="1">
      <c r="A12538" s="172"/>
    </row>
    <row r="12539" spans="1:1" s="173" customFormat="1" ht="12" hidden="1" customHeight="1">
      <c r="A12539" s="172"/>
    </row>
    <row r="12540" spans="1:1" s="173" customFormat="1" ht="12" hidden="1" customHeight="1">
      <c r="A12540" s="172"/>
    </row>
    <row r="12541" spans="1:1" s="173" customFormat="1" ht="12" hidden="1" customHeight="1">
      <c r="A12541" s="172"/>
    </row>
    <row r="12542" spans="1:1" s="173" customFormat="1" ht="12" hidden="1" customHeight="1">
      <c r="A12542" s="172"/>
    </row>
    <row r="12543" spans="1:1" s="173" customFormat="1" ht="12" hidden="1" customHeight="1">
      <c r="A12543" s="172"/>
    </row>
    <row r="12544" spans="1:1" s="173" customFormat="1" ht="12" hidden="1" customHeight="1">
      <c r="A12544" s="172"/>
    </row>
    <row r="12545" spans="1:1" s="173" customFormat="1" ht="12" hidden="1" customHeight="1">
      <c r="A12545" s="172"/>
    </row>
    <row r="12546" spans="1:1" s="173" customFormat="1" ht="12" hidden="1" customHeight="1">
      <c r="A12546" s="172"/>
    </row>
    <row r="12547" spans="1:1" s="173" customFormat="1" ht="12" hidden="1" customHeight="1">
      <c r="A12547" s="172"/>
    </row>
    <row r="12548" spans="1:1" s="173" customFormat="1" ht="12" hidden="1" customHeight="1">
      <c r="A12548" s="172"/>
    </row>
    <row r="12549" spans="1:1" s="173" customFormat="1" ht="12" hidden="1" customHeight="1">
      <c r="A12549" s="172"/>
    </row>
    <row r="12550" spans="1:1" s="173" customFormat="1" ht="12" hidden="1" customHeight="1">
      <c r="A12550" s="172"/>
    </row>
    <row r="12551" spans="1:1" s="173" customFormat="1" ht="12" hidden="1" customHeight="1">
      <c r="A12551" s="172"/>
    </row>
    <row r="12552" spans="1:1" s="173" customFormat="1" ht="12" hidden="1" customHeight="1">
      <c r="A12552" s="172"/>
    </row>
    <row r="12553" spans="1:1" s="173" customFormat="1" ht="12" hidden="1" customHeight="1">
      <c r="A12553" s="172"/>
    </row>
    <row r="12554" spans="1:1" s="173" customFormat="1" ht="12" hidden="1" customHeight="1">
      <c r="A12554" s="172"/>
    </row>
    <row r="12555" spans="1:1" s="173" customFormat="1" ht="12" hidden="1" customHeight="1">
      <c r="A12555" s="172"/>
    </row>
    <row r="12556" spans="1:1" s="173" customFormat="1" ht="12" hidden="1" customHeight="1">
      <c r="A12556" s="172"/>
    </row>
    <row r="12557" spans="1:1" s="173" customFormat="1" ht="12" hidden="1" customHeight="1">
      <c r="A12557" s="172"/>
    </row>
    <row r="12558" spans="1:1" s="173" customFormat="1" ht="12" hidden="1" customHeight="1">
      <c r="A12558" s="172"/>
    </row>
    <row r="12559" spans="1:1" s="173" customFormat="1" ht="12" hidden="1" customHeight="1">
      <c r="A12559" s="172"/>
    </row>
    <row r="12560" spans="1:1" s="173" customFormat="1" ht="12" hidden="1" customHeight="1">
      <c r="A12560" s="172"/>
    </row>
    <row r="12561" spans="1:1" s="173" customFormat="1" ht="12" hidden="1" customHeight="1">
      <c r="A12561" s="172"/>
    </row>
    <row r="12562" spans="1:1" s="173" customFormat="1" ht="12" hidden="1" customHeight="1">
      <c r="A12562" s="172"/>
    </row>
    <row r="12563" spans="1:1" s="173" customFormat="1" ht="12" hidden="1" customHeight="1">
      <c r="A12563" s="172"/>
    </row>
    <row r="12564" spans="1:1" s="173" customFormat="1" ht="12" hidden="1" customHeight="1">
      <c r="A12564" s="172"/>
    </row>
    <row r="12565" spans="1:1" s="173" customFormat="1" ht="12" hidden="1" customHeight="1">
      <c r="A12565" s="172"/>
    </row>
    <row r="12566" spans="1:1" s="173" customFormat="1" ht="12" hidden="1" customHeight="1">
      <c r="A12566" s="172"/>
    </row>
    <row r="12567" spans="1:1" s="173" customFormat="1" ht="12" hidden="1" customHeight="1">
      <c r="A12567" s="172"/>
    </row>
    <row r="12568" spans="1:1" s="173" customFormat="1" ht="12" hidden="1" customHeight="1">
      <c r="A12568" s="172"/>
    </row>
    <row r="12569" spans="1:1" s="173" customFormat="1" ht="12" hidden="1" customHeight="1">
      <c r="A12569" s="172"/>
    </row>
    <row r="12570" spans="1:1" s="173" customFormat="1" ht="12" hidden="1" customHeight="1">
      <c r="A12570" s="172"/>
    </row>
    <row r="12571" spans="1:1" s="173" customFormat="1" ht="12" hidden="1" customHeight="1">
      <c r="A12571" s="172"/>
    </row>
    <row r="12572" spans="1:1" s="173" customFormat="1" ht="12" hidden="1" customHeight="1">
      <c r="A12572" s="172"/>
    </row>
    <row r="12573" spans="1:1" s="173" customFormat="1" ht="12" hidden="1" customHeight="1">
      <c r="A12573" s="172"/>
    </row>
    <row r="12574" spans="1:1" s="173" customFormat="1" ht="12" hidden="1" customHeight="1">
      <c r="A12574" s="172"/>
    </row>
    <row r="12575" spans="1:1" s="173" customFormat="1" ht="12" hidden="1" customHeight="1">
      <c r="A12575" s="172"/>
    </row>
    <row r="12576" spans="1:1" s="173" customFormat="1" ht="12" hidden="1" customHeight="1">
      <c r="A12576" s="172"/>
    </row>
    <row r="12577" spans="1:1" s="173" customFormat="1" ht="12" hidden="1" customHeight="1">
      <c r="A12577" s="172"/>
    </row>
    <row r="12578" spans="1:1" s="173" customFormat="1" ht="12" hidden="1" customHeight="1">
      <c r="A12578" s="172"/>
    </row>
    <row r="12579" spans="1:1" s="173" customFormat="1" ht="12" hidden="1" customHeight="1">
      <c r="A12579" s="172"/>
    </row>
    <row r="12580" spans="1:1" s="173" customFormat="1" ht="12" hidden="1" customHeight="1">
      <c r="A12580" s="172"/>
    </row>
    <row r="12581" spans="1:1" s="173" customFormat="1" ht="12" hidden="1" customHeight="1">
      <c r="A12581" s="172"/>
    </row>
    <row r="12582" spans="1:1" s="173" customFormat="1" ht="12" hidden="1" customHeight="1">
      <c r="A12582" s="172"/>
    </row>
    <row r="12583" spans="1:1" s="173" customFormat="1" ht="12" hidden="1" customHeight="1">
      <c r="A12583" s="172"/>
    </row>
    <row r="12584" spans="1:1" s="173" customFormat="1" ht="12" hidden="1" customHeight="1">
      <c r="A12584" s="172"/>
    </row>
    <row r="12585" spans="1:1" s="173" customFormat="1" ht="12" hidden="1" customHeight="1">
      <c r="A12585" s="172"/>
    </row>
    <row r="12586" spans="1:1" s="173" customFormat="1" ht="12" hidden="1" customHeight="1">
      <c r="A12586" s="172"/>
    </row>
    <row r="12587" spans="1:1" s="173" customFormat="1" ht="12" hidden="1" customHeight="1">
      <c r="A12587" s="172"/>
    </row>
    <row r="12588" spans="1:1" s="173" customFormat="1" ht="12" hidden="1" customHeight="1">
      <c r="A12588" s="172"/>
    </row>
    <row r="12589" spans="1:1" s="173" customFormat="1" ht="12" hidden="1" customHeight="1">
      <c r="A12589" s="172"/>
    </row>
    <row r="12590" spans="1:1" s="173" customFormat="1" ht="12" hidden="1" customHeight="1">
      <c r="A12590" s="172"/>
    </row>
    <row r="12591" spans="1:1" s="173" customFormat="1" ht="12" hidden="1" customHeight="1">
      <c r="A12591" s="172"/>
    </row>
    <row r="12592" spans="1:1" s="173" customFormat="1" ht="12" hidden="1" customHeight="1">
      <c r="A12592" s="172"/>
    </row>
    <row r="12593" spans="1:1" s="173" customFormat="1" ht="12" hidden="1" customHeight="1">
      <c r="A12593" s="172"/>
    </row>
    <row r="12594" spans="1:1" s="173" customFormat="1" ht="12" hidden="1" customHeight="1">
      <c r="A12594" s="172"/>
    </row>
    <row r="12595" spans="1:1" s="173" customFormat="1" ht="12" hidden="1" customHeight="1">
      <c r="A12595" s="172"/>
    </row>
    <row r="12596" spans="1:1" s="173" customFormat="1" ht="12" hidden="1" customHeight="1">
      <c r="A12596" s="172"/>
    </row>
    <row r="12597" spans="1:1" s="173" customFormat="1" ht="12" hidden="1" customHeight="1">
      <c r="A12597" s="172"/>
    </row>
    <row r="12598" spans="1:1" s="173" customFormat="1" ht="12" hidden="1" customHeight="1">
      <c r="A12598" s="172"/>
    </row>
    <row r="12599" spans="1:1" s="173" customFormat="1" ht="12" hidden="1" customHeight="1">
      <c r="A12599" s="172"/>
    </row>
    <row r="12600" spans="1:1" s="173" customFormat="1" ht="12" hidden="1" customHeight="1">
      <c r="A12600" s="172"/>
    </row>
    <row r="12601" spans="1:1" s="173" customFormat="1" ht="12" hidden="1" customHeight="1">
      <c r="A12601" s="172"/>
    </row>
    <row r="12602" spans="1:1" s="173" customFormat="1" ht="12" hidden="1" customHeight="1">
      <c r="A12602" s="172"/>
    </row>
    <row r="12603" spans="1:1" s="173" customFormat="1" ht="12" hidden="1" customHeight="1">
      <c r="A12603" s="172"/>
    </row>
    <row r="12604" spans="1:1" s="173" customFormat="1" ht="12" hidden="1" customHeight="1">
      <c r="A12604" s="172"/>
    </row>
    <row r="12605" spans="1:1" s="173" customFormat="1" ht="12" hidden="1" customHeight="1">
      <c r="A12605" s="172"/>
    </row>
    <row r="12606" spans="1:1" s="173" customFormat="1" ht="12" hidden="1" customHeight="1">
      <c r="A12606" s="172"/>
    </row>
    <row r="12607" spans="1:1" s="173" customFormat="1" ht="12" hidden="1" customHeight="1">
      <c r="A12607" s="172"/>
    </row>
    <row r="12608" spans="1:1" s="173" customFormat="1" ht="12" hidden="1" customHeight="1">
      <c r="A12608" s="172"/>
    </row>
    <row r="12609" spans="1:1" s="173" customFormat="1" ht="12" hidden="1" customHeight="1">
      <c r="A12609" s="172"/>
    </row>
    <row r="12610" spans="1:1" s="173" customFormat="1" ht="12" hidden="1" customHeight="1">
      <c r="A12610" s="172"/>
    </row>
    <row r="12611" spans="1:1" s="173" customFormat="1" ht="12" hidden="1" customHeight="1">
      <c r="A12611" s="172"/>
    </row>
    <row r="12612" spans="1:1" s="173" customFormat="1" ht="12" hidden="1" customHeight="1">
      <c r="A12612" s="172"/>
    </row>
    <row r="12613" spans="1:1" s="173" customFormat="1" ht="12" hidden="1" customHeight="1">
      <c r="A12613" s="172"/>
    </row>
    <row r="12614" spans="1:1" s="173" customFormat="1" ht="12" hidden="1" customHeight="1">
      <c r="A12614" s="172"/>
    </row>
    <row r="12615" spans="1:1" s="173" customFormat="1" ht="12" hidden="1" customHeight="1">
      <c r="A12615" s="172"/>
    </row>
    <row r="12616" spans="1:1" s="173" customFormat="1" ht="12" hidden="1" customHeight="1">
      <c r="A12616" s="172"/>
    </row>
    <row r="12617" spans="1:1" s="173" customFormat="1" ht="12" hidden="1" customHeight="1">
      <c r="A12617" s="172"/>
    </row>
    <row r="12618" spans="1:1" s="173" customFormat="1" ht="12" hidden="1" customHeight="1">
      <c r="A12618" s="172"/>
    </row>
    <row r="12619" spans="1:1" s="173" customFormat="1" ht="12" hidden="1" customHeight="1">
      <c r="A12619" s="172"/>
    </row>
    <row r="12620" spans="1:1" s="173" customFormat="1" ht="12" hidden="1" customHeight="1">
      <c r="A12620" s="172"/>
    </row>
    <row r="12621" spans="1:1" s="173" customFormat="1" ht="12" hidden="1" customHeight="1">
      <c r="A12621" s="172"/>
    </row>
    <row r="12622" spans="1:1" s="173" customFormat="1" ht="12" hidden="1" customHeight="1">
      <c r="A12622" s="172"/>
    </row>
    <row r="12623" spans="1:1" s="173" customFormat="1" ht="12" hidden="1" customHeight="1">
      <c r="A12623" s="172"/>
    </row>
    <row r="12624" spans="1:1" s="173" customFormat="1" ht="12" hidden="1" customHeight="1">
      <c r="A12624" s="172"/>
    </row>
    <row r="12625" spans="1:1" s="173" customFormat="1" ht="12" hidden="1" customHeight="1">
      <c r="A12625" s="172"/>
    </row>
    <row r="12626" spans="1:1" s="173" customFormat="1" ht="12" hidden="1" customHeight="1">
      <c r="A12626" s="172"/>
    </row>
    <row r="12627" spans="1:1" s="173" customFormat="1" ht="12" hidden="1" customHeight="1">
      <c r="A12627" s="172"/>
    </row>
    <row r="12628" spans="1:1" s="173" customFormat="1" ht="12" hidden="1" customHeight="1">
      <c r="A12628" s="172"/>
    </row>
    <row r="12629" spans="1:1" s="173" customFormat="1" ht="12" hidden="1" customHeight="1">
      <c r="A12629" s="172"/>
    </row>
    <row r="12630" spans="1:1" s="173" customFormat="1" ht="12" hidden="1" customHeight="1">
      <c r="A12630" s="172"/>
    </row>
    <row r="12631" spans="1:1" s="173" customFormat="1" ht="12" hidden="1" customHeight="1">
      <c r="A12631" s="172"/>
    </row>
    <row r="12632" spans="1:1" s="173" customFormat="1" ht="12" hidden="1" customHeight="1">
      <c r="A12632" s="172"/>
    </row>
    <row r="12633" spans="1:1" s="173" customFormat="1" ht="12" hidden="1" customHeight="1">
      <c r="A12633" s="172"/>
    </row>
    <row r="12634" spans="1:1" s="173" customFormat="1" ht="12" hidden="1" customHeight="1">
      <c r="A12634" s="172"/>
    </row>
    <row r="12635" spans="1:1" s="173" customFormat="1" ht="12" hidden="1" customHeight="1">
      <c r="A12635" s="172"/>
    </row>
    <row r="12636" spans="1:1" s="173" customFormat="1" ht="12" hidden="1" customHeight="1">
      <c r="A12636" s="172"/>
    </row>
    <row r="12637" spans="1:1" s="173" customFormat="1" ht="12" hidden="1" customHeight="1">
      <c r="A12637" s="172"/>
    </row>
    <row r="12638" spans="1:1" s="173" customFormat="1" ht="12" hidden="1" customHeight="1">
      <c r="A12638" s="172"/>
    </row>
    <row r="12639" spans="1:1" s="173" customFormat="1" ht="12" hidden="1" customHeight="1">
      <c r="A12639" s="172"/>
    </row>
    <row r="12640" spans="1:1" s="173" customFormat="1" ht="12" hidden="1" customHeight="1">
      <c r="A12640" s="172"/>
    </row>
    <row r="12641" spans="1:1" s="173" customFormat="1" ht="12" hidden="1" customHeight="1">
      <c r="A12641" s="172"/>
    </row>
    <row r="12642" spans="1:1" s="173" customFormat="1" ht="12" hidden="1" customHeight="1">
      <c r="A12642" s="172"/>
    </row>
    <row r="12643" spans="1:1" s="173" customFormat="1" ht="12" hidden="1" customHeight="1">
      <c r="A12643" s="172"/>
    </row>
    <row r="12644" spans="1:1" s="173" customFormat="1" ht="12" hidden="1" customHeight="1">
      <c r="A12644" s="172"/>
    </row>
    <row r="12645" spans="1:1" s="173" customFormat="1" ht="12" hidden="1" customHeight="1">
      <c r="A12645" s="172"/>
    </row>
    <row r="12646" spans="1:1" s="173" customFormat="1" ht="12" hidden="1" customHeight="1">
      <c r="A12646" s="172"/>
    </row>
    <row r="12647" spans="1:1" s="173" customFormat="1" ht="12" hidden="1" customHeight="1">
      <c r="A12647" s="172"/>
    </row>
    <row r="12648" spans="1:1" s="173" customFormat="1" ht="12" hidden="1" customHeight="1">
      <c r="A12648" s="172"/>
    </row>
    <row r="12649" spans="1:1" s="173" customFormat="1" ht="12" hidden="1" customHeight="1">
      <c r="A12649" s="172"/>
    </row>
    <row r="12650" spans="1:1" s="173" customFormat="1" ht="12" hidden="1" customHeight="1">
      <c r="A12650" s="172"/>
    </row>
    <row r="12651" spans="1:1" s="173" customFormat="1" ht="12" hidden="1" customHeight="1">
      <c r="A12651" s="172"/>
    </row>
    <row r="12652" spans="1:1" s="173" customFormat="1" ht="12" hidden="1" customHeight="1">
      <c r="A12652" s="172"/>
    </row>
    <row r="12653" spans="1:1" s="173" customFormat="1" ht="12" hidden="1" customHeight="1">
      <c r="A12653" s="172"/>
    </row>
    <row r="12654" spans="1:1" s="173" customFormat="1" ht="12" hidden="1" customHeight="1">
      <c r="A12654" s="172"/>
    </row>
    <row r="12655" spans="1:1" s="173" customFormat="1" ht="12" hidden="1" customHeight="1">
      <c r="A12655" s="172"/>
    </row>
    <row r="12656" spans="1:1" s="173" customFormat="1" ht="12" hidden="1" customHeight="1">
      <c r="A12656" s="172"/>
    </row>
    <row r="12657" spans="1:1" s="173" customFormat="1" ht="12" hidden="1" customHeight="1">
      <c r="A12657" s="172"/>
    </row>
    <row r="12658" spans="1:1" s="173" customFormat="1" ht="12" hidden="1" customHeight="1">
      <c r="A12658" s="172"/>
    </row>
    <row r="12659" spans="1:1" s="173" customFormat="1" ht="12" hidden="1" customHeight="1">
      <c r="A12659" s="172"/>
    </row>
    <row r="12660" spans="1:1" s="173" customFormat="1" ht="12" hidden="1" customHeight="1">
      <c r="A12660" s="172"/>
    </row>
    <row r="12661" spans="1:1" s="173" customFormat="1" ht="12" hidden="1" customHeight="1">
      <c r="A12661" s="172"/>
    </row>
    <row r="12662" spans="1:1" s="173" customFormat="1" ht="12" hidden="1" customHeight="1">
      <c r="A12662" s="172"/>
    </row>
    <row r="12663" spans="1:1" s="173" customFormat="1" ht="12" hidden="1" customHeight="1">
      <c r="A12663" s="172"/>
    </row>
    <row r="12664" spans="1:1" s="173" customFormat="1" ht="12" hidden="1" customHeight="1">
      <c r="A12664" s="172"/>
    </row>
    <row r="12665" spans="1:1" s="173" customFormat="1" ht="12" hidden="1" customHeight="1">
      <c r="A12665" s="172"/>
    </row>
    <row r="12666" spans="1:1" s="173" customFormat="1" ht="12" hidden="1" customHeight="1">
      <c r="A12666" s="172"/>
    </row>
    <row r="12667" spans="1:1" s="173" customFormat="1" ht="12" hidden="1" customHeight="1">
      <c r="A12667" s="172"/>
    </row>
    <row r="12668" spans="1:1" s="173" customFormat="1" ht="12" hidden="1" customHeight="1">
      <c r="A12668" s="172"/>
    </row>
    <row r="12669" spans="1:1" s="173" customFormat="1" ht="12" hidden="1" customHeight="1">
      <c r="A12669" s="172"/>
    </row>
    <row r="12670" spans="1:1" s="173" customFormat="1" ht="12" hidden="1" customHeight="1">
      <c r="A12670" s="172"/>
    </row>
    <row r="12671" spans="1:1" s="173" customFormat="1" ht="12" hidden="1" customHeight="1">
      <c r="A12671" s="172"/>
    </row>
    <row r="12672" spans="1:1" s="173" customFormat="1" ht="12" hidden="1" customHeight="1">
      <c r="A12672" s="172"/>
    </row>
    <row r="12673" spans="1:1" s="173" customFormat="1" ht="12" hidden="1" customHeight="1">
      <c r="A12673" s="172"/>
    </row>
    <row r="12674" spans="1:1" s="173" customFormat="1" ht="12" hidden="1" customHeight="1">
      <c r="A12674" s="172"/>
    </row>
    <row r="12675" spans="1:1" s="173" customFormat="1" ht="12" hidden="1" customHeight="1">
      <c r="A12675" s="172"/>
    </row>
    <row r="12676" spans="1:1" s="173" customFormat="1" ht="12" hidden="1" customHeight="1">
      <c r="A12676" s="172"/>
    </row>
    <row r="12677" spans="1:1" s="173" customFormat="1" ht="12" hidden="1" customHeight="1">
      <c r="A12677" s="172"/>
    </row>
    <row r="12678" spans="1:1" s="173" customFormat="1" ht="12" hidden="1" customHeight="1">
      <c r="A12678" s="172"/>
    </row>
    <row r="12679" spans="1:1" s="173" customFormat="1" ht="12" hidden="1" customHeight="1">
      <c r="A12679" s="172"/>
    </row>
    <row r="12680" spans="1:1" s="173" customFormat="1" ht="12" hidden="1" customHeight="1">
      <c r="A12680" s="172"/>
    </row>
    <row r="12681" spans="1:1" s="173" customFormat="1" ht="12" hidden="1" customHeight="1">
      <c r="A12681" s="172"/>
    </row>
    <row r="12682" spans="1:1" s="173" customFormat="1" ht="12" hidden="1" customHeight="1">
      <c r="A12682" s="172"/>
    </row>
    <row r="12683" spans="1:1" s="173" customFormat="1" ht="12" hidden="1" customHeight="1">
      <c r="A12683" s="172"/>
    </row>
    <row r="12684" spans="1:1" s="173" customFormat="1" ht="12" hidden="1" customHeight="1">
      <c r="A12684" s="172"/>
    </row>
    <row r="12685" spans="1:1" s="173" customFormat="1" ht="12" hidden="1" customHeight="1">
      <c r="A12685" s="172"/>
    </row>
    <row r="12686" spans="1:1" s="173" customFormat="1" ht="12" hidden="1" customHeight="1">
      <c r="A12686" s="172"/>
    </row>
    <row r="12687" spans="1:1" s="173" customFormat="1" ht="12" hidden="1" customHeight="1">
      <c r="A12687" s="172"/>
    </row>
    <row r="12688" spans="1:1" s="173" customFormat="1" ht="12" hidden="1" customHeight="1">
      <c r="A12688" s="172"/>
    </row>
    <row r="12689" spans="1:1" s="173" customFormat="1" ht="12" hidden="1" customHeight="1">
      <c r="A12689" s="172"/>
    </row>
    <row r="12690" spans="1:1" s="173" customFormat="1" ht="12" hidden="1" customHeight="1">
      <c r="A12690" s="172"/>
    </row>
    <row r="12691" spans="1:1" s="173" customFormat="1" ht="12" hidden="1" customHeight="1">
      <c r="A12691" s="172"/>
    </row>
    <row r="12692" spans="1:1" s="173" customFormat="1" ht="12" hidden="1" customHeight="1">
      <c r="A12692" s="172"/>
    </row>
    <row r="12693" spans="1:1" s="173" customFormat="1" ht="12" hidden="1" customHeight="1">
      <c r="A12693" s="172"/>
    </row>
    <row r="12694" spans="1:1" s="173" customFormat="1" ht="12" hidden="1" customHeight="1">
      <c r="A12694" s="172"/>
    </row>
    <row r="12695" spans="1:1" s="173" customFormat="1" ht="12" hidden="1" customHeight="1">
      <c r="A12695" s="172"/>
    </row>
    <row r="12696" spans="1:1" s="173" customFormat="1" ht="12" hidden="1" customHeight="1">
      <c r="A12696" s="172"/>
    </row>
    <row r="12697" spans="1:1" s="173" customFormat="1" ht="12" hidden="1" customHeight="1">
      <c r="A12697" s="172"/>
    </row>
    <row r="12698" spans="1:1" s="173" customFormat="1" ht="12" hidden="1" customHeight="1">
      <c r="A12698" s="172"/>
    </row>
    <row r="12699" spans="1:1" s="173" customFormat="1" ht="12" hidden="1" customHeight="1">
      <c r="A12699" s="172"/>
    </row>
    <row r="12700" spans="1:1" s="173" customFormat="1" ht="12" hidden="1" customHeight="1">
      <c r="A12700" s="172"/>
    </row>
    <row r="12701" spans="1:1" s="173" customFormat="1" ht="12" hidden="1" customHeight="1">
      <c r="A12701" s="172"/>
    </row>
    <row r="12702" spans="1:1" s="173" customFormat="1" ht="12" hidden="1" customHeight="1">
      <c r="A12702" s="172"/>
    </row>
    <row r="12703" spans="1:1" s="173" customFormat="1" ht="12" hidden="1" customHeight="1">
      <c r="A12703" s="172"/>
    </row>
    <row r="12704" spans="1:1" s="173" customFormat="1" ht="12" hidden="1" customHeight="1">
      <c r="A12704" s="172"/>
    </row>
    <row r="12705" spans="1:1" s="173" customFormat="1" ht="12" hidden="1" customHeight="1">
      <c r="A12705" s="172"/>
    </row>
    <row r="12706" spans="1:1" s="173" customFormat="1" ht="12" hidden="1" customHeight="1">
      <c r="A12706" s="172"/>
    </row>
    <row r="12707" spans="1:1" s="173" customFormat="1" ht="12" hidden="1" customHeight="1">
      <c r="A12707" s="172"/>
    </row>
    <row r="12708" spans="1:1" s="173" customFormat="1" ht="12" hidden="1" customHeight="1">
      <c r="A12708" s="172"/>
    </row>
    <row r="12709" spans="1:1" s="173" customFormat="1" ht="12" hidden="1" customHeight="1">
      <c r="A12709" s="172"/>
    </row>
    <row r="12710" spans="1:1" s="173" customFormat="1" ht="12" hidden="1" customHeight="1">
      <c r="A12710" s="172"/>
    </row>
    <row r="12711" spans="1:1" s="173" customFormat="1" ht="12" hidden="1" customHeight="1">
      <c r="A12711" s="172"/>
    </row>
    <row r="12712" spans="1:1" s="173" customFormat="1" ht="12" hidden="1" customHeight="1">
      <c r="A12712" s="172"/>
    </row>
    <row r="12713" spans="1:1" s="173" customFormat="1" ht="12" hidden="1" customHeight="1">
      <c r="A12713" s="172"/>
    </row>
    <row r="12714" spans="1:1" s="173" customFormat="1" ht="12" hidden="1" customHeight="1">
      <c r="A12714" s="172"/>
    </row>
    <row r="12715" spans="1:1" s="173" customFormat="1" ht="12" hidden="1" customHeight="1">
      <c r="A12715" s="172"/>
    </row>
    <row r="12716" spans="1:1" s="173" customFormat="1" ht="12" hidden="1" customHeight="1">
      <c r="A12716" s="172"/>
    </row>
    <row r="12717" spans="1:1" s="173" customFormat="1" ht="12" hidden="1" customHeight="1">
      <c r="A12717" s="172"/>
    </row>
    <row r="12718" spans="1:1" s="173" customFormat="1" ht="12" hidden="1" customHeight="1">
      <c r="A12718" s="172"/>
    </row>
    <row r="12719" spans="1:1" s="173" customFormat="1" ht="12" hidden="1" customHeight="1">
      <c r="A12719" s="172"/>
    </row>
    <row r="12720" spans="1:1" s="173" customFormat="1" ht="12" hidden="1" customHeight="1">
      <c r="A12720" s="172"/>
    </row>
    <row r="12721" spans="1:1" s="173" customFormat="1" ht="12" hidden="1" customHeight="1">
      <c r="A12721" s="172"/>
    </row>
    <row r="12722" spans="1:1" s="173" customFormat="1" ht="12" hidden="1" customHeight="1">
      <c r="A12722" s="172"/>
    </row>
    <row r="12723" spans="1:1" s="173" customFormat="1" ht="12" hidden="1" customHeight="1">
      <c r="A12723" s="172"/>
    </row>
    <row r="12724" spans="1:1" s="173" customFormat="1" ht="12" hidden="1" customHeight="1">
      <c r="A12724" s="172"/>
    </row>
    <row r="12725" spans="1:1" s="173" customFormat="1" ht="12" hidden="1" customHeight="1">
      <c r="A12725" s="172"/>
    </row>
    <row r="12726" spans="1:1" s="173" customFormat="1" ht="12" hidden="1" customHeight="1">
      <c r="A12726" s="172"/>
    </row>
    <row r="12727" spans="1:1" s="173" customFormat="1" ht="12" hidden="1" customHeight="1">
      <c r="A12727" s="172"/>
    </row>
    <row r="12728" spans="1:1" s="173" customFormat="1" ht="12" hidden="1" customHeight="1">
      <c r="A12728" s="172"/>
    </row>
    <row r="12729" spans="1:1" s="173" customFormat="1" ht="12" hidden="1" customHeight="1">
      <c r="A12729" s="172"/>
    </row>
    <row r="12730" spans="1:1" s="173" customFormat="1" ht="12" hidden="1" customHeight="1">
      <c r="A12730" s="172"/>
    </row>
    <row r="12731" spans="1:1" s="173" customFormat="1" ht="12" hidden="1" customHeight="1">
      <c r="A12731" s="172"/>
    </row>
    <row r="12732" spans="1:1" s="173" customFormat="1" ht="12" hidden="1" customHeight="1">
      <c r="A12732" s="172"/>
    </row>
    <row r="12733" spans="1:1" s="173" customFormat="1" ht="12" hidden="1" customHeight="1">
      <c r="A12733" s="172"/>
    </row>
    <row r="12734" spans="1:1" s="173" customFormat="1" ht="12" hidden="1" customHeight="1">
      <c r="A12734" s="172"/>
    </row>
    <row r="12735" spans="1:1" s="173" customFormat="1" ht="12" hidden="1" customHeight="1">
      <c r="A12735" s="172"/>
    </row>
    <row r="12736" spans="1:1" s="173" customFormat="1" ht="12" hidden="1" customHeight="1">
      <c r="A12736" s="172"/>
    </row>
    <row r="12737" spans="1:1" s="173" customFormat="1" ht="12" hidden="1" customHeight="1">
      <c r="A12737" s="172"/>
    </row>
    <row r="12738" spans="1:1" s="173" customFormat="1" ht="12" hidden="1" customHeight="1">
      <c r="A12738" s="172"/>
    </row>
    <row r="12739" spans="1:1" s="173" customFormat="1" ht="12" hidden="1" customHeight="1">
      <c r="A12739" s="172"/>
    </row>
    <row r="12740" spans="1:1" s="173" customFormat="1" ht="12" hidden="1" customHeight="1">
      <c r="A12740" s="172"/>
    </row>
    <row r="12741" spans="1:1" s="173" customFormat="1" ht="12" hidden="1" customHeight="1">
      <c r="A12741" s="172"/>
    </row>
    <row r="12742" spans="1:1" s="173" customFormat="1" ht="12" hidden="1" customHeight="1">
      <c r="A12742" s="172"/>
    </row>
    <row r="12743" spans="1:1" s="173" customFormat="1" ht="12" hidden="1" customHeight="1">
      <c r="A12743" s="172"/>
    </row>
    <row r="12744" spans="1:1" s="173" customFormat="1" ht="12" hidden="1" customHeight="1">
      <c r="A12744" s="172"/>
    </row>
    <row r="12745" spans="1:1" s="173" customFormat="1" ht="12" hidden="1" customHeight="1">
      <c r="A12745" s="172"/>
    </row>
    <row r="12746" spans="1:1" s="173" customFormat="1" ht="12" hidden="1" customHeight="1">
      <c r="A12746" s="172"/>
    </row>
    <row r="12747" spans="1:1" s="173" customFormat="1" ht="12" hidden="1" customHeight="1">
      <c r="A12747" s="172"/>
    </row>
    <row r="12748" spans="1:1" s="173" customFormat="1" ht="12" hidden="1" customHeight="1">
      <c r="A12748" s="172"/>
    </row>
    <row r="12749" spans="1:1" s="173" customFormat="1" ht="12" hidden="1" customHeight="1">
      <c r="A12749" s="172"/>
    </row>
    <row r="12750" spans="1:1" s="173" customFormat="1" ht="12" hidden="1" customHeight="1">
      <c r="A12750" s="172"/>
    </row>
    <row r="12751" spans="1:1" s="173" customFormat="1" ht="12" hidden="1" customHeight="1">
      <c r="A12751" s="172"/>
    </row>
    <row r="12752" spans="1:1" s="173" customFormat="1" ht="12" hidden="1" customHeight="1">
      <c r="A12752" s="172"/>
    </row>
    <row r="12753" spans="1:1" s="173" customFormat="1" ht="12" hidden="1" customHeight="1">
      <c r="A12753" s="172"/>
    </row>
    <row r="12754" spans="1:1" s="173" customFormat="1" ht="12" hidden="1" customHeight="1">
      <c r="A12754" s="172"/>
    </row>
    <row r="12755" spans="1:1" s="173" customFormat="1" ht="12" hidden="1" customHeight="1">
      <c r="A12755" s="172"/>
    </row>
    <row r="12756" spans="1:1" s="173" customFormat="1" ht="12" hidden="1" customHeight="1">
      <c r="A12756" s="172"/>
    </row>
    <row r="12757" spans="1:1" s="173" customFormat="1" ht="12" hidden="1" customHeight="1">
      <c r="A12757" s="172"/>
    </row>
    <row r="12758" spans="1:1" s="173" customFormat="1" ht="12" hidden="1" customHeight="1">
      <c r="A12758" s="172"/>
    </row>
    <row r="12759" spans="1:1" s="173" customFormat="1" ht="12" hidden="1" customHeight="1">
      <c r="A12759" s="172"/>
    </row>
    <row r="12760" spans="1:1" s="173" customFormat="1" ht="12" hidden="1" customHeight="1">
      <c r="A12760" s="172"/>
    </row>
    <row r="12761" spans="1:1" s="173" customFormat="1" ht="12" hidden="1" customHeight="1">
      <c r="A12761" s="172"/>
    </row>
    <row r="12762" spans="1:1" s="173" customFormat="1" ht="12" hidden="1" customHeight="1">
      <c r="A12762" s="172"/>
    </row>
    <row r="12763" spans="1:1" s="173" customFormat="1" ht="12" hidden="1" customHeight="1">
      <c r="A12763" s="172"/>
    </row>
    <row r="12764" spans="1:1" s="173" customFormat="1" ht="12" hidden="1" customHeight="1">
      <c r="A12764" s="172"/>
    </row>
    <row r="12765" spans="1:1" s="173" customFormat="1" ht="12" hidden="1" customHeight="1">
      <c r="A12765" s="172"/>
    </row>
    <row r="12766" spans="1:1" s="173" customFormat="1" ht="12" hidden="1" customHeight="1">
      <c r="A12766" s="172"/>
    </row>
    <row r="12767" spans="1:1" s="173" customFormat="1" ht="12" hidden="1" customHeight="1">
      <c r="A12767" s="172"/>
    </row>
    <row r="12768" spans="1:1" s="173" customFormat="1" ht="12" hidden="1" customHeight="1">
      <c r="A12768" s="172"/>
    </row>
    <row r="12769" spans="1:1" s="173" customFormat="1" ht="12" hidden="1" customHeight="1">
      <c r="A12769" s="172"/>
    </row>
    <row r="12770" spans="1:1" s="173" customFormat="1" ht="12" hidden="1" customHeight="1">
      <c r="A12770" s="172"/>
    </row>
    <row r="12771" spans="1:1" s="173" customFormat="1" ht="12" hidden="1" customHeight="1">
      <c r="A12771" s="172"/>
    </row>
    <row r="12772" spans="1:1" s="173" customFormat="1" ht="12" hidden="1" customHeight="1">
      <c r="A12772" s="172"/>
    </row>
    <row r="12773" spans="1:1" s="173" customFormat="1" ht="12" hidden="1" customHeight="1">
      <c r="A12773" s="172"/>
    </row>
    <row r="12774" spans="1:1" s="173" customFormat="1" ht="12" hidden="1" customHeight="1">
      <c r="A12774" s="172"/>
    </row>
    <row r="12775" spans="1:1" s="173" customFormat="1" ht="12" hidden="1" customHeight="1">
      <c r="A12775" s="172"/>
    </row>
    <row r="12776" spans="1:1" s="173" customFormat="1" ht="12" hidden="1" customHeight="1">
      <c r="A12776" s="172"/>
    </row>
    <row r="12777" spans="1:1" s="173" customFormat="1" ht="12" hidden="1" customHeight="1">
      <c r="A12777" s="172"/>
    </row>
    <row r="12778" spans="1:1" s="173" customFormat="1" ht="12" hidden="1" customHeight="1">
      <c r="A12778" s="172"/>
    </row>
    <row r="12779" spans="1:1" s="173" customFormat="1" ht="12" hidden="1" customHeight="1">
      <c r="A12779" s="172"/>
    </row>
    <row r="12780" spans="1:1" s="173" customFormat="1" ht="12" hidden="1" customHeight="1">
      <c r="A12780" s="172"/>
    </row>
    <row r="12781" spans="1:1" s="173" customFormat="1" ht="12" hidden="1" customHeight="1">
      <c r="A12781" s="172"/>
    </row>
    <row r="12782" spans="1:1" s="173" customFormat="1" ht="12" hidden="1" customHeight="1">
      <c r="A12782" s="172"/>
    </row>
    <row r="12783" spans="1:1" s="173" customFormat="1" ht="12" hidden="1" customHeight="1">
      <c r="A12783" s="172"/>
    </row>
    <row r="12784" spans="1:1" s="173" customFormat="1" ht="12" hidden="1" customHeight="1">
      <c r="A12784" s="172"/>
    </row>
    <row r="12785" spans="1:1" s="173" customFormat="1" ht="12" hidden="1" customHeight="1">
      <c r="A12785" s="172"/>
    </row>
    <row r="12786" spans="1:1" s="173" customFormat="1" ht="12" hidden="1" customHeight="1">
      <c r="A12786" s="172"/>
    </row>
    <row r="12787" spans="1:1" s="173" customFormat="1" ht="12" hidden="1" customHeight="1">
      <c r="A12787" s="172"/>
    </row>
    <row r="12788" spans="1:1" s="173" customFormat="1" ht="12" hidden="1" customHeight="1">
      <c r="A12788" s="172"/>
    </row>
    <row r="12789" spans="1:1" s="173" customFormat="1" ht="12" hidden="1" customHeight="1">
      <c r="A12789" s="172"/>
    </row>
    <row r="12790" spans="1:1" s="173" customFormat="1" ht="12" hidden="1" customHeight="1">
      <c r="A12790" s="172"/>
    </row>
    <row r="12791" spans="1:1" s="173" customFormat="1" ht="12" hidden="1" customHeight="1">
      <c r="A12791" s="172"/>
    </row>
    <row r="12792" spans="1:1" s="173" customFormat="1" ht="12" hidden="1" customHeight="1">
      <c r="A12792" s="172"/>
    </row>
    <row r="12793" spans="1:1" s="173" customFormat="1" ht="12" hidden="1" customHeight="1">
      <c r="A12793" s="172"/>
    </row>
    <row r="12794" spans="1:1" s="173" customFormat="1" ht="12" hidden="1" customHeight="1">
      <c r="A12794" s="172"/>
    </row>
    <row r="12795" spans="1:1" s="173" customFormat="1" ht="12" hidden="1" customHeight="1">
      <c r="A12795" s="172"/>
    </row>
    <row r="12796" spans="1:1" s="173" customFormat="1" ht="12" hidden="1" customHeight="1">
      <c r="A12796" s="172"/>
    </row>
    <row r="12797" spans="1:1" s="173" customFormat="1" ht="12" hidden="1" customHeight="1">
      <c r="A12797" s="172"/>
    </row>
    <row r="12798" spans="1:1" s="173" customFormat="1" ht="12" hidden="1" customHeight="1">
      <c r="A12798" s="172"/>
    </row>
    <row r="12799" spans="1:1" s="173" customFormat="1" ht="12" hidden="1" customHeight="1">
      <c r="A12799" s="172"/>
    </row>
    <row r="12800" spans="1:1" s="173" customFormat="1" ht="12" hidden="1" customHeight="1">
      <c r="A12800" s="172"/>
    </row>
    <row r="12801" spans="1:1" s="173" customFormat="1" ht="12" hidden="1" customHeight="1">
      <c r="A12801" s="172"/>
    </row>
    <row r="12802" spans="1:1" s="173" customFormat="1" ht="12" hidden="1" customHeight="1">
      <c r="A12802" s="172"/>
    </row>
    <row r="12803" spans="1:1" s="173" customFormat="1" ht="12" hidden="1" customHeight="1">
      <c r="A12803" s="172"/>
    </row>
    <row r="12804" spans="1:1" s="173" customFormat="1" ht="12" hidden="1" customHeight="1">
      <c r="A12804" s="172"/>
    </row>
    <row r="12805" spans="1:1" s="173" customFormat="1" ht="12" hidden="1" customHeight="1">
      <c r="A12805" s="172"/>
    </row>
    <row r="12806" spans="1:1" s="173" customFormat="1" ht="12" hidden="1" customHeight="1">
      <c r="A12806" s="172"/>
    </row>
    <row r="12807" spans="1:1" s="173" customFormat="1" ht="12" hidden="1" customHeight="1">
      <c r="A12807" s="172"/>
    </row>
    <row r="12808" spans="1:1" s="173" customFormat="1" ht="12" hidden="1" customHeight="1">
      <c r="A12808" s="172"/>
    </row>
    <row r="12809" spans="1:1" s="173" customFormat="1" ht="12" hidden="1" customHeight="1">
      <c r="A12809" s="172"/>
    </row>
    <row r="12810" spans="1:1" s="173" customFormat="1" ht="12" hidden="1" customHeight="1">
      <c r="A12810" s="172"/>
    </row>
    <row r="12811" spans="1:1" s="173" customFormat="1" ht="12" hidden="1" customHeight="1">
      <c r="A12811" s="172"/>
    </row>
    <row r="12812" spans="1:1" s="173" customFormat="1" ht="12" hidden="1" customHeight="1">
      <c r="A12812" s="172"/>
    </row>
    <row r="12813" spans="1:1" s="173" customFormat="1" ht="12" hidden="1" customHeight="1">
      <c r="A12813" s="172"/>
    </row>
    <row r="12814" spans="1:1" s="173" customFormat="1" ht="12" hidden="1" customHeight="1">
      <c r="A12814" s="172"/>
    </row>
    <row r="12815" spans="1:1" s="173" customFormat="1" ht="12" hidden="1" customHeight="1">
      <c r="A12815" s="172"/>
    </row>
    <row r="12816" spans="1:1" s="173" customFormat="1" ht="12" hidden="1" customHeight="1">
      <c r="A12816" s="172"/>
    </row>
    <row r="12817" spans="1:1" s="173" customFormat="1" ht="12" hidden="1" customHeight="1">
      <c r="A12817" s="172"/>
    </row>
    <row r="12818" spans="1:1" s="173" customFormat="1" ht="12" hidden="1" customHeight="1">
      <c r="A12818" s="172"/>
    </row>
    <row r="12819" spans="1:1" s="173" customFormat="1" ht="12" hidden="1" customHeight="1">
      <c r="A12819" s="172"/>
    </row>
    <row r="12820" spans="1:1" s="173" customFormat="1" ht="12" hidden="1" customHeight="1">
      <c r="A12820" s="172"/>
    </row>
    <row r="12821" spans="1:1" s="173" customFormat="1" ht="12" hidden="1" customHeight="1">
      <c r="A12821" s="172"/>
    </row>
    <row r="12822" spans="1:1" s="173" customFormat="1" ht="12" hidden="1" customHeight="1">
      <c r="A12822" s="172"/>
    </row>
    <row r="12823" spans="1:1" s="173" customFormat="1" ht="12" hidden="1" customHeight="1">
      <c r="A12823" s="172"/>
    </row>
    <row r="12824" spans="1:1" s="173" customFormat="1" ht="12" hidden="1" customHeight="1">
      <c r="A12824" s="172"/>
    </row>
    <row r="12825" spans="1:1" s="173" customFormat="1" ht="12" hidden="1" customHeight="1">
      <c r="A12825" s="172"/>
    </row>
    <row r="12826" spans="1:1" s="173" customFormat="1" ht="12" hidden="1" customHeight="1">
      <c r="A12826" s="172"/>
    </row>
    <row r="12827" spans="1:1" s="173" customFormat="1" ht="12" hidden="1" customHeight="1">
      <c r="A12827" s="172"/>
    </row>
    <row r="12828" spans="1:1" s="173" customFormat="1" ht="12" hidden="1" customHeight="1">
      <c r="A12828" s="172"/>
    </row>
    <row r="12829" spans="1:1" s="173" customFormat="1" ht="12" hidden="1" customHeight="1">
      <c r="A12829" s="172"/>
    </row>
    <row r="12830" spans="1:1" s="173" customFormat="1" ht="12" hidden="1" customHeight="1">
      <c r="A12830" s="172"/>
    </row>
    <row r="12831" spans="1:1" s="173" customFormat="1" ht="12" hidden="1" customHeight="1">
      <c r="A12831" s="172"/>
    </row>
    <row r="12832" spans="1:1" s="173" customFormat="1" ht="12" hidden="1" customHeight="1">
      <c r="A12832" s="172"/>
    </row>
    <row r="12833" spans="1:1" s="173" customFormat="1" ht="12" hidden="1" customHeight="1">
      <c r="A12833" s="172"/>
    </row>
    <row r="12834" spans="1:1" s="173" customFormat="1" ht="12" hidden="1" customHeight="1">
      <c r="A12834" s="172"/>
    </row>
    <row r="12835" spans="1:1" s="173" customFormat="1" ht="12" hidden="1" customHeight="1">
      <c r="A12835" s="172"/>
    </row>
    <row r="12836" spans="1:1" s="173" customFormat="1" ht="12" hidden="1" customHeight="1">
      <c r="A12836" s="172"/>
    </row>
    <row r="12837" spans="1:1" s="173" customFormat="1" ht="12" hidden="1" customHeight="1">
      <c r="A12837" s="172"/>
    </row>
    <row r="12838" spans="1:1" s="173" customFormat="1" ht="12" hidden="1" customHeight="1">
      <c r="A12838" s="172"/>
    </row>
    <row r="12839" spans="1:1" s="173" customFormat="1" ht="12" hidden="1" customHeight="1">
      <c r="A12839" s="172"/>
    </row>
    <row r="12840" spans="1:1" s="173" customFormat="1" ht="12" hidden="1" customHeight="1">
      <c r="A12840" s="172"/>
    </row>
    <row r="12841" spans="1:1" s="173" customFormat="1" ht="12" hidden="1" customHeight="1">
      <c r="A12841" s="172"/>
    </row>
    <row r="12842" spans="1:1" s="173" customFormat="1" ht="12" hidden="1" customHeight="1">
      <c r="A12842" s="172"/>
    </row>
    <row r="12843" spans="1:1" s="173" customFormat="1" ht="12" hidden="1" customHeight="1">
      <c r="A12843" s="172"/>
    </row>
    <row r="12844" spans="1:1" s="173" customFormat="1" ht="12" hidden="1" customHeight="1">
      <c r="A12844" s="172"/>
    </row>
    <row r="12845" spans="1:1" s="173" customFormat="1" ht="12" hidden="1" customHeight="1">
      <c r="A12845" s="172"/>
    </row>
    <row r="12846" spans="1:1" s="173" customFormat="1" ht="12" hidden="1" customHeight="1">
      <c r="A12846" s="172"/>
    </row>
    <row r="12847" spans="1:1" s="173" customFormat="1" ht="12" hidden="1" customHeight="1">
      <c r="A12847" s="172"/>
    </row>
    <row r="12848" spans="1:1" s="173" customFormat="1" ht="12" hidden="1" customHeight="1">
      <c r="A12848" s="172"/>
    </row>
    <row r="12849" spans="1:1" s="173" customFormat="1" ht="12" hidden="1" customHeight="1">
      <c r="A12849" s="172"/>
    </row>
    <row r="12850" spans="1:1" s="173" customFormat="1" ht="12" hidden="1" customHeight="1">
      <c r="A12850" s="172"/>
    </row>
    <row r="12851" spans="1:1" s="173" customFormat="1" ht="12" hidden="1" customHeight="1">
      <c r="A12851" s="172"/>
    </row>
    <row r="12852" spans="1:1" s="173" customFormat="1" ht="12" hidden="1" customHeight="1">
      <c r="A12852" s="172"/>
    </row>
    <row r="12853" spans="1:1" s="173" customFormat="1" ht="12" hidden="1" customHeight="1">
      <c r="A12853" s="172"/>
    </row>
    <row r="12854" spans="1:1" s="173" customFormat="1" ht="12" hidden="1" customHeight="1">
      <c r="A12854" s="172"/>
    </row>
    <row r="12855" spans="1:1" s="173" customFormat="1" ht="12" hidden="1" customHeight="1">
      <c r="A12855" s="172"/>
    </row>
    <row r="12856" spans="1:1" s="173" customFormat="1" ht="12" hidden="1" customHeight="1">
      <c r="A12856" s="172"/>
    </row>
    <row r="12857" spans="1:1" s="173" customFormat="1" ht="12" hidden="1" customHeight="1">
      <c r="A12857" s="172"/>
    </row>
    <row r="12858" spans="1:1" s="173" customFormat="1" ht="12" hidden="1" customHeight="1">
      <c r="A12858" s="172"/>
    </row>
    <row r="12859" spans="1:1" s="173" customFormat="1" ht="12" hidden="1" customHeight="1">
      <c r="A12859" s="172"/>
    </row>
    <row r="12860" spans="1:1" s="173" customFormat="1" ht="12" hidden="1" customHeight="1">
      <c r="A12860" s="172"/>
    </row>
    <row r="12861" spans="1:1" s="173" customFormat="1" ht="12" hidden="1" customHeight="1">
      <c r="A12861" s="172"/>
    </row>
    <row r="12862" spans="1:1" s="173" customFormat="1" ht="12" hidden="1" customHeight="1">
      <c r="A12862" s="172"/>
    </row>
    <row r="12863" spans="1:1" s="173" customFormat="1" ht="12" hidden="1" customHeight="1">
      <c r="A12863" s="172"/>
    </row>
    <row r="12864" spans="1:1" s="173" customFormat="1" ht="12" hidden="1" customHeight="1">
      <c r="A12864" s="172"/>
    </row>
    <row r="12865" spans="1:1" s="173" customFormat="1" ht="12" hidden="1" customHeight="1">
      <c r="A12865" s="172"/>
    </row>
    <row r="12866" spans="1:1" s="173" customFormat="1" ht="12" hidden="1" customHeight="1">
      <c r="A12866" s="172"/>
    </row>
    <row r="12867" spans="1:1" s="173" customFormat="1" ht="12" hidden="1" customHeight="1">
      <c r="A12867" s="172"/>
    </row>
    <row r="12868" spans="1:1" s="173" customFormat="1" ht="12" hidden="1" customHeight="1">
      <c r="A12868" s="172"/>
    </row>
    <row r="12869" spans="1:1" s="173" customFormat="1" ht="12" hidden="1" customHeight="1">
      <c r="A12869" s="172"/>
    </row>
    <row r="12870" spans="1:1" s="173" customFormat="1" ht="12" hidden="1" customHeight="1">
      <c r="A12870" s="172"/>
    </row>
    <row r="12871" spans="1:1" s="173" customFormat="1" ht="12" hidden="1" customHeight="1">
      <c r="A12871" s="172"/>
    </row>
    <row r="12872" spans="1:1" s="173" customFormat="1" ht="12" hidden="1" customHeight="1">
      <c r="A12872" s="172"/>
    </row>
    <row r="12873" spans="1:1" s="173" customFormat="1" ht="12" hidden="1" customHeight="1">
      <c r="A12873" s="172"/>
    </row>
    <row r="12874" spans="1:1" s="173" customFormat="1" ht="12" hidden="1" customHeight="1">
      <c r="A12874" s="172"/>
    </row>
    <row r="12875" spans="1:1" s="173" customFormat="1" ht="12" hidden="1" customHeight="1">
      <c r="A12875" s="172"/>
    </row>
    <row r="12876" spans="1:1" s="173" customFormat="1" ht="12" hidden="1" customHeight="1">
      <c r="A12876" s="172"/>
    </row>
    <row r="12877" spans="1:1" s="173" customFormat="1" ht="12" hidden="1" customHeight="1">
      <c r="A12877" s="172"/>
    </row>
    <row r="12878" spans="1:1" s="173" customFormat="1" ht="12" hidden="1" customHeight="1">
      <c r="A12878" s="172"/>
    </row>
    <row r="12879" spans="1:1" s="173" customFormat="1" ht="12" hidden="1" customHeight="1">
      <c r="A12879" s="172"/>
    </row>
    <row r="12880" spans="1:1" s="173" customFormat="1" ht="12" hidden="1" customHeight="1">
      <c r="A12880" s="172"/>
    </row>
    <row r="12881" spans="1:1" s="173" customFormat="1" ht="12" hidden="1" customHeight="1">
      <c r="A12881" s="172"/>
    </row>
    <row r="12882" spans="1:1" s="173" customFormat="1" ht="12" hidden="1" customHeight="1">
      <c r="A12882" s="172"/>
    </row>
    <row r="12883" spans="1:1" s="173" customFormat="1" ht="12" hidden="1" customHeight="1">
      <c r="A12883" s="172"/>
    </row>
    <row r="12884" spans="1:1" s="173" customFormat="1" ht="12" hidden="1" customHeight="1">
      <c r="A12884" s="172"/>
    </row>
    <row r="12885" spans="1:1" s="173" customFormat="1" ht="12" hidden="1" customHeight="1">
      <c r="A12885" s="172"/>
    </row>
    <row r="12886" spans="1:1" s="173" customFormat="1" ht="12" hidden="1" customHeight="1">
      <c r="A12886" s="172"/>
    </row>
    <row r="12887" spans="1:1" s="173" customFormat="1" ht="12" hidden="1" customHeight="1">
      <c r="A12887" s="172"/>
    </row>
    <row r="12888" spans="1:1" s="173" customFormat="1" ht="12" hidden="1" customHeight="1">
      <c r="A12888" s="172"/>
    </row>
    <row r="12889" spans="1:1" s="173" customFormat="1" ht="12" hidden="1" customHeight="1">
      <c r="A12889" s="172"/>
    </row>
    <row r="12890" spans="1:1" s="173" customFormat="1" ht="12" hidden="1" customHeight="1">
      <c r="A12890" s="172"/>
    </row>
    <row r="12891" spans="1:1" s="173" customFormat="1" ht="12" hidden="1" customHeight="1">
      <c r="A12891" s="172"/>
    </row>
    <row r="12892" spans="1:1" s="173" customFormat="1" ht="12" hidden="1" customHeight="1">
      <c r="A12892" s="172"/>
    </row>
    <row r="12893" spans="1:1" s="173" customFormat="1" ht="12" hidden="1" customHeight="1">
      <c r="A12893" s="172"/>
    </row>
    <row r="12894" spans="1:1" s="173" customFormat="1" ht="12" hidden="1" customHeight="1">
      <c r="A12894" s="172"/>
    </row>
    <row r="12895" spans="1:1" s="173" customFormat="1" ht="12" hidden="1" customHeight="1">
      <c r="A12895" s="172"/>
    </row>
    <row r="12896" spans="1:1" s="173" customFormat="1" ht="12" hidden="1" customHeight="1">
      <c r="A12896" s="172"/>
    </row>
    <row r="12897" spans="1:1" s="173" customFormat="1" ht="12" hidden="1" customHeight="1">
      <c r="A12897" s="172"/>
    </row>
    <row r="12898" spans="1:1" s="173" customFormat="1" ht="12" hidden="1" customHeight="1">
      <c r="A12898" s="172"/>
    </row>
    <row r="12899" spans="1:1" s="173" customFormat="1" ht="12" hidden="1" customHeight="1">
      <c r="A12899" s="172"/>
    </row>
    <row r="12900" spans="1:1" s="173" customFormat="1" ht="12" hidden="1" customHeight="1">
      <c r="A12900" s="172"/>
    </row>
    <row r="12901" spans="1:1" s="173" customFormat="1" ht="12" hidden="1" customHeight="1">
      <c r="A12901" s="172"/>
    </row>
    <row r="12902" spans="1:1" s="173" customFormat="1" ht="12" hidden="1" customHeight="1">
      <c r="A12902" s="172"/>
    </row>
    <row r="12903" spans="1:1" s="173" customFormat="1" ht="12" hidden="1" customHeight="1">
      <c r="A12903" s="172"/>
    </row>
    <row r="12904" spans="1:1" s="173" customFormat="1" ht="12" hidden="1" customHeight="1">
      <c r="A12904" s="172"/>
    </row>
    <row r="12905" spans="1:1" s="173" customFormat="1" ht="12" hidden="1" customHeight="1">
      <c r="A12905" s="172"/>
    </row>
    <row r="12906" spans="1:1" s="173" customFormat="1" ht="12" hidden="1" customHeight="1">
      <c r="A12906" s="172"/>
    </row>
    <row r="12907" spans="1:1" s="173" customFormat="1" ht="12" hidden="1" customHeight="1">
      <c r="A12907" s="172"/>
    </row>
    <row r="12908" spans="1:1" s="173" customFormat="1" ht="12" hidden="1" customHeight="1">
      <c r="A12908" s="172"/>
    </row>
    <row r="12909" spans="1:1" s="173" customFormat="1" ht="12" hidden="1" customHeight="1">
      <c r="A12909" s="172"/>
    </row>
    <row r="12910" spans="1:1" s="173" customFormat="1" ht="12" hidden="1" customHeight="1">
      <c r="A12910" s="172"/>
    </row>
    <row r="12911" spans="1:1" s="173" customFormat="1" ht="12" hidden="1" customHeight="1">
      <c r="A12911" s="172"/>
    </row>
    <row r="12912" spans="1:1" s="173" customFormat="1" ht="12" hidden="1" customHeight="1">
      <c r="A12912" s="172"/>
    </row>
    <row r="12913" spans="1:1" s="173" customFormat="1" ht="12" hidden="1" customHeight="1">
      <c r="A12913" s="172"/>
    </row>
    <row r="12914" spans="1:1" s="173" customFormat="1" ht="12" hidden="1" customHeight="1">
      <c r="A12914" s="172"/>
    </row>
    <row r="12915" spans="1:1" s="173" customFormat="1" ht="12" hidden="1" customHeight="1">
      <c r="A12915" s="172"/>
    </row>
    <row r="12916" spans="1:1" s="173" customFormat="1" ht="12" hidden="1" customHeight="1">
      <c r="A12916" s="172"/>
    </row>
    <row r="12917" spans="1:1" s="173" customFormat="1" ht="12" hidden="1" customHeight="1">
      <c r="A12917" s="172"/>
    </row>
    <row r="12918" spans="1:1" s="173" customFormat="1" ht="12" hidden="1" customHeight="1">
      <c r="A12918" s="172"/>
    </row>
    <row r="12919" spans="1:1" s="173" customFormat="1" ht="12" hidden="1" customHeight="1">
      <c r="A12919" s="172"/>
    </row>
    <row r="12920" spans="1:1" s="173" customFormat="1" ht="12" hidden="1" customHeight="1">
      <c r="A12920" s="172"/>
    </row>
    <row r="12921" spans="1:1" s="173" customFormat="1" ht="12" hidden="1" customHeight="1">
      <c r="A12921" s="172"/>
    </row>
    <row r="12922" spans="1:1" s="173" customFormat="1" ht="12" hidden="1" customHeight="1">
      <c r="A12922" s="172"/>
    </row>
    <row r="12923" spans="1:1" s="173" customFormat="1" ht="12" hidden="1" customHeight="1">
      <c r="A12923" s="172"/>
    </row>
    <row r="12924" spans="1:1" s="173" customFormat="1" ht="12" hidden="1" customHeight="1">
      <c r="A12924" s="172"/>
    </row>
    <row r="12925" spans="1:1" s="173" customFormat="1" ht="12" hidden="1" customHeight="1">
      <c r="A12925" s="172"/>
    </row>
    <row r="12926" spans="1:1" s="173" customFormat="1" ht="12" hidden="1" customHeight="1">
      <c r="A12926" s="172"/>
    </row>
    <row r="12927" spans="1:1" s="173" customFormat="1" ht="12" hidden="1" customHeight="1">
      <c r="A12927" s="172"/>
    </row>
    <row r="12928" spans="1:1" s="173" customFormat="1" ht="12" hidden="1" customHeight="1">
      <c r="A12928" s="172"/>
    </row>
    <row r="12929" spans="1:1" s="173" customFormat="1" ht="12" hidden="1" customHeight="1">
      <c r="A12929" s="172"/>
    </row>
    <row r="12930" spans="1:1" s="173" customFormat="1" ht="12" hidden="1" customHeight="1">
      <c r="A12930" s="172"/>
    </row>
    <row r="12931" spans="1:1" s="173" customFormat="1" ht="12" hidden="1" customHeight="1">
      <c r="A12931" s="172"/>
    </row>
    <row r="12932" spans="1:1" s="173" customFormat="1" ht="12" hidden="1" customHeight="1">
      <c r="A12932" s="172"/>
    </row>
    <row r="12933" spans="1:1" s="173" customFormat="1" ht="12" hidden="1" customHeight="1">
      <c r="A12933" s="172"/>
    </row>
    <row r="12934" spans="1:1" s="173" customFormat="1" ht="12" hidden="1" customHeight="1">
      <c r="A12934" s="172"/>
    </row>
    <row r="12935" spans="1:1" s="173" customFormat="1" ht="12" hidden="1" customHeight="1">
      <c r="A12935" s="172"/>
    </row>
    <row r="12936" spans="1:1" s="173" customFormat="1" ht="12" hidden="1" customHeight="1">
      <c r="A12936" s="172"/>
    </row>
    <row r="12937" spans="1:1" s="173" customFormat="1" ht="12" hidden="1" customHeight="1">
      <c r="A12937" s="172"/>
    </row>
    <row r="12938" spans="1:1" s="173" customFormat="1" ht="12" hidden="1" customHeight="1">
      <c r="A12938" s="172"/>
    </row>
    <row r="12939" spans="1:1" s="173" customFormat="1" ht="12" hidden="1" customHeight="1">
      <c r="A12939" s="172"/>
    </row>
    <row r="12940" spans="1:1" s="173" customFormat="1" ht="12" hidden="1" customHeight="1">
      <c r="A12940" s="172"/>
    </row>
    <row r="12941" spans="1:1" s="173" customFormat="1" ht="12" hidden="1" customHeight="1">
      <c r="A12941" s="172"/>
    </row>
    <row r="12942" spans="1:1" s="173" customFormat="1" ht="12" hidden="1" customHeight="1">
      <c r="A12942" s="172"/>
    </row>
    <row r="12943" spans="1:1" s="173" customFormat="1" ht="12" hidden="1" customHeight="1">
      <c r="A12943" s="172"/>
    </row>
    <row r="12944" spans="1:1" s="173" customFormat="1" ht="12" hidden="1" customHeight="1">
      <c r="A12944" s="172"/>
    </row>
    <row r="12945" spans="1:1" s="173" customFormat="1" ht="12" hidden="1" customHeight="1">
      <c r="A12945" s="172"/>
    </row>
    <row r="12946" spans="1:1" s="173" customFormat="1" ht="12" hidden="1" customHeight="1">
      <c r="A12946" s="172"/>
    </row>
    <row r="12947" spans="1:1" s="173" customFormat="1" ht="12" hidden="1" customHeight="1">
      <c r="A12947" s="172"/>
    </row>
    <row r="12948" spans="1:1" s="173" customFormat="1" ht="12" hidden="1" customHeight="1">
      <c r="A12948" s="172"/>
    </row>
    <row r="12949" spans="1:1" s="173" customFormat="1" ht="12" hidden="1" customHeight="1">
      <c r="A12949" s="172"/>
    </row>
    <row r="12950" spans="1:1" s="173" customFormat="1" ht="12" hidden="1" customHeight="1">
      <c r="A12950" s="172"/>
    </row>
    <row r="12951" spans="1:1" s="173" customFormat="1" ht="12" hidden="1" customHeight="1">
      <c r="A12951" s="172"/>
    </row>
    <row r="12952" spans="1:1" s="173" customFormat="1" ht="12" hidden="1" customHeight="1">
      <c r="A12952" s="172"/>
    </row>
    <row r="12953" spans="1:1" s="173" customFormat="1" ht="12" hidden="1" customHeight="1">
      <c r="A12953" s="172"/>
    </row>
    <row r="12954" spans="1:1" s="173" customFormat="1" ht="12" hidden="1" customHeight="1">
      <c r="A12954" s="172"/>
    </row>
    <row r="12955" spans="1:1" s="173" customFormat="1" ht="12" hidden="1" customHeight="1">
      <c r="A12955" s="172"/>
    </row>
    <row r="12956" spans="1:1" s="173" customFormat="1" ht="12" hidden="1" customHeight="1">
      <c r="A12956" s="172"/>
    </row>
    <row r="12957" spans="1:1" s="173" customFormat="1" ht="12" hidden="1" customHeight="1">
      <c r="A12957" s="172"/>
    </row>
    <row r="12958" spans="1:1" s="173" customFormat="1" ht="12" hidden="1" customHeight="1">
      <c r="A12958" s="172"/>
    </row>
    <row r="12959" spans="1:1" s="173" customFormat="1" ht="12" hidden="1" customHeight="1">
      <c r="A12959" s="172"/>
    </row>
    <row r="12960" spans="1:1" s="173" customFormat="1" ht="12" hidden="1" customHeight="1">
      <c r="A12960" s="172"/>
    </row>
    <row r="12961" spans="1:1" s="173" customFormat="1" ht="12" hidden="1" customHeight="1">
      <c r="A12961" s="172"/>
    </row>
    <row r="12962" spans="1:1" s="173" customFormat="1" ht="12" hidden="1" customHeight="1">
      <c r="A12962" s="172"/>
    </row>
    <row r="12963" spans="1:1" s="173" customFormat="1" ht="12" hidden="1" customHeight="1">
      <c r="A12963" s="172"/>
    </row>
    <row r="12964" spans="1:1" s="173" customFormat="1" ht="12" hidden="1" customHeight="1">
      <c r="A12964" s="172"/>
    </row>
    <row r="12965" spans="1:1" s="173" customFormat="1" ht="12" hidden="1" customHeight="1">
      <c r="A12965" s="172"/>
    </row>
    <row r="12966" spans="1:1" s="173" customFormat="1" ht="12" hidden="1" customHeight="1">
      <c r="A12966" s="172"/>
    </row>
    <row r="12967" spans="1:1" s="173" customFormat="1" ht="12" hidden="1" customHeight="1">
      <c r="A12967" s="172"/>
    </row>
    <row r="12968" spans="1:1" s="173" customFormat="1" ht="12" hidden="1" customHeight="1">
      <c r="A12968" s="172"/>
    </row>
    <row r="12969" spans="1:1" s="173" customFormat="1" ht="12" hidden="1" customHeight="1">
      <c r="A12969" s="172"/>
    </row>
    <row r="12970" spans="1:1" s="173" customFormat="1" ht="12" hidden="1" customHeight="1">
      <c r="A12970" s="172"/>
    </row>
    <row r="12971" spans="1:1" s="173" customFormat="1" ht="12" hidden="1" customHeight="1">
      <c r="A12971" s="172"/>
    </row>
    <row r="12972" spans="1:1" s="173" customFormat="1" ht="12" hidden="1" customHeight="1">
      <c r="A12972" s="172"/>
    </row>
    <row r="12973" spans="1:1" s="173" customFormat="1" ht="12" hidden="1" customHeight="1">
      <c r="A12973" s="172"/>
    </row>
    <row r="12974" spans="1:1" s="173" customFormat="1" ht="12" hidden="1" customHeight="1">
      <c r="A12974" s="172"/>
    </row>
    <row r="12975" spans="1:1" s="173" customFormat="1" ht="12" hidden="1" customHeight="1">
      <c r="A12975" s="172"/>
    </row>
    <row r="12976" spans="1:1" s="173" customFormat="1" ht="12" hidden="1" customHeight="1">
      <c r="A12976" s="172"/>
    </row>
    <row r="12977" spans="1:1" s="173" customFormat="1" ht="12" hidden="1" customHeight="1">
      <c r="A12977" s="172"/>
    </row>
    <row r="12978" spans="1:1" s="173" customFormat="1" ht="12" hidden="1" customHeight="1">
      <c r="A12978" s="172"/>
    </row>
    <row r="12979" spans="1:1" s="173" customFormat="1" ht="12" hidden="1" customHeight="1">
      <c r="A12979" s="172"/>
    </row>
    <row r="12980" spans="1:1" s="173" customFormat="1" ht="12" hidden="1" customHeight="1">
      <c r="A12980" s="172"/>
    </row>
    <row r="12981" spans="1:1" s="173" customFormat="1" ht="12" hidden="1" customHeight="1">
      <c r="A12981" s="172"/>
    </row>
    <row r="12982" spans="1:1" s="173" customFormat="1" ht="12" hidden="1" customHeight="1">
      <c r="A12982" s="172"/>
    </row>
    <row r="12983" spans="1:1" s="173" customFormat="1" ht="12" hidden="1" customHeight="1">
      <c r="A12983" s="172"/>
    </row>
    <row r="12984" spans="1:1" s="173" customFormat="1" ht="12" hidden="1" customHeight="1">
      <c r="A12984" s="172"/>
    </row>
    <row r="12985" spans="1:1" s="173" customFormat="1" ht="12" hidden="1" customHeight="1">
      <c r="A12985" s="172"/>
    </row>
    <row r="12986" spans="1:1" s="173" customFormat="1" ht="12" hidden="1" customHeight="1">
      <c r="A12986" s="172"/>
    </row>
    <row r="12987" spans="1:1" s="173" customFormat="1" ht="12" hidden="1" customHeight="1">
      <c r="A12987" s="172"/>
    </row>
    <row r="12988" spans="1:1" s="173" customFormat="1" ht="12" hidden="1" customHeight="1">
      <c r="A12988" s="172"/>
    </row>
    <row r="12989" spans="1:1" s="173" customFormat="1" ht="12" hidden="1" customHeight="1">
      <c r="A12989" s="172"/>
    </row>
    <row r="12990" spans="1:1" s="173" customFormat="1" ht="12" hidden="1" customHeight="1">
      <c r="A12990" s="172"/>
    </row>
    <row r="12991" spans="1:1" s="173" customFormat="1" ht="12" hidden="1" customHeight="1">
      <c r="A12991" s="172"/>
    </row>
    <row r="12992" spans="1:1" s="173" customFormat="1" ht="12" hidden="1" customHeight="1">
      <c r="A12992" s="172"/>
    </row>
    <row r="12993" spans="1:1" s="173" customFormat="1" ht="12" hidden="1" customHeight="1">
      <c r="A12993" s="172"/>
    </row>
    <row r="12994" spans="1:1" s="173" customFormat="1" ht="12" hidden="1" customHeight="1">
      <c r="A12994" s="172"/>
    </row>
    <row r="12995" spans="1:1" s="173" customFormat="1" ht="12" hidden="1" customHeight="1">
      <c r="A12995" s="172"/>
    </row>
    <row r="12996" spans="1:1" s="173" customFormat="1" ht="12" hidden="1" customHeight="1">
      <c r="A12996" s="172"/>
    </row>
    <row r="12997" spans="1:1" s="173" customFormat="1" ht="12" hidden="1" customHeight="1">
      <c r="A12997" s="172"/>
    </row>
    <row r="12998" spans="1:1" s="173" customFormat="1" ht="12" hidden="1" customHeight="1">
      <c r="A12998" s="172"/>
    </row>
    <row r="12999" spans="1:1" s="173" customFormat="1" ht="12" hidden="1" customHeight="1">
      <c r="A12999" s="172"/>
    </row>
    <row r="13000" spans="1:1" s="173" customFormat="1" ht="12" hidden="1" customHeight="1">
      <c r="A13000" s="172"/>
    </row>
    <row r="13001" spans="1:1" s="173" customFormat="1" ht="12" hidden="1" customHeight="1">
      <c r="A13001" s="172"/>
    </row>
    <row r="13002" spans="1:1" s="173" customFormat="1" ht="12" hidden="1" customHeight="1">
      <c r="A13002" s="172"/>
    </row>
    <row r="13003" spans="1:1" s="173" customFormat="1" ht="12" hidden="1" customHeight="1">
      <c r="A13003" s="172"/>
    </row>
    <row r="13004" spans="1:1" s="173" customFormat="1" ht="12" hidden="1" customHeight="1">
      <c r="A13004" s="172"/>
    </row>
    <row r="13005" spans="1:1" s="173" customFormat="1" ht="12" hidden="1" customHeight="1">
      <c r="A13005" s="172"/>
    </row>
    <row r="13006" spans="1:1" s="173" customFormat="1" ht="12" hidden="1" customHeight="1">
      <c r="A13006" s="172"/>
    </row>
    <row r="13007" spans="1:1" s="173" customFormat="1" ht="12" hidden="1" customHeight="1">
      <c r="A13007" s="172"/>
    </row>
    <row r="13008" spans="1:1" s="173" customFormat="1" ht="12" hidden="1" customHeight="1">
      <c r="A13008" s="172"/>
    </row>
    <row r="13009" spans="1:1" s="173" customFormat="1" ht="12" hidden="1" customHeight="1">
      <c r="A13009" s="172"/>
    </row>
    <row r="13010" spans="1:1" s="173" customFormat="1" ht="12" hidden="1" customHeight="1">
      <c r="A13010" s="172"/>
    </row>
    <row r="13011" spans="1:1" s="173" customFormat="1" ht="12" hidden="1" customHeight="1">
      <c r="A13011" s="172"/>
    </row>
    <row r="13012" spans="1:1" s="173" customFormat="1" ht="12" hidden="1" customHeight="1">
      <c r="A13012" s="172"/>
    </row>
    <row r="13013" spans="1:1" s="173" customFormat="1" ht="12" hidden="1" customHeight="1">
      <c r="A13013" s="172"/>
    </row>
    <row r="13014" spans="1:1" s="173" customFormat="1" ht="12" hidden="1" customHeight="1">
      <c r="A13014" s="172"/>
    </row>
    <row r="13015" spans="1:1" s="173" customFormat="1" ht="12" hidden="1" customHeight="1">
      <c r="A13015" s="172"/>
    </row>
    <row r="13016" spans="1:1" s="173" customFormat="1" ht="12" hidden="1" customHeight="1">
      <c r="A13016" s="172"/>
    </row>
    <row r="13017" spans="1:1" s="173" customFormat="1" ht="12" hidden="1" customHeight="1">
      <c r="A13017" s="172"/>
    </row>
    <row r="13018" spans="1:1" s="173" customFormat="1" ht="12" hidden="1" customHeight="1">
      <c r="A13018" s="172"/>
    </row>
    <row r="13019" spans="1:1" s="173" customFormat="1" ht="12" hidden="1" customHeight="1">
      <c r="A13019" s="172"/>
    </row>
    <row r="13020" spans="1:1" s="173" customFormat="1" ht="12" hidden="1" customHeight="1">
      <c r="A13020" s="172"/>
    </row>
    <row r="13021" spans="1:1" s="173" customFormat="1" ht="12" hidden="1" customHeight="1">
      <c r="A13021" s="172"/>
    </row>
    <row r="13022" spans="1:1" s="173" customFormat="1" ht="12" hidden="1" customHeight="1">
      <c r="A13022" s="172"/>
    </row>
    <row r="13023" spans="1:1" s="173" customFormat="1" ht="12" hidden="1" customHeight="1">
      <c r="A13023" s="172"/>
    </row>
    <row r="13024" spans="1:1" s="173" customFormat="1" ht="12" hidden="1" customHeight="1">
      <c r="A13024" s="172"/>
    </row>
    <row r="13025" spans="1:1" s="173" customFormat="1" ht="12" hidden="1" customHeight="1">
      <c r="A13025" s="172"/>
    </row>
    <row r="13026" spans="1:1" s="173" customFormat="1" ht="12" hidden="1" customHeight="1">
      <c r="A13026" s="172"/>
    </row>
    <row r="13027" spans="1:1" s="173" customFormat="1" ht="12" hidden="1" customHeight="1">
      <c r="A13027" s="172"/>
    </row>
    <row r="13028" spans="1:1" s="173" customFormat="1" ht="12" hidden="1" customHeight="1">
      <c r="A13028" s="172"/>
    </row>
    <row r="13029" spans="1:1" s="173" customFormat="1" ht="12" hidden="1" customHeight="1">
      <c r="A13029" s="172"/>
    </row>
    <row r="13030" spans="1:1" s="173" customFormat="1" ht="12" hidden="1" customHeight="1">
      <c r="A13030" s="172"/>
    </row>
    <row r="13031" spans="1:1" s="173" customFormat="1" ht="12" hidden="1" customHeight="1">
      <c r="A13031" s="172"/>
    </row>
    <row r="13032" spans="1:1" s="173" customFormat="1" ht="12" hidden="1" customHeight="1">
      <c r="A13032" s="172"/>
    </row>
    <row r="13033" spans="1:1" s="173" customFormat="1" ht="12" hidden="1" customHeight="1">
      <c r="A13033" s="172"/>
    </row>
    <row r="13034" spans="1:1" s="173" customFormat="1" ht="12" hidden="1" customHeight="1">
      <c r="A13034" s="172"/>
    </row>
    <row r="13035" spans="1:1" s="173" customFormat="1" ht="12" hidden="1" customHeight="1">
      <c r="A13035" s="172"/>
    </row>
    <row r="13036" spans="1:1" s="173" customFormat="1" ht="12" hidden="1" customHeight="1">
      <c r="A13036" s="172"/>
    </row>
    <row r="13037" spans="1:1" s="173" customFormat="1" ht="12" hidden="1" customHeight="1">
      <c r="A13037" s="172"/>
    </row>
    <row r="13038" spans="1:1" s="173" customFormat="1" ht="12" hidden="1" customHeight="1">
      <c r="A13038" s="172"/>
    </row>
    <row r="13039" spans="1:1" s="173" customFormat="1" ht="12" hidden="1" customHeight="1">
      <c r="A13039" s="172"/>
    </row>
    <row r="13040" spans="1:1" s="173" customFormat="1" ht="12" hidden="1" customHeight="1">
      <c r="A13040" s="172"/>
    </row>
    <row r="13041" spans="1:1" s="173" customFormat="1" ht="12" hidden="1" customHeight="1">
      <c r="A13041" s="172"/>
    </row>
    <row r="13042" spans="1:1" s="173" customFormat="1" ht="12" hidden="1" customHeight="1">
      <c r="A13042" s="172"/>
    </row>
    <row r="13043" spans="1:1" s="173" customFormat="1" ht="12" hidden="1" customHeight="1">
      <c r="A13043" s="172"/>
    </row>
    <row r="13044" spans="1:1" s="173" customFormat="1" ht="12" hidden="1" customHeight="1">
      <c r="A13044" s="172"/>
    </row>
    <row r="13045" spans="1:1" s="173" customFormat="1" ht="12" hidden="1" customHeight="1">
      <c r="A13045" s="172"/>
    </row>
    <row r="13046" spans="1:1" s="173" customFormat="1" ht="12" hidden="1" customHeight="1">
      <c r="A13046" s="172"/>
    </row>
    <row r="13047" spans="1:1" s="173" customFormat="1" ht="12" hidden="1" customHeight="1">
      <c r="A13047" s="172"/>
    </row>
    <row r="13048" spans="1:1" s="173" customFormat="1" ht="12" hidden="1" customHeight="1">
      <c r="A13048" s="172"/>
    </row>
    <row r="13049" spans="1:1" s="173" customFormat="1" ht="12" hidden="1" customHeight="1">
      <c r="A13049" s="172"/>
    </row>
    <row r="13050" spans="1:1" s="173" customFormat="1" ht="12" hidden="1" customHeight="1">
      <c r="A13050" s="172"/>
    </row>
    <row r="13051" spans="1:1" s="173" customFormat="1" ht="12" hidden="1" customHeight="1">
      <c r="A13051" s="172"/>
    </row>
    <row r="13052" spans="1:1" s="173" customFormat="1" ht="12" hidden="1" customHeight="1">
      <c r="A13052" s="172"/>
    </row>
    <row r="13053" spans="1:1" s="173" customFormat="1" ht="12" hidden="1" customHeight="1">
      <c r="A13053" s="172"/>
    </row>
    <row r="13054" spans="1:1" s="173" customFormat="1" ht="12" hidden="1" customHeight="1">
      <c r="A13054" s="172"/>
    </row>
    <row r="13055" spans="1:1" s="173" customFormat="1" ht="12" hidden="1" customHeight="1">
      <c r="A13055" s="172"/>
    </row>
    <row r="13056" spans="1:1" s="173" customFormat="1" ht="12" hidden="1" customHeight="1">
      <c r="A13056" s="172"/>
    </row>
    <row r="13057" spans="1:1" s="173" customFormat="1" ht="12" hidden="1" customHeight="1">
      <c r="A13057" s="172"/>
    </row>
    <row r="13058" spans="1:1" s="173" customFormat="1" ht="12" hidden="1" customHeight="1">
      <c r="A13058" s="172"/>
    </row>
    <row r="13059" spans="1:1" s="173" customFormat="1" ht="12" hidden="1" customHeight="1">
      <c r="A13059" s="172"/>
    </row>
    <row r="13060" spans="1:1" s="173" customFormat="1" ht="12" hidden="1" customHeight="1">
      <c r="A13060" s="172"/>
    </row>
    <row r="13061" spans="1:1" s="173" customFormat="1" ht="12" hidden="1" customHeight="1">
      <c r="A13061" s="172"/>
    </row>
    <row r="13062" spans="1:1" s="173" customFormat="1" ht="12" hidden="1" customHeight="1">
      <c r="A13062" s="172"/>
    </row>
    <row r="13063" spans="1:1" s="173" customFormat="1" ht="12" hidden="1" customHeight="1">
      <c r="A13063" s="172"/>
    </row>
    <row r="13064" spans="1:1" s="173" customFormat="1" ht="12" hidden="1" customHeight="1">
      <c r="A13064" s="172"/>
    </row>
    <row r="13065" spans="1:1" s="173" customFormat="1" ht="12" hidden="1" customHeight="1">
      <c r="A13065" s="172"/>
    </row>
    <row r="13066" spans="1:1" s="173" customFormat="1" ht="12" hidden="1" customHeight="1">
      <c r="A13066" s="172"/>
    </row>
    <row r="13067" spans="1:1" s="173" customFormat="1" ht="12" hidden="1" customHeight="1">
      <c r="A13067" s="172"/>
    </row>
    <row r="13068" spans="1:1" s="173" customFormat="1" ht="12" hidden="1" customHeight="1">
      <c r="A13068" s="172"/>
    </row>
    <row r="13069" spans="1:1" s="173" customFormat="1" ht="12" hidden="1" customHeight="1">
      <c r="A13069" s="172"/>
    </row>
    <row r="13070" spans="1:1" s="173" customFormat="1" ht="12" hidden="1" customHeight="1">
      <c r="A13070" s="172"/>
    </row>
    <row r="13071" spans="1:1" s="173" customFormat="1" ht="12" hidden="1" customHeight="1">
      <c r="A13071" s="172"/>
    </row>
    <row r="13072" spans="1:1" s="173" customFormat="1" ht="12" hidden="1" customHeight="1">
      <c r="A13072" s="172"/>
    </row>
    <row r="13073" spans="1:1" s="173" customFormat="1" ht="12" hidden="1" customHeight="1">
      <c r="A13073" s="172"/>
    </row>
    <row r="13074" spans="1:1" s="173" customFormat="1" ht="12" hidden="1" customHeight="1">
      <c r="A13074" s="172"/>
    </row>
    <row r="13075" spans="1:1" s="173" customFormat="1" ht="12" hidden="1" customHeight="1">
      <c r="A13075" s="172"/>
    </row>
    <row r="13076" spans="1:1" s="173" customFormat="1" ht="12" hidden="1" customHeight="1">
      <c r="A13076" s="172"/>
    </row>
    <row r="13077" spans="1:1" s="173" customFormat="1" ht="12" hidden="1" customHeight="1">
      <c r="A13077" s="172"/>
    </row>
    <row r="13078" spans="1:1" s="173" customFormat="1" ht="12" hidden="1" customHeight="1">
      <c r="A13078" s="172"/>
    </row>
    <row r="13079" spans="1:1" s="173" customFormat="1" ht="12" hidden="1" customHeight="1">
      <c r="A13079" s="172"/>
    </row>
    <row r="13080" spans="1:1" s="173" customFormat="1" ht="12" hidden="1" customHeight="1">
      <c r="A13080" s="172"/>
    </row>
    <row r="13081" spans="1:1" s="173" customFormat="1" ht="12" hidden="1" customHeight="1">
      <c r="A13081" s="172"/>
    </row>
    <row r="13082" spans="1:1" s="173" customFormat="1" ht="12" hidden="1" customHeight="1">
      <c r="A13082" s="172"/>
    </row>
    <row r="13083" spans="1:1" s="173" customFormat="1" ht="12" hidden="1" customHeight="1">
      <c r="A13083" s="172"/>
    </row>
    <row r="13084" spans="1:1" s="173" customFormat="1" ht="12" hidden="1" customHeight="1">
      <c r="A13084" s="172"/>
    </row>
    <row r="13085" spans="1:1" s="173" customFormat="1" ht="12" hidden="1" customHeight="1">
      <c r="A13085" s="172"/>
    </row>
    <row r="13086" spans="1:1" s="173" customFormat="1" ht="12" hidden="1" customHeight="1">
      <c r="A13086" s="172"/>
    </row>
    <row r="13087" spans="1:1" s="173" customFormat="1" ht="12" hidden="1" customHeight="1">
      <c r="A13087" s="172"/>
    </row>
    <row r="13088" spans="1:1" s="173" customFormat="1" ht="12" hidden="1" customHeight="1">
      <c r="A13088" s="172"/>
    </row>
    <row r="13089" spans="1:1" s="173" customFormat="1" ht="12" hidden="1" customHeight="1">
      <c r="A13089" s="172"/>
    </row>
    <row r="13090" spans="1:1" s="173" customFormat="1" ht="12" hidden="1" customHeight="1">
      <c r="A13090" s="172"/>
    </row>
    <row r="13091" spans="1:1" s="173" customFormat="1" ht="12" hidden="1" customHeight="1">
      <c r="A13091" s="172"/>
    </row>
    <row r="13092" spans="1:1" s="173" customFormat="1" ht="12" hidden="1" customHeight="1">
      <c r="A13092" s="172"/>
    </row>
    <row r="13093" spans="1:1" s="173" customFormat="1" ht="12" hidden="1" customHeight="1">
      <c r="A13093" s="172"/>
    </row>
    <row r="13094" spans="1:1" s="173" customFormat="1" ht="12" hidden="1" customHeight="1">
      <c r="A13094" s="172"/>
    </row>
    <row r="13095" spans="1:1" s="173" customFormat="1" ht="12" hidden="1" customHeight="1">
      <c r="A13095" s="172"/>
    </row>
    <row r="13096" spans="1:1" s="173" customFormat="1" ht="12" hidden="1" customHeight="1">
      <c r="A13096" s="172"/>
    </row>
    <row r="13097" spans="1:1" s="173" customFormat="1" ht="12" hidden="1" customHeight="1">
      <c r="A13097" s="172"/>
    </row>
    <row r="13098" spans="1:1" s="173" customFormat="1" ht="12" hidden="1" customHeight="1">
      <c r="A13098" s="172"/>
    </row>
    <row r="13099" spans="1:1" s="173" customFormat="1" ht="12" hidden="1" customHeight="1">
      <c r="A13099" s="172"/>
    </row>
    <row r="13100" spans="1:1" s="173" customFormat="1" ht="12" hidden="1" customHeight="1">
      <c r="A13100" s="172"/>
    </row>
    <row r="13101" spans="1:1" s="173" customFormat="1" ht="12" hidden="1" customHeight="1">
      <c r="A13101" s="172"/>
    </row>
    <row r="13102" spans="1:1" s="173" customFormat="1" ht="12" hidden="1" customHeight="1">
      <c r="A13102" s="172"/>
    </row>
    <row r="13103" spans="1:1" s="173" customFormat="1" ht="12" hidden="1" customHeight="1">
      <c r="A13103" s="172"/>
    </row>
    <row r="13104" spans="1:1" s="173" customFormat="1" ht="12" hidden="1" customHeight="1">
      <c r="A13104" s="172"/>
    </row>
    <row r="13105" spans="1:1" s="173" customFormat="1" ht="12" hidden="1" customHeight="1">
      <c r="A13105" s="172"/>
    </row>
    <row r="13106" spans="1:1" s="173" customFormat="1" ht="12" hidden="1" customHeight="1">
      <c r="A13106" s="172"/>
    </row>
    <row r="13107" spans="1:1" s="173" customFormat="1" ht="12" hidden="1" customHeight="1">
      <c r="A13107" s="172"/>
    </row>
    <row r="13108" spans="1:1" s="173" customFormat="1" ht="12" hidden="1" customHeight="1">
      <c r="A13108" s="172"/>
    </row>
    <row r="13109" spans="1:1" s="173" customFormat="1" ht="12" hidden="1" customHeight="1">
      <c r="A13109" s="172"/>
    </row>
    <row r="13110" spans="1:1" s="173" customFormat="1" ht="12" hidden="1" customHeight="1">
      <c r="A13110" s="172"/>
    </row>
    <row r="13111" spans="1:1" s="173" customFormat="1" ht="12" hidden="1" customHeight="1">
      <c r="A13111" s="172"/>
    </row>
    <row r="13112" spans="1:1" s="173" customFormat="1" ht="12" hidden="1" customHeight="1">
      <c r="A13112" s="172"/>
    </row>
    <row r="13113" spans="1:1" s="173" customFormat="1" ht="12" hidden="1" customHeight="1">
      <c r="A13113" s="172"/>
    </row>
    <row r="13114" spans="1:1" s="173" customFormat="1" ht="12" hidden="1" customHeight="1">
      <c r="A13114" s="172"/>
    </row>
    <row r="13115" spans="1:1" s="173" customFormat="1" ht="12" hidden="1" customHeight="1">
      <c r="A13115" s="172"/>
    </row>
    <row r="13116" spans="1:1" s="173" customFormat="1" ht="12" hidden="1" customHeight="1">
      <c r="A13116" s="172"/>
    </row>
    <row r="13117" spans="1:1" s="173" customFormat="1" ht="12" hidden="1" customHeight="1">
      <c r="A13117" s="172"/>
    </row>
    <row r="13118" spans="1:1" s="173" customFormat="1" ht="12" hidden="1" customHeight="1">
      <c r="A13118" s="172"/>
    </row>
    <row r="13119" spans="1:1" s="173" customFormat="1" ht="12" hidden="1" customHeight="1">
      <c r="A13119" s="172"/>
    </row>
    <row r="13120" spans="1:1" s="173" customFormat="1" ht="12" hidden="1" customHeight="1">
      <c r="A13120" s="172"/>
    </row>
    <row r="13121" spans="1:1" s="173" customFormat="1" ht="12" hidden="1" customHeight="1">
      <c r="A13121" s="172"/>
    </row>
    <row r="13122" spans="1:1" s="173" customFormat="1" ht="12" hidden="1" customHeight="1">
      <c r="A13122" s="172"/>
    </row>
    <row r="13123" spans="1:1" s="173" customFormat="1" ht="12" hidden="1" customHeight="1">
      <c r="A13123" s="172"/>
    </row>
    <row r="13124" spans="1:1" s="173" customFormat="1" ht="12" hidden="1" customHeight="1">
      <c r="A13124" s="172"/>
    </row>
    <row r="13125" spans="1:1" s="173" customFormat="1" ht="12" hidden="1" customHeight="1">
      <c r="A13125" s="172"/>
    </row>
    <row r="13126" spans="1:1" s="173" customFormat="1" ht="12" hidden="1" customHeight="1">
      <c r="A13126" s="172"/>
    </row>
    <row r="13127" spans="1:1" s="173" customFormat="1" ht="12" hidden="1" customHeight="1">
      <c r="A13127" s="172"/>
    </row>
    <row r="13128" spans="1:1" s="173" customFormat="1" ht="12" hidden="1" customHeight="1">
      <c r="A13128" s="172"/>
    </row>
    <row r="13129" spans="1:1" s="173" customFormat="1" ht="12" hidden="1" customHeight="1">
      <c r="A13129" s="172"/>
    </row>
    <row r="13130" spans="1:1" s="173" customFormat="1" ht="12" hidden="1" customHeight="1">
      <c r="A13130" s="172"/>
    </row>
    <row r="13131" spans="1:1" s="173" customFormat="1" ht="12" hidden="1" customHeight="1">
      <c r="A13131" s="172"/>
    </row>
    <row r="13132" spans="1:1" s="173" customFormat="1" ht="12" hidden="1" customHeight="1">
      <c r="A13132" s="172"/>
    </row>
    <row r="13133" spans="1:1" s="173" customFormat="1" ht="12" hidden="1" customHeight="1">
      <c r="A13133" s="172"/>
    </row>
    <row r="13134" spans="1:1" s="173" customFormat="1" ht="12" hidden="1" customHeight="1">
      <c r="A13134" s="172"/>
    </row>
    <row r="13135" spans="1:1" s="173" customFormat="1" ht="12" hidden="1" customHeight="1">
      <c r="A13135" s="172"/>
    </row>
    <row r="13136" spans="1:1" s="173" customFormat="1" ht="12" hidden="1" customHeight="1">
      <c r="A13136" s="172"/>
    </row>
    <row r="13137" spans="1:1" s="173" customFormat="1" ht="12" hidden="1" customHeight="1">
      <c r="A13137" s="172"/>
    </row>
    <row r="13138" spans="1:1" s="173" customFormat="1" ht="12" hidden="1" customHeight="1">
      <c r="A13138" s="172"/>
    </row>
    <row r="13139" spans="1:1" s="173" customFormat="1" ht="12" hidden="1" customHeight="1">
      <c r="A13139" s="172"/>
    </row>
    <row r="13140" spans="1:1" s="173" customFormat="1" ht="12" hidden="1" customHeight="1">
      <c r="A13140" s="172"/>
    </row>
    <row r="13141" spans="1:1" s="173" customFormat="1" ht="12" hidden="1" customHeight="1">
      <c r="A13141" s="172"/>
    </row>
    <row r="13142" spans="1:1" s="173" customFormat="1" ht="12" hidden="1" customHeight="1">
      <c r="A13142" s="172"/>
    </row>
    <row r="13143" spans="1:1" s="173" customFormat="1" ht="12" hidden="1" customHeight="1">
      <c r="A13143" s="172"/>
    </row>
    <row r="13144" spans="1:1" s="173" customFormat="1" ht="12" hidden="1" customHeight="1">
      <c r="A13144" s="172"/>
    </row>
    <row r="13145" spans="1:1" s="173" customFormat="1" ht="12" hidden="1" customHeight="1">
      <c r="A13145" s="172"/>
    </row>
    <row r="13146" spans="1:1" s="173" customFormat="1" ht="12" hidden="1" customHeight="1">
      <c r="A13146" s="172"/>
    </row>
    <row r="13147" spans="1:1" s="173" customFormat="1" ht="12" hidden="1" customHeight="1">
      <c r="A13147" s="172"/>
    </row>
    <row r="13148" spans="1:1" s="173" customFormat="1" ht="12" hidden="1" customHeight="1">
      <c r="A13148" s="172"/>
    </row>
    <row r="13149" spans="1:1" s="173" customFormat="1" ht="12" hidden="1" customHeight="1">
      <c r="A13149" s="172"/>
    </row>
    <row r="13150" spans="1:1" s="173" customFormat="1" ht="12" hidden="1" customHeight="1">
      <c r="A13150" s="172"/>
    </row>
    <row r="13151" spans="1:1" s="173" customFormat="1" ht="12" hidden="1" customHeight="1">
      <c r="A13151" s="172"/>
    </row>
    <row r="13152" spans="1:1" s="173" customFormat="1" ht="12" hidden="1" customHeight="1">
      <c r="A13152" s="172"/>
    </row>
    <row r="13153" spans="1:1" s="173" customFormat="1" ht="12" hidden="1" customHeight="1">
      <c r="A13153" s="172"/>
    </row>
    <row r="13154" spans="1:1" s="173" customFormat="1" ht="12" hidden="1" customHeight="1">
      <c r="A13154" s="172"/>
    </row>
    <row r="13155" spans="1:1" s="173" customFormat="1" ht="12" hidden="1" customHeight="1">
      <c r="A13155" s="172"/>
    </row>
    <row r="13156" spans="1:1" s="173" customFormat="1" ht="12" hidden="1" customHeight="1">
      <c r="A13156" s="172"/>
    </row>
    <row r="13157" spans="1:1" s="173" customFormat="1" ht="12" hidden="1" customHeight="1">
      <c r="A13157" s="172"/>
    </row>
    <row r="13158" spans="1:1" s="173" customFormat="1" ht="12" hidden="1" customHeight="1">
      <c r="A13158" s="172"/>
    </row>
    <row r="13159" spans="1:1" s="173" customFormat="1" ht="12" hidden="1" customHeight="1">
      <c r="A13159" s="172"/>
    </row>
    <row r="13160" spans="1:1" s="173" customFormat="1" ht="12" hidden="1" customHeight="1">
      <c r="A13160" s="172"/>
    </row>
    <row r="13161" spans="1:1" s="173" customFormat="1" ht="12" hidden="1" customHeight="1">
      <c r="A13161" s="172"/>
    </row>
    <row r="13162" spans="1:1" s="173" customFormat="1" ht="12" hidden="1" customHeight="1">
      <c r="A13162" s="172"/>
    </row>
    <row r="13163" spans="1:1" s="173" customFormat="1" ht="12" hidden="1" customHeight="1">
      <c r="A13163" s="172"/>
    </row>
    <row r="13164" spans="1:1" s="173" customFormat="1" ht="12" hidden="1" customHeight="1">
      <c r="A13164" s="172"/>
    </row>
    <row r="13165" spans="1:1" s="173" customFormat="1" ht="12" hidden="1" customHeight="1">
      <c r="A13165" s="172"/>
    </row>
    <row r="13166" spans="1:1" s="173" customFormat="1" ht="12" hidden="1" customHeight="1">
      <c r="A13166" s="172"/>
    </row>
    <row r="13167" spans="1:1" s="173" customFormat="1" ht="12" hidden="1" customHeight="1">
      <c r="A13167" s="172"/>
    </row>
    <row r="13168" spans="1:1" s="173" customFormat="1" ht="12" hidden="1" customHeight="1">
      <c r="A13168" s="172"/>
    </row>
    <row r="13169" spans="1:1" s="173" customFormat="1" ht="12" hidden="1" customHeight="1">
      <c r="A13169" s="172"/>
    </row>
    <row r="13170" spans="1:1" s="173" customFormat="1" ht="12" hidden="1" customHeight="1">
      <c r="A13170" s="172"/>
    </row>
    <row r="13171" spans="1:1" s="173" customFormat="1" ht="12" hidden="1" customHeight="1">
      <c r="A13171" s="172"/>
    </row>
    <row r="13172" spans="1:1" s="173" customFormat="1" ht="12" hidden="1" customHeight="1">
      <c r="A13172" s="172"/>
    </row>
    <row r="13173" spans="1:1" s="173" customFormat="1" ht="12" hidden="1" customHeight="1">
      <c r="A13173" s="172"/>
    </row>
    <row r="13174" spans="1:1" s="173" customFormat="1" ht="12" hidden="1" customHeight="1">
      <c r="A13174" s="172"/>
    </row>
    <row r="13175" spans="1:1" s="173" customFormat="1" ht="12" hidden="1" customHeight="1">
      <c r="A13175" s="172"/>
    </row>
    <row r="13176" spans="1:1" s="173" customFormat="1" ht="12" hidden="1" customHeight="1">
      <c r="A13176" s="172"/>
    </row>
    <row r="13177" spans="1:1" s="173" customFormat="1" ht="12" hidden="1" customHeight="1">
      <c r="A13177" s="172"/>
    </row>
    <row r="13178" spans="1:1" s="173" customFormat="1" ht="12" hidden="1" customHeight="1">
      <c r="A13178" s="172"/>
    </row>
    <row r="13179" spans="1:1" s="173" customFormat="1" ht="12" hidden="1" customHeight="1">
      <c r="A13179" s="172"/>
    </row>
    <row r="13180" spans="1:1" s="173" customFormat="1" ht="12" hidden="1" customHeight="1">
      <c r="A13180" s="172"/>
    </row>
    <row r="13181" spans="1:1" s="173" customFormat="1" ht="12" hidden="1" customHeight="1">
      <c r="A13181" s="172"/>
    </row>
    <row r="13182" spans="1:1" s="173" customFormat="1" ht="12" hidden="1" customHeight="1">
      <c r="A13182" s="172"/>
    </row>
    <row r="13183" spans="1:1" s="173" customFormat="1" ht="12" hidden="1" customHeight="1">
      <c r="A13183" s="172"/>
    </row>
    <row r="13184" spans="1:1" s="173" customFormat="1" ht="12" hidden="1" customHeight="1">
      <c r="A13184" s="172"/>
    </row>
    <row r="13185" spans="1:1" s="173" customFormat="1" ht="12" hidden="1" customHeight="1">
      <c r="A13185" s="172"/>
    </row>
    <row r="13186" spans="1:1" s="173" customFormat="1" ht="12" hidden="1" customHeight="1">
      <c r="A13186" s="172"/>
    </row>
    <row r="13187" spans="1:1" s="173" customFormat="1" ht="12" hidden="1" customHeight="1">
      <c r="A13187" s="172"/>
    </row>
    <row r="13188" spans="1:1" s="173" customFormat="1" ht="12" hidden="1" customHeight="1">
      <c r="A13188" s="172"/>
    </row>
    <row r="13189" spans="1:1" s="173" customFormat="1" ht="12" hidden="1" customHeight="1">
      <c r="A13189" s="172"/>
    </row>
    <row r="13190" spans="1:1" s="173" customFormat="1" ht="12" hidden="1" customHeight="1">
      <c r="A13190" s="172"/>
    </row>
    <row r="13191" spans="1:1" s="173" customFormat="1" ht="12" hidden="1" customHeight="1">
      <c r="A13191" s="172"/>
    </row>
    <row r="13192" spans="1:1" s="173" customFormat="1" ht="12" hidden="1" customHeight="1">
      <c r="A13192" s="172"/>
    </row>
    <row r="13193" spans="1:1" s="173" customFormat="1" ht="12" hidden="1" customHeight="1">
      <c r="A13193" s="172"/>
    </row>
    <row r="13194" spans="1:1" s="173" customFormat="1" ht="12" hidden="1" customHeight="1">
      <c r="A13194" s="172"/>
    </row>
    <row r="13195" spans="1:1" s="173" customFormat="1" ht="12" hidden="1" customHeight="1">
      <c r="A13195" s="172"/>
    </row>
    <row r="13196" spans="1:1" s="173" customFormat="1" ht="12" hidden="1" customHeight="1">
      <c r="A13196" s="172"/>
    </row>
    <row r="13197" spans="1:1" s="173" customFormat="1" ht="12" hidden="1" customHeight="1">
      <c r="A13197" s="172"/>
    </row>
    <row r="13198" spans="1:1" s="173" customFormat="1" ht="12" hidden="1" customHeight="1">
      <c r="A13198" s="172"/>
    </row>
    <row r="13199" spans="1:1" s="173" customFormat="1" ht="12" hidden="1" customHeight="1">
      <c r="A13199" s="172"/>
    </row>
    <row r="13200" spans="1:1" s="173" customFormat="1" ht="12" hidden="1" customHeight="1">
      <c r="A13200" s="172"/>
    </row>
    <row r="13201" spans="1:1" s="173" customFormat="1" ht="12" hidden="1" customHeight="1">
      <c r="A13201" s="172"/>
    </row>
    <row r="13202" spans="1:1" s="173" customFormat="1" ht="12" hidden="1" customHeight="1">
      <c r="A13202" s="172"/>
    </row>
    <row r="13203" spans="1:1" s="173" customFormat="1" ht="12" hidden="1" customHeight="1">
      <c r="A13203" s="172"/>
    </row>
    <row r="13204" spans="1:1" s="173" customFormat="1" ht="12" hidden="1" customHeight="1">
      <c r="A13204" s="172"/>
    </row>
    <row r="13205" spans="1:1" s="173" customFormat="1" ht="12" hidden="1" customHeight="1">
      <c r="A13205" s="172"/>
    </row>
    <row r="13206" spans="1:1" s="173" customFormat="1" ht="12" hidden="1" customHeight="1">
      <c r="A13206" s="172"/>
    </row>
    <row r="13207" spans="1:1" s="173" customFormat="1" ht="12" hidden="1" customHeight="1">
      <c r="A13207" s="172"/>
    </row>
    <row r="13208" spans="1:1" s="173" customFormat="1" ht="12" hidden="1" customHeight="1">
      <c r="A13208" s="172"/>
    </row>
    <row r="13209" spans="1:1" s="173" customFormat="1" ht="12" hidden="1" customHeight="1">
      <c r="A13209" s="172"/>
    </row>
    <row r="13210" spans="1:1" s="173" customFormat="1" ht="12" hidden="1" customHeight="1">
      <c r="A13210" s="172"/>
    </row>
    <row r="13211" spans="1:1" s="173" customFormat="1" ht="12" hidden="1" customHeight="1">
      <c r="A13211" s="172"/>
    </row>
    <row r="13212" spans="1:1" s="173" customFormat="1" ht="12" hidden="1" customHeight="1">
      <c r="A13212" s="172"/>
    </row>
    <row r="13213" spans="1:1" s="173" customFormat="1" ht="12" hidden="1" customHeight="1">
      <c r="A13213" s="172"/>
    </row>
    <row r="13214" spans="1:1" s="173" customFormat="1" ht="12" hidden="1" customHeight="1">
      <c r="A13214" s="172"/>
    </row>
    <row r="13215" spans="1:1" s="173" customFormat="1" ht="12" hidden="1" customHeight="1">
      <c r="A13215" s="172"/>
    </row>
    <row r="13216" spans="1:1" s="173" customFormat="1" ht="12" hidden="1" customHeight="1">
      <c r="A13216" s="172"/>
    </row>
    <row r="13217" spans="1:1" s="173" customFormat="1" ht="12" hidden="1" customHeight="1">
      <c r="A13217" s="172"/>
    </row>
    <row r="13218" spans="1:1" s="173" customFormat="1" ht="12" hidden="1" customHeight="1">
      <c r="A13218" s="172"/>
    </row>
    <row r="13219" spans="1:1" s="173" customFormat="1" ht="12" hidden="1" customHeight="1">
      <c r="A13219" s="172"/>
    </row>
    <row r="13220" spans="1:1" s="173" customFormat="1" ht="12" hidden="1" customHeight="1">
      <c r="A13220" s="172"/>
    </row>
    <row r="13221" spans="1:1" s="173" customFormat="1" ht="12" hidden="1" customHeight="1">
      <c r="A13221" s="172"/>
    </row>
    <row r="13222" spans="1:1" s="173" customFormat="1" ht="12" hidden="1" customHeight="1">
      <c r="A13222" s="172"/>
    </row>
    <row r="13223" spans="1:1" s="173" customFormat="1" ht="12" hidden="1" customHeight="1">
      <c r="A13223" s="172"/>
    </row>
    <row r="13224" spans="1:1" s="173" customFormat="1" ht="12" hidden="1" customHeight="1">
      <c r="A13224" s="172"/>
    </row>
    <row r="13225" spans="1:1" s="173" customFormat="1" ht="12" hidden="1" customHeight="1">
      <c r="A13225" s="172"/>
    </row>
    <row r="13226" spans="1:1" s="173" customFormat="1" ht="12" hidden="1" customHeight="1">
      <c r="A13226" s="172"/>
    </row>
    <row r="13227" spans="1:1" s="173" customFormat="1" ht="12" hidden="1" customHeight="1">
      <c r="A13227" s="172"/>
    </row>
    <row r="13228" spans="1:1" s="173" customFormat="1" ht="12" hidden="1" customHeight="1">
      <c r="A13228" s="172"/>
    </row>
    <row r="13229" spans="1:1" s="173" customFormat="1" ht="12" hidden="1" customHeight="1">
      <c r="A13229" s="172"/>
    </row>
    <row r="13230" spans="1:1" s="173" customFormat="1" ht="12" hidden="1" customHeight="1">
      <c r="A13230" s="172"/>
    </row>
    <row r="13231" spans="1:1" s="173" customFormat="1" ht="12" hidden="1" customHeight="1">
      <c r="A13231" s="172"/>
    </row>
    <row r="13232" spans="1:1" s="173" customFormat="1" ht="12" hidden="1" customHeight="1">
      <c r="A13232" s="172"/>
    </row>
    <row r="13233" spans="1:1" s="173" customFormat="1" ht="12" hidden="1" customHeight="1">
      <c r="A13233" s="172"/>
    </row>
    <row r="13234" spans="1:1" s="173" customFormat="1" ht="12" hidden="1" customHeight="1">
      <c r="A13234" s="172"/>
    </row>
    <row r="13235" spans="1:1" s="173" customFormat="1" ht="12" hidden="1" customHeight="1">
      <c r="A13235" s="172"/>
    </row>
    <row r="13236" spans="1:1" s="173" customFormat="1" ht="12" hidden="1" customHeight="1">
      <c r="A13236" s="172"/>
    </row>
    <row r="13237" spans="1:1" s="173" customFormat="1" ht="12" hidden="1" customHeight="1">
      <c r="A13237" s="172"/>
    </row>
    <row r="13238" spans="1:1" s="173" customFormat="1" ht="12" hidden="1" customHeight="1">
      <c r="A13238" s="172"/>
    </row>
    <row r="13239" spans="1:1" s="173" customFormat="1" ht="12" hidden="1" customHeight="1">
      <c r="A13239" s="172"/>
    </row>
    <row r="13240" spans="1:1" s="173" customFormat="1" ht="12" hidden="1" customHeight="1">
      <c r="A13240" s="172"/>
    </row>
    <row r="13241" spans="1:1" s="173" customFormat="1" ht="12" hidden="1" customHeight="1">
      <c r="A13241" s="172"/>
    </row>
    <row r="13242" spans="1:1" s="173" customFormat="1" ht="12" hidden="1" customHeight="1">
      <c r="A13242" s="172"/>
    </row>
    <row r="13243" spans="1:1" s="173" customFormat="1" ht="12" hidden="1" customHeight="1">
      <c r="A13243" s="172"/>
    </row>
    <row r="13244" spans="1:1" s="173" customFormat="1" ht="12" hidden="1" customHeight="1">
      <c r="A13244" s="172"/>
    </row>
    <row r="13245" spans="1:1" s="173" customFormat="1" ht="12" hidden="1" customHeight="1">
      <c r="A13245" s="172"/>
    </row>
    <row r="13246" spans="1:1" s="173" customFormat="1" ht="12" hidden="1" customHeight="1">
      <c r="A13246" s="172"/>
    </row>
    <row r="13247" spans="1:1" s="173" customFormat="1" ht="12" hidden="1" customHeight="1">
      <c r="A13247" s="172"/>
    </row>
    <row r="13248" spans="1:1" s="173" customFormat="1" ht="12" hidden="1" customHeight="1">
      <c r="A13248" s="172"/>
    </row>
    <row r="13249" spans="1:1" s="173" customFormat="1" ht="12" hidden="1" customHeight="1">
      <c r="A13249" s="172"/>
    </row>
    <row r="13250" spans="1:1" s="173" customFormat="1" ht="12" hidden="1" customHeight="1">
      <c r="A13250" s="172"/>
    </row>
    <row r="13251" spans="1:1" s="173" customFormat="1" ht="12" hidden="1" customHeight="1">
      <c r="A13251" s="172"/>
    </row>
    <row r="13252" spans="1:1" s="173" customFormat="1" ht="12" hidden="1" customHeight="1">
      <c r="A13252" s="172"/>
    </row>
    <row r="13253" spans="1:1" s="173" customFormat="1" ht="12" hidden="1" customHeight="1">
      <c r="A13253" s="172"/>
    </row>
    <row r="13254" spans="1:1" s="173" customFormat="1" ht="12" hidden="1" customHeight="1">
      <c r="A13254" s="172"/>
    </row>
    <row r="13255" spans="1:1" s="173" customFormat="1" ht="12" hidden="1" customHeight="1">
      <c r="A13255" s="172"/>
    </row>
    <row r="13256" spans="1:1" s="173" customFormat="1" ht="12" hidden="1" customHeight="1">
      <c r="A13256" s="172"/>
    </row>
    <row r="13257" spans="1:1" s="173" customFormat="1" ht="12" hidden="1" customHeight="1">
      <c r="A13257" s="172"/>
    </row>
    <row r="13258" spans="1:1" s="173" customFormat="1" ht="12" hidden="1" customHeight="1">
      <c r="A13258" s="172"/>
    </row>
    <row r="13259" spans="1:1" s="173" customFormat="1" ht="12" hidden="1" customHeight="1">
      <c r="A13259" s="172"/>
    </row>
    <row r="13260" spans="1:1" s="173" customFormat="1" ht="12" hidden="1" customHeight="1">
      <c r="A13260" s="172"/>
    </row>
    <row r="13261" spans="1:1" s="173" customFormat="1" ht="12" hidden="1" customHeight="1">
      <c r="A13261" s="172"/>
    </row>
    <row r="13262" spans="1:1" s="173" customFormat="1" ht="12" hidden="1" customHeight="1">
      <c r="A13262" s="172"/>
    </row>
    <row r="13263" spans="1:1" s="173" customFormat="1" ht="12" hidden="1" customHeight="1">
      <c r="A13263" s="172"/>
    </row>
    <row r="13264" spans="1:1" s="173" customFormat="1" ht="12" hidden="1" customHeight="1">
      <c r="A13264" s="172"/>
    </row>
    <row r="13265" spans="1:1" s="173" customFormat="1" ht="12" hidden="1" customHeight="1">
      <c r="A13265" s="172"/>
    </row>
    <row r="13266" spans="1:1" s="173" customFormat="1" ht="12" hidden="1" customHeight="1">
      <c r="A13266" s="172"/>
    </row>
    <row r="13267" spans="1:1" s="173" customFormat="1" ht="12" hidden="1" customHeight="1">
      <c r="A13267" s="172"/>
    </row>
    <row r="13268" spans="1:1" s="173" customFormat="1" ht="12" hidden="1" customHeight="1">
      <c r="A13268" s="172"/>
    </row>
    <row r="13269" spans="1:1" s="173" customFormat="1" ht="12" hidden="1" customHeight="1">
      <c r="A13269" s="172"/>
    </row>
    <row r="13270" spans="1:1" s="173" customFormat="1" ht="12" hidden="1" customHeight="1">
      <c r="A13270" s="172"/>
    </row>
    <row r="13271" spans="1:1" s="173" customFormat="1" ht="12" hidden="1" customHeight="1">
      <c r="A13271" s="172"/>
    </row>
    <row r="13272" spans="1:1" s="173" customFormat="1" ht="12" hidden="1" customHeight="1">
      <c r="A13272" s="172"/>
    </row>
    <row r="13273" spans="1:1" s="173" customFormat="1" ht="12" hidden="1" customHeight="1">
      <c r="A13273" s="172"/>
    </row>
    <row r="13274" spans="1:1" s="173" customFormat="1" ht="12" hidden="1" customHeight="1">
      <c r="A13274" s="172"/>
    </row>
    <row r="13275" spans="1:1" s="173" customFormat="1" ht="12" hidden="1" customHeight="1">
      <c r="A13275" s="172"/>
    </row>
    <row r="13276" spans="1:1" s="173" customFormat="1" ht="12" hidden="1" customHeight="1">
      <c r="A13276" s="172"/>
    </row>
    <row r="13277" spans="1:1" s="173" customFormat="1" ht="12" hidden="1" customHeight="1">
      <c r="A13277" s="172"/>
    </row>
    <row r="13278" spans="1:1" s="173" customFormat="1" ht="12" hidden="1" customHeight="1">
      <c r="A13278" s="172"/>
    </row>
    <row r="13279" spans="1:1" s="173" customFormat="1" ht="12" hidden="1" customHeight="1">
      <c r="A13279" s="172"/>
    </row>
    <row r="13280" spans="1:1" s="173" customFormat="1" ht="12" hidden="1" customHeight="1">
      <c r="A13280" s="172"/>
    </row>
    <row r="13281" spans="1:1" s="173" customFormat="1" ht="12" hidden="1" customHeight="1">
      <c r="A13281" s="172"/>
    </row>
    <row r="13282" spans="1:1" s="173" customFormat="1" ht="12" hidden="1" customHeight="1">
      <c r="A13282" s="172"/>
    </row>
    <row r="13283" spans="1:1" s="173" customFormat="1" ht="12" hidden="1" customHeight="1">
      <c r="A13283" s="172"/>
    </row>
    <row r="13284" spans="1:1" s="173" customFormat="1" ht="12" hidden="1" customHeight="1">
      <c r="A13284" s="172"/>
    </row>
    <row r="13285" spans="1:1" s="173" customFormat="1" ht="12" hidden="1" customHeight="1">
      <c r="A13285" s="172"/>
    </row>
    <row r="13286" spans="1:1" s="173" customFormat="1" ht="12" hidden="1" customHeight="1">
      <c r="A13286" s="172"/>
    </row>
    <row r="13287" spans="1:1" s="173" customFormat="1" ht="12" hidden="1" customHeight="1">
      <c r="A13287" s="172"/>
    </row>
    <row r="13288" spans="1:1" s="173" customFormat="1" ht="12" hidden="1" customHeight="1">
      <c r="A13288" s="172"/>
    </row>
    <row r="13289" spans="1:1" s="173" customFormat="1" ht="12" hidden="1" customHeight="1">
      <c r="A13289" s="172"/>
    </row>
    <row r="13290" spans="1:1" s="173" customFormat="1" ht="12" hidden="1" customHeight="1">
      <c r="A13290" s="172"/>
    </row>
    <row r="13291" spans="1:1" s="173" customFormat="1" ht="12" hidden="1" customHeight="1">
      <c r="A13291" s="172"/>
    </row>
    <row r="13292" spans="1:1" s="173" customFormat="1" ht="12" hidden="1" customHeight="1">
      <c r="A13292" s="172"/>
    </row>
    <row r="13293" spans="1:1" s="173" customFormat="1" ht="12" hidden="1" customHeight="1">
      <c r="A13293" s="172"/>
    </row>
    <row r="13294" spans="1:1" s="173" customFormat="1" ht="12" hidden="1" customHeight="1">
      <c r="A13294" s="172"/>
    </row>
    <row r="13295" spans="1:1" s="173" customFormat="1" ht="12" hidden="1" customHeight="1">
      <c r="A13295" s="172"/>
    </row>
    <row r="13296" spans="1:1" s="173" customFormat="1" ht="12" hidden="1" customHeight="1">
      <c r="A13296" s="172"/>
    </row>
    <row r="13297" spans="1:1" s="173" customFormat="1" ht="12" hidden="1" customHeight="1">
      <c r="A13297" s="172"/>
    </row>
    <row r="13298" spans="1:1" s="173" customFormat="1" ht="12" hidden="1" customHeight="1">
      <c r="A13298" s="172"/>
    </row>
    <row r="13299" spans="1:1" s="173" customFormat="1" ht="12" hidden="1" customHeight="1">
      <c r="A13299" s="172"/>
    </row>
    <row r="13300" spans="1:1" s="173" customFormat="1" ht="12" hidden="1" customHeight="1">
      <c r="A13300" s="172"/>
    </row>
    <row r="13301" spans="1:1" s="173" customFormat="1" ht="12" hidden="1" customHeight="1">
      <c r="A13301" s="172"/>
    </row>
    <row r="13302" spans="1:1" s="173" customFormat="1" ht="12" hidden="1" customHeight="1">
      <c r="A13302" s="172"/>
    </row>
    <row r="13303" spans="1:1" s="173" customFormat="1" ht="12" hidden="1" customHeight="1">
      <c r="A13303" s="172"/>
    </row>
    <row r="13304" spans="1:1" s="173" customFormat="1" ht="12" hidden="1" customHeight="1">
      <c r="A13304" s="172"/>
    </row>
    <row r="13305" spans="1:1" s="173" customFormat="1" ht="12" hidden="1" customHeight="1">
      <c r="A13305" s="172"/>
    </row>
    <row r="13306" spans="1:1" s="173" customFormat="1" ht="12" hidden="1" customHeight="1">
      <c r="A13306" s="172"/>
    </row>
    <row r="13307" spans="1:1" s="173" customFormat="1" ht="12" hidden="1" customHeight="1">
      <c r="A13307" s="172"/>
    </row>
    <row r="13308" spans="1:1" s="173" customFormat="1" ht="12" hidden="1" customHeight="1">
      <c r="A13308" s="172"/>
    </row>
    <row r="13309" spans="1:1" s="173" customFormat="1" ht="12" hidden="1" customHeight="1">
      <c r="A13309" s="172"/>
    </row>
    <row r="13310" spans="1:1" s="173" customFormat="1" ht="12" hidden="1" customHeight="1">
      <c r="A13310" s="172"/>
    </row>
    <row r="13311" spans="1:1" s="173" customFormat="1" ht="12" hidden="1" customHeight="1">
      <c r="A13311" s="172"/>
    </row>
    <row r="13312" spans="1:1" s="173" customFormat="1" ht="12" hidden="1" customHeight="1">
      <c r="A13312" s="172"/>
    </row>
    <row r="13313" spans="1:1" s="173" customFormat="1" ht="12" hidden="1" customHeight="1">
      <c r="A13313" s="172"/>
    </row>
    <row r="13314" spans="1:1" s="173" customFormat="1" ht="12" hidden="1" customHeight="1">
      <c r="A13314" s="172"/>
    </row>
    <row r="13315" spans="1:1" s="173" customFormat="1" ht="12" hidden="1" customHeight="1">
      <c r="A13315" s="172"/>
    </row>
    <row r="13316" spans="1:1" s="173" customFormat="1" ht="12" hidden="1" customHeight="1">
      <c r="A13316" s="172"/>
    </row>
    <row r="13317" spans="1:1" s="173" customFormat="1" ht="12" hidden="1" customHeight="1">
      <c r="A13317" s="172"/>
    </row>
    <row r="13318" spans="1:1" s="173" customFormat="1" ht="12" hidden="1" customHeight="1">
      <c r="A13318" s="172"/>
    </row>
    <row r="13319" spans="1:1" s="173" customFormat="1" ht="12" hidden="1" customHeight="1">
      <c r="A13319" s="172"/>
    </row>
    <row r="13320" spans="1:1" s="173" customFormat="1" ht="12" hidden="1" customHeight="1">
      <c r="A13320" s="172"/>
    </row>
    <row r="13321" spans="1:1" s="173" customFormat="1" ht="12" hidden="1" customHeight="1">
      <c r="A13321" s="172"/>
    </row>
    <row r="13322" spans="1:1" s="173" customFormat="1" ht="12" hidden="1" customHeight="1">
      <c r="A13322" s="172"/>
    </row>
    <row r="13323" spans="1:1" s="173" customFormat="1" ht="12" hidden="1" customHeight="1">
      <c r="A13323" s="172"/>
    </row>
    <row r="13324" spans="1:1" s="173" customFormat="1" ht="12" hidden="1" customHeight="1">
      <c r="A13324" s="172"/>
    </row>
    <row r="13325" spans="1:1" s="173" customFormat="1" ht="12" hidden="1" customHeight="1">
      <c r="A13325" s="172"/>
    </row>
    <row r="13326" spans="1:1" s="173" customFormat="1" ht="12" hidden="1" customHeight="1">
      <c r="A13326" s="172"/>
    </row>
    <row r="13327" spans="1:1" s="173" customFormat="1" ht="12" hidden="1" customHeight="1">
      <c r="A13327" s="172"/>
    </row>
    <row r="13328" spans="1:1" s="173" customFormat="1" ht="12" hidden="1" customHeight="1">
      <c r="A13328" s="172"/>
    </row>
    <row r="13329" spans="1:1" s="173" customFormat="1" ht="12" hidden="1" customHeight="1">
      <c r="A13329" s="172"/>
    </row>
    <row r="13330" spans="1:1" s="173" customFormat="1" ht="12" hidden="1" customHeight="1">
      <c r="A13330" s="172"/>
    </row>
    <row r="13331" spans="1:1" s="173" customFormat="1" ht="12" hidden="1" customHeight="1">
      <c r="A13331" s="172"/>
    </row>
    <row r="13332" spans="1:1" s="173" customFormat="1" ht="12" hidden="1" customHeight="1">
      <c r="A13332" s="172"/>
    </row>
    <row r="13333" spans="1:1" s="173" customFormat="1" ht="12" hidden="1" customHeight="1">
      <c r="A13333" s="172"/>
    </row>
    <row r="13334" spans="1:1" s="173" customFormat="1" ht="12" hidden="1" customHeight="1">
      <c r="A13334" s="172"/>
    </row>
    <row r="13335" spans="1:1" s="173" customFormat="1" ht="12" hidden="1" customHeight="1">
      <c r="A13335" s="172"/>
    </row>
    <row r="13336" spans="1:1" s="173" customFormat="1" ht="12" hidden="1" customHeight="1">
      <c r="A13336" s="172"/>
    </row>
    <row r="13337" spans="1:1" s="173" customFormat="1" ht="12" hidden="1" customHeight="1">
      <c r="A13337" s="172"/>
    </row>
    <row r="13338" spans="1:1" s="173" customFormat="1" ht="12" hidden="1" customHeight="1">
      <c r="A13338" s="172"/>
    </row>
    <row r="13339" spans="1:1" s="173" customFormat="1" ht="12" hidden="1" customHeight="1">
      <c r="A13339" s="172"/>
    </row>
    <row r="13340" spans="1:1" s="173" customFormat="1" ht="12" hidden="1" customHeight="1">
      <c r="A13340" s="172"/>
    </row>
    <row r="13341" spans="1:1" s="173" customFormat="1" ht="12" hidden="1" customHeight="1">
      <c r="A13341" s="172"/>
    </row>
    <row r="13342" spans="1:1" s="173" customFormat="1" ht="12" hidden="1" customHeight="1">
      <c r="A13342" s="172"/>
    </row>
    <row r="13343" spans="1:1" s="173" customFormat="1" ht="12" hidden="1" customHeight="1">
      <c r="A13343" s="172"/>
    </row>
    <row r="13344" spans="1:1" s="173" customFormat="1" ht="12" hidden="1" customHeight="1">
      <c r="A13344" s="172"/>
    </row>
    <row r="13345" spans="1:1" s="173" customFormat="1" ht="12" hidden="1" customHeight="1">
      <c r="A13345" s="172"/>
    </row>
    <row r="13346" spans="1:1" s="173" customFormat="1" ht="12" hidden="1" customHeight="1">
      <c r="A13346" s="172"/>
    </row>
    <row r="13347" spans="1:1" s="173" customFormat="1" ht="12" hidden="1" customHeight="1">
      <c r="A13347" s="172"/>
    </row>
    <row r="13348" spans="1:1" s="173" customFormat="1" ht="12" hidden="1" customHeight="1">
      <c r="A13348" s="172"/>
    </row>
    <row r="13349" spans="1:1" s="173" customFormat="1" ht="12" hidden="1" customHeight="1">
      <c r="A13349" s="172"/>
    </row>
    <row r="13350" spans="1:1" s="173" customFormat="1" ht="12" hidden="1" customHeight="1">
      <c r="A13350" s="172"/>
    </row>
    <row r="13351" spans="1:1" s="173" customFormat="1" ht="12" hidden="1" customHeight="1">
      <c r="A13351" s="172"/>
    </row>
    <row r="13352" spans="1:1" s="173" customFormat="1" ht="12" hidden="1" customHeight="1">
      <c r="A13352" s="172"/>
    </row>
    <row r="13353" spans="1:1" s="173" customFormat="1" ht="12" hidden="1" customHeight="1">
      <c r="A13353" s="172"/>
    </row>
    <row r="13354" spans="1:1" s="173" customFormat="1" ht="12" hidden="1" customHeight="1">
      <c r="A13354" s="172"/>
    </row>
    <row r="13355" spans="1:1" s="173" customFormat="1" ht="12" hidden="1" customHeight="1">
      <c r="A13355" s="172"/>
    </row>
    <row r="13356" spans="1:1" s="173" customFormat="1" ht="12" hidden="1" customHeight="1">
      <c r="A13356" s="172"/>
    </row>
    <row r="13357" spans="1:1" s="173" customFormat="1" ht="12" hidden="1" customHeight="1">
      <c r="A13357" s="172"/>
    </row>
    <row r="13358" spans="1:1" s="173" customFormat="1" ht="12" hidden="1" customHeight="1">
      <c r="A13358" s="172"/>
    </row>
    <row r="13359" spans="1:1" s="173" customFormat="1" ht="12" hidden="1" customHeight="1">
      <c r="A13359" s="172"/>
    </row>
    <row r="13360" spans="1:1" s="173" customFormat="1" ht="12" hidden="1" customHeight="1">
      <c r="A13360" s="172"/>
    </row>
    <row r="13361" spans="1:1" s="173" customFormat="1" ht="12" hidden="1" customHeight="1">
      <c r="A13361" s="172"/>
    </row>
    <row r="13362" spans="1:1" s="173" customFormat="1" ht="12" hidden="1" customHeight="1">
      <c r="A13362" s="172"/>
    </row>
    <row r="13363" spans="1:1" s="173" customFormat="1" ht="12" hidden="1" customHeight="1">
      <c r="A13363" s="172"/>
    </row>
    <row r="13364" spans="1:1" s="173" customFormat="1" ht="12" hidden="1" customHeight="1">
      <c r="A13364" s="172"/>
    </row>
    <row r="13365" spans="1:1" s="173" customFormat="1" ht="12" hidden="1" customHeight="1">
      <c r="A13365" s="172"/>
    </row>
    <row r="13366" spans="1:1" s="173" customFormat="1" ht="12" hidden="1" customHeight="1">
      <c r="A13366" s="172"/>
    </row>
    <row r="13367" spans="1:1" s="173" customFormat="1" ht="12" hidden="1" customHeight="1">
      <c r="A13367" s="172"/>
    </row>
    <row r="13368" spans="1:1" s="173" customFormat="1" ht="12" hidden="1" customHeight="1">
      <c r="A13368" s="172"/>
    </row>
    <row r="13369" spans="1:1" s="173" customFormat="1" ht="12" hidden="1" customHeight="1">
      <c r="A13369" s="172"/>
    </row>
    <row r="13370" spans="1:1" s="173" customFormat="1" ht="12" hidden="1" customHeight="1">
      <c r="A13370" s="172"/>
    </row>
    <row r="13371" spans="1:1" s="173" customFormat="1" ht="12" hidden="1" customHeight="1">
      <c r="A13371" s="172"/>
    </row>
    <row r="13372" spans="1:1" s="173" customFormat="1" ht="12" hidden="1" customHeight="1">
      <c r="A13372" s="172"/>
    </row>
    <row r="13373" spans="1:1" s="173" customFormat="1" ht="12" hidden="1" customHeight="1">
      <c r="A13373" s="172"/>
    </row>
    <row r="13374" spans="1:1" s="173" customFormat="1" ht="12" hidden="1" customHeight="1">
      <c r="A13374" s="172"/>
    </row>
    <row r="13375" spans="1:1" s="173" customFormat="1" ht="12" hidden="1" customHeight="1">
      <c r="A13375" s="172"/>
    </row>
    <row r="13376" spans="1:1" s="173" customFormat="1" ht="12" hidden="1" customHeight="1">
      <c r="A13376" s="172"/>
    </row>
    <row r="13377" spans="1:1" s="173" customFormat="1" ht="12" hidden="1" customHeight="1">
      <c r="A13377" s="172"/>
    </row>
    <row r="13378" spans="1:1" s="173" customFormat="1" ht="12" hidden="1" customHeight="1">
      <c r="A13378" s="172"/>
    </row>
    <row r="13379" spans="1:1" s="173" customFormat="1" ht="12" hidden="1" customHeight="1">
      <c r="A13379" s="172"/>
    </row>
    <row r="13380" spans="1:1" s="173" customFormat="1" ht="12" hidden="1" customHeight="1">
      <c r="A13380" s="172"/>
    </row>
    <row r="13381" spans="1:1" s="173" customFormat="1" ht="12" hidden="1" customHeight="1">
      <c r="A13381" s="172"/>
    </row>
    <row r="13382" spans="1:1" s="173" customFormat="1" ht="12" hidden="1" customHeight="1">
      <c r="A13382" s="172"/>
    </row>
    <row r="13383" spans="1:1" s="173" customFormat="1" ht="12" hidden="1" customHeight="1">
      <c r="A13383" s="172"/>
    </row>
    <row r="13384" spans="1:1" s="173" customFormat="1" ht="12" hidden="1" customHeight="1">
      <c r="A13384" s="172"/>
    </row>
    <row r="13385" spans="1:1" s="173" customFormat="1" ht="12" hidden="1" customHeight="1">
      <c r="A13385" s="172"/>
    </row>
    <row r="13386" spans="1:1" s="173" customFormat="1" ht="12" hidden="1" customHeight="1">
      <c r="A13386" s="172"/>
    </row>
    <row r="13387" spans="1:1" s="173" customFormat="1" ht="12" hidden="1" customHeight="1">
      <c r="A13387" s="172"/>
    </row>
    <row r="13388" spans="1:1" s="173" customFormat="1" ht="12" hidden="1" customHeight="1">
      <c r="A13388" s="172"/>
    </row>
    <row r="13389" spans="1:1" s="173" customFormat="1" ht="12" hidden="1" customHeight="1">
      <c r="A13389" s="172"/>
    </row>
    <row r="13390" spans="1:1" s="173" customFormat="1" ht="12" hidden="1" customHeight="1">
      <c r="A13390" s="172"/>
    </row>
    <row r="13391" spans="1:1" s="173" customFormat="1" ht="12" hidden="1" customHeight="1">
      <c r="A13391" s="172"/>
    </row>
    <row r="13392" spans="1:1" s="173" customFormat="1" ht="12" hidden="1" customHeight="1">
      <c r="A13392" s="172"/>
    </row>
    <row r="13393" spans="1:1" s="173" customFormat="1" ht="12" hidden="1" customHeight="1">
      <c r="A13393" s="172"/>
    </row>
    <row r="13394" spans="1:1" s="173" customFormat="1" ht="12" hidden="1" customHeight="1">
      <c r="A13394" s="172"/>
    </row>
    <row r="13395" spans="1:1" s="173" customFormat="1" ht="12" hidden="1" customHeight="1">
      <c r="A13395" s="172"/>
    </row>
    <row r="13396" spans="1:1" s="173" customFormat="1" ht="12" hidden="1" customHeight="1">
      <c r="A13396" s="172"/>
    </row>
    <row r="13397" spans="1:1" s="173" customFormat="1" ht="12" hidden="1" customHeight="1">
      <c r="A13397" s="172"/>
    </row>
    <row r="13398" spans="1:1" s="173" customFormat="1" ht="12" hidden="1" customHeight="1">
      <c r="A13398" s="172"/>
    </row>
    <row r="13399" spans="1:1" s="173" customFormat="1" ht="12" hidden="1" customHeight="1">
      <c r="A13399" s="172"/>
    </row>
    <row r="13400" spans="1:1" s="173" customFormat="1" ht="12" hidden="1" customHeight="1">
      <c r="A13400" s="172"/>
    </row>
    <row r="13401" spans="1:1" s="173" customFormat="1" ht="12" hidden="1" customHeight="1">
      <c r="A13401" s="172"/>
    </row>
    <row r="13402" spans="1:1" s="173" customFormat="1" ht="12" hidden="1" customHeight="1">
      <c r="A13402" s="172"/>
    </row>
    <row r="13403" spans="1:1" s="173" customFormat="1" ht="12" hidden="1" customHeight="1">
      <c r="A13403" s="172"/>
    </row>
    <row r="13404" spans="1:1" s="173" customFormat="1" ht="12" hidden="1" customHeight="1">
      <c r="A13404" s="172"/>
    </row>
    <row r="13405" spans="1:1" s="173" customFormat="1" ht="12" hidden="1" customHeight="1">
      <c r="A13405" s="172"/>
    </row>
    <row r="13406" spans="1:1" s="173" customFormat="1" ht="12" hidden="1" customHeight="1">
      <c r="A13406" s="172"/>
    </row>
    <row r="13407" spans="1:1" s="173" customFormat="1" ht="12" hidden="1" customHeight="1">
      <c r="A13407" s="172"/>
    </row>
    <row r="13408" spans="1:1" s="173" customFormat="1" ht="12" hidden="1" customHeight="1">
      <c r="A13408" s="172"/>
    </row>
    <row r="13409" spans="1:1" s="173" customFormat="1" ht="12" hidden="1" customHeight="1">
      <c r="A13409" s="172"/>
    </row>
    <row r="13410" spans="1:1" s="173" customFormat="1" ht="12" hidden="1" customHeight="1">
      <c r="A13410" s="172"/>
    </row>
    <row r="13411" spans="1:1" s="173" customFormat="1" ht="12" hidden="1" customHeight="1">
      <c r="A13411" s="172"/>
    </row>
    <row r="13412" spans="1:1" s="173" customFormat="1" ht="12" hidden="1" customHeight="1">
      <c r="A13412" s="172"/>
    </row>
    <row r="13413" spans="1:1" s="173" customFormat="1" ht="12" hidden="1" customHeight="1">
      <c r="A13413" s="172"/>
    </row>
    <row r="13414" spans="1:1" s="173" customFormat="1" ht="12" hidden="1" customHeight="1">
      <c r="A13414" s="172"/>
    </row>
    <row r="13415" spans="1:1" s="173" customFormat="1" ht="12" hidden="1" customHeight="1">
      <c r="A13415" s="172"/>
    </row>
    <row r="13416" spans="1:1" s="173" customFormat="1" ht="12" hidden="1" customHeight="1">
      <c r="A13416" s="172"/>
    </row>
    <row r="13417" spans="1:1" s="173" customFormat="1" ht="12" hidden="1" customHeight="1">
      <c r="A13417" s="172"/>
    </row>
    <row r="13418" spans="1:1" s="173" customFormat="1" ht="12" hidden="1" customHeight="1">
      <c r="A13418" s="172"/>
    </row>
    <row r="13419" spans="1:1" s="173" customFormat="1" ht="12" hidden="1" customHeight="1">
      <c r="A13419" s="172"/>
    </row>
    <row r="13420" spans="1:1" s="173" customFormat="1" ht="12" hidden="1" customHeight="1">
      <c r="A13420" s="172"/>
    </row>
    <row r="13421" spans="1:1" s="173" customFormat="1" ht="12" hidden="1" customHeight="1">
      <c r="A13421" s="172"/>
    </row>
    <row r="13422" spans="1:1" s="173" customFormat="1" ht="12" hidden="1" customHeight="1">
      <c r="A13422" s="172"/>
    </row>
    <row r="13423" spans="1:1" s="173" customFormat="1" ht="12" hidden="1" customHeight="1">
      <c r="A13423" s="172"/>
    </row>
    <row r="13424" spans="1:1" s="173" customFormat="1" ht="12" hidden="1" customHeight="1">
      <c r="A13424" s="172"/>
    </row>
    <row r="13425" spans="1:1" s="173" customFormat="1" ht="12" hidden="1" customHeight="1">
      <c r="A13425" s="172"/>
    </row>
    <row r="13426" spans="1:1" s="173" customFormat="1" ht="12" hidden="1" customHeight="1">
      <c r="A13426" s="172"/>
    </row>
    <row r="13427" spans="1:1" s="173" customFormat="1" ht="12" hidden="1" customHeight="1">
      <c r="A13427" s="172"/>
    </row>
    <row r="13428" spans="1:1" s="173" customFormat="1" ht="12" hidden="1" customHeight="1">
      <c r="A13428" s="172"/>
    </row>
    <row r="13429" spans="1:1" s="173" customFormat="1" ht="12" hidden="1" customHeight="1">
      <c r="A13429" s="172"/>
    </row>
    <row r="13430" spans="1:1" s="173" customFormat="1" ht="12" hidden="1" customHeight="1">
      <c r="A13430" s="172"/>
    </row>
    <row r="13431" spans="1:1" s="173" customFormat="1" ht="12" hidden="1" customHeight="1">
      <c r="A13431" s="172"/>
    </row>
    <row r="13432" spans="1:1" s="173" customFormat="1" ht="12" hidden="1" customHeight="1">
      <c r="A13432" s="172"/>
    </row>
    <row r="13433" spans="1:1" s="173" customFormat="1" ht="12" hidden="1" customHeight="1">
      <c r="A13433" s="172"/>
    </row>
    <row r="13434" spans="1:1" s="173" customFormat="1" ht="12" hidden="1" customHeight="1">
      <c r="A13434" s="172"/>
    </row>
    <row r="13435" spans="1:1" s="173" customFormat="1" ht="12" hidden="1" customHeight="1">
      <c r="A13435" s="172"/>
    </row>
    <row r="13436" spans="1:1" s="173" customFormat="1" ht="12" hidden="1" customHeight="1">
      <c r="A13436" s="172"/>
    </row>
    <row r="13437" spans="1:1" s="173" customFormat="1" ht="12" hidden="1" customHeight="1">
      <c r="A13437" s="172"/>
    </row>
    <row r="13438" spans="1:1" s="173" customFormat="1" ht="12" hidden="1" customHeight="1">
      <c r="A13438" s="172"/>
    </row>
    <row r="13439" spans="1:1" s="173" customFormat="1" ht="12" hidden="1" customHeight="1">
      <c r="A13439" s="172"/>
    </row>
    <row r="13440" spans="1:1" s="173" customFormat="1" ht="12" hidden="1" customHeight="1">
      <c r="A13440" s="172"/>
    </row>
    <row r="13441" spans="1:1" s="173" customFormat="1" ht="12" hidden="1" customHeight="1">
      <c r="A13441" s="172"/>
    </row>
    <row r="13442" spans="1:1" s="173" customFormat="1" ht="12" hidden="1" customHeight="1">
      <c r="A13442" s="172"/>
    </row>
    <row r="13443" spans="1:1" s="173" customFormat="1" ht="12" hidden="1" customHeight="1">
      <c r="A13443" s="172"/>
    </row>
    <row r="13444" spans="1:1" s="173" customFormat="1" ht="12" hidden="1" customHeight="1">
      <c r="A13444" s="172"/>
    </row>
    <row r="13445" spans="1:1" s="173" customFormat="1" ht="12" hidden="1" customHeight="1">
      <c r="A13445" s="172"/>
    </row>
    <row r="13446" spans="1:1" s="173" customFormat="1" ht="12" hidden="1" customHeight="1">
      <c r="A13446" s="172"/>
    </row>
    <row r="13447" spans="1:1" s="173" customFormat="1" ht="12" hidden="1" customHeight="1">
      <c r="A13447" s="172"/>
    </row>
    <row r="13448" spans="1:1" s="173" customFormat="1" ht="12" hidden="1" customHeight="1">
      <c r="A13448" s="172"/>
    </row>
    <row r="13449" spans="1:1" s="173" customFormat="1" ht="12" hidden="1" customHeight="1">
      <c r="A13449" s="172"/>
    </row>
    <row r="13450" spans="1:1" s="173" customFormat="1" ht="12" hidden="1" customHeight="1">
      <c r="A13450" s="172"/>
    </row>
    <row r="13451" spans="1:1" s="173" customFormat="1" ht="12" hidden="1" customHeight="1">
      <c r="A13451" s="172"/>
    </row>
    <row r="13452" spans="1:1" s="173" customFormat="1" ht="12" hidden="1" customHeight="1">
      <c r="A13452" s="172"/>
    </row>
    <row r="13453" spans="1:1" s="173" customFormat="1" ht="12" hidden="1" customHeight="1">
      <c r="A13453" s="172"/>
    </row>
    <row r="13454" spans="1:1" s="173" customFormat="1" ht="12" hidden="1" customHeight="1">
      <c r="A13454" s="172"/>
    </row>
    <row r="13455" spans="1:1" s="173" customFormat="1" ht="12" hidden="1" customHeight="1">
      <c r="A13455" s="172"/>
    </row>
    <row r="13456" spans="1:1" s="173" customFormat="1" ht="12" hidden="1" customHeight="1">
      <c r="A13456" s="172"/>
    </row>
    <row r="13457" spans="1:1" s="173" customFormat="1" ht="12" hidden="1" customHeight="1">
      <c r="A13457" s="172"/>
    </row>
    <row r="13458" spans="1:1" s="173" customFormat="1" ht="12" hidden="1" customHeight="1">
      <c r="A13458" s="172"/>
    </row>
    <row r="13459" spans="1:1" s="173" customFormat="1" ht="12" hidden="1" customHeight="1">
      <c r="A13459" s="172"/>
    </row>
    <row r="13460" spans="1:1" s="173" customFormat="1" ht="12" hidden="1" customHeight="1">
      <c r="A13460" s="172"/>
    </row>
    <row r="13461" spans="1:1" s="173" customFormat="1" ht="12" hidden="1" customHeight="1">
      <c r="A13461" s="172"/>
    </row>
    <row r="13462" spans="1:1" s="173" customFormat="1" ht="12" hidden="1" customHeight="1">
      <c r="A13462" s="172"/>
    </row>
    <row r="13463" spans="1:1" s="173" customFormat="1" ht="12" hidden="1" customHeight="1">
      <c r="A13463" s="172"/>
    </row>
    <row r="13464" spans="1:1" s="173" customFormat="1" ht="12" hidden="1" customHeight="1">
      <c r="A13464" s="172"/>
    </row>
    <row r="13465" spans="1:1" s="173" customFormat="1" ht="12" hidden="1" customHeight="1">
      <c r="A13465" s="172"/>
    </row>
    <row r="13466" spans="1:1" s="173" customFormat="1" ht="12" hidden="1" customHeight="1">
      <c r="A13466" s="172"/>
    </row>
    <row r="13467" spans="1:1" s="173" customFormat="1" ht="12" hidden="1" customHeight="1">
      <c r="A13467" s="172"/>
    </row>
    <row r="13468" spans="1:1" s="173" customFormat="1" ht="12" hidden="1" customHeight="1">
      <c r="A13468" s="172"/>
    </row>
    <row r="13469" spans="1:1" s="173" customFormat="1" ht="12" hidden="1" customHeight="1">
      <c r="A13469" s="172"/>
    </row>
    <row r="13470" spans="1:1" s="173" customFormat="1" ht="12" hidden="1" customHeight="1">
      <c r="A13470" s="172"/>
    </row>
    <row r="13471" spans="1:1" s="173" customFormat="1" ht="12" hidden="1" customHeight="1">
      <c r="A13471" s="172"/>
    </row>
    <row r="13472" spans="1:1" s="173" customFormat="1" ht="12" hidden="1" customHeight="1">
      <c r="A13472" s="172"/>
    </row>
    <row r="13473" spans="1:1" s="173" customFormat="1" ht="12" hidden="1" customHeight="1">
      <c r="A13473" s="172"/>
    </row>
    <row r="13474" spans="1:1" s="173" customFormat="1" ht="12" hidden="1" customHeight="1">
      <c r="A13474" s="172"/>
    </row>
    <row r="13475" spans="1:1" s="173" customFormat="1" ht="12" hidden="1" customHeight="1">
      <c r="A13475" s="172"/>
    </row>
    <row r="13476" spans="1:1" s="173" customFormat="1" ht="12" hidden="1" customHeight="1">
      <c r="A13476" s="172"/>
    </row>
    <row r="13477" spans="1:1" s="173" customFormat="1" ht="12" hidden="1" customHeight="1">
      <c r="A13477" s="172"/>
    </row>
    <row r="13478" spans="1:1" s="173" customFormat="1" ht="12" hidden="1" customHeight="1">
      <c r="A13478" s="172"/>
    </row>
    <row r="13479" spans="1:1" s="173" customFormat="1" ht="12" hidden="1" customHeight="1">
      <c r="A13479" s="172"/>
    </row>
    <row r="13480" spans="1:1" s="173" customFormat="1" ht="12" hidden="1" customHeight="1">
      <c r="A13480" s="172"/>
    </row>
    <row r="13481" spans="1:1" s="173" customFormat="1" ht="12" hidden="1" customHeight="1">
      <c r="A13481" s="172"/>
    </row>
    <row r="13482" spans="1:1" s="173" customFormat="1" ht="12" hidden="1" customHeight="1">
      <c r="A13482" s="172"/>
    </row>
    <row r="13483" spans="1:1" s="173" customFormat="1" ht="12" hidden="1" customHeight="1">
      <c r="A13483" s="172"/>
    </row>
    <row r="13484" spans="1:1" s="173" customFormat="1" ht="12" hidden="1" customHeight="1">
      <c r="A13484" s="172"/>
    </row>
    <row r="13485" spans="1:1" s="173" customFormat="1" ht="12" hidden="1" customHeight="1">
      <c r="A13485" s="172"/>
    </row>
    <row r="13486" spans="1:1" s="173" customFormat="1" ht="12" hidden="1" customHeight="1">
      <c r="A13486" s="172"/>
    </row>
    <row r="13487" spans="1:1" s="173" customFormat="1" ht="12" hidden="1" customHeight="1">
      <c r="A13487" s="172"/>
    </row>
    <row r="13488" spans="1:1" s="173" customFormat="1" ht="12" hidden="1" customHeight="1">
      <c r="A13488" s="172"/>
    </row>
    <row r="13489" spans="1:1" s="173" customFormat="1" ht="12" hidden="1" customHeight="1">
      <c r="A13489" s="172"/>
    </row>
    <row r="13490" spans="1:1" s="173" customFormat="1" ht="12" hidden="1" customHeight="1">
      <c r="A13490" s="172"/>
    </row>
    <row r="13491" spans="1:1" s="173" customFormat="1" ht="12" hidden="1" customHeight="1">
      <c r="A13491" s="172"/>
    </row>
    <row r="13492" spans="1:1" s="173" customFormat="1" ht="12" hidden="1" customHeight="1">
      <c r="A13492" s="172"/>
    </row>
    <row r="13493" spans="1:1" s="173" customFormat="1" ht="12" hidden="1" customHeight="1">
      <c r="A13493" s="172"/>
    </row>
    <row r="13494" spans="1:1" s="173" customFormat="1" ht="12" hidden="1" customHeight="1">
      <c r="A13494" s="172"/>
    </row>
    <row r="13495" spans="1:1" s="173" customFormat="1" ht="12" hidden="1" customHeight="1">
      <c r="A13495" s="172"/>
    </row>
    <row r="13496" spans="1:1" s="173" customFormat="1" ht="12" hidden="1" customHeight="1">
      <c r="A13496" s="172"/>
    </row>
    <row r="13497" spans="1:1" s="173" customFormat="1" ht="12" hidden="1" customHeight="1">
      <c r="A13497" s="172"/>
    </row>
    <row r="13498" spans="1:1" s="173" customFormat="1" ht="12" hidden="1" customHeight="1">
      <c r="A13498" s="172"/>
    </row>
    <row r="13499" spans="1:1" s="173" customFormat="1" ht="12" hidden="1" customHeight="1">
      <c r="A13499" s="172"/>
    </row>
    <row r="13500" spans="1:1" s="173" customFormat="1" ht="12" hidden="1" customHeight="1">
      <c r="A13500" s="172"/>
    </row>
    <row r="13501" spans="1:1" s="173" customFormat="1" ht="12" hidden="1" customHeight="1">
      <c r="A13501" s="172"/>
    </row>
    <row r="13502" spans="1:1" s="173" customFormat="1" ht="12" hidden="1" customHeight="1">
      <c r="A13502" s="172"/>
    </row>
    <row r="13503" spans="1:1" s="173" customFormat="1" ht="12" hidden="1" customHeight="1">
      <c r="A13503" s="172"/>
    </row>
    <row r="13504" spans="1:1" s="173" customFormat="1" ht="12" hidden="1" customHeight="1">
      <c r="A13504" s="172"/>
    </row>
    <row r="13505" spans="1:1" s="173" customFormat="1" ht="12" hidden="1" customHeight="1">
      <c r="A13505" s="172"/>
    </row>
    <row r="13506" spans="1:1" s="173" customFormat="1" ht="12" hidden="1" customHeight="1">
      <c r="A13506" s="172"/>
    </row>
    <row r="13507" spans="1:1" s="173" customFormat="1" ht="12" hidden="1" customHeight="1">
      <c r="A13507" s="172"/>
    </row>
    <row r="13508" spans="1:1" s="173" customFormat="1" ht="12" hidden="1" customHeight="1">
      <c r="A13508" s="172"/>
    </row>
    <row r="13509" spans="1:1" s="173" customFormat="1" ht="12" hidden="1" customHeight="1">
      <c r="A13509" s="172"/>
    </row>
    <row r="13510" spans="1:1" s="173" customFormat="1" ht="12" hidden="1" customHeight="1">
      <c r="A13510" s="172"/>
    </row>
    <row r="13511" spans="1:1" s="173" customFormat="1" ht="12" hidden="1" customHeight="1">
      <c r="A13511" s="172"/>
    </row>
    <row r="13512" spans="1:1" s="173" customFormat="1" ht="12" hidden="1" customHeight="1">
      <c r="A13512" s="172"/>
    </row>
    <row r="13513" spans="1:1" s="173" customFormat="1" ht="12" hidden="1" customHeight="1">
      <c r="A13513" s="172"/>
    </row>
    <row r="13514" spans="1:1" s="173" customFormat="1" ht="12" hidden="1" customHeight="1">
      <c r="A13514" s="172"/>
    </row>
    <row r="13515" spans="1:1" s="173" customFormat="1" ht="12" hidden="1" customHeight="1">
      <c r="A13515" s="172"/>
    </row>
    <row r="13516" spans="1:1" s="173" customFormat="1" ht="12" hidden="1" customHeight="1">
      <c r="A13516" s="172"/>
    </row>
    <row r="13517" spans="1:1" s="173" customFormat="1" ht="12" hidden="1" customHeight="1">
      <c r="A13517" s="172"/>
    </row>
    <row r="13518" spans="1:1" s="173" customFormat="1" ht="12" hidden="1" customHeight="1">
      <c r="A13518" s="172"/>
    </row>
    <row r="13519" spans="1:1" s="173" customFormat="1" ht="12" hidden="1" customHeight="1">
      <c r="A13519" s="172"/>
    </row>
    <row r="13520" spans="1:1" s="173" customFormat="1" ht="12" hidden="1" customHeight="1">
      <c r="A13520" s="172"/>
    </row>
    <row r="13521" spans="1:1" s="173" customFormat="1" ht="12" hidden="1" customHeight="1">
      <c r="A13521" s="172"/>
    </row>
    <row r="13522" spans="1:1" s="173" customFormat="1" ht="12" hidden="1" customHeight="1">
      <c r="A13522" s="172"/>
    </row>
    <row r="13523" spans="1:1" s="173" customFormat="1" ht="12" hidden="1" customHeight="1">
      <c r="A13523" s="172"/>
    </row>
    <row r="13524" spans="1:1" s="173" customFormat="1" ht="12" hidden="1" customHeight="1">
      <c r="A13524" s="172"/>
    </row>
    <row r="13525" spans="1:1" s="173" customFormat="1" ht="12" hidden="1" customHeight="1">
      <c r="A13525" s="172"/>
    </row>
    <row r="13526" spans="1:1" s="173" customFormat="1" ht="12" hidden="1" customHeight="1">
      <c r="A13526" s="172"/>
    </row>
    <row r="13527" spans="1:1" s="173" customFormat="1" ht="12" hidden="1" customHeight="1">
      <c r="A13527" s="172"/>
    </row>
    <row r="13528" spans="1:1" s="173" customFormat="1" ht="12" hidden="1" customHeight="1">
      <c r="A13528" s="172"/>
    </row>
    <row r="13529" spans="1:1" s="173" customFormat="1" ht="12" hidden="1" customHeight="1">
      <c r="A13529" s="172"/>
    </row>
    <row r="13530" spans="1:1" s="173" customFormat="1" ht="12" hidden="1" customHeight="1">
      <c r="A13530" s="172"/>
    </row>
    <row r="13531" spans="1:1" s="173" customFormat="1" ht="12" hidden="1" customHeight="1">
      <c r="A13531" s="172"/>
    </row>
    <row r="13532" spans="1:1" s="173" customFormat="1" ht="12" hidden="1" customHeight="1">
      <c r="A13532" s="172"/>
    </row>
    <row r="13533" spans="1:1" s="173" customFormat="1" ht="12" hidden="1" customHeight="1">
      <c r="A13533" s="172"/>
    </row>
    <row r="13534" spans="1:1" s="173" customFormat="1" ht="12" hidden="1" customHeight="1">
      <c r="A13534" s="172"/>
    </row>
    <row r="13535" spans="1:1" s="173" customFormat="1" ht="12" hidden="1" customHeight="1">
      <c r="A13535" s="172"/>
    </row>
    <row r="13536" spans="1:1" s="173" customFormat="1" ht="12" hidden="1" customHeight="1">
      <c r="A13536" s="172"/>
    </row>
    <row r="13537" spans="1:1" s="173" customFormat="1" ht="12" hidden="1" customHeight="1">
      <c r="A13537" s="172"/>
    </row>
    <row r="13538" spans="1:1" s="173" customFormat="1" ht="12" hidden="1" customHeight="1">
      <c r="A13538" s="172"/>
    </row>
    <row r="13539" spans="1:1" s="173" customFormat="1" ht="12" hidden="1" customHeight="1">
      <c r="A13539" s="172"/>
    </row>
    <row r="13540" spans="1:1" s="173" customFormat="1" ht="12" hidden="1" customHeight="1">
      <c r="A13540" s="172"/>
    </row>
    <row r="13541" spans="1:1" s="173" customFormat="1" ht="12" hidden="1" customHeight="1">
      <c r="A13541" s="172"/>
    </row>
    <row r="13542" spans="1:1" s="173" customFormat="1" ht="12" hidden="1" customHeight="1">
      <c r="A13542" s="172"/>
    </row>
    <row r="13543" spans="1:1" s="173" customFormat="1" ht="12" hidden="1" customHeight="1">
      <c r="A13543" s="172"/>
    </row>
    <row r="13544" spans="1:1" s="173" customFormat="1" ht="12" hidden="1" customHeight="1">
      <c r="A13544" s="172"/>
    </row>
    <row r="13545" spans="1:1" s="173" customFormat="1" ht="12" hidden="1" customHeight="1">
      <c r="A13545" s="172"/>
    </row>
    <row r="13546" spans="1:1" s="173" customFormat="1" ht="12" hidden="1" customHeight="1">
      <c r="A13546" s="172"/>
    </row>
    <row r="13547" spans="1:1" s="173" customFormat="1" ht="12" hidden="1" customHeight="1">
      <c r="A13547" s="172"/>
    </row>
    <row r="13548" spans="1:1" s="173" customFormat="1" ht="12" hidden="1" customHeight="1">
      <c r="A13548" s="172"/>
    </row>
    <row r="13549" spans="1:1" s="173" customFormat="1" ht="12" hidden="1" customHeight="1">
      <c r="A13549" s="172"/>
    </row>
    <row r="13550" spans="1:1" s="173" customFormat="1" ht="12" hidden="1" customHeight="1">
      <c r="A13550" s="172"/>
    </row>
    <row r="13551" spans="1:1" s="173" customFormat="1" ht="12" hidden="1" customHeight="1">
      <c r="A13551" s="172"/>
    </row>
    <row r="13552" spans="1:1" s="173" customFormat="1" ht="12" hidden="1" customHeight="1">
      <c r="A13552" s="172"/>
    </row>
    <row r="13553" spans="1:1" s="173" customFormat="1" ht="12" hidden="1" customHeight="1">
      <c r="A13553" s="172"/>
    </row>
    <row r="13554" spans="1:1" s="173" customFormat="1" ht="12" hidden="1" customHeight="1">
      <c r="A13554" s="172"/>
    </row>
    <row r="13555" spans="1:1" s="173" customFormat="1" ht="12" hidden="1" customHeight="1">
      <c r="A13555" s="172"/>
    </row>
    <row r="13556" spans="1:1" s="173" customFormat="1" ht="12" hidden="1" customHeight="1">
      <c r="A13556" s="172"/>
    </row>
    <row r="13557" spans="1:1" s="173" customFormat="1" ht="12" hidden="1" customHeight="1">
      <c r="A13557" s="172"/>
    </row>
    <row r="13558" spans="1:1" s="173" customFormat="1" ht="12" hidden="1" customHeight="1">
      <c r="A13558" s="172"/>
    </row>
    <row r="13559" spans="1:1" s="173" customFormat="1" ht="12" hidden="1" customHeight="1">
      <c r="A13559" s="172"/>
    </row>
    <row r="13560" spans="1:1" s="173" customFormat="1" ht="12" hidden="1" customHeight="1">
      <c r="A13560" s="172"/>
    </row>
    <row r="13561" spans="1:1" s="173" customFormat="1" ht="12" hidden="1" customHeight="1">
      <c r="A13561" s="172"/>
    </row>
    <row r="13562" spans="1:1" s="173" customFormat="1" ht="12" hidden="1" customHeight="1">
      <c r="A13562" s="172"/>
    </row>
    <row r="13563" spans="1:1" s="173" customFormat="1" ht="12" hidden="1" customHeight="1">
      <c r="A13563" s="172"/>
    </row>
    <row r="13564" spans="1:1" s="173" customFormat="1" ht="12" hidden="1" customHeight="1">
      <c r="A13564" s="172"/>
    </row>
    <row r="13565" spans="1:1" s="173" customFormat="1" ht="12" hidden="1" customHeight="1">
      <c r="A13565" s="172"/>
    </row>
    <row r="13566" spans="1:1" s="173" customFormat="1" ht="12" hidden="1" customHeight="1">
      <c r="A13566" s="172"/>
    </row>
    <row r="13567" spans="1:1" s="173" customFormat="1" ht="12" hidden="1" customHeight="1">
      <c r="A13567" s="172"/>
    </row>
    <row r="13568" spans="1:1" s="173" customFormat="1" ht="12" hidden="1" customHeight="1">
      <c r="A13568" s="172"/>
    </row>
    <row r="13569" spans="1:1" s="173" customFormat="1" ht="12" hidden="1" customHeight="1">
      <c r="A13569" s="172"/>
    </row>
    <row r="13570" spans="1:1" s="173" customFormat="1" ht="12" hidden="1" customHeight="1">
      <c r="A13570" s="172"/>
    </row>
    <row r="13571" spans="1:1" s="173" customFormat="1" ht="12" hidden="1" customHeight="1">
      <c r="A13571" s="172"/>
    </row>
    <row r="13572" spans="1:1" s="173" customFormat="1" ht="12" hidden="1" customHeight="1">
      <c r="A13572" s="172"/>
    </row>
    <row r="13573" spans="1:1" s="173" customFormat="1" ht="12" hidden="1" customHeight="1">
      <c r="A13573" s="172"/>
    </row>
    <row r="13574" spans="1:1" s="173" customFormat="1" ht="12" hidden="1" customHeight="1">
      <c r="A13574" s="172"/>
    </row>
    <row r="13575" spans="1:1" s="173" customFormat="1" ht="12" hidden="1" customHeight="1">
      <c r="A13575" s="172"/>
    </row>
    <row r="13576" spans="1:1" s="173" customFormat="1" ht="12" hidden="1" customHeight="1">
      <c r="A13576" s="172"/>
    </row>
    <row r="13577" spans="1:1" s="173" customFormat="1" ht="12" hidden="1" customHeight="1">
      <c r="A13577" s="172"/>
    </row>
    <row r="13578" spans="1:1" s="173" customFormat="1" ht="12" hidden="1" customHeight="1">
      <c r="A13578" s="172"/>
    </row>
    <row r="13579" spans="1:1" s="173" customFormat="1" ht="12" hidden="1" customHeight="1">
      <c r="A13579" s="172"/>
    </row>
    <row r="13580" spans="1:1" s="173" customFormat="1" ht="12" hidden="1" customHeight="1">
      <c r="A13580" s="172"/>
    </row>
    <row r="13581" spans="1:1" s="173" customFormat="1" ht="12" hidden="1" customHeight="1">
      <c r="A13581" s="172"/>
    </row>
    <row r="13582" spans="1:1" s="173" customFormat="1" ht="12" hidden="1" customHeight="1">
      <c r="A13582" s="172"/>
    </row>
    <row r="13583" spans="1:1" s="173" customFormat="1" ht="12" hidden="1" customHeight="1">
      <c r="A13583" s="172"/>
    </row>
    <row r="13584" spans="1:1" s="173" customFormat="1" ht="12" hidden="1" customHeight="1">
      <c r="A13584" s="172"/>
    </row>
    <row r="13585" spans="1:1" s="173" customFormat="1" ht="12" hidden="1" customHeight="1">
      <c r="A13585" s="172"/>
    </row>
    <row r="13586" spans="1:1" s="173" customFormat="1" ht="12" hidden="1" customHeight="1">
      <c r="A13586" s="172"/>
    </row>
    <row r="13587" spans="1:1" s="173" customFormat="1" ht="12" hidden="1" customHeight="1">
      <c r="A13587" s="172"/>
    </row>
    <row r="13588" spans="1:1" s="173" customFormat="1" ht="12" hidden="1" customHeight="1">
      <c r="A13588" s="172"/>
    </row>
    <row r="13589" spans="1:1" s="173" customFormat="1" ht="12" hidden="1" customHeight="1">
      <c r="A13589" s="172"/>
    </row>
    <row r="13590" spans="1:1" s="173" customFormat="1" ht="12" hidden="1" customHeight="1">
      <c r="A13590" s="172"/>
    </row>
    <row r="13591" spans="1:1" s="173" customFormat="1" ht="12" hidden="1" customHeight="1">
      <c r="A13591" s="172"/>
    </row>
    <row r="13592" spans="1:1" s="173" customFormat="1" ht="12" hidden="1" customHeight="1">
      <c r="A13592" s="172"/>
    </row>
    <row r="13593" spans="1:1" s="173" customFormat="1" ht="12" hidden="1" customHeight="1">
      <c r="A13593" s="172"/>
    </row>
    <row r="13594" spans="1:1" s="173" customFormat="1" ht="12" hidden="1" customHeight="1">
      <c r="A13594" s="172"/>
    </row>
    <row r="13595" spans="1:1" s="173" customFormat="1" ht="12" hidden="1" customHeight="1">
      <c r="A13595" s="172"/>
    </row>
    <row r="13596" spans="1:1" s="173" customFormat="1" ht="12" hidden="1" customHeight="1">
      <c r="A13596" s="172"/>
    </row>
    <row r="13597" spans="1:1" s="173" customFormat="1" ht="12" hidden="1" customHeight="1">
      <c r="A13597" s="172"/>
    </row>
    <row r="13598" spans="1:1" s="173" customFormat="1" ht="12" hidden="1" customHeight="1">
      <c r="A13598" s="172"/>
    </row>
    <row r="13599" spans="1:1" s="173" customFormat="1" ht="12" hidden="1" customHeight="1">
      <c r="A13599" s="172"/>
    </row>
    <row r="13600" spans="1:1" s="173" customFormat="1" ht="12" hidden="1" customHeight="1">
      <c r="A13600" s="172"/>
    </row>
    <row r="13601" spans="1:1" s="173" customFormat="1" ht="12" hidden="1" customHeight="1">
      <c r="A13601" s="172"/>
    </row>
    <row r="13602" spans="1:1" s="173" customFormat="1" ht="12" hidden="1" customHeight="1">
      <c r="A13602" s="172"/>
    </row>
    <row r="13603" spans="1:1" s="173" customFormat="1" ht="12" hidden="1" customHeight="1">
      <c r="A13603" s="172"/>
    </row>
    <row r="13604" spans="1:1" s="173" customFormat="1" ht="12" hidden="1" customHeight="1">
      <c r="A13604" s="172"/>
    </row>
    <row r="13605" spans="1:1" s="173" customFormat="1" ht="12" hidden="1" customHeight="1">
      <c r="A13605" s="172"/>
    </row>
    <row r="13606" spans="1:1" s="173" customFormat="1" ht="12" hidden="1" customHeight="1">
      <c r="A13606" s="172"/>
    </row>
    <row r="13607" spans="1:1" s="173" customFormat="1" ht="12" hidden="1" customHeight="1">
      <c r="A13607" s="172"/>
    </row>
    <row r="13608" spans="1:1" s="173" customFormat="1" ht="12" hidden="1" customHeight="1">
      <c r="A13608" s="172"/>
    </row>
    <row r="13609" spans="1:1" s="173" customFormat="1" ht="12" hidden="1" customHeight="1">
      <c r="A13609" s="172"/>
    </row>
    <row r="13610" spans="1:1" s="173" customFormat="1" ht="12" hidden="1" customHeight="1">
      <c r="A13610" s="172"/>
    </row>
    <row r="13611" spans="1:1" s="173" customFormat="1" ht="12" hidden="1" customHeight="1">
      <c r="A13611" s="172"/>
    </row>
    <row r="13612" spans="1:1" s="173" customFormat="1" ht="12" hidden="1" customHeight="1">
      <c r="A13612" s="172"/>
    </row>
    <row r="13613" spans="1:1" s="173" customFormat="1" ht="12" hidden="1" customHeight="1">
      <c r="A13613" s="172"/>
    </row>
    <row r="13614" spans="1:1" s="173" customFormat="1" ht="12" hidden="1" customHeight="1">
      <c r="A13614" s="172"/>
    </row>
    <row r="13615" spans="1:1" s="173" customFormat="1" ht="12" hidden="1" customHeight="1">
      <c r="A13615" s="172"/>
    </row>
    <row r="13616" spans="1:1" s="173" customFormat="1" ht="12" hidden="1" customHeight="1">
      <c r="A13616" s="172"/>
    </row>
    <row r="13617" spans="1:1" s="173" customFormat="1" ht="12" hidden="1" customHeight="1">
      <c r="A13617" s="172"/>
    </row>
    <row r="13618" spans="1:1" s="173" customFormat="1" ht="12" hidden="1" customHeight="1">
      <c r="A13618" s="172"/>
    </row>
    <row r="13619" spans="1:1" s="173" customFormat="1" ht="12" hidden="1" customHeight="1">
      <c r="A13619" s="172"/>
    </row>
    <row r="13620" spans="1:1" s="173" customFormat="1" ht="12" hidden="1" customHeight="1">
      <c r="A13620" s="172"/>
    </row>
    <row r="13621" spans="1:1" s="173" customFormat="1" ht="12" hidden="1" customHeight="1">
      <c r="A13621" s="172"/>
    </row>
    <row r="13622" spans="1:1" s="173" customFormat="1" ht="12" hidden="1" customHeight="1">
      <c r="A13622" s="172"/>
    </row>
    <row r="13623" spans="1:1" s="173" customFormat="1" ht="12" hidden="1" customHeight="1">
      <c r="A13623" s="172"/>
    </row>
    <row r="13624" spans="1:1" s="173" customFormat="1" ht="12" hidden="1" customHeight="1">
      <c r="A13624" s="172"/>
    </row>
    <row r="13625" spans="1:1" s="173" customFormat="1" ht="12" hidden="1" customHeight="1">
      <c r="A13625" s="172"/>
    </row>
    <row r="13626" spans="1:1" s="173" customFormat="1" ht="12" hidden="1" customHeight="1">
      <c r="A13626" s="172"/>
    </row>
    <row r="13627" spans="1:1" s="173" customFormat="1" ht="12" hidden="1" customHeight="1">
      <c r="A13627" s="172"/>
    </row>
    <row r="13628" spans="1:1" s="173" customFormat="1" ht="12" hidden="1" customHeight="1">
      <c r="A13628" s="172"/>
    </row>
    <row r="13629" spans="1:1" s="173" customFormat="1" ht="12" hidden="1" customHeight="1">
      <c r="A13629" s="172"/>
    </row>
    <row r="13630" spans="1:1" s="173" customFormat="1" ht="12" hidden="1" customHeight="1">
      <c r="A13630" s="172"/>
    </row>
    <row r="13631" spans="1:1" s="173" customFormat="1" ht="12" hidden="1" customHeight="1">
      <c r="A13631" s="172"/>
    </row>
    <row r="13632" spans="1:1" s="173" customFormat="1" ht="12" hidden="1" customHeight="1">
      <c r="A13632" s="172"/>
    </row>
    <row r="13633" spans="1:1" s="173" customFormat="1" ht="12" hidden="1" customHeight="1">
      <c r="A13633" s="172"/>
    </row>
    <row r="13634" spans="1:1" s="173" customFormat="1" ht="12" hidden="1" customHeight="1">
      <c r="A13634" s="172"/>
    </row>
    <row r="13635" spans="1:1" s="173" customFormat="1" ht="12" hidden="1" customHeight="1">
      <c r="A13635" s="172"/>
    </row>
    <row r="13636" spans="1:1" s="173" customFormat="1" ht="12" hidden="1" customHeight="1">
      <c r="A13636" s="172"/>
    </row>
    <row r="13637" spans="1:1" s="173" customFormat="1" ht="12" hidden="1" customHeight="1">
      <c r="A13637" s="172"/>
    </row>
    <row r="13638" spans="1:1" s="173" customFormat="1" ht="12" hidden="1" customHeight="1">
      <c r="A13638" s="172"/>
    </row>
    <row r="13639" spans="1:1" s="173" customFormat="1" ht="12" hidden="1" customHeight="1">
      <c r="A13639" s="172"/>
    </row>
    <row r="13640" spans="1:1" s="173" customFormat="1" ht="12" hidden="1" customHeight="1">
      <c r="A13640" s="172"/>
    </row>
    <row r="13641" spans="1:1" s="173" customFormat="1" ht="12" hidden="1" customHeight="1">
      <c r="A13641" s="172"/>
    </row>
    <row r="13642" spans="1:1" s="173" customFormat="1" ht="12" hidden="1" customHeight="1">
      <c r="A13642" s="172"/>
    </row>
    <row r="13643" spans="1:1" s="173" customFormat="1" ht="12" hidden="1" customHeight="1">
      <c r="A13643" s="172"/>
    </row>
    <row r="13644" spans="1:1" s="173" customFormat="1" ht="12" hidden="1" customHeight="1">
      <c r="A13644" s="172"/>
    </row>
    <row r="13645" spans="1:1" s="173" customFormat="1" ht="12" hidden="1" customHeight="1">
      <c r="A13645" s="172"/>
    </row>
    <row r="13646" spans="1:1" s="173" customFormat="1" ht="12" hidden="1" customHeight="1">
      <c r="A13646" s="172"/>
    </row>
    <row r="13647" spans="1:1" s="173" customFormat="1" ht="12" hidden="1" customHeight="1">
      <c r="A13647" s="172"/>
    </row>
    <row r="13648" spans="1:1" s="173" customFormat="1" ht="12" hidden="1" customHeight="1">
      <c r="A13648" s="172"/>
    </row>
    <row r="13649" spans="1:1" s="173" customFormat="1" ht="12" hidden="1" customHeight="1">
      <c r="A13649" s="172"/>
    </row>
    <row r="13650" spans="1:1" s="173" customFormat="1" ht="12" hidden="1" customHeight="1">
      <c r="A13650" s="172"/>
    </row>
    <row r="13651" spans="1:1" s="173" customFormat="1" ht="12" hidden="1" customHeight="1">
      <c r="A13651" s="172"/>
    </row>
    <row r="13652" spans="1:1" s="173" customFormat="1" ht="12" hidden="1" customHeight="1">
      <c r="A13652" s="172"/>
    </row>
    <row r="13653" spans="1:1" s="173" customFormat="1" ht="12" hidden="1" customHeight="1">
      <c r="A13653" s="172"/>
    </row>
    <row r="13654" spans="1:1" s="173" customFormat="1" ht="12" hidden="1" customHeight="1">
      <c r="A13654" s="172"/>
    </row>
    <row r="13655" spans="1:1" s="173" customFormat="1" ht="12" hidden="1" customHeight="1">
      <c r="A13655" s="172"/>
    </row>
    <row r="13656" spans="1:1" s="173" customFormat="1" ht="12" hidden="1" customHeight="1">
      <c r="A13656" s="172"/>
    </row>
    <row r="13657" spans="1:1" s="173" customFormat="1" ht="12" hidden="1" customHeight="1">
      <c r="A13657" s="172"/>
    </row>
    <row r="13658" spans="1:1" s="173" customFormat="1" ht="12" hidden="1" customHeight="1">
      <c r="A13658" s="172"/>
    </row>
    <row r="13659" spans="1:1" s="173" customFormat="1" ht="12" hidden="1" customHeight="1">
      <c r="A13659" s="172"/>
    </row>
    <row r="13660" spans="1:1" s="173" customFormat="1" ht="12" hidden="1" customHeight="1">
      <c r="A13660" s="172"/>
    </row>
    <row r="13661" spans="1:1" s="173" customFormat="1" ht="12" hidden="1" customHeight="1">
      <c r="A13661" s="172"/>
    </row>
    <row r="13662" spans="1:1" s="173" customFormat="1" ht="12" hidden="1" customHeight="1">
      <c r="A13662" s="172"/>
    </row>
    <row r="13663" spans="1:1" s="173" customFormat="1" ht="12" hidden="1" customHeight="1">
      <c r="A13663" s="172"/>
    </row>
    <row r="13664" spans="1:1" s="173" customFormat="1" ht="12" hidden="1" customHeight="1">
      <c r="A13664" s="172"/>
    </row>
    <row r="13665" spans="1:1" s="173" customFormat="1" ht="12" hidden="1" customHeight="1">
      <c r="A13665" s="172"/>
    </row>
    <row r="13666" spans="1:1" s="173" customFormat="1" ht="12" hidden="1" customHeight="1">
      <c r="A13666" s="172"/>
    </row>
    <row r="13667" spans="1:1" s="173" customFormat="1" ht="12" hidden="1" customHeight="1">
      <c r="A13667" s="172"/>
    </row>
    <row r="13668" spans="1:1" s="173" customFormat="1" ht="12" hidden="1" customHeight="1">
      <c r="A13668" s="172"/>
    </row>
    <row r="13669" spans="1:1" s="173" customFormat="1" ht="12" hidden="1" customHeight="1">
      <c r="A13669" s="172"/>
    </row>
    <row r="13670" spans="1:1" s="173" customFormat="1" ht="12" hidden="1" customHeight="1">
      <c r="A13670" s="172"/>
    </row>
    <row r="13671" spans="1:1" s="173" customFormat="1" ht="12" hidden="1" customHeight="1">
      <c r="A13671" s="172"/>
    </row>
    <row r="13672" spans="1:1" s="173" customFormat="1" ht="12" hidden="1" customHeight="1">
      <c r="A13672" s="172"/>
    </row>
    <row r="13673" spans="1:1" s="173" customFormat="1" ht="12" hidden="1" customHeight="1">
      <c r="A13673" s="172"/>
    </row>
    <row r="13674" spans="1:1" s="173" customFormat="1" ht="12" hidden="1" customHeight="1">
      <c r="A13674" s="172"/>
    </row>
    <row r="13675" spans="1:1" s="173" customFormat="1" ht="12" hidden="1" customHeight="1">
      <c r="A13675" s="172"/>
    </row>
    <row r="13676" spans="1:1" s="173" customFormat="1" ht="12" hidden="1" customHeight="1">
      <c r="A13676" s="172"/>
    </row>
    <row r="13677" spans="1:1" s="173" customFormat="1" ht="12" hidden="1" customHeight="1">
      <c r="A13677" s="172"/>
    </row>
    <row r="13678" spans="1:1" s="173" customFormat="1" ht="12" hidden="1" customHeight="1">
      <c r="A13678" s="172"/>
    </row>
    <row r="13679" spans="1:1" s="173" customFormat="1" ht="12" hidden="1" customHeight="1">
      <c r="A13679" s="172"/>
    </row>
    <row r="13680" spans="1:1" s="173" customFormat="1" ht="12" hidden="1" customHeight="1">
      <c r="A13680" s="172"/>
    </row>
    <row r="13681" spans="1:1" s="173" customFormat="1" ht="12" hidden="1" customHeight="1">
      <c r="A13681" s="172"/>
    </row>
    <row r="13682" spans="1:1" s="173" customFormat="1" ht="12" hidden="1" customHeight="1">
      <c r="A13682" s="172"/>
    </row>
    <row r="13683" spans="1:1" s="173" customFormat="1" ht="12" hidden="1" customHeight="1">
      <c r="A13683" s="172"/>
    </row>
    <row r="13684" spans="1:1" s="173" customFormat="1" ht="12" hidden="1" customHeight="1">
      <c r="A13684" s="172"/>
    </row>
    <row r="13685" spans="1:1" s="173" customFormat="1" ht="12" hidden="1" customHeight="1">
      <c r="A13685" s="172"/>
    </row>
    <row r="13686" spans="1:1" s="173" customFormat="1" ht="12" hidden="1" customHeight="1">
      <c r="A13686" s="172"/>
    </row>
    <row r="13687" spans="1:1" s="173" customFormat="1" ht="12" hidden="1" customHeight="1">
      <c r="A13687" s="172"/>
    </row>
    <row r="13688" spans="1:1" s="173" customFormat="1" ht="12" hidden="1" customHeight="1">
      <c r="A13688" s="172"/>
    </row>
    <row r="13689" spans="1:1" s="173" customFormat="1" ht="12" hidden="1" customHeight="1">
      <c r="A13689" s="172"/>
    </row>
    <row r="13690" spans="1:1" s="173" customFormat="1" ht="12" hidden="1" customHeight="1">
      <c r="A13690" s="172"/>
    </row>
    <row r="13691" spans="1:1" s="173" customFormat="1" ht="12" hidden="1" customHeight="1">
      <c r="A13691" s="172"/>
    </row>
    <row r="13692" spans="1:1" s="173" customFormat="1" ht="12" hidden="1" customHeight="1">
      <c r="A13692" s="172"/>
    </row>
    <row r="13693" spans="1:1" s="173" customFormat="1" ht="12" hidden="1" customHeight="1">
      <c r="A13693" s="172"/>
    </row>
    <row r="13694" spans="1:1" s="173" customFormat="1" ht="12" hidden="1" customHeight="1">
      <c r="A13694" s="172"/>
    </row>
    <row r="13695" spans="1:1" s="173" customFormat="1" ht="12" hidden="1" customHeight="1">
      <c r="A13695" s="172"/>
    </row>
    <row r="13696" spans="1:1" s="173" customFormat="1" ht="12" hidden="1" customHeight="1">
      <c r="A13696" s="172"/>
    </row>
    <row r="13697" spans="1:1" s="173" customFormat="1" ht="12" hidden="1" customHeight="1">
      <c r="A13697" s="172"/>
    </row>
    <row r="13698" spans="1:1" s="173" customFormat="1" ht="12" hidden="1" customHeight="1">
      <c r="A13698" s="172"/>
    </row>
    <row r="13699" spans="1:1" s="173" customFormat="1" ht="12" hidden="1" customHeight="1">
      <c r="A13699" s="172"/>
    </row>
    <row r="13700" spans="1:1" s="173" customFormat="1" ht="12" hidden="1" customHeight="1">
      <c r="A13700" s="172"/>
    </row>
    <row r="13701" spans="1:1" s="173" customFormat="1" ht="12" hidden="1" customHeight="1">
      <c r="A13701" s="172"/>
    </row>
    <row r="13702" spans="1:1" s="173" customFormat="1" ht="12" hidden="1" customHeight="1">
      <c r="A13702" s="172"/>
    </row>
    <row r="13703" spans="1:1" s="173" customFormat="1" ht="12" hidden="1" customHeight="1">
      <c r="A13703" s="172"/>
    </row>
    <row r="13704" spans="1:1" s="173" customFormat="1" ht="12" hidden="1" customHeight="1">
      <c r="A13704" s="172"/>
    </row>
    <row r="13705" spans="1:1" s="173" customFormat="1" ht="12" hidden="1" customHeight="1">
      <c r="A13705" s="172"/>
    </row>
    <row r="13706" spans="1:1" s="173" customFormat="1" ht="12" hidden="1" customHeight="1">
      <c r="A13706" s="172"/>
    </row>
    <row r="13707" spans="1:1" s="173" customFormat="1" ht="12" hidden="1" customHeight="1">
      <c r="A13707" s="172"/>
    </row>
    <row r="13708" spans="1:1" s="173" customFormat="1" ht="12" hidden="1" customHeight="1">
      <c r="A13708" s="172"/>
    </row>
    <row r="13709" spans="1:1" s="173" customFormat="1" ht="12" hidden="1" customHeight="1">
      <c r="A13709" s="172"/>
    </row>
    <row r="13710" spans="1:1" s="173" customFormat="1" ht="12" hidden="1" customHeight="1">
      <c r="A13710" s="172"/>
    </row>
    <row r="13711" spans="1:1" s="173" customFormat="1" ht="12" hidden="1" customHeight="1">
      <c r="A13711" s="172"/>
    </row>
    <row r="13712" spans="1:1" s="173" customFormat="1" ht="12" hidden="1" customHeight="1">
      <c r="A13712" s="172"/>
    </row>
    <row r="13713" spans="1:1" s="173" customFormat="1" ht="12" hidden="1" customHeight="1">
      <c r="A13713" s="172"/>
    </row>
    <row r="13714" spans="1:1" s="173" customFormat="1" ht="12" hidden="1" customHeight="1">
      <c r="A13714" s="172"/>
    </row>
    <row r="13715" spans="1:1" s="173" customFormat="1" ht="12" hidden="1" customHeight="1">
      <c r="A13715" s="172"/>
    </row>
    <row r="13716" spans="1:1" s="173" customFormat="1" ht="12" hidden="1" customHeight="1">
      <c r="A13716" s="172"/>
    </row>
    <row r="13717" spans="1:1" s="173" customFormat="1" ht="12" hidden="1" customHeight="1">
      <c r="A13717" s="172"/>
    </row>
    <row r="13718" spans="1:1" s="173" customFormat="1" ht="12" hidden="1" customHeight="1">
      <c r="A13718" s="172"/>
    </row>
    <row r="13719" spans="1:1" s="173" customFormat="1" ht="12" hidden="1" customHeight="1">
      <c r="A13719" s="172"/>
    </row>
    <row r="13720" spans="1:1" s="173" customFormat="1" ht="12" hidden="1" customHeight="1">
      <c r="A13720" s="172"/>
    </row>
    <row r="13721" spans="1:1" s="173" customFormat="1" ht="12" hidden="1" customHeight="1">
      <c r="A13721" s="172"/>
    </row>
    <row r="13722" spans="1:1" s="173" customFormat="1" ht="12" hidden="1" customHeight="1">
      <c r="A13722" s="172"/>
    </row>
    <row r="13723" spans="1:1" s="173" customFormat="1" ht="12" hidden="1" customHeight="1">
      <c r="A13723" s="172"/>
    </row>
    <row r="13724" spans="1:1" s="173" customFormat="1" ht="12" hidden="1" customHeight="1">
      <c r="A13724" s="172"/>
    </row>
    <row r="13725" spans="1:1" s="173" customFormat="1" ht="12" hidden="1" customHeight="1">
      <c r="A13725" s="172"/>
    </row>
    <row r="13726" spans="1:1" s="173" customFormat="1" ht="12" hidden="1" customHeight="1">
      <c r="A13726" s="172"/>
    </row>
    <row r="13727" spans="1:1" s="173" customFormat="1" ht="12" hidden="1" customHeight="1">
      <c r="A13727" s="172"/>
    </row>
    <row r="13728" spans="1:1" s="173" customFormat="1" ht="12" hidden="1" customHeight="1">
      <c r="A13728" s="172"/>
    </row>
    <row r="13729" spans="1:1" s="173" customFormat="1" ht="12" hidden="1" customHeight="1">
      <c r="A13729" s="172"/>
    </row>
    <row r="13730" spans="1:1" s="173" customFormat="1" ht="12" hidden="1" customHeight="1">
      <c r="A13730" s="172"/>
    </row>
    <row r="13731" spans="1:1" s="173" customFormat="1" ht="12" hidden="1" customHeight="1">
      <c r="A13731" s="172"/>
    </row>
    <row r="13732" spans="1:1" s="173" customFormat="1" ht="12" hidden="1" customHeight="1">
      <c r="A13732" s="172"/>
    </row>
    <row r="13733" spans="1:1" s="173" customFormat="1" ht="12" hidden="1" customHeight="1">
      <c r="A13733" s="172"/>
    </row>
    <row r="13734" spans="1:1" s="173" customFormat="1" ht="12" hidden="1" customHeight="1">
      <c r="A13734" s="172"/>
    </row>
    <row r="13735" spans="1:1" s="173" customFormat="1" ht="12" hidden="1" customHeight="1">
      <c r="A13735" s="172"/>
    </row>
    <row r="13736" spans="1:1" s="173" customFormat="1" ht="12" hidden="1" customHeight="1">
      <c r="A13736" s="172"/>
    </row>
    <row r="13737" spans="1:1" s="173" customFormat="1" ht="12" hidden="1" customHeight="1">
      <c r="A13737" s="172"/>
    </row>
    <row r="13738" spans="1:1" s="173" customFormat="1" ht="12" hidden="1" customHeight="1">
      <c r="A13738" s="172"/>
    </row>
    <row r="13739" spans="1:1" s="173" customFormat="1" ht="12" hidden="1" customHeight="1">
      <c r="A13739" s="172"/>
    </row>
    <row r="13740" spans="1:1" s="173" customFormat="1" ht="12" hidden="1" customHeight="1">
      <c r="A13740" s="172"/>
    </row>
    <row r="13741" spans="1:1" s="173" customFormat="1" ht="12" hidden="1" customHeight="1">
      <c r="A13741" s="172"/>
    </row>
    <row r="13742" spans="1:1" s="173" customFormat="1" ht="12" hidden="1" customHeight="1">
      <c r="A13742" s="172"/>
    </row>
    <row r="13743" spans="1:1" s="173" customFormat="1" ht="12" hidden="1" customHeight="1">
      <c r="A13743" s="172"/>
    </row>
    <row r="13744" spans="1:1" s="173" customFormat="1" ht="12" hidden="1" customHeight="1">
      <c r="A13744" s="172"/>
    </row>
    <row r="13745" spans="1:1" s="173" customFormat="1" ht="12" hidden="1" customHeight="1">
      <c r="A13745" s="172"/>
    </row>
    <row r="13746" spans="1:1" s="173" customFormat="1" ht="12" hidden="1" customHeight="1">
      <c r="A13746" s="172"/>
    </row>
    <row r="13747" spans="1:1" s="173" customFormat="1" ht="12" hidden="1" customHeight="1">
      <c r="A13747" s="172"/>
    </row>
    <row r="13748" spans="1:1" s="173" customFormat="1" ht="12" hidden="1" customHeight="1">
      <c r="A13748" s="172"/>
    </row>
    <row r="13749" spans="1:1" s="173" customFormat="1" ht="12" hidden="1" customHeight="1">
      <c r="A13749" s="172"/>
    </row>
    <row r="13750" spans="1:1" s="173" customFormat="1" ht="12" hidden="1" customHeight="1">
      <c r="A13750" s="172"/>
    </row>
    <row r="13751" spans="1:1" s="173" customFormat="1" ht="12" hidden="1" customHeight="1">
      <c r="A13751" s="172"/>
    </row>
    <row r="13752" spans="1:1" s="173" customFormat="1" ht="12" hidden="1" customHeight="1">
      <c r="A13752" s="172"/>
    </row>
    <row r="13753" spans="1:1" s="173" customFormat="1" ht="12" hidden="1" customHeight="1">
      <c r="A13753" s="172"/>
    </row>
    <row r="13754" spans="1:1" s="173" customFormat="1" ht="12" hidden="1" customHeight="1">
      <c r="A13754" s="172"/>
    </row>
    <row r="13755" spans="1:1" s="173" customFormat="1" ht="12" hidden="1" customHeight="1">
      <c r="A13755" s="172"/>
    </row>
    <row r="13756" spans="1:1" s="173" customFormat="1" ht="12" hidden="1" customHeight="1">
      <c r="A13756" s="172"/>
    </row>
    <row r="13757" spans="1:1" s="173" customFormat="1" ht="12" hidden="1" customHeight="1">
      <c r="A13757" s="172"/>
    </row>
    <row r="13758" spans="1:1" s="173" customFormat="1" ht="12" hidden="1" customHeight="1">
      <c r="A13758" s="172"/>
    </row>
    <row r="13759" spans="1:1" s="173" customFormat="1" ht="12" hidden="1" customHeight="1">
      <c r="A13759" s="172"/>
    </row>
    <row r="13760" spans="1:1" s="173" customFormat="1" ht="12" hidden="1" customHeight="1">
      <c r="A13760" s="172"/>
    </row>
    <row r="13761" spans="1:1" s="173" customFormat="1" ht="12" hidden="1" customHeight="1">
      <c r="A13761" s="172"/>
    </row>
    <row r="13762" spans="1:1" s="173" customFormat="1" ht="12" hidden="1" customHeight="1">
      <c r="A13762" s="172"/>
    </row>
    <row r="13763" spans="1:1" s="173" customFormat="1" ht="12" hidden="1" customHeight="1">
      <c r="A13763" s="172"/>
    </row>
    <row r="13764" spans="1:1" s="173" customFormat="1" ht="12" hidden="1" customHeight="1">
      <c r="A13764" s="172"/>
    </row>
    <row r="13765" spans="1:1" s="173" customFormat="1" ht="12" hidden="1" customHeight="1">
      <c r="A13765" s="172"/>
    </row>
    <row r="13766" spans="1:1" s="173" customFormat="1" ht="12" hidden="1" customHeight="1">
      <c r="A13766" s="172"/>
    </row>
    <row r="13767" spans="1:1" s="173" customFormat="1" ht="12" hidden="1" customHeight="1">
      <c r="A13767" s="172"/>
    </row>
    <row r="13768" spans="1:1" s="173" customFormat="1" ht="12" hidden="1" customHeight="1">
      <c r="A13768" s="172"/>
    </row>
    <row r="13769" spans="1:1" s="173" customFormat="1" ht="12" hidden="1" customHeight="1">
      <c r="A13769" s="172"/>
    </row>
    <row r="13770" spans="1:1" s="173" customFormat="1" ht="12" hidden="1" customHeight="1">
      <c r="A13770" s="172"/>
    </row>
    <row r="13771" spans="1:1" s="173" customFormat="1" ht="12" hidden="1" customHeight="1">
      <c r="A13771" s="172"/>
    </row>
    <row r="13772" spans="1:1" s="173" customFormat="1" ht="12" hidden="1" customHeight="1">
      <c r="A13772" s="172"/>
    </row>
    <row r="13773" spans="1:1" s="173" customFormat="1" ht="12" hidden="1" customHeight="1">
      <c r="A13773" s="172"/>
    </row>
    <row r="13774" spans="1:1" s="173" customFormat="1" ht="12" hidden="1" customHeight="1">
      <c r="A13774" s="172"/>
    </row>
    <row r="13775" spans="1:1" s="173" customFormat="1" ht="12" hidden="1" customHeight="1">
      <c r="A13775" s="172"/>
    </row>
    <row r="13776" spans="1:1" s="173" customFormat="1" ht="12" hidden="1" customHeight="1">
      <c r="A13776" s="172"/>
    </row>
    <row r="13777" spans="1:1" s="173" customFormat="1" ht="12" hidden="1" customHeight="1">
      <c r="A13777" s="172"/>
    </row>
    <row r="13778" spans="1:1" s="173" customFormat="1" ht="12" hidden="1" customHeight="1">
      <c r="A13778" s="172"/>
    </row>
    <row r="13779" spans="1:1" s="173" customFormat="1" ht="12" hidden="1" customHeight="1">
      <c r="A13779" s="172"/>
    </row>
    <row r="13780" spans="1:1" s="173" customFormat="1" ht="12" hidden="1" customHeight="1">
      <c r="A13780" s="172"/>
    </row>
    <row r="13781" spans="1:1" s="173" customFormat="1" ht="12" hidden="1" customHeight="1">
      <c r="A13781" s="172"/>
    </row>
    <row r="13782" spans="1:1" s="173" customFormat="1" ht="12" hidden="1" customHeight="1">
      <c r="A13782" s="172"/>
    </row>
    <row r="13783" spans="1:1" s="173" customFormat="1" ht="12" hidden="1" customHeight="1">
      <c r="A13783" s="172"/>
    </row>
    <row r="13784" spans="1:1" s="173" customFormat="1" ht="12" hidden="1" customHeight="1">
      <c r="A13784" s="172"/>
    </row>
    <row r="13785" spans="1:1" s="173" customFormat="1" ht="12" hidden="1" customHeight="1">
      <c r="A13785" s="172"/>
    </row>
    <row r="13786" spans="1:1" s="173" customFormat="1" ht="12" hidden="1" customHeight="1">
      <c r="A13786" s="172"/>
    </row>
    <row r="13787" spans="1:1" s="173" customFormat="1" ht="12" hidden="1" customHeight="1">
      <c r="A13787" s="172"/>
    </row>
    <row r="13788" spans="1:1" s="173" customFormat="1" ht="12" hidden="1" customHeight="1">
      <c r="A13788" s="172"/>
    </row>
    <row r="13789" spans="1:1" s="173" customFormat="1" ht="12" hidden="1" customHeight="1">
      <c r="A13789" s="172"/>
    </row>
    <row r="13790" spans="1:1" s="173" customFormat="1" ht="12" hidden="1" customHeight="1">
      <c r="A13790" s="172"/>
    </row>
    <row r="13791" spans="1:1" s="173" customFormat="1" ht="12" hidden="1" customHeight="1">
      <c r="A13791" s="172"/>
    </row>
    <row r="13792" spans="1:1" s="173" customFormat="1" ht="12" hidden="1" customHeight="1">
      <c r="A13792" s="172"/>
    </row>
    <row r="13793" spans="1:1" s="173" customFormat="1" ht="12" hidden="1" customHeight="1">
      <c r="A13793" s="172"/>
    </row>
    <row r="13794" spans="1:1" s="173" customFormat="1" ht="12" hidden="1" customHeight="1">
      <c r="A13794" s="172"/>
    </row>
    <row r="13795" spans="1:1" s="173" customFormat="1" ht="12" hidden="1" customHeight="1">
      <c r="A13795" s="172"/>
    </row>
    <row r="13796" spans="1:1" s="173" customFormat="1" ht="12" hidden="1" customHeight="1">
      <c r="A13796" s="172"/>
    </row>
    <row r="13797" spans="1:1" s="173" customFormat="1" ht="12" hidden="1" customHeight="1">
      <c r="A13797" s="172"/>
    </row>
    <row r="13798" spans="1:1" s="173" customFormat="1" ht="12" hidden="1" customHeight="1">
      <c r="A13798" s="172"/>
    </row>
    <row r="13799" spans="1:1" s="173" customFormat="1" ht="12" hidden="1" customHeight="1">
      <c r="A13799" s="172"/>
    </row>
    <row r="13800" spans="1:1" s="173" customFormat="1" ht="12" hidden="1" customHeight="1">
      <c r="A13800" s="172"/>
    </row>
    <row r="13801" spans="1:1" s="173" customFormat="1" ht="12" hidden="1" customHeight="1">
      <c r="A13801" s="172"/>
    </row>
    <row r="13802" spans="1:1" s="173" customFormat="1" ht="12" hidden="1" customHeight="1">
      <c r="A13802" s="172"/>
    </row>
    <row r="13803" spans="1:1" s="173" customFormat="1" ht="12" hidden="1" customHeight="1">
      <c r="A13803" s="172"/>
    </row>
    <row r="13804" spans="1:1" s="173" customFormat="1" ht="12" hidden="1" customHeight="1">
      <c r="A13804" s="172"/>
    </row>
    <row r="13805" spans="1:1" s="173" customFormat="1" ht="12" hidden="1" customHeight="1">
      <c r="A13805" s="172"/>
    </row>
    <row r="13806" spans="1:1" s="173" customFormat="1" ht="12" hidden="1" customHeight="1">
      <c r="A13806" s="172"/>
    </row>
    <row r="13807" spans="1:1" s="173" customFormat="1" ht="12" hidden="1" customHeight="1">
      <c r="A13807" s="172"/>
    </row>
    <row r="13808" spans="1:1" s="173" customFormat="1" ht="12" hidden="1" customHeight="1">
      <c r="A13808" s="172"/>
    </row>
    <row r="13809" spans="1:1" s="173" customFormat="1" ht="12" hidden="1" customHeight="1">
      <c r="A13809" s="172"/>
    </row>
    <row r="13810" spans="1:1" s="173" customFormat="1" ht="12" hidden="1" customHeight="1">
      <c r="A13810" s="172"/>
    </row>
    <row r="13811" spans="1:1" s="173" customFormat="1" ht="12" hidden="1" customHeight="1">
      <c r="A13811" s="172"/>
    </row>
    <row r="13812" spans="1:1" s="173" customFormat="1" ht="12" hidden="1" customHeight="1">
      <c r="A13812" s="172"/>
    </row>
    <row r="13813" spans="1:1" s="173" customFormat="1" ht="12" hidden="1" customHeight="1">
      <c r="A13813" s="172"/>
    </row>
    <row r="13814" spans="1:1" s="173" customFormat="1" ht="12" hidden="1" customHeight="1">
      <c r="A13814" s="172"/>
    </row>
    <row r="13815" spans="1:1" s="173" customFormat="1" ht="12" hidden="1" customHeight="1">
      <c r="A13815" s="172"/>
    </row>
    <row r="13816" spans="1:1" s="173" customFormat="1" ht="12" hidden="1" customHeight="1">
      <c r="A13816" s="172"/>
    </row>
    <row r="13817" spans="1:1" s="173" customFormat="1" ht="12" hidden="1" customHeight="1">
      <c r="A13817" s="172"/>
    </row>
    <row r="13818" spans="1:1" s="173" customFormat="1" ht="12" hidden="1" customHeight="1">
      <c r="A13818" s="172"/>
    </row>
    <row r="13819" spans="1:1" s="173" customFormat="1" ht="12" hidden="1" customHeight="1">
      <c r="A13819" s="172"/>
    </row>
    <row r="13820" spans="1:1" s="173" customFormat="1" ht="12" hidden="1" customHeight="1">
      <c r="A13820" s="172"/>
    </row>
    <row r="13821" spans="1:1" s="173" customFormat="1" ht="12" hidden="1" customHeight="1">
      <c r="A13821" s="172"/>
    </row>
    <row r="13822" spans="1:1" s="173" customFormat="1" ht="12" hidden="1" customHeight="1">
      <c r="A13822" s="172"/>
    </row>
    <row r="13823" spans="1:1" s="173" customFormat="1" ht="12" hidden="1" customHeight="1">
      <c r="A13823" s="172"/>
    </row>
    <row r="13824" spans="1:1" s="173" customFormat="1" ht="12" hidden="1" customHeight="1">
      <c r="A13824" s="172"/>
    </row>
    <row r="13825" spans="1:1" s="173" customFormat="1" ht="12" hidden="1" customHeight="1">
      <c r="A13825" s="172"/>
    </row>
    <row r="13826" spans="1:1" s="173" customFormat="1" ht="12" hidden="1" customHeight="1">
      <c r="A13826" s="172"/>
    </row>
    <row r="13827" spans="1:1" s="173" customFormat="1" ht="12" hidden="1" customHeight="1">
      <c r="A13827" s="172"/>
    </row>
    <row r="13828" spans="1:1" s="173" customFormat="1" ht="12" hidden="1" customHeight="1">
      <c r="A13828" s="172"/>
    </row>
    <row r="13829" spans="1:1" s="173" customFormat="1" ht="12" hidden="1" customHeight="1">
      <c r="A13829" s="172"/>
    </row>
    <row r="13830" spans="1:1" s="173" customFormat="1" ht="12" hidden="1" customHeight="1">
      <c r="A13830" s="172"/>
    </row>
    <row r="13831" spans="1:1" s="173" customFormat="1" ht="12" hidden="1" customHeight="1">
      <c r="A13831" s="172"/>
    </row>
    <row r="13832" spans="1:1" s="173" customFormat="1" ht="12" hidden="1" customHeight="1">
      <c r="A13832" s="172"/>
    </row>
    <row r="13833" spans="1:1" s="173" customFormat="1" ht="12" hidden="1" customHeight="1">
      <c r="A13833" s="172"/>
    </row>
    <row r="13834" spans="1:1" s="173" customFormat="1" ht="12" hidden="1" customHeight="1">
      <c r="A13834" s="172"/>
    </row>
    <row r="13835" spans="1:1" s="173" customFormat="1" ht="12" hidden="1" customHeight="1">
      <c r="A13835" s="172"/>
    </row>
    <row r="13836" spans="1:1" s="173" customFormat="1" ht="12" hidden="1" customHeight="1">
      <c r="A13836" s="172"/>
    </row>
    <row r="13837" spans="1:1" s="173" customFormat="1" ht="12" hidden="1" customHeight="1">
      <c r="A13837" s="172"/>
    </row>
    <row r="13838" spans="1:1" s="173" customFormat="1" ht="12" hidden="1" customHeight="1">
      <c r="A13838" s="172"/>
    </row>
    <row r="13839" spans="1:1" s="173" customFormat="1" ht="12" hidden="1" customHeight="1">
      <c r="A13839" s="172"/>
    </row>
    <row r="13840" spans="1:1" s="173" customFormat="1" ht="12" hidden="1" customHeight="1">
      <c r="A13840" s="172"/>
    </row>
    <row r="13841" spans="1:1" s="173" customFormat="1" ht="12" hidden="1" customHeight="1">
      <c r="A13841" s="172"/>
    </row>
    <row r="13842" spans="1:1" s="173" customFormat="1" ht="12" hidden="1" customHeight="1">
      <c r="A13842" s="172"/>
    </row>
    <row r="13843" spans="1:1" s="173" customFormat="1" ht="12" hidden="1" customHeight="1">
      <c r="A13843" s="172"/>
    </row>
    <row r="13844" spans="1:1" s="173" customFormat="1" ht="12" hidden="1" customHeight="1">
      <c r="A13844" s="172"/>
    </row>
    <row r="13845" spans="1:1" s="173" customFormat="1" ht="12" hidden="1" customHeight="1">
      <c r="A13845" s="172"/>
    </row>
    <row r="13846" spans="1:1" s="173" customFormat="1" ht="12" hidden="1" customHeight="1">
      <c r="A13846" s="172"/>
    </row>
    <row r="13847" spans="1:1" s="173" customFormat="1" ht="12" hidden="1" customHeight="1">
      <c r="A13847" s="172"/>
    </row>
    <row r="13848" spans="1:1" s="173" customFormat="1" ht="12" hidden="1" customHeight="1">
      <c r="A13848" s="172"/>
    </row>
    <row r="13849" spans="1:1" s="173" customFormat="1" ht="12" hidden="1" customHeight="1">
      <c r="A13849" s="172"/>
    </row>
    <row r="13850" spans="1:1" s="173" customFormat="1" ht="12" hidden="1" customHeight="1">
      <c r="A13850" s="172"/>
    </row>
    <row r="13851" spans="1:1" s="173" customFormat="1" ht="12" hidden="1" customHeight="1">
      <c r="A13851" s="172"/>
    </row>
    <row r="13852" spans="1:1" s="173" customFormat="1" ht="12" hidden="1" customHeight="1">
      <c r="A13852" s="172"/>
    </row>
    <row r="13853" spans="1:1" s="173" customFormat="1" ht="12" hidden="1" customHeight="1">
      <c r="A13853" s="172"/>
    </row>
    <row r="13854" spans="1:1" s="173" customFormat="1" ht="12" hidden="1" customHeight="1">
      <c r="A13854" s="172"/>
    </row>
    <row r="13855" spans="1:1" s="173" customFormat="1" ht="12" hidden="1" customHeight="1">
      <c r="A13855" s="172"/>
    </row>
    <row r="13856" spans="1:1" s="173" customFormat="1" ht="12" hidden="1" customHeight="1">
      <c r="A13856" s="172"/>
    </row>
    <row r="13857" spans="1:1" s="173" customFormat="1" ht="12" hidden="1" customHeight="1">
      <c r="A13857" s="172"/>
    </row>
    <row r="13858" spans="1:1" s="173" customFormat="1" ht="12" hidden="1" customHeight="1">
      <c r="A13858" s="172"/>
    </row>
    <row r="13859" spans="1:1" s="173" customFormat="1" ht="12" hidden="1" customHeight="1">
      <c r="A13859" s="172"/>
    </row>
    <row r="13860" spans="1:1" s="173" customFormat="1" ht="12" hidden="1" customHeight="1">
      <c r="A13860" s="172"/>
    </row>
    <row r="13861" spans="1:1" s="173" customFormat="1" ht="12" hidden="1" customHeight="1">
      <c r="A13861" s="172"/>
    </row>
    <row r="13862" spans="1:1" s="173" customFormat="1" ht="12" hidden="1" customHeight="1">
      <c r="A13862" s="172"/>
    </row>
    <row r="13863" spans="1:1" s="173" customFormat="1" ht="12" hidden="1" customHeight="1">
      <c r="A13863" s="172"/>
    </row>
    <row r="13864" spans="1:1" s="173" customFormat="1" ht="12" hidden="1" customHeight="1">
      <c r="A13864" s="172"/>
    </row>
    <row r="13865" spans="1:1" s="173" customFormat="1" ht="12" hidden="1" customHeight="1">
      <c r="A13865" s="172"/>
    </row>
    <row r="13866" spans="1:1" s="173" customFormat="1" ht="12" hidden="1" customHeight="1">
      <c r="A13866" s="172"/>
    </row>
    <row r="13867" spans="1:1" s="173" customFormat="1" ht="12" hidden="1" customHeight="1">
      <c r="A13867" s="172"/>
    </row>
    <row r="13868" spans="1:1" s="173" customFormat="1" ht="12" hidden="1" customHeight="1">
      <c r="A13868" s="172"/>
    </row>
    <row r="13869" spans="1:1" s="173" customFormat="1" ht="12" hidden="1" customHeight="1">
      <c r="A13869" s="172"/>
    </row>
    <row r="13870" spans="1:1" s="173" customFormat="1" ht="12" hidden="1" customHeight="1">
      <c r="A13870" s="172"/>
    </row>
    <row r="13871" spans="1:1" s="173" customFormat="1" ht="12" hidden="1" customHeight="1">
      <c r="A13871" s="172"/>
    </row>
    <row r="13872" spans="1:1" s="173" customFormat="1" ht="12" hidden="1" customHeight="1">
      <c r="A13872" s="172"/>
    </row>
    <row r="13873" spans="1:1" s="173" customFormat="1" ht="12" hidden="1" customHeight="1">
      <c r="A13873" s="172"/>
    </row>
    <row r="13874" spans="1:1" s="173" customFormat="1" ht="12" hidden="1" customHeight="1">
      <c r="A13874" s="172"/>
    </row>
    <row r="13875" spans="1:1" s="173" customFormat="1" ht="12" hidden="1" customHeight="1">
      <c r="A13875" s="172"/>
    </row>
    <row r="13876" spans="1:1" s="173" customFormat="1" ht="12" hidden="1" customHeight="1">
      <c r="A13876" s="172"/>
    </row>
    <row r="13877" spans="1:1" s="173" customFormat="1" ht="12" hidden="1" customHeight="1">
      <c r="A13877" s="172"/>
    </row>
    <row r="13878" spans="1:1" s="173" customFormat="1" ht="12" hidden="1" customHeight="1">
      <c r="A13878" s="172"/>
    </row>
    <row r="13879" spans="1:1" s="173" customFormat="1" ht="12" hidden="1" customHeight="1">
      <c r="A13879" s="172"/>
    </row>
    <row r="13880" spans="1:1" s="173" customFormat="1" ht="12" hidden="1" customHeight="1">
      <c r="A13880" s="172"/>
    </row>
    <row r="13881" spans="1:1" s="173" customFormat="1" ht="12" hidden="1" customHeight="1">
      <c r="A13881" s="172"/>
    </row>
    <row r="13882" spans="1:1" s="173" customFormat="1" ht="12" hidden="1" customHeight="1">
      <c r="A13882" s="172"/>
    </row>
    <row r="13883" spans="1:1" s="173" customFormat="1" ht="12" hidden="1" customHeight="1">
      <c r="A13883" s="172"/>
    </row>
    <row r="13884" spans="1:1" s="173" customFormat="1" ht="12" hidden="1" customHeight="1">
      <c r="A13884" s="172"/>
    </row>
    <row r="13885" spans="1:1" s="173" customFormat="1" ht="12" hidden="1" customHeight="1">
      <c r="A13885" s="172"/>
    </row>
    <row r="13886" spans="1:1" s="173" customFormat="1" ht="12" hidden="1" customHeight="1">
      <c r="A13886" s="172"/>
    </row>
    <row r="13887" spans="1:1" s="173" customFormat="1" ht="12" hidden="1" customHeight="1">
      <c r="A13887" s="172"/>
    </row>
    <row r="13888" spans="1:1" s="173" customFormat="1" ht="12" hidden="1" customHeight="1">
      <c r="A13888" s="172"/>
    </row>
    <row r="13889" spans="1:1" s="173" customFormat="1" ht="12" hidden="1" customHeight="1">
      <c r="A13889" s="172"/>
    </row>
    <row r="13890" spans="1:1" s="173" customFormat="1" ht="12" hidden="1" customHeight="1">
      <c r="A13890" s="172"/>
    </row>
    <row r="13891" spans="1:1" s="173" customFormat="1" ht="12" hidden="1" customHeight="1">
      <c r="A13891" s="172"/>
    </row>
    <row r="13892" spans="1:1" s="173" customFormat="1" ht="12" hidden="1" customHeight="1">
      <c r="A13892" s="172"/>
    </row>
    <row r="13893" spans="1:1" s="173" customFormat="1" ht="12" hidden="1" customHeight="1">
      <c r="A13893" s="172"/>
    </row>
    <row r="13894" spans="1:1" s="173" customFormat="1" ht="12" hidden="1" customHeight="1">
      <c r="A13894" s="172"/>
    </row>
    <row r="13895" spans="1:1" s="173" customFormat="1" ht="12" hidden="1" customHeight="1">
      <c r="A13895" s="172"/>
    </row>
    <row r="13896" spans="1:1" s="173" customFormat="1" ht="12" hidden="1" customHeight="1">
      <c r="A13896" s="172"/>
    </row>
    <row r="13897" spans="1:1" s="173" customFormat="1" ht="12" hidden="1" customHeight="1">
      <c r="A13897" s="172"/>
    </row>
    <row r="13898" spans="1:1" s="173" customFormat="1" ht="12" hidden="1" customHeight="1">
      <c r="A13898" s="172"/>
    </row>
    <row r="13899" spans="1:1" s="173" customFormat="1" ht="12" hidden="1" customHeight="1">
      <c r="A13899" s="172"/>
    </row>
    <row r="13900" spans="1:1" s="173" customFormat="1" ht="12" hidden="1" customHeight="1">
      <c r="A13900" s="172"/>
    </row>
    <row r="13901" spans="1:1" s="173" customFormat="1" ht="12" hidden="1" customHeight="1">
      <c r="A13901" s="172"/>
    </row>
    <row r="13902" spans="1:1" s="173" customFormat="1" ht="12" hidden="1" customHeight="1">
      <c r="A13902" s="172"/>
    </row>
    <row r="13903" spans="1:1" s="173" customFormat="1" ht="12" hidden="1" customHeight="1">
      <c r="A13903" s="172"/>
    </row>
    <row r="13904" spans="1:1" s="173" customFormat="1" ht="12" hidden="1" customHeight="1">
      <c r="A13904" s="172"/>
    </row>
    <row r="13905" spans="1:1" s="173" customFormat="1" ht="12" hidden="1" customHeight="1">
      <c r="A13905" s="172"/>
    </row>
    <row r="13906" spans="1:1" s="173" customFormat="1" ht="12" hidden="1" customHeight="1">
      <c r="A13906" s="172"/>
    </row>
    <row r="13907" spans="1:1" s="173" customFormat="1" ht="12" hidden="1" customHeight="1">
      <c r="A13907" s="172"/>
    </row>
    <row r="13908" spans="1:1" s="173" customFormat="1" ht="12" hidden="1" customHeight="1">
      <c r="A13908" s="172"/>
    </row>
    <row r="13909" spans="1:1" s="173" customFormat="1" ht="12" hidden="1" customHeight="1">
      <c r="A13909" s="172"/>
    </row>
    <row r="13910" spans="1:1" s="173" customFormat="1" ht="12" hidden="1" customHeight="1">
      <c r="A13910" s="172"/>
    </row>
    <row r="13911" spans="1:1" s="173" customFormat="1" ht="12" hidden="1" customHeight="1">
      <c r="A13911" s="172"/>
    </row>
    <row r="13912" spans="1:1" s="173" customFormat="1" ht="12" hidden="1" customHeight="1">
      <c r="A13912" s="172"/>
    </row>
    <row r="13913" spans="1:1" s="173" customFormat="1" ht="12" hidden="1" customHeight="1">
      <c r="A13913" s="172"/>
    </row>
    <row r="13914" spans="1:1" s="173" customFormat="1" ht="12" hidden="1" customHeight="1">
      <c r="A13914" s="172"/>
    </row>
    <row r="13915" spans="1:1" s="173" customFormat="1" ht="12" hidden="1" customHeight="1">
      <c r="A13915" s="172"/>
    </row>
    <row r="13916" spans="1:1" s="173" customFormat="1" ht="12" hidden="1" customHeight="1">
      <c r="A13916" s="172"/>
    </row>
    <row r="13917" spans="1:1" s="173" customFormat="1" ht="12" hidden="1" customHeight="1">
      <c r="A13917" s="172"/>
    </row>
    <row r="13918" spans="1:1" s="173" customFormat="1" ht="12" hidden="1" customHeight="1">
      <c r="A13918" s="172"/>
    </row>
    <row r="13919" spans="1:1" s="173" customFormat="1" ht="12" hidden="1" customHeight="1">
      <c r="A13919" s="172"/>
    </row>
    <row r="13920" spans="1:1" s="173" customFormat="1" ht="12" hidden="1" customHeight="1">
      <c r="A13920" s="172"/>
    </row>
    <row r="13921" spans="1:1" s="173" customFormat="1" ht="12" hidden="1" customHeight="1">
      <c r="A13921" s="172"/>
    </row>
    <row r="13922" spans="1:1" s="173" customFormat="1" ht="12" hidden="1" customHeight="1">
      <c r="A13922" s="172"/>
    </row>
    <row r="13923" spans="1:1" s="173" customFormat="1" ht="12" hidden="1" customHeight="1">
      <c r="A13923" s="172"/>
    </row>
    <row r="13924" spans="1:1" s="173" customFormat="1" ht="12" hidden="1" customHeight="1">
      <c r="A13924" s="172"/>
    </row>
    <row r="13925" spans="1:1" s="173" customFormat="1" ht="12" hidden="1" customHeight="1">
      <c r="A13925" s="172"/>
    </row>
    <row r="13926" spans="1:1" s="173" customFormat="1" ht="12" hidden="1" customHeight="1">
      <c r="A13926" s="172"/>
    </row>
    <row r="13927" spans="1:1" s="173" customFormat="1" ht="12" hidden="1" customHeight="1">
      <c r="A13927" s="172"/>
    </row>
    <row r="13928" spans="1:1" s="173" customFormat="1" ht="12" hidden="1" customHeight="1">
      <c r="A13928" s="172"/>
    </row>
    <row r="13929" spans="1:1" s="173" customFormat="1" ht="12" hidden="1" customHeight="1">
      <c r="A13929" s="172"/>
    </row>
    <row r="13930" spans="1:1" s="173" customFormat="1" ht="12" hidden="1" customHeight="1">
      <c r="A13930" s="172"/>
    </row>
    <row r="13931" spans="1:1" s="173" customFormat="1" ht="12" hidden="1" customHeight="1">
      <c r="A13931" s="172"/>
    </row>
    <row r="13932" spans="1:1" s="173" customFormat="1" ht="12" hidden="1" customHeight="1">
      <c r="A13932" s="172"/>
    </row>
    <row r="13933" spans="1:1" s="173" customFormat="1" ht="12" hidden="1" customHeight="1">
      <c r="A13933" s="172"/>
    </row>
    <row r="13934" spans="1:1" s="173" customFormat="1" ht="12" hidden="1" customHeight="1">
      <c r="A13934" s="172"/>
    </row>
    <row r="13935" spans="1:1" s="173" customFormat="1" ht="12" hidden="1" customHeight="1">
      <c r="A13935" s="172"/>
    </row>
    <row r="13936" spans="1:1" s="173" customFormat="1" ht="12" hidden="1" customHeight="1">
      <c r="A13936" s="172"/>
    </row>
    <row r="13937" spans="1:1" s="173" customFormat="1" ht="12" hidden="1" customHeight="1">
      <c r="A13937" s="172"/>
    </row>
    <row r="13938" spans="1:1" s="173" customFormat="1" ht="12" hidden="1" customHeight="1">
      <c r="A13938" s="172"/>
    </row>
    <row r="13939" spans="1:1" s="173" customFormat="1" ht="12" hidden="1" customHeight="1">
      <c r="A13939" s="172"/>
    </row>
    <row r="13940" spans="1:1" s="173" customFormat="1" ht="12" hidden="1" customHeight="1">
      <c r="A13940" s="172"/>
    </row>
    <row r="13941" spans="1:1" s="173" customFormat="1" ht="12" hidden="1" customHeight="1">
      <c r="A13941" s="172"/>
    </row>
    <row r="13942" spans="1:1" s="173" customFormat="1" ht="12" hidden="1" customHeight="1">
      <c r="A13942" s="172"/>
    </row>
    <row r="13943" spans="1:1" s="173" customFormat="1" ht="12" hidden="1" customHeight="1">
      <c r="A13943" s="172"/>
    </row>
    <row r="13944" spans="1:1" s="173" customFormat="1" ht="12" hidden="1" customHeight="1">
      <c r="A13944" s="172"/>
    </row>
    <row r="13945" spans="1:1" s="173" customFormat="1" ht="12" hidden="1" customHeight="1">
      <c r="A13945" s="172"/>
    </row>
    <row r="13946" spans="1:1" s="173" customFormat="1" ht="12" hidden="1" customHeight="1">
      <c r="A13946" s="172"/>
    </row>
    <row r="13947" spans="1:1" s="173" customFormat="1" ht="12" hidden="1" customHeight="1">
      <c r="A13947" s="172"/>
    </row>
    <row r="13948" spans="1:1" s="173" customFormat="1" ht="12" hidden="1" customHeight="1">
      <c r="A13948" s="172"/>
    </row>
    <row r="13949" spans="1:1" s="173" customFormat="1" ht="12" hidden="1" customHeight="1">
      <c r="A13949" s="172"/>
    </row>
    <row r="13950" spans="1:1" s="173" customFormat="1" ht="12" hidden="1" customHeight="1">
      <c r="A13950" s="172"/>
    </row>
    <row r="13951" spans="1:1" s="173" customFormat="1" ht="12" hidden="1" customHeight="1">
      <c r="A13951" s="172"/>
    </row>
    <row r="13952" spans="1:1" s="173" customFormat="1" ht="12" hidden="1" customHeight="1">
      <c r="A13952" s="172"/>
    </row>
    <row r="13953" spans="1:1" s="173" customFormat="1" ht="12" hidden="1" customHeight="1">
      <c r="A13953" s="172"/>
    </row>
    <row r="13954" spans="1:1" s="173" customFormat="1" ht="12" hidden="1" customHeight="1">
      <c r="A13954" s="172"/>
    </row>
    <row r="13955" spans="1:1" s="173" customFormat="1" ht="12" hidden="1" customHeight="1">
      <c r="A13955" s="172"/>
    </row>
    <row r="13956" spans="1:1" s="173" customFormat="1" ht="12" hidden="1" customHeight="1">
      <c r="A13956" s="172"/>
    </row>
    <row r="13957" spans="1:1" s="173" customFormat="1" ht="12" hidden="1" customHeight="1">
      <c r="A13957" s="172"/>
    </row>
    <row r="13958" spans="1:1" s="173" customFormat="1" ht="12" hidden="1" customHeight="1">
      <c r="A13958" s="172"/>
    </row>
    <row r="13959" spans="1:1" s="173" customFormat="1" ht="12" hidden="1" customHeight="1">
      <c r="A13959" s="172"/>
    </row>
    <row r="13960" spans="1:1" s="173" customFormat="1" ht="12" hidden="1" customHeight="1">
      <c r="A13960" s="172"/>
    </row>
    <row r="13961" spans="1:1" s="173" customFormat="1" ht="12" hidden="1" customHeight="1">
      <c r="A13961" s="172"/>
    </row>
    <row r="13962" spans="1:1" s="173" customFormat="1" ht="12" hidden="1" customHeight="1">
      <c r="A13962" s="172"/>
    </row>
    <row r="13963" spans="1:1" s="173" customFormat="1" ht="12" hidden="1" customHeight="1">
      <c r="A13963" s="172"/>
    </row>
    <row r="13964" spans="1:1" s="173" customFormat="1" ht="12" hidden="1" customHeight="1">
      <c r="A13964" s="172"/>
    </row>
    <row r="13965" spans="1:1" s="173" customFormat="1" ht="12" hidden="1" customHeight="1">
      <c r="A13965" s="172"/>
    </row>
    <row r="13966" spans="1:1" s="173" customFormat="1" ht="12" hidden="1" customHeight="1">
      <c r="A13966" s="172"/>
    </row>
    <row r="13967" spans="1:1" s="173" customFormat="1" ht="12" hidden="1" customHeight="1">
      <c r="A13967" s="172"/>
    </row>
    <row r="13968" spans="1:1" s="173" customFormat="1" ht="12" hidden="1" customHeight="1">
      <c r="A13968" s="172"/>
    </row>
    <row r="13969" spans="1:1" s="173" customFormat="1" ht="12" hidden="1" customHeight="1">
      <c r="A13969" s="172"/>
    </row>
    <row r="13970" spans="1:1" s="173" customFormat="1" ht="12" hidden="1" customHeight="1">
      <c r="A13970" s="172"/>
    </row>
    <row r="13971" spans="1:1" s="173" customFormat="1" ht="12" hidden="1" customHeight="1">
      <c r="A13971" s="172"/>
    </row>
    <row r="13972" spans="1:1" s="173" customFormat="1" ht="12" hidden="1" customHeight="1">
      <c r="A13972" s="172"/>
    </row>
    <row r="13973" spans="1:1" s="173" customFormat="1" ht="12" hidden="1" customHeight="1">
      <c r="A13973" s="172"/>
    </row>
    <row r="13974" spans="1:1" s="173" customFormat="1" ht="12" hidden="1" customHeight="1">
      <c r="A13974" s="172"/>
    </row>
    <row r="13975" spans="1:1" s="173" customFormat="1" ht="12" hidden="1" customHeight="1">
      <c r="A13975" s="172"/>
    </row>
    <row r="13976" spans="1:1" s="173" customFormat="1" ht="12" hidden="1" customHeight="1">
      <c r="A13976" s="172"/>
    </row>
    <row r="13977" spans="1:1" s="173" customFormat="1" ht="12" hidden="1" customHeight="1">
      <c r="A13977" s="172"/>
    </row>
    <row r="13978" spans="1:1" s="173" customFormat="1" ht="12" hidden="1" customHeight="1">
      <c r="A13978" s="172"/>
    </row>
    <row r="13979" spans="1:1" s="173" customFormat="1" ht="12" hidden="1" customHeight="1">
      <c r="A13979" s="172"/>
    </row>
    <row r="13980" spans="1:1" s="173" customFormat="1" ht="12" hidden="1" customHeight="1">
      <c r="A13980" s="172"/>
    </row>
    <row r="13981" spans="1:1" s="173" customFormat="1" ht="12" hidden="1" customHeight="1">
      <c r="A13981" s="172"/>
    </row>
    <row r="13982" spans="1:1" s="173" customFormat="1" ht="12" hidden="1" customHeight="1">
      <c r="A13982" s="172"/>
    </row>
    <row r="13983" spans="1:1" s="173" customFormat="1" ht="12" hidden="1" customHeight="1">
      <c r="A13983" s="172"/>
    </row>
    <row r="13984" spans="1:1" s="173" customFormat="1" ht="12" hidden="1" customHeight="1">
      <c r="A13984" s="172"/>
    </row>
    <row r="13985" spans="1:1" s="173" customFormat="1" ht="12" hidden="1" customHeight="1">
      <c r="A13985" s="172"/>
    </row>
    <row r="13986" spans="1:1" s="173" customFormat="1" ht="12" hidden="1" customHeight="1">
      <c r="A13986" s="172"/>
    </row>
    <row r="13987" spans="1:1" s="173" customFormat="1" ht="12" hidden="1" customHeight="1">
      <c r="A13987" s="172"/>
    </row>
    <row r="13988" spans="1:1" s="173" customFormat="1" ht="12" hidden="1" customHeight="1">
      <c r="A13988" s="172"/>
    </row>
    <row r="13989" spans="1:1" s="173" customFormat="1" ht="12" hidden="1" customHeight="1">
      <c r="A13989" s="172"/>
    </row>
    <row r="13990" spans="1:1" s="173" customFormat="1" ht="12" hidden="1" customHeight="1">
      <c r="A13990" s="172"/>
    </row>
    <row r="13991" spans="1:1" s="173" customFormat="1" ht="12" hidden="1" customHeight="1">
      <c r="A13991" s="172"/>
    </row>
    <row r="13992" spans="1:1" s="173" customFormat="1" ht="12" hidden="1" customHeight="1">
      <c r="A13992" s="172"/>
    </row>
    <row r="13993" spans="1:1" s="173" customFormat="1" ht="12" hidden="1" customHeight="1">
      <c r="A13993" s="172"/>
    </row>
    <row r="13994" spans="1:1" s="173" customFormat="1" ht="12" hidden="1" customHeight="1">
      <c r="A13994" s="172"/>
    </row>
    <row r="13995" spans="1:1" s="173" customFormat="1" ht="12" hidden="1" customHeight="1">
      <c r="A13995" s="172"/>
    </row>
    <row r="13996" spans="1:1" s="173" customFormat="1" ht="12" hidden="1" customHeight="1">
      <c r="A13996" s="172"/>
    </row>
    <row r="13997" spans="1:1" s="173" customFormat="1" ht="12" hidden="1" customHeight="1">
      <c r="A13997" s="172"/>
    </row>
    <row r="13998" spans="1:1" s="173" customFormat="1" ht="12" hidden="1" customHeight="1">
      <c r="A13998" s="172"/>
    </row>
    <row r="13999" spans="1:1" s="173" customFormat="1" ht="12" hidden="1" customHeight="1">
      <c r="A13999" s="172"/>
    </row>
    <row r="14000" spans="1:1" s="173" customFormat="1" ht="12" hidden="1" customHeight="1">
      <c r="A14000" s="172"/>
    </row>
    <row r="14001" spans="1:1" s="173" customFormat="1" ht="12" hidden="1" customHeight="1">
      <c r="A14001" s="172"/>
    </row>
    <row r="14002" spans="1:1" s="173" customFormat="1" ht="12" hidden="1" customHeight="1">
      <c r="A14002" s="172"/>
    </row>
    <row r="14003" spans="1:1" s="173" customFormat="1" ht="12" hidden="1" customHeight="1">
      <c r="A14003" s="172"/>
    </row>
    <row r="14004" spans="1:1" s="173" customFormat="1" ht="12" hidden="1" customHeight="1">
      <c r="A14004" s="172"/>
    </row>
    <row r="14005" spans="1:1" s="173" customFormat="1" ht="12" hidden="1" customHeight="1">
      <c r="A14005" s="172"/>
    </row>
    <row r="14006" spans="1:1" s="173" customFormat="1" ht="12" hidden="1" customHeight="1">
      <c r="A14006" s="172"/>
    </row>
    <row r="14007" spans="1:1" s="173" customFormat="1" ht="12" hidden="1" customHeight="1">
      <c r="A14007" s="172"/>
    </row>
    <row r="14008" spans="1:1" s="173" customFormat="1" ht="12" hidden="1" customHeight="1">
      <c r="A14008" s="172"/>
    </row>
    <row r="14009" spans="1:1" s="173" customFormat="1" ht="12" hidden="1" customHeight="1">
      <c r="A14009" s="172"/>
    </row>
    <row r="14010" spans="1:1" s="173" customFormat="1" ht="12" hidden="1" customHeight="1">
      <c r="A14010" s="172"/>
    </row>
    <row r="14011" spans="1:1" s="173" customFormat="1" ht="12" hidden="1" customHeight="1">
      <c r="A14011" s="172"/>
    </row>
    <row r="14012" spans="1:1" s="173" customFormat="1" ht="12" hidden="1" customHeight="1">
      <c r="A14012" s="172"/>
    </row>
    <row r="14013" spans="1:1" s="173" customFormat="1" ht="12" hidden="1" customHeight="1">
      <c r="A14013" s="172"/>
    </row>
    <row r="14014" spans="1:1" s="173" customFormat="1" ht="12" hidden="1" customHeight="1">
      <c r="A14014" s="172"/>
    </row>
    <row r="14015" spans="1:1" s="173" customFormat="1" ht="12" hidden="1" customHeight="1">
      <c r="A14015" s="172"/>
    </row>
    <row r="14016" spans="1:1" s="173" customFormat="1" ht="12" hidden="1" customHeight="1">
      <c r="A14016" s="172"/>
    </row>
    <row r="14017" spans="1:1" s="173" customFormat="1" ht="12" hidden="1" customHeight="1">
      <c r="A14017" s="172"/>
    </row>
    <row r="14018" spans="1:1" s="173" customFormat="1" ht="12" hidden="1" customHeight="1">
      <c r="A14018" s="172"/>
    </row>
    <row r="14019" spans="1:1" s="173" customFormat="1" ht="12" hidden="1" customHeight="1">
      <c r="A14019" s="172"/>
    </row>
    <row r="14020" spans="1:1" s="173" customFormat="1" ht="12" hidden="1" customHeight="1">
      <c r="A14020" s="172"/>
    </row>
    <row r="14021" spans="1:1" s="173" customFormat="1" ht="12" hidden="1" customHeight="1">
      <c r="A14021" s="172"/>
    </row>
    <row r="14022" spans="1:1" s="173" customFormat="1" ht="12" hidden="1" customHeight="1">
      <c r="A14022" s="172"/>
    </row>
    <row r="14023" spans="1:1" s="173" customFormat="1" ht="12" hidden="1" customHeight="1">
      <c r="A14023" s="172"/>
    </row>
    <row r="14024" spans="1:1" s="173" customFormat="1" ht="12" hidden="1" customHeight="1">
      <c r="A14024" s="172"/>
    </row>
    <row r="14025" spans="1:1" s="173" customFormat="1" ht="12" hidden="1" customHeight="1">
      <c r="A14025" s="172"/>
    </row>
    <row r="14026" spans="1:1" s="173" customFormat="1" ht="12" hidden="1" customHeight="1">
      <c r="A14026" s="172"/>
    </row>
    <row r="14027" spans="1:1" s="173" customFormat="1" ht="12" hidden="1" customHeight="1">
      <c r="A14027" s="172"/>
    </row>
    <row r="14028" spans="1:1" s="173" customFormat="1" ht="12" hidden="1" customHeight="1">
      <c r="A14028" s="172"/>
    </row>
    <row r="14029" spans="1:1" s="173" customFormat="1" ht="12" hidden="1" customHeight="1">
      <c r="A14029" s="172"/>
    </row>
    <row r="14030" spans="1:1" s="173" customFormat="1" ht="12" hidden="1" customHeight="1">
      <c r="A14030" s="172"/>
    </row>
    <row r="14031" spans="1:1" s="173" customFormat="1" ht="12" hidden="1" customHeight="1">
      <c r="A14031" s="172"/>
    </row>
    <row r="14032" spans="1:1" s="173" customFormat="1" ht="12" hidden="1" customHeight="1">
      <c r="A14032" s="172"/>
    </row>
    <row r="14033" spans="1:1" s="173" customFormat="1" ht="12" hidden="1" customHeight="1">
      <c r="A14033" s="172"/>
    </row>
    <row r="14034" spans="1:1" s="173" customFormat="1" ht="12" hidden="1" customHeight="1">
      <c r="A14034" s="172"/>
    </row>
    <row r="14035" spans="1:1" s="173" customFormat="1" ht="12" hidden="1" customHeight="1">
      <c r="A14035" s="172"/>
    </row>
    <row r="14036" spans="1:1" s="173" customFormat="1" ht="12" hidden="1" customHeight="1">
      <c r="A14036" s="172"/>
    </row>
    <row r="14037" spans="1:1" s="173" customFormat="1" ht="12" hidden="1" customHeight="1">
      <c r="A14037" s="172"/>
    </row>
    <row r="14038" spans="1:1" s="173" customFormat="1" ht="12" hidden="1" customHeight="1">
      <c r="A14038" s="172"/>
    </row>
    <row r="14039" spans="1:1" s="173" customFormat="1" ht="12" hidden="1" customHeight="1">
      <c r="A14039" s="172"/>
    </row>
    <row r="14040" spans="1:1" s="173" customFormat="1" ht="12" hidden="1" customHeight="1">
      <c r="A14040" s="172"/>
    </row>
    <row r="14041" spans="1:1" s="173" customFormat="1" ht="12" hidden="1" customHeight="1">
      <c r="A14041" s="172"/>
    </row>
    <row r="14042" spans="1:1" s="173" customFormat="1" ht="12" hidden="1" customHeight="1">
      <c r="A14042" s="172"/>
    </row>
    <row r="14043" spans="1:1" s="173" customFormat="1" ht="12" hidden="1" customHeight="1">
      <c r="A14043" s="172"/>
    </row>
    <row r="14044" spans="1:1" s="173" customFormat="1" ht="12" hidden="1" customHeight="1">
      <c r="A14044" s="172"/>
    </row>
    <row r="14045" spans="1:1" s="173" customFormat="1" ht="12" hidden="1" customHeight="1">
      <c r="A14045" s="172"/>
    </row>
    <row r="14046" spans="1:1" s="173" customFormat="1" ht="12" hidden="1" customHeight="1">
      <c r="A14046" s="172"/>
    </row>
    <row r="14047" spans="1:1" s="173" customFormat="1" ht="12" hidden="1" customHeight="1">
      <c r="A14047" s="172"/>
    </row>
    <row r="14048" spans="1:1" s="173" customFormat="1" ht="12" hidden="1" customHeight="1">
      <c r="A14048" s="172"/>
    </row>
    <row r="14049" spans="1:1" s="173" customFormat="1" ht="12" hidden="1" customHeight="1">
      <c r="A14049" s="172"/>
    </row>
    <row r="14050" spans="1:1" s="173" customFormat="1" ht="12" hidden="1" customHeight="1">
      <c r="A14050" s="172"/>
    </row>
    <row r="14051" spans="1:1" s="173" customFormat="1" ht="12" hidden="1" customHeight="1">
      <c r="A14051" s="172"/>
    </row>
    <row r="14052" spans="1:1" s="173" customFormat="1" ht="12" hidden="1" customHeight="1">
      <c r="A14052" s="172"/>
    </row>
    <row r="14053" spans="1:1" s="173" customFormat="1" ht="12" hidden="1" customHeight="1">
      <c r="A14053" s="172"/>
    </row>
    <row r="14054" spans="1:1" s="173" customFormat="1" ht="12" hidden="1" customHeight="1">
      <c r="A14054" s="172"/>
    </row>
    <row r="14055" spans="1:1" s="173" customFormat="1" ht="12" hidden="1" customHeight="1">
      <c r="A14055" s="172"/>
    </row>
    <row r="14056" spans="1:1" s="173" customFormat="1" ht="12" hidden="1" customHeight="1">
      <c r="A14056" s="172"/>
    </row>
    <row r="14057" spans="1:1" s="173" customFormat="1" ht="12" hidden="1" customHeight="1">
      <c r="A14057" s="172"/>
    </row>
    <row r="14058" spans="1:1" s="173" customFormat="1" ht="12" hidden="1" customHeight="1">
      <c r="A14058" s="172"/>
    </row>
    <row r="14059" spans="1:1" s="173" customFormat="1" ht="12" hidden="1" customHeight="1">
      <c r="A14059" s="172"/>
    </row>
    <row r="14060" spans="1:1" s="173" customFormat="1" ht="12" hidden="1" customHeight="1">
      <c r="A14060" s="172"/>
    </row>
    <row r="14061" spans="1:1" s="173" customFormat="1" ht="12" hidden="1" customHeight="1">
      <c r="A14061" s="172"/>
    </row>
    <row r="14062" spans="1:1" s="173" customFormat="1" ht="12" hidden="1" customHeight="1">
      <c r="A14062" s="172"/>
    </row>
    <row r="14063" spans="1:1" s="173" customFormat="1" ht="12" hidden="1" customHeight="1">
      <c r="A14063" s="172"/>
    </row>
    <row r="14064" spans="1:1" s="173" customFormat="1" ht="12" hidden="1" customHeight="1">
      <c r="A14064" s="172"/>
    </row>
    <row r="14065" spans="1:1" s="173" customFormat="1" ht="12" hidden="1" customHeight="1">
      <c r="A14065" s="172"/>
    </row>
    <row r="14066" spans="1:1" s="173" customFormat="1" ht="12" hidden="1" customHeight="1">
      <c r="A14066" s="172"/>
    </row>
    <row r="14067" spans="1:1" s="173" customFormat="1" ht="12" hidden="1" customHeight="1">
      <c r="A14067" s="172"/>
    </row>
    <row r="14068" spans="1:1" s="173" customFormat="1" ht="12" hidden="1" customHeight="1">
      <c r="A14068" s="172"/>
    </row>
    <row r="14069" spans="1:1" s="173" customFormat="1" ht="12" hidden="1" customHeight="1">
      <c r="A14069" s="172"/>
    </row>
    <row r="14070" spans="1:1" s="173" customFormat="1" ht="12" hidden="1" customHeight="1">
      <c r="A14070" s="172"/>
    </row>
    <row r="14071" spans="1:1" s="173" customFormat="1" ht="12" hidden="1" customHeight="1">
      <c r="A14071" s="172"/>
    </row>
    <row r="14072" spans="1:1" s="173" customFormat="1" ht="12" hidden="1" customHeight="1">
      <c r="A14072" s="172"/>
    </row>
    <row r="14073" spans="1:1" s="173" customFormat="1" ht="12" hidden="1" customHeight="1">
      <c r="A14073" s="172"/>
    </row>
    <row r="14074" spans="1:1" s="173" customFormat="1" ht="12" hidden="1" customHeight="1">
      <c r="A14074" s="172"/>
    </row>
    <row r="14075" spans="1:1" s="173" customFormat="1" ht="12" hidden="1" customHeight="1">
      <c r="A14075" s="172"/>
    </row>
    <row r="14076" spans="1:1" s="173" customFormat="1" ht="12" hidden="1" customHeight="1">
      <c r="A14076" s="172"/>
    </row>
    <row r="14077" spans="1:1" s="173" customFormat="1" ht="12" hidden="1" customHeight="1">
      <c r="A14077" s="172"/>
    </row>
    <row r="14078" spans="1:1" s="173" customFormat="1" ht="12" hidden="1" customHeight="1">
      <c r="A14078" s="172"/>
    </row>
    <row r="14079" spans="1:1" s="173" customFormat="1" ht="12" hidden="1" customHeight="1">
      <c r="A14079" s="172"/>
    </row>
    <row r="14080" spans="1:1" s="173" customFormat="1" ht="12" hidden="1" customHeight="1">
      <c r="A14080" s="172"/>
    </row>
    <row r="14081" spans="1:1" s="173" customFormat="1" ht="12" hidden="1" customHeight="1">
      <c r="A14081" s="172"/>
    </row>
    <row r="14082" spans="1:1" s="173" customFormat="1" ht="12" hidden="1" customHeight="1">
      <c r="A14082" s="172"/>
    </row>
    <row r="14083" spans="1:1" s="173" customFormat="1" ht="12" hidden="1" customHeight="1">
      <c r="A14083" s="172"/>
    </row>
    <row r="14084" spans="1:1" s="173" customFormat="1" ht="12" hidden="1" customHeight="1">
      <c r="A14084" s="172"/>
    </row>
    <row r="14085" spans="1:1" s="173" customFormat="1" ht="12" hidden="1" customHeight="1">
      <c r="A14085" s="172"/>
    </row>
    <row r="14086" spans="1:1" s="173" customFormat="1" ht="12" hidden="1" customHeight="1">
      <c r="A14086" s="172"/>
    </row>
    <row r="14087" spans="1:1" s="173" customFormat="1" ht="12" hidden="1" customHeight="1">
      <c r="A14087" s="172"/>
    </row>
    <row r="14088" spans="1:1" s="173" customFormat="1" ht="12" hidden="1" customHeight="1">
      <c r="A14088" s="172"/>
    </row>
    <row r="14089" spans="1:1" s="173" customFormat="1" ht="12" hidden="1" customHeight="1">
      <c r="A14089" s="172"/>
    </row>
    <row r="14090" spans="1:1" s="173" customFormat="1" ht="12" hidden="1" customHeight="1">
      <c r="A14090" s="172"/>
    </row>
    <row r="14091" spans="1:1" s="173" customFormat="1" ht="12" hidden="1" customHeight="1">
      <c r="A14091" s="172"/>
    </row>
    <row r="14092" spans="1:1" s="173" customFormat="1" ht="12" hidden="1" customHeight="1">
      <c r="A14092" s="172"/>
    </row>
    <row r="14093" spans="1:1" s="173" customFormat="1" ht="12" hidden="1" customHeight="1">
      <c r="A14093" s="172"/>
    </row>
    <row r="14094" spans="1:1" s="173" customFormat="1" ht="12" hidden="1" customHeight="1">
      <c r="A14094" s="172"/>
    </row>
    <row r="14095" spans="1:1" s="173" customFormat="1" ht="12" hidden="1" customHeight="1">
      <c r="A14095" s="172"/>
    </row>
    <row r="14096" spans="1:1" s="173" customFormat="1" ht="12" hidden="1" customHeight="1">
      <c r="A14096" s="172"/>
    </row>
    <row r="14097" spans="1:1" s="173" customFormat="1" ht="12" hidden="1" customHeight="1">
      <c r="A14097" s="172"/>
    </row>
    <row r="14098" spans="1:1" s="173" customFormat="1" ht="12" hidden="1" customHeight="1">
      <c r="A14098" s="172"/>
    </row>
    <row r="14099" spans="1:1" s="173" customFormat="1" ht="12" hidden="1" customHeight="1">
      <c r="A14099" s="172"/>
    </row>
    <row r="14100" spans="1:1" s="173" customFormat="1" ht="12" hidden="1" customHeight="1">
      <c r="A14100" s="172"/>
    </row>
    <row r="14101" spans="1:1" s="173" customFormat="1" ht="12" hidden="1" customHeight="1">
      <c r="A14101" s="172"/>
    </row>
    <row r="14102" spans="1:1" s="173" customFormat="1" ht="12" hidden="1" customHeight="1">
      <c r="A14102" s="172"/>
    </row>
    <row r="14103" spans="1:1" s="173" customFormat="1" ht="12" hidden="1" customHeight="1">
      <c r="A14103" s="172"/>
    </row>
    <row r="14104" spans="1:1" s="173" customFormat="1" ht="12" hidden="1" customHeight="1">
      <c r="A14104" s="172"/>
    </row>
    <row r="14105" spans="1:1" s="173" customFormat="1" ht="12" hidden="1" customHeight="1">
      <c r="A14105" s="172"/>
    </row>
    <row r="14106" spans="1:1" s="173" customFormat="1" ht="12" hidden="1" customHeight="1">
      <c r="A14106" s="172"/>
    </row>
    <row r="14107" spans="1:1" s="173" customFormat="1" ht="12" hidden="1" customHeight="1">
      <c r="A14107" s="172"/>
    </row>
    <row r="14108" spans="1:1" s="173" customFormat="1" ht="12" hidden="1" customHeight="1">
      <c r="A14108" s="172"/>
    </row>
    <row r="14109" spans="1:1" s="173" customFormat="1" ht="12" hidden="1" customHeight="1">
      <c r="A14109" s="172"/>
    </row>
    <row r="14110" spans="1:1" s="173" customFormat="1" ht="12" hidden="1" customHeight="1">
      <c r="A14110" s="172"/>
    </row>
    <row r="14111" spans="1:1" s="173" customFormat="1" ht="12" hidden="1" customHeight="1">
      <c r="A14111" s="172"/>
    </row>
    <row r="14112" spans="1:1" s="173" customFormat="1" ht="12" hidden="1" customHeight="1">
      <c r="A14112" s="172"/>
    </row>
    <row r="14113" spans="1:1" s="173" customFormat="1" ht="12" hidden="1" customHeight="1">
      <c r="A14113" s="172"/>
    </row>
    <row r="14114" spans="1:1" s="173" customFormat="1" ht="12" hidden="1" customHeight="1">
      <c r="A14114" s="172"/>
    </row>
    <row r="14115" spans="1:1" s="173" customFormat="1" ht="12" hidden="1" customHeight="1">
      <c r="A14115" s="172"/>
    </row>
    <row r="14116" spans="1:1" s="173" customFormat="1" ht="12" hidden="1" customHeight="1">
      <c r="A14116" s="172"/>
    </row>
    <row r="14117" spans="1:1" s="173" customFormat="1" ht="12" hidden="1" customHeight="1">
      <c r="A14117" s="172"/>
    </row>
    <row r="14118" spans="1:1" s="173" customFormat="1" ht="12" hidden="1" customHeight="1">
      <c r="A14118" s="172"/>
    </row>
    <row r="14119" spans="1:1" s="173" customFormat="1" ht="12" hidden="1" customHeight="1">
      <c r="A14119" s="172"/>
    </row>
    <row r="14120" spans="1:1" s="173" customFormat="1" ht="12" hidden="1" customHeight="1">
      <c r="A14120" s="172"/>
    </row>
    <row r="14121" spans="1:1" s="173" customFormat="1" ht="12" hidden="1" customHeight="1">
      <c r="A14121" s="172"/>
    </row>
    <row r="14122" spans="1:1" s="173" customFormat="1" ht="12" hidden="1" customHeight="1">
      <c r="A14122" s="172"/>
    </row>
    <row r="14123" spans="1:1" s="173" customFormat="1" ht="12" hidden="1" customHeight="1">
      <c r="A14123" s="172"/>
    </row>
    <row r="14124" spans="1:1" s="173" customFormat="1" ht="12" hidden="1" customHeight="1">
      <c r="A14124" s="172"/>
    </row>
    <row r="14125" spans="1:1" s="173" customFormat="1" ht="12" hidden="1" customHeight="1">
      <c r="A14125" s="172"/>
    </row>
    <row r="14126" spans="1:1" s="173" customFormat="1" ht="12" hidden="1" customHeight="1">
      <c r="A14126" s="172"/>
    </row>
    <row r="14127" spans="1:1" s="173" customFormat="1" ht="12" hidden="1" customHeight="1">
      <c r="A14127" s="172"/>
    </row>
    <row r="14128" spans="1:1" s="173" customFormat="1" ht="12" hidden="1" customHeight="1">
      <c r="A14128" s="172"/>
    </row>
    <row r="14129" spans="1:1" s="173" customFormat="1" ht="12" hidden="1" customHeight="1">
      <c r="A14129" s="172"/>
    </row>
    <row r="14130" spans="1:1" s="173" customFormat="1" ht="12" hidden="1" customHeight="1">
      <c r="A14130" s="172"/>
    </row>
    <row r="14131" spans="1:1" s="173" customFormat="1" ht="12" hidden="1" customHeight="1">
      <c r="A14131" s="172"/>
    </row>
    <row r="14132" spans="1:1" s="173" customFormat="1" ht="12" hidden="1" customHeight="1">
      <c r="A14132" s="172"/>
    </row>
    <row r="14133" spans="1:1" s="173" customFormat="1" ht="12" hidden="1" customHeight="1">
      <c r="A14133" s="172"/>
    </row>
    <row r="14134" spans="1:1" s="173" customFormat="1" ht="12" hidden="1" customHeight="1">
      <c r="A14134" s="172"/>
    </row>
    <row r="14135" spans="1:1" s="173" customFormat="1" ht="12" hidden="1" customHeight="1">
      <c r="A14135" s="172"/>
    </row>
    <row r="14136" spans="1:1" s="173" customFormat="1" ht="12" hidden="1" customHeight="1">
      <c r="A14136" s="172"/>
    </row>
    <row r="14137" spans="1:1" s="173" customFormat="1" ht="12" hidden="1" customHeight="1">
      <c r="A14137" s="172"/>
    </row>
    <row r="14138" spans="1:1" s="173" customFormat="1" ht="12" hidden="1" customHeight="1">
      <c r="A14138" s="172"/>
    </row>
    <row r="14139" spans="1:1" s="173" customFormat="1" ht="12" hidden="1" customHeight="1">
      <c r="A14139" s="172"/>
    </row>
    <row r="14140" spans="1:1" s="173" customFormat="1" ht="12" hidden="1" customHeight="1">
      <c r="A14140" s="172"/>
    </row>
    <row r="14141" spans="1:1" s="173" customFormat="1" ht="12" hidden="1" customHeight="1">
      <c r="A14141" s="172"/>
    </row>
    <row r="14142" spans="1:1" s="173" customFormat="1" ht="12" hidden="1" customHeight="1">
      <c r="A14142" s="172"/>
    </row>
    <row r="14143" spans="1:1" s="173" customFormat="1" ht="12" hidden="1" customHeight="1">
      <c r="A14143" s="172"/>
    </row>
    <row r="14144" spans="1:1" s="173" customFormat="1" ht="12" hidden="1" customHeight="1">
      <c r="A14144" s="172"/>
    </row>
    <row r="14145" spans="1:1" s="173" customFormat="1" ht="12" hidden="1" customHeight="1">
      <c r="A14145" s="172"/>
    </row>
    <row r="14146" spans="1:1" s="173" customFormat="1" ht="12" hidden="1" customHeight="1">
      <c r="A14146" s="172"/>
    </row>
    <row r="14147" spans="1:1" s="173" customFormat="1" ht="12" hidden="1" customHeight="1">
      <c r="A14147" s="172"/>
    </row>
    <row r="14148" spans="1:1" s="173" customFormat="1" ht="12" hidden="1" customHeight="1">
      <c r="A14148" s="172"/>
    </row>
    <row r="14149" spans="1:1" s="173" customFormat="1" ht="12" hidden="1" customHeight="1">
      <c r="A14149" s="172"/>
    </row>
    <row r="14150" spans="1:1" s="173" customFormat="1" ht="12" hidden="1" customHeight="1">
      <c r="A14150" s="172"/>
    </row>
    <row r="14151" spans="1:1" s="173" customFormat="1" ht="12" hidden="1" customHeight="1">
      <c r="A14151" s="172"/>
    </row>
    <row r="14152" spans="1:1" s="173" customFormat="1" ht="12" hidden="1" customHeight="1">
      <c r="A14152" s="172"/>
    </row>
    <row r="14153" spans="1:1" s="173" customFormat="1" ht="12" hidden="1" customHeight="1">
      <c r="A14153" s="172"/>
    </row>
    <row r="14154" spans="1:1" s="173" customFormat="1" ht="12" hidden="1" customHeight="1">
      <c r="A14154" s="172"/>
    </row>
    <row r="14155" spans="1:1" s="173" customFormat="1" ht="12" hidden="1" customHeight="1">
      <c r="A14155" s="172"/>
    </row>
    <row r="14156" spans="1:1" s="173" customFormat="1" ht="12" hidden="1" customHeight="1">
      <c r="A14156" s="172"/>
    </row>
    <row r="14157" spans="1:1" s="173" customFormat="1" ht="12" hidden="1" customHeight="1">
      <c r="A14157" s="172"/>
    </row>
    <row r="14158" spans="1:1" s="173" customFormat="1" ht="12" hidden="1" customHeight="1">
      <c r="A14158" s="172"/>
    </row>
    <row r="14159" spans="1:1" s="173" customFormat="1" ht="12" hidden="1" customHeight="1">
      <c r="A14159" s="172"/>
    </row>
    <row r="14160" spans="1:1" s="173" customFormat="1" ht="12" hidden="1" customHeight="1">
      <c r="A14160" s="172"/>
    </row>
    <row r="14161" spans="1:1" s="173" customFormat="1" ht="12" hidden="1" customHeight="1">
      <c r="A14161" s="172"/>
    </row>
    <row r="14162" spans="1:1" s="173" customFormat="1" ht="12" hidden="1" customHeight="1">
      <c r="A14162" s="172"/>
    </row>
    <row r="14163" spans="1:1" s="173" customFormat="1" ht="12" hidden="1" customHeight="1">
      <c r="A14163" s="172"/>
    </row>
    <row r="14164" spans="1:1" s="173" customFormat="1" ht="12" hidden="1" customHeight="1">
      <c r="A14164" s="172"/>
    </row>
    <row r="14165" spans="1:1" s="173" customFormat="1" ht="12" hidden="1" customHeight="1">
      <c r="A14165" s="172"/>
    </row>
    <row r="14166" spans="1:1" s="173" customFormat="1" ht="12" hidden="1" customHeight="1">
      <c r="A14166" s="172"/>
    </row>
    <row r="14167" spans="1:1" s="173" customFormat="1" ht="12" hidden="1" customHeight="1">
      <c r="A14167" s="172"/>
    </row>
    <row r="14168" spans="1:1" s="173" customFormat="1" ht="12" hidden="1" customHeight="1">
      <c r="A14168" s="172"/>
    </row>
    <row r="14169" spans="1:1" s="173" customFormat="1" ht="12" hidden="1" customHeight="1">
      <c r="A14169" s="172"/>
    </row>
    <row r="14170" spans="1:1" s="173" customFormat="1" ht="12" hidden="1" customHeight="1">
      <c r="A14170" s="172"/>
    </row>
    <row r="14171" spans="1:1" s="173" customFormat="1" ht="12" hidden="1" customHeight="1">
      <c r="A14171" s="172"/>
    </row>
    <row r="14172" spans="1:1" s="173" customFormat="1" ht="12" hidden="1" customHeight="1">
      <c r="A14172" s="172"/>
    </row>
    <row r="14173" spans="1:1" s="173" customFormat="1" ht="12" hidden="1" customHeight="1">
      <c r="A14173" s="172"/>
    </row>
    <row r="14174" spans="1:1" s="173" customFormat="1" ht="12" hidden="1" customHeight="1">
      <c r="A14174" s="172"/>
    </row>
    <row r="14175" spans="1:1" s="173" customFormat="1" ht="12" hidden="1" customHeight="1">
      <c r="A14175" s="172"/>
    </row>
    <row r="14176" spans="1:1" s="173" customFormat="1" ht="12" hidden="1" customHeight="1">
      <c r="A14176" s="172"/>
    </row>
    <row r="14177" spans="1:1" s="173" customFormat="1" ht="12" hidden="1" customHeight="1">
      <c r="A14177" s="172"/>
    </row>
    <row r="14178" spans="1:1" s="173" customFormat="1" ht="12" hidden="1" customHeight="1">
      <c r="A14178" s="172"/>
    </row>
    <row r="14179" spans="1:1" s="173" customFormat="1" ht="12" hidden="1" customHeight="1">
      <c r="A14179" s="172"/>
    </row>
    <row r="14180" spans="1:1" s="173" customFormat="1" ht="12" hidden="1" customHeight="1">
      <c r="A14180" s="172"/>
    </row>
    <row r="14181" spans="1:1" s="173" customFormat="1" ht="12" hidden="1" customHeight="1">
      <c r="A14181" s="172"/>
    </row>
    <row r="14182" spans="1:1" s="173" customFormat="1" ht="12" hidden="1" customHeight="1">
      <c r="A14182" s="172"/>
    </row>
    <row r="14183" spans="1:1" s="173" customFormat="1" ht="12" hidden="1" customHeight="1">
      <c r="A14183" s="172"/>
    </row>
    <row r="14184" spans="1:1" s="173" customFormat="1" ht="12" hidden="1" customHeight="1">
      <c r="A14184" s="172"/>
    </row>
    <row r="14185" spans="1:1" s="173" customFormat="1" ht="12" hidden="1" customHeight="1">
      <c r="A14185" s="172"/>
    </row>
    <row r="14186" spans="1:1" s="173" customFormat="1" ht="12" hidden="1" customHeight="1">
      <c r="A14186" s="172"/>
    </row>
    <row r="14187" spans="1:1" s="173" customFormat="1" ht="12" hidden="1" customHeight="1">
      <c r="A14187" s="172"/>
    </row>
    <row r="14188" spans="1:1" s="173" customFormat="1" ht="12" hidden="1" customHeight="1">
      <c r="A14188" s="172"/>
    </row>
    <row r="14189" spans="1:1" s="173" customFormat="1" ht="12" hidden="1" customHeight="1">
      <c r="A14189" s="172"/>
    </row>
    <row r="14190" spans="1:1" s="173" customFormat="1" ht="12" hidden="1" customHeight="1">
      <c r="A14190" s="172"/>
    </row>
    <row r="14191" spans="1:1" s="173" customFormat="1" ht="12" hidden="1" customHeight="1">
      <c r="A14191" s="172"/>
    </row>
    <row r="14192" spans="1:1" s="173" customFormat="1" ht="12" hidden="1" customHeight="1">
      <c r="A14192" s="172"/>
    </row>
    <row r="14193" spans="1:1" s="173" customFormat="1" ht="12" hidden="1" customHeight="1">
      <c r="A14193" s="172"/>
    </row>
    <row r="14194" spans="1:1" s="173" customFormat="1" ht="12" hidden="1" customHeight="1">
      <c r="A14194" s="172"/>
    </row>
    <row r="14195" spans="1:1" s="173" customFormat="1" ht="12" hidden="1" customHeight="1">
      <c r="A14195" s="172"/>
    </row>
    <row r="14196" spans="1:1" s="173" customFormat="1" ht="12" hidden="1" customHeight="1">
      <c r="A14196" s="172"/>
    </row>
    <row r="14197" spans="1:1" s="173" customFormat="1" ht="12" hidden="1" customHeight="1">
      <c r="A14197" s="172"/>
    </row>
    <row r="14198" spans="1:1" s="173" customFormat="1" ht="12" hidden="1" customHeight="1">
      <c r="A14198" s="172"/>
    </row>
    <row r="14199" spans="1:1" s="173" customFormat="1" ht="12" hidden="1" customHeight="1">
      <c r="A14199" s="172"/>
    </row>
    <row r="14200" spans="1:1" s="173" customFormat="1" ht="12" hidden="1" customHeight="1">
      <c r="A14200" s="172"/>
    </row>
    <row r="14201" spans="1:1" s="173" customFormat="1" ht="12" hidden="1" customHeight="1">
      <c r="A14201" s="172"/>
    </row>
    <row r="14202" spans="1:1" s="173" customFormat="1" ht="12" hidden="1" customHeight="1">
      <c r="A14202" s="172"/>
    </row>
    <row r="14203" spans="1:1" s="173" customFormat="1" ht="12" hidden="1" customHeight="1">
      <c r="A14203" s="172"/>
    </row>
    <row r="14204" spans="1:1" s="173" customFormat="1" ht="12" hidden="1" customHeight="1">
      <c r="A14204" s="172"/>
    </row>
    <row r="14205" spans="1:1" s="173" customFormat="1" ht="12" hidden="1" customHeight="1">
      <c r="A14205" s="172"/>
    </row>
    <row r="14206" spans="1:1" s="173" customFormat="1" ht="12" hidden="1" customHeight="1">
      <c r="A14206" s="172"/>
    </row>
    <row r="14207" spans="1:1" s="173" customFormat="1" ht="12" hidden="1" customHeight="1">
      <c r="A14207" s="172"/>
    </row>
    <row r="14208" spans="1:1" s="173" customFormat="1" ht="12" hidden="1" customHeight="1">
      <c r="A14208" s="172"/>
    </row>
    <row r="14209" spans="1:1" s="173" customFormat="1" ht="12" hidden="1" customHeight="1">
      <c r="A14209" s="172"/>
    </row>
    <row r="14210" spans="1:1" s="173" customFormat="1" ht="12" hidden="1" customHeight="1">
      <c r="A14210" s="172"/>
    </row>
    <row r="14211" spans="1:1" s="173" customFormat="1" ht="12" hidden="1" customHeight="1">
      <c r="A14211" s="172"/>
    </row>
    <row r="14212" spans="1:1" s="173" customFormat="1" ht="12" hidden="1" customHeight="1">
      <c r="A14212" s="172"/>
    </row>
    <row r="14213" spans="1:1" s="173" customFormat="1" ht="12" hidden="1" customHeight="1">
      <c r="A14213" s="172"/>
    </row>
    <row r="14214" spans="1:1" s="173" customFormat="1" ht="12" hidden="1" customHeight="1">
      <c r="A14214" s="172"/>
    </row>
    <row r="14215" spans="1:1" s="173" customFormat="1" ht="12" hidden="1" customHeight="1">
      <c r="A14215" s="172"/>
    </row>
    <row r="14216" spans="1:1" s="173" customFormat="1" ht="12" hidden="1" customHeight="1">
      <c r="A14216" s="172"/>
    </row>
    <row r="14217" spans="1:1" s="173" customFormat="1" ht="12" hidden="1" customHeight="1">
      <c r="A14217" s="172"/>
    </row>
    <row r="14218" spans="1:1" s="173" customFormat="1" ht="12" hidden="1" customHeight="1">
      <c r="A14218" s="172"/>
    </row>
    <row r="14219" spans="1:1" s="173" customFormat="1" ht="12" hidden="1" customHeight="1">
      <c r="A14219" s="172"/>
    </row>
    <row r="14220" spans="1:1" s="173" customFormat="1" ht="12" hidden="1" customHeight="1">
      <c r="A14220" s="172"/>
    </row>
    <row r="14221" spans="1:1" s="173" customFormat="1" ht="12" hidden="1" customHeight="1">
      <c r="A14221" s="172"/>
    </row>
    <row r="14222" spans="1:1" s="173" customFormat="1" ht="12" hidden="1" customHeight="1">
      <c r="A14222" s="172"/>
    </row>
    <row r="14223" spans="1:1" s="173" customFormat="1" ht="12" hidden="1" customHeight="1">
      <c r="A14223" s="172"/>
    </row>
    <row r="14224" spans="1:1" s="173" customFormat="1" ht="12" hidden="1" customHeight="1">
      <c r="A14224" s="172"/>
    </row>
    <row r="14225" spans="1:1" s="173" customFormat="1" ht="12" hidden="1" customHeight="1">
      <c r="A14225" s="172"/>
    </row>
    <row r="14226" spans="1:1" s="173" customFormat="1" ht="12" hidden="1" customHeight="1">
      <c r="A14226" s="172"/>
    </row>
    <row r="14227" spans="1:1" s="173" customFormat="1" ht="12" hidden="1" customHeight="1">
      <c r="A14227" s="172"/>
    </row>
    <row r="14228" spans="1:1" s="173" customFormat="1" ht="12" hidden="1" customHeight="1">
      <c r="A14228" s="172"/>
    </row>
    <row r="14229" spans="1:1" s="173" customFormat="1" ht="12" hidden="1" customHeight="1">
      <c r="A14229" s="172"/>
    </row>
    <row r="14230" spans="1:1" s="173" customFormat="1" ht="12" hidden="1" customHeight="1">
      <c r="A14230" s="172"/>
    </row>
    <row r="14231" spans="1:1" s="173" customFormat="1" ht="12" hidden="1" customHeight="1">
      <c r="A14231" s="172"/>
    </row>
    <row r="14232" spans="1:1" s="173" customFormat="1" ht="12" hidden="1" customHeight="1">
      <c r="A14232" s="172"/>
    </row>
    <row r="14233" spans="1:1" s="173" customFormat="1" ht="12" hidden="1" customHeight="1">
      <c r="A14233" s="172"/>
    </row>
    <row r="14234" spans="1:1" s="173" customFormat="1" ht="12" hidden="1" customHeight="1">
      <c r="A14234" s="172"/>
    </row>
    <row r="14235" spans="1:1" s="173" customFormat="1" ht="12" hidden="1" customHeight="1">
      <c r="A14235" s="172"/>
    </row>
    <row r="14236" spans="1:1" s="173" customFormat="1" ht="12" hidden="1" customHeight="1">
      <c r="A14236" s="172"/>
    </row>
    <row r="14237" spans="1:1" s="173" customFormat="1" ht="12" hidden="1" customHeight="1">
      <c r="A14237" s="172"/>
    </row>
    <row r="14238" spans="1:1" s="173" customFormat="1" ht="12" hidden="1" customHeight="1">
      <c r="A14238" s="172"/>
    </row>
    <row r="14239" spans="1:1" s="173" customFormat="1" ht="12" hidden="1" customHeight="1">
      <c r="A14239" s="172"/>
    </row>
    <row r="14240" spans="1:1" s="173" customFormat="1" ht="12" hidden="1" customHeight="1">
      <c r="A14240" s="172"/>
    </row>
    <row r="14241" spans="1:1" s="173" customFormat="1" ht="12" hidden="1" customHeight="1">
      <c r="A14241" s="172"/>
    </row>
    <row r="14242" spans="1:1" s="173" customFormat="1" ht="12" hidden="1" customHeight="1">
      <c r="A14242" s="172"/>
    </row>
    <row r="14243" spans="1:1" s="173" customFormat="1" ht="12" hidden="1" customHeight="1">
      <c r="A14243" s="172"/>
    </row>
    <row r="14244" spans="1:1" s="173" customFormat="1" ht="12" hidden="1" customHeight="1">
      <c r="A14244" s="172"/>
    </row>
    <row r="14245" spans="1:1" s="173" customFormat="1" ht="12" hidden="1" customHeight="1">
      <c r="A14245" s="172"/>
    </row>
    <row r="14246" spans="1:1" s="173" customFormat="1" ht="12" hidden="1" customHeight="1">
      <c r="A14246" s="172"/>
    </row>
    <row r="14247" spans="1:1" s="173" customFormat="1" ht="12" hidden="1" customHeight="1">
      <c r="A14247" s="172"/>
    </row>
    <row r="14248" spans="1:1" s="173" customFormat="1" ht="12" hidden="1" customHeight="1">
      <c r="A14248" s="172"/>
    </row>
    <row r="14249" spans="1:1" s="173" customFormat="1" ht="12" hidden="1" customHeight="1">
      <c r="A14249" s="172"/>
    </row>
    <row r="14250" spans="1:1" s="173" customFormat="1" ht="12" hidden="1" customHeight="1">
      <c r="A14250" s="172"/>
    </row>
    <row r="14251" spans="1:1" s="173" customFormat="1" ht="12" hidden="1" customHeight="1">
      <c r="A14251" s="172"/>
    </row>
    <row r="14252" spans="1:1" s="173" customFormat="1" ht="12" hidden="1" customHeight="1">
      <c r="A14252" s="172"/>
    </row>
    <row r="14253" spans="1:1" s="173" customFormat="1" ht="12" hidden="1" customHeight="1">
      <c r="A14253" s="172"/>
    </row>
    <row r="14254" spans="1:1" s="173" customFormat="1" ht="12" hidden="1" customHeight="1">
      <c r="A14254" s="172"/>
    </row>
    <row r="14255" spans="1:1" s="173" customFormat="1" ht="12" hidden="1" customHeight="1">
      <c r="A14255" s="172"/>
    </row>
    <row r="14256" spans="1:1" s="173" customFormat="1" ht="12" hidden="1" customHeight="1">
      <c r="A14256" s="172"/>
    </row>
    <row r="14257" spans="1:1" s="173" customFormat="1" ht="12" hidden="1" customHeight="1">
      <c r="A14257" s="172"/>
    </row>
    <row r="14258" spans="1:1" s="173" customFormat="1" ht="12" hidden="1" customHeight="1">
      <c r="A14258" s="172"/>
    </row>
    <row r="14259" spans="1:1" s="173" customFormat="1" ht="12" hidden="1" customHeight="1">
      <c r="A14259" s="172"/>
    </row>
    <row r="14260" spans="1:1" s="173" customFormat="1" ht="12" hidden="1" customHeight="1">
      <c r="A14260" s="172"/>
    </row>
    <row r="14261" spans="1:1" s="173" customFormat="1" ht="12" hidden="1" customHeight="1">
      <c r="A14261" s="172"/>
    </row>
    <row r="14262" spans="1:1" s="173" customFormat="1" ht="12" hidden="1" customHeight="1">
      <c r="A14262" s="172"/>
    </row>
    <row r="14263" spans="1:1" s="173" customFormat="1" ht="12" hidden="1" customHeight="1">
      <c r="A14263" s="172"/>
    </row>
    <row r="14264" spans="1:1" s="173" customFormat="1" ht="12" hidden="1" customHeight="1">
      <c r="A14264" s="172"/>
    </row>
    <row r="14265" spans="1:1" s="173" customFormat="1" ht="12" hidden="1" customHeight="1">
      <c r="A14265" s="172"/>
    </row>
    <row r="14266" spans="1:1" s="173" customFormat="1" ht="12" hidden="1" customHeight="1">
      <c r="A14266" s="172"/>
    </row>
    <row r="14267" spans="1:1" s="173" customFormat="1" ht="12" hidden="1" customHeight="1">
      <c r="A14267" s="172"/>
    </row>
    <row r="14268" spans="1:1" s="173" customFormat="1" ht="12" hidden="1" customHeight="1">
      <c r="A14268" s="172"/>
    </row>
    <row r="14269" spans="1:1" s="173" customFormat="1" ht="12" hidden="1" customHeight="1">
      <c r="A14269" s="172"/>
    </row>
    <row r="14270" spans="1:1" s="173" customFormat="1" ht="12" hidden="1" customHeight="1">
      <c r="A14270" s="172"/>
    </row>
    <row r="14271" spans="1:1" s="173" customFormat="1" ht="12" hidden="1" customHeight="1">
      <c r="A14271" s="172"/>
    </row>
    <row r="14272" spans="1:1" s="173" customFormat="1" ht="12" hidden="1" customHeight="1">
      <c r="A14272" s="172"/>
    </row>
    <row r="14273" spans="1:1" s="173" customFormat="1" ht="12" hidden="1" customHeight="1">
      <c r="A14273" s="172"/>
    </row>
    <row r="14274" spans="1:1" s="173" customFormat="1" ht="12" hidden="1" customHeight="1">
      <c r="A14274" s="172"/>
    </row>
    <row r="14275" spans="1:1" s="173" customFormat="1" ht="12" hidden="1" customHeight="1">
      <c r="A14275" s="172"/>
    </row>
    <row r="14276" spans="1:1" s="173" customFormat="1" ht="12" hidden="1" customHeight="1">
      <c r="A14276" s="172"/>
    </row>
    <row r="14277" spans="1:1" s="173" customFormat="1" ht="12" hidden="1" customHeight="1">
      <c r="A14277" s="172"/>
    </row>
    <row r="14278" spans="1:1" s="173" customFormat="1" ht="12" hidden="1" customHeight="1">
      <c r="A14278" s="172"/>
    </row>
    <row r="14279" spans="1:1" s="173" customFormat="1" ht="12" hidden="1" customHeight="1">
      <c r="A14279" s="172"/>
    </row>
    <row r="14280" spans="1:1" s="173" customFormat="1" ht="12" hidden="1" customHeight="1">
      <c r="A14280" s="172"/>
    </row>
    <row r="14281" spans="1:1" s="173" customFormat="1" ht="12" hidden="1" customHeight="1">
      <c r="A14281" s="172"/>
    </row>
    <row r="14282" spans="1:1" s="173" customFormat="1" ht="12" hidden="1" customHeight="1">
      <c r="A14282" s="172"/>
    </row>
    <row r="14283" spans="1:1" s="173" customFormat="1" ht="12" hidden="1" customHeight="1">
      <c r="A14283" s="172"/>
    </row>
    <row r="14284" spans="1:1" s="173" customFormat="1" ht="12" hidden="1" customHeight="1">
      <c r="A14284" s="172"/>
    </row>
    <row r="14285" spans="1:1" s="173" customFormat="1" ht="12" hidden="1" customHeight="1">
      <c r="A14285" s="172"/>
    </row>
    <row r="14286" spans="1:1" s="173" customFormat="1" ht="12" hidden="1" customHeight="1">
      <c r="A14286" s="172"/>
    </row>
    <row r="14287" spans="1:1" s="173" customFormat="1" ht="12" hidden="1" customHeight="1">
      <c r="A14287" s="172"/>
    </row>
    <row r="14288" spans="1:1" s="173" customFormat="1" ht="12" hidden="1" customHeight="1">
      <c r="A14288" s="172"/>
    </row>
    <row r="14289" spans="1:1" s="173" customFormat="1" ht="12" hidden="1" customHeight="1">
      <c r="A14289" s="172"/>
    </row>
    <row r="14290" spans="1:1" s="173" customFormat="1" ht="12" hidden="1" customHeight="1">
      <c r="A14290" s="172"/>
    </row>
    <row r="14291" spans="1:1" s="173" customFormat="1" ht="12" hidden="1" customHeight="1">
      <c r="A14291" s="172"/>
    </row>
    <row r="14292" spans="1:1" s="173" customFormat="1" ht="12" hidden="1" customHeight="1">
      <c r="A14292" s="172"/>
    </row>
    <row r="14293" spans="1:1" s="173" customFormat="1" ht="12" hidden="1" customHeight="1">
      <c r="A14293" s="172"/>
    </row>
    <row r="14294" spans="1:1" s="173" customFormat="1" ht="12" hidden="1" customHeight="1">
      <c r="A14294" s="172"/>
    </row>
    <row r="14295" spans="1:1" s="173" customFormat="1" ht="12" hidden="1" customHeight="1">
      <c r="A14295" s="172"/>
    </row>
    <row r="14296" spans="1:1" s="173" customFormat="1" ht="12" hidden="1" customHeight="1">
      <c r="A14296" s="172"/>
    </row>
    <row r="14297" spans="1:1" s="173" customFormat="1" ht="12" hidden="1" customHeight="1">
      <c r="A14297" s="172"/>
    </row>
    <row r="14298" spans="1:1" s="173" customFormat="1" ht="12" hidden="1" customHeight="1">
      <c r="A14298" s="172"/>
    </row>
    <row r="14299" spans="1:1" s="173" customFormat="1" ht="12" hidden="1" customHeight="1">
      <c r="A14299" s="172"/>
    </row>
    <row r="14300" spans="1:1" s="173" customFormat="1" ht="12" hidden="1" customHeight="1">
      <c r="A14300" s="172"/>
    </row>
    <row r="14301" spans="1:1" s="173" customFormat="1" ht="12" hidden="1" customHeight="1">
      <c r="A14301" s="172"/>
    </row>
    <row r="14302" spans="1:1" s="173" customFormat="1" ht="12" hidden="1" customHeight="1">
      <c r="A14302" s="172"/>
    </row>
    <row r="14303" spans="1:1" s="173" customFormat="1" ht="12" hidden="1" customHeight="1">
      <c r="A14303" s="172"/>
    </row>
    <row r="14304" spans="1:1" s="173" customFormat="1" ht="12" hidden="1" customHeight="1">
      <c r="A14304" s="172"/>
    </row>
    <row r="14305" spans="1:1" s="173" customFormat="1" ht="12" hidden="1" customHeight="1">
      <c r="A14305" s="172"/>
    </row>
    <row r="14306" spans="1:1" s="173" customFormat="1" ht="12" hidden="1" customHeight="1">
      <c r="A14306" s="172"/>
    </row>
    <row r="14307" spans="1:1" s="173" customFormat="1" ht="12" hidden="1" customHeight="1">
      <c r="A14307" s="172"/>
    </row>
    <row r="14308" spans="1:1" s="173" customFormat="1" ht="12" hidden="1" customHeight="1">
      <c r="A14308" s="172"/>
    </row>
    <row r="14309" spans="1:1" s="173" customFormat="1" ht="12" hidden="1" customHeight="1">
      <c r="A14309" s="172"/>
    </row>
    <row r="14310" spans="1:1" s="173" customFormat="1" ht="12" hidden="1" customHeight="1">
      <c r="A14310" s="172"/>
    </row>
    <row r="14311" spans="1:1" s="173" customFormat="1" ht="12" hidden="1" customHeight="1">
      <c r="A14311" s="172"/>
    </row>
    <row r="14312" spans="1:1" s="173" customFormat="1" ht="12" hidden="1" customHeight="1">
      <c r="A14312" s="172"/>
    </row>
    <row r="14313" spans="1:1" s="173" customFormat="1" ht="12" hidden="1" customHeight="1">
      <c r="A14313" s="172"/>
    </row>
    <row r="14314" spans="1:1" s="173" customFormat="1" ht="12" hidden="1" customHeight="1">
      <c r="A14314" s="172"/>
    </row>
    <row r="14315" spans="1:1" s="173" customFormat="1" ht="12" hidden="1" customHeight="1">
      <c r="A14315" s="172"/>
    </row>
    <row r="14316" spans="1:1" s="173" customFormat="1" ht="12" hidden="1" customHeight="1">
      <c r="A14316" s="172"/>
    </row>
    <row r="14317" spans="1:1" s="173" customFormat="1" ht="12" hidden="1" customHeight="1">
      <c r="A14317" s="172"/>
    </row>
    <row r="14318" spans="1:1" s="173" customFormat="1" ht="12" hidden="1" customHeight="1">
      <c r="A14318" s="172"/>
    </row>
    <row r="14319" spans="1:1" s="173" customFormat="1" ht="12" hidden="1" customHeight="1">
      <c r="A14319" s="172"/>
    </row>
    <row r="14320" spans="1:1" s="173" customFormat="1" ht="12" hidden="1" customHeight="1">
      <c r="A14320" s="172"/>
    </row>
    <row r="14321" spans="1:1" s="173" customFormat="1" ht="12" hidden="1" customHeight="1">
      <c r="A14321" s="172"/>
    </row>
    <row r="14322" spans="1:1" s="173" customFormat="1" ht="12" hidden="1" customHeight="1">
      <c r="A14322" s="172"/>
    </row>
    <row r="14323" spans="1:1" s="173" customFormat="1" ht="12" hidden="1" customHeight="1">
      <c r="A14323" s="172"/>
    </row>
    <row r="14324" spans="1:1" s="173" customFormat="1" ht="12" hidden="1" customHeight="1">
      <c r="A14324" s="172"/>
    </row>
    <row r="14325" spans="1:1" s="173" customFormat="1" ht="12" hidden="1" customHeight="1">
      <c r="A14325" s="172"/>
    </row>
    <row r="14326" spans="1:1" s="173" customFormat="1" ht="12" hidden="1" customHeight="1">
      <c r="A14326" s="172"/>
    </row>
    <row r="14327" spans="1:1" s="173" customFormat="1" ht="12" hidden="1" customHeight="1">
      <c r="A14327" s="172"/>
    </row>
    <row r="14328" spans="1:1" s="173" customFormat="1" ht="12" hidden="1" customHeight="1">
      <c r="A14328" s="172"/>
    </row>
    <row r="14329" spans="1:1" s="173" customFormat="1" ht="12" hidden="1" customHeight="1">
      <c r="A14329" s="172"/>
    </row>
    <row r="14330" spans="1:1" s="173" customFormat="1" ht="12" hidden="1" customHeight="1">
      <c r="A14330" s="172"/>
    </row>
    <row r="14331" spans="1:1" s="173" customFormat="1" ht="12" hidden="1" customHeight="1">
      <c r="A14331" s="172"/>
    </row>
    <row r="14332" spans="1:1" s="173" customFormat="1" ht="12" hidden="1" customHeight="1">
      <c r="A14332" s="172"/>
    </row>
    <row r="14333" spans="1:1" s="173" customFormat="1" ht="12" hidden="1" customHeight="1">
      <c r="A14333" s="172"/>
    </row>
    <row r="14334" spans="1:1" s="173" customFormat="1" ht="12" hidden="1" customHeight="1">
      <c r="A14334" s="172"/>
    </row>
    <row r="14335" spans="1:1" s="173" customFormat="1" ht="12" hidden="1" customHeight="1">
      <c r="A14335" s="172"/>
    </row>
    <row r="14336" spans="1:1" s="173" customFormat="1" ht="12" hidden="1" customHeight="1">
      <c r="A14336" s="172"/>
    </row>
    <row r="14337" spans="1:1" s="173" customFormat="1" ht="12" hidden="1" customHeight="1">
      <c r="A14337" s="172"/>
    </row>
    <row r="14338" spans="1:1" s="173" customFormat="1" ht="12" hidden="1" customHeight="1">
      <c r="A14338" s="172"/>
    </row>
    <row r="14339" spans="1:1" s="173" customFormat="1" ht="12" hidden="1" customHeight="1">
      <c r="A14339" s="172"/>
    </row>
    <row r="14340" spans="1:1" s="173" customFormat="1" ht="12" hidden="1" customHeight="1">
      <c r="A14340" s="172"/>
    </row>
    <row r="14341" spans="1:1" s="173" customFormat="1" ht="12" hidden="1" customHeight="1">
      <c r="A14341" s="172"/>
    </row>
    <row r="14342" spans="1:1" s="173" customFormat="1" ht="12" hidden="1" customHeight="1">
      <c r="A14342" s="172"/>
    </row>
    <row r="14343" spans="1:1" s="173" customFormat="1" ht="12" hidden="1" customHeight="1">
      <c r="A14343" s="172"/>
    </row>
    <row r="14344" spans="1:1" s="173" customFormat="1" ht="12" hidden="1" customHeight="1">
      <c r="A14344" s="172"/>
    </row>
    <row r="14345" spans="1:1" s="173" customFormat="1" ht="12" hidden="1" customHeight="1">
      <c r="A14345" s="172"/>
    </row>
    <row r="14346" spans="1:1" s="173" customFormat="1" ht="12" hidden="1" customHeight="1">
      <c r="A14346" s="172"/>
    </row>
    <row r="14347" spans="1:1" s="173" customFormat="1" ht="12" hidden="1" customHeight="1">
      <c r="A14347" s="172"/>
    </row>
    <row r="14348" spans="1:1" s="173" customFormat="1" ht="12" hidden="1" customHeight="1">
      <c r="A14348" s="172"/>
    </row>
    <row r="14349" spans="1:1" s="173" customFormat="1" ht="12" hidden="1" customHeight="1">
      <c r="A14349" s="172"/>
    </row>
    <row r="14350" spans="1:1" s="173" customFormat="1" ht="12" hidden="1" customHeight="1">
      <c r="A14350" s="172"/>
    </row>
    <row r="14351" spans="1:1" s="173" customFormat="1" ht="12" hidden="1" customHeight="1">
      <c r="A14351" s="172"/>
    </row>
    <row r="14352" spans="1:1" s="173" customFormat="1" ht="12" hidden="1" customHeight="1">
      <c r="A14352" s="172"/>
    </row>
    <row r="14353" spans="1:1" s="173" customFormat="1" ht="12" hidden="1" customHeight="1">
      <c r="A14353" s="172"/>
    </row>
    <row r="14354" spans="1:1" s="173" customFormat="1" ht="12" hidden="1" customHeight="1">
      <c r="A14354" s="172"/>
    </row>
    <row r="14355" spans="1:1" s="173" customFormat="1" ht="12" hidden="1" customHeight="1">
      <c r="A14355" s="172"/>
    </row>
    <row r="14356" spans="1:1" s="173" customFormat="1" ht="12" hidden="1" customHeight="1">
      <c r="A14356" s="172"/>
    </row>
    <row r="14357" spans="1:1" s="173" customFormat="1" ht="12" hidden="1" customHeight="1">
      <c r="A14357" s="172"/>
    </row>
    <row r="14358" spans="1:1" s="173" customFormat="1" ht="12" hidden="1" customHeight="1">
      <c r="A14358" s="172"/>
    </row>
    <row r="14359" spans="1:1" s="173" customFormat="1" ht="12" hidden="1" customHeight="1">
      <c r="A14359" s="172"/>
    </row>
    <row r="14360" spans="1:1" s="173" customFormat="1" ht="12" hidden="1" customHeight="1">
      <c r="A14360" s="172"/>
    </row>
    <row r="14361" spans="1:1" s="173" customFormat="1" ht="12" hidden="1" customHeight="1">
      <c r="A14361" s="172"/>
    </row>
    <row r="14362" spans="1:1" s="173" customFormat="1" ht="12" hidden="1" customHeight="1">
      <c r="A14362" s="172"/>
    </row>
    <row r="14363" spans="1:1" s="173" customFormat="1" ht="12" hidden="1" customHeight="1">
      <c r="A14363" s="172"/>
    </row>
    <row r="14364" spans="1:1" s="173" customFormat="1" ht="12" hidden="1" customHeight="1">
      <c r="A14364" s="172"/>
    </row>
    <row r="14365" spans="1:1" s="173" customFormat="1" ht="12" hidden="1" customHeight="1">
      <c r="A14365" s="172"/>
    </row>
    <row r="14366" spans="1:1" s="173" customFormat="1" ht="12" hidden="1" customHeight="1">
      <c r="A14366" s="172"/>
    </row>
    <row r="14367" spans="1:1" s="173" customFormat="1" ht="12" hidden="1" customHeight="1">
      <c r="A14367" s="172"/>
    </row>
    <row r="14368" spans="1:1" s="173" customFormat="1" ht="12" hidden="1" customHeight="1">
      <c r="A14368" s="172"/>
    </row>
    <row r="14369" spans="1:1" s="173" customFormat="1" ht="12" hidden="1" customHeight="1">
      <c r="A14369" s="172"/>
    </row>
    <row r="14370" spans="1:1" s="173" customFormat="1" ht="12" hidden="1" customHeight="1">
      <c r="A14370" s="172"/>
    </row>
    <row r="14371" spans="1:1" s="173" customFormat="1" ht="12" hidden="1" customHeight="1">
      <c r="A14371" s="172"/>
    </row>
    <row r="14372" spans="1:1" s="173" customFormat="1" ht="12" hidden="1" customHeight="1">
      <c r="A14372" s="172"/>
    </row>
    <row r="14373" spans="1:1" s="173" customFormat="1" ht="12" hidden="1" customHeight="1">
      <c r="A14373" s="172"/>
    </row>
    <row r="14374" spans="1:1" s="173" customFormat="1" ht="12" hidden="1" customHeight="1">
      <c r="A14374" s="172"/>
    </row>
    <row r="14375" spans="1:1" s="173" customFormat="1" ht="12" hidden="1" customHeight="1">
      <c r="A14375" s="172"/>
    </row>
    <row r="14376" spans="1:1" s="173" customFormat="1" ht="12" hidden="1" customHeight="1">
      <c r="A14376" s="172"/>
    </row>
    <row r="14377" spans="1:1" s="173" customFormat="1" ht="12" hidden="1" customHeight="1">
      <c r="A14377" s="172"/>
    </row>
    <row r="14378" spans="1:1" s="173" customFormat="1" ht="12" hidden="1" customHeight="1">
      <c r="A14378" s="172"/>
    </row>
    <row r="14379" spans="1:1" s="173" customFormat="1" ht="12" hidden="1" customHeight="1">
      <c r="A14379" s="172"/>
    </row>
    <row r="14380" spans="1:1" s="173" customFormat="1" ht="12" hidden="1" customHeight="1">
      <c r="A14380" s="172"/>
    </row>
    <row r="14381" spans="1:1" s="173" customFormat="1" ht="12" hidden="1" customHeight="1">
      <c r="A14381" s="172"/>
    </row>
    <row r="14382" spans="1:1" s="173" customFormat="1" ht="12" hidden="1" customHeight="1">
      <c r="A14382" s="172"/>
    </row>
    <row r="14383" spans="1:1" s="173" customFormat="1" ht="12" hidden="1" customHeight="1">
      <c r="A14383" s="172"/>
    </row>
    <row r="14384" spans="1:1" s="173" customFormat="1" ht="12" hidden="1" customHeight="1">
      <c r="A14384" s="172"/>
    </row>
    <row r="14385" spans="1:1" s="173" customFormat="1" ht="12" hidden="1" customHeight="1">
      <c r="A14385" s="172"/>
    </row>
    <row r="14386" spans="1:1" s="173" customFormat="1" ht="12" hidden="1" customHeight="1">
      <c r="A14386" s="172"/>
    </row>
    <row r="14387" spans="1:1" s="173" customFormat="1" ht="12" hidden="1" customHeight="1">
      <c r="A14387" s="172"/>
    </row>
    <row r="14388" spans="1:1" s="173" customFormat="1" ht="12" hidden="1" customHeight="1">
      <c r="A14388" s="172"/>
    </row>
    <row r="14389" spans="1:1" s="173" customFormat="1" ht="12" hidden="1" customHeight="1">
      <c r="A14389" s="172"/>
    </row>
    <row r="14390" spans="1:1" s="173" customFormat="1" ht="12" hidden="1" customHeight="1">
      <c r="A14390" s="172"/>
    </row>
    <row r="14391" spans="1:1" s="173" customFormat="1" ht="12" hidden="1" customHeight="1">
      <c r="A14391" s="172"/>
    </row>
    <row r="14392" spans="1:1" s="173" customFormat="1" ht="12" hidden="1" customHeight="1">
      <c r="A14392" s="172"/>
    </row>
    <row r="14393" spans="1:1" s="173" customFormat="1" ht="12" hidden="1" customHeight="1">
      <c r="A14393" s="172"/>
    </row>
    <row r="14394" spans="1:1" s="173" customFormat="1" ht="12" hidden="1" customHeight="1">
      <c r="A14394" s="172"/>
    </row>
    <row r="14395" spans="1:1" s="173" customFormat="1" ht="12" hidden="1" customHeight="1">
      <c r="A14395" s="172"/>
    </row>
    <row r="14396" spans="1:1" s="173" customFormat="1" ht="12" hidden="1" customHeight="1">
      <c r="A14396" s="172"/>
    </row>
    <row r="14397" spans="1:1" s="173" customFormat="1" ht="12" hidden="1" customHeight="1">
      <c r="A14397" s="172"/>
    </row>
    <row r="14398" spans="1:1" s="173" customFormat="1" ht="12" hidden="1" customHeight="1">
      <c r="A14398" s="172"/>
    </row>
    <row r="14399" spans="1:1" s="173" customFormat="1" ht="12" hidden="1" customHeight="1">
      <c r="A14399" s="172"/>
    </row>
    <row r="14400" spans="1:1" s="173" customFormat="1" ht="12" hidden="1" customHeight="1">
      <c r="A14400" s="172"/>
    </row>
    <row r="14401" spans="1:1" s="173" customFormat="1" ht="12" hidden="1" customHeight="1">
      <c r="A14401" s="172"/>
    </row>
    <row r="14402" spans="1:1" s="173" customFormat="1" ht="12" hidden="1" customHeight="1">
      <c r="A14402" s="172"/>
    </row>
    <row r="14403" spans="1:1" s="173" customFormat="1" ht="12" hidden="1" customHeight="1">
      <c r="A14403" s="172"/>
    </row>
    <row r="14404" spans="1:1" s="173" customFormat="1" ht="12" hidden="1" customHeight="1">
      <c r="A14404" s="172"/>
    </row>
    <row r="14405" spans="1:1" s="173" customFormat="1" ht="12" hidden="1" customHeight="1">
      <c r="A14405" s="172"/>
    </row>
    <row r="14406" spans="1:1" s="173" customFormat="1" ht="12" hidden="1" customHeight="1">
      <c r="A14406" s="172"/>
    </row>
    <row r="14407" spans="1:1" s="173" customFormat="1" ht="12" hidden="1" customHeight="1">
      <c r="A14407" s="172"/>
    </row>
    <row r="14408" spans="1:1" s="173" customFormat="1" ht="12" hidden="1" customHeight="1">
      <c r="A14408" s="172"/>
    </row>
    <row r="14409" spans="1:1" s="173" customFormat="1" ht="12" hidden="1" customHeight="1">
      <c r="A14409" s="172"/>
    </row>
    <row r="14410" spans="1:1" s="173" customFormat="1" ht="12" hidden="1" customHeight="1">
      <c r="A14410" s="172"/>
    </row>
    <row r="14411" spans="1:1" s="173" customFormat="1" ht="12" hidden="1" customHeight="1">
      <c r="A14411" s="172"/>
    </row>
    <row r="14412" spans="1:1" s="173" customFormat="1" ht="12" hidden="1" customHeight="1">
      <c r="A14412" s="172"/>
    </row>
    <row r="14413" spans="1:1" s="173" customFormat="1" ht="12" hidden="1" customHeight="1">
      <c r="A14413" s="172"/>
    </row>
    <row r="14414" spans="1:1" s="173" customFormat="1" ht="12" hidden="1" customHeight="1">
      <c r="A14414" s="172"/>
    </row>
    <row r="14415" spans="1:1" s="173" customFormat="1" ht="12" hidden="1" customHeight="1">
      <c r="A14415" s="172"/>
    </row>
    <row r="14416" spans="1:1" s="173" customFormat="1" ht="12" hidden="1" customHeight="1">
      <c r="A14416" s="172"/>
    </row>
    <row r="14417" spans="1:1" s="173" customFormat="1" ht="12" hidden="1" customHeight="1">
      <c r="A14417" s="172"/>
    </row>
    <row r="14418" spans="1:1" s="173" customFormat="1" ht="12" hidden="1" customHeight="1">
      <c r="A14418" s="172"/>
    </row>
    <row r="14419" spans="1:1" s="173" customFormat="1" ht="12" hidden="1" customHeight="1">
      <c r="A14419" s="172"/>
    </row>
    <row r="14420" spans="1:1" s="173" customFormat="1" ht="12" hidden="1" customHeight="1">
      <c r="A14420" s="172"/>
    </row>
    <row r="14421" spans="1:1" s="173" customFormat="1" ht="12" hidden="1" customHeight="1">
      <c r="A14421" s="172"/>
    </row>
    <row r="14422" spans="1:1" s="173" customFormat="1" ht="12" hidden="1" customHeight="1">
      <c r="A14422" s="172"/>
    </row>
    <row r="14423" spans="1:1" s="173" customFormat="1" ht="12" hidden="1" customHeight="1">
      <c r="A14423" s="172"/>
    </row>
    <row r="14424" spans="1:1" s="173" customFormat="1" ht="12" hidden="1" customHeight="1">
      <c r="A14424" s="172"/>
    </row>
    <row r="14425" spans="1:1" s="173" customFormat="1" ht="12" hidden="1" customHeight="1">
      <c r="A14425" s="172"/>
    </row>
    <row r="14426" spans="1:1" s="173" customFormat="1" ht="12" hidden="1" customHeight="1">
      <c r="A14426" s="172"/>
    </row>
    <row r="14427" spans="1:1" s="173" customFormat="1" ht="12" hidden="1" customHeight="1">
      <c r="A14427" s="172"/>
    </row>
    <row r="14428" spans="1:1" s="173" customFormat="1" ht="12" hidden="1" customHeight="1">
      <c r="A14428" s="172"/>
    </row>
    <row r="14429" spans="1:1" s="173" customFormat="1" ht="12" hidden="1" customHeight="1">
      <c r="A14429" s="172"/>
    </row>
    <row r="14430" spans="1:1" s="173" customFormat="1" ht="12" hidden="1" customHeight="1">
      <c r="A14430" s="172"/>
    </row>
    <row r="14431" spans="1:1" s="173" customFormat="1" ht="12" hidden="1" customHeight="1">
      <c r="A14431" s="172"/>
    </row>
    <row r="14432" spans="1:1" s="173" customFormat="1" ht="12" hidden="1" customHeight="1">
      <c r="A14432" s="172"/>
    </row>
    <row r="14433" spans="1:1" s="173" customFormat="1" ht="12" hidden="1" customHeight="1">
      <c r="A14433" s="172"/>
    </row>
    <row r="14434" spans="1:1" s="173" customFormat="1" ht="12" hidden="1" customHeight="1">
      <c r="A14434" s="172"/>
    </row>
    <row r="14435" spans="1:1" s="173" customFormat="1" ht="12" hidden="1" customHeight="1">
      <c r="A14435" s="172"/>
    </row>
    <row r="14436" spans="1:1" s="173" customFormat="1" ht="12" hidden="1" customHeight="1">
      <c r="A14436" s="172"/>
    </row>
    <row r="14437" spans="1:1" s="173" customFormat="1" ht="12" hidden="1" customHeight="1">
      <c r="A14437" s="172"/>
    </row>
    <row r="14438" spans="1:1" s="173" customFormat="1" ht="12" hidden="1" customHeight="1">
      <c r="A14438" s="172"/>
    </row>
    <row r="14439" spans="1:1" s="173" customFormat="1" ht="12" hidden="1" customHeight="1">
      <c r="A14439" s="172"/>
    </row>
    <row r="14440" spans="1:1" s="173" customFormat="1" ht="12" hidden="1" customHeight="1">
      <c r="A14440" s="172"/>
    </row>
    <row r="14441" spans="1:1" s="173" customFormat="1" ht="12" hidden="1" customHeight="1">
      <c r="A14441" s="172"/>
    </row>
    <row r="14442" spans="1:1" s="173" customFormat="1" ht="12" hidden="1" customHeight="1">
      <c r="A14442" s="172"/>
    </row>
    <row r="14443" spans="1:1" s="173" customFormat="1" ht="12" hidden="1" customHeight="1">
      <c r="A14443" s="172"/>
    </row>
    <row r="14444" spans="1:1" s="173" customFormat="1" ht="12" hidden="1" customHeight="1">
      <c r="A14444" s="172"/>
    </row>
    <row r="14445" spans="1:1" s="173" customFormat="1" ht="12" hidden="1" customHeight="1">
      <c r="A14445" s="172"/>
    </row>
    <row r="14446" spans="1:1" s="173" customFormat="1" ht="12" hidden="1" customHeight="1">
      <c r="A14446" s="172"/>
    </row>
    <row r="14447" spans="1:1" s="173" customFormat="1" ht="12" hidden="1" customHeight="1">
      <c r="A14447" s="172"/>
    </row>
    <row r="14448" spans="1:1" s="173" customFormat="1" ht="12" hidden="1" customHeight="1">
      <c r="A14448" s="172"/>
    </row>
    <row r="14449" spans="1:1" s="173" customFormat="1" ht="12" hidden="1" customHeight="1">
      <c r="A14449" s="172"/>
    </row>
    <row r="14450" spans="1:1" s="173" customFormat="1" ht="12" hidden="1" customHeight="1">
      <c r="A14450" s="172"/>
    </row>
    <row r="14451" spans="1:1" s="173" customFormat="1" ht="12" hidden="1" customHeight="1">
      <c r="A14451" s="172"/>
    </row>
    <row r="14452" spans="1:1" s="173" customFormat="1" ht="12" hidden="1" customHeight="1">
      <c r="A14452" s="172"/>
    </row>
    <row r="14453" spans="1:1" s="173" customFormat="1" ht="12" hidden="1" customHeight="1">
      <c r="A14453" s="172"/>
    </row>
    <row r="14454" spans="1:1" s="173" customFormat="1" ht="12" hidden="1" customHeight="1">
      <c r="A14454" s="172"/>
    </row>
    <row r="14455" spans="1:1" s="173" customFormat="1" ht="12" hidden="1" customHeight="1">
      <c r="A14455" s="172"/>
    </row>
    <row r="14456" spans="1:1" s="173" customFormat="1" ht="12" hidden="1" customHeight="1">
      <c r="A14456" s="172"/>
    </row>
    <row r="14457" spans="1:1" s="173" customFormat="1" ht="12" hidden="1" customHeight="1">
      <c r="A14457" s="172"/>
    </row>
    <row r="14458" spans="1:1" s="173" customFormat="1" ht="12" hidden="1" customHeight="1">
      <c r="A14458" s="172"/>
    </row>
    <row r="14459" spans="1:1" s="173" customFormat="1" ht="12" hidden="1" customHeight="1">
      <c r="A14459" s="172"/>
    </row>
    <row r="14460" spans="1:1" s="173" customFormat="1" ht="12" hidden="1" customHeight="1">
      <c r="A14460" s="172"/>
    </row>
    <row r="14461" spans="1:1" s="173" customFormat="1" ht="12" hidden="1" customHeight="1">
      <c r="A14461" s="172"/>
    </row>
    <row r="14462" spans="1:1" s="173" customFormat="1" ht="12" hidden="1" customHeight="1">
      <c r="A14462" s="172"/>
    </row>
    <row r="14463" spans="1:1" s="173" customFormat="1" ht="12" hidden="1" customHeight="1">
      <c r="A14463" s="172"/>
    </row>
    <row r="14464" spans="1:1" s="173" customFormat="1" ht="12" hidden="1" customHeight="1">
      <c r="A14464" s="172"/>
    </row>
    <row r="14465" spans="1:1" s="173" customFormat="1" ht="12" hidden="1" customHeight="1">
      <c r="A14465" s="172"/>
    </row>
    <row r="14466" spans="1:1" s="173" customFormat="1" ht="12" hidden="1" customHeight="1">
      <c r="A14466" s="172"/>
    </row>
    <row r="14467" spans="1:1" s="173" customFormat="1" ht="12" hidden="1" customHeight="1">
      <c r="A14467" s="172"/>
    </row>
    <row r="14468" spans="1:1" s="173" customFormat="1" ht="12" hidden="1" customHeight="1">
      <c r="A14468" s="172"/>
    </row>
    <row r="14469" spans="1:1" s="173" customFormat="1" ht="12" hidden="1" customHeight="1">
      <c r="A14469" s="172"/>
    </row>
    <row r="14470" spans="1:1" s="173" customFormat="1" ht="12" hidden="1" customHeight="1">
      <c r="A14470" s="172"/>
    </row>
    <row r="14471" spans="1:1" s="173" customFormat="1" ht="12" hidden="1" customHeight="1">
      <c r="A14471" s="172"/>
    </row>
    <row r="14472" spans="1:1" s="173" customFormat="1" ht="12" hidden="1" customHeight="1">
      <c r="A14472" s="172"/>
    </row>
    <row r="14473" spans="1:1" s="173" customFormat="1" ht="12" hidden="1" customHeight="1">
      <c r="A14473" s="172"/>
    </row>
    <row r="14474" spans="1:1" s="173" customFormat="1" ht="12" hidden="1" customHeight="1">
      <c r="A14474" s="172"/>
    </row>
    <row r="14475" spans="1:1" s="173" customFormat="1" ht="12" hidden="1" customHeight="1">
      <c r="A14475" s="172"/>
    </row>
    <row r="14476" spans="1:1" s="173" customFormat="1" ht="12" hidden="1" customHeight="1">
      <c r="A14476" s="172"/>
    </row>
    <row r="14477" spans="1:1" s="173" customFormat="1" ht="12" hidden="1" customHeight="1">
      <c r="A14477" s="172"/>
    </row>
    <row r="14478" spans="1:1" s="173" customFormat="1" ht="12" hidden="1" customHeight="1">
      <c r="A14478" s="172"/>
    </row>
    <row r="14479" spans="1:1" s="173" customFormat="1" ht="12" hidden="1" customHeight="1">
      <c r="A14479" s="172"/>
    </row>
    <row r="14480" spans="1:1" s="173" customFormat="1" ht="12" hidden="1" customHeight="1">
      <c r="A14480" s="172"/>
    </row>
    <row r="14481" spans="1:1" s="173" customFormat="1" ht="12" hidden="1" customHeight="1">
      <c r="A14481" s="172"/>
    </row>
    <row r="14482" spans="1:1" s="173" customFormat="1" ht="12" hidden="1" customHeight="1">
      <c r="A14482" s="172"/>
    </row>
    <row r="14483" spans="1:1" s="173" customFormat="1" ht="12" hidden="1" customHeight="1">
      <c r="A14483" s="172"/>
    </row>
    <row r="14484" spans="1:1" s="173" customFormat="1" ht="12" hidden="1" customHeight="1">
      <c r="A14484" s="172"/>
    </row>
    <row r="14485" spans="1:1" s="173" customFormat="1" ht="12" hidden="1" customHeight="1">
      <c r="A14485" s="172"/>
    </row>
    <row r="14486" spans="1:1" s="173" customFormat="1" ht="12" hidden="1" customHeight="1">
      <c r="A14486" s="172"/>
    </row>
    <row r="14487" spans="1:1" s="173" customFormat="1" ht="12" hidden="1" customHeight="1">
      <c r="A14487" s="172"/>
    </row>
    <row r="14488" spans="1:1" s="173" customFormat="1" ht="12" hidden="1" customHeight="1">
      <c r="A14488" s="172"/>
    </row>
    <row r="14489" spans="1:1" s="173" customFormat="1" ht="12" hidden="1" customHeight="1">
      <c r="A14489" s="172"/>
    </row>
    <row r="14490" spans="1:1" s="173" customFormat="1" ht="12" hidden="1" customHeight="1">
      <c r="A14490" s="172"/>
    </row>
    <row r="14491" spans="1:1" s="173" customFormat="1" ht="12" hidden="1" customHeight="1">
      <c r="A14491" s="172"/>
    </row>
    <row r="14492" spans="1:1" s="173" customFormat="1" ht="12" hidden="1" customHeight="1">
      <c r="A14492" s="172"/>
    </row>
    <row r="14493" spans="1:1" s="173" customFormat="1" ht="12" hidden="1" customHeight="1">
      <c r="A14493" s="172"/>
    </row>
    <row r="14494" spans="1:1" s="173" customFormat="1" ht="12" hidden="1" customHeight="1">
      <c r="A14494" s="172"/>
    </row>
    <row r="14495" spans="1:1" s="173" customFormat="1" ht="12" hidden="1" customHeight="1">
      <c r="A14495" s="172"/>
    </row>
    <row r="14496" spans="1:1" s="173" customFormat="1" ht="12" hidden="1" customHeight="1">
      <c r="A14496" s="172"/>
    </row>
    <row r="14497" spans="1:1" s="173" customFormat="1" ht="12" hidden="1" customHeight="1">
      <c r="A14497" s="172"/>
    </row>
    <row r="14498" spans="1:1" s="173" customFormat="1" ht="12" hidden="1" customHeight="1">
      <c r="A14498" s="172"/>
    </row>
    <row r="14499" spans="1:1" s="173" customFormat="1" ht="12" hidden="1" customHeight="1">
      <c r="A14499" s="172"/>
    </row>
    <row r="14500" spans="1:1" s="173" customFormat="1" ht="12" hidden="1" customHeight="1">
      <c r="A14500" s="172"/>
    </row>
    <row r="14501" spans="1:1" s="173" customFormat="1" ht="12" hidden="1" customHeight="1">
      <c r="A14501" s="172"/>
    </row>
    <row r="14502" spans="1:1" s="173" customFormat="1" ht="12" hidden="1" customHeight="1">
      <c r="A14502" s="172"/>
    </row>
    <row r="14503" spans="1:1" s="173" customFormat="1" ht="12" hidden="1" customHeight="1">
      <c r="A14503" s="172"/>
    </row>
    <row r="14504" spans="1:1" s="173" customFormat="1" ht="12" hidden="1" customHeight="1">
      <c r="A14504" s="172"/>
    </row>
    <row r="14505" spans="1:1" s="173" customFormat="1" ht="12" hidden="1" customHeight="1">
      <c r="A14505" s="172"/>
    </row>
    <row r="14506" spans="1:1" s="173" customFormat="1" ht="12" hidden="1" customHeight="1">
      <c r="A14506" s="172"/>
    </row>
    <row r="14507" spans="1:1" s="173" customFormat="1" ht="12" hidden="1" customHeight="1">
      <c r="A14507" s="172"/>
    </row>
    <row r="14508" spans="1:1" s="173" customFormat="1" ht="12" hidden="1" customHeight="1">
      <c r="A14508" s="172"/>
    </row>
    <row r="14509" spans="1:1" s="173" customFormat="1" ht="12" hidden="1" customHeight="1">
      <c r="A14509" s="172"/>
    </row>
    <row r="14510" spans="1:1" s="173" customFormat="1" ht="12" hidden="1" customHeight="1">
      <c r="A14510" s="172"/>
    </row>
    <row r="14511" spans="1:1" s="173" customFormat="1" ht="12" hidden="1" customHeight="1">
      <c r="A14511" s="172"/>
    </row>
    <row r="14512" spans="1:1" s="173" customFormat="1" ht="12" hidden="1" customHeight="1">
      <c r="A14512" s="172"/>
    </row>
    <row r="14513" spans="1:1" s="173" customFormat="1" ht="12" hidden="1" customHeight="1">
      <c r="A14513" s="172"/>
    </row>
    <row r="14514" spans="1:1" s="173" customFormat="1" ht="12" hidden="1" customHeight="1">
      <c r="A14514" s="172"/>
    </row>
    <row r="14515" spans="1:1" s="173" customFormat="1" ht="12" hidden="1" customHeight="1">
      <c r="A14515" s="172"/>
    </row>
    <row r="14516" spans="1:1" s="173" customFormat="1" ht="12" hidden="1" customHeight="1">
      <c r="A14516" s="172"/>
    </row>
    <row r="14517" spans="1:1" s="173" customFormat="1" ht="12" hidden="1" customHeight="1">
      <c r="A14517" s="172"/>
    </row>
    <row r="14518" spans="1:1" s="173" customFormat="1" ht="12" hidden="1" customHeight="1">
      <c r="A14518" s="172"/>
    </row>
    <row r="14519" spans="1:1" s="173" customFormat="1" ht="12" hidden="1" customHeight="1">
      <c r="A14519" s="172"/>
    </row>
    <row r="14520" spans="1:1" s="173" customFormat="1" ht="12" hidden="1" customHeight="1">
      <c r="A14520" s="172"/>
    </row>
    <row r="14521" spans="1:1" s="173" customFormat="1" ht="12" hidden="1" customHeight="1">
      <c r="A14521" s="172"/>
    </row>
    <row r="14522" spans="1:1" s="173" customFormat="1" ht="12" hidden="1" customHeight="1">
      <c r="A14522" s="172"/>
    </row>
    <row r="14523" spans="1:1" s="173" customFormat="1" ht="12" hidden="1" customHeight="1">
      <c r="A14523" s="172"/>
    </row>
    <row r="14524" spans="1:1" s="173" customFormat="1" ht="12" hidden="1" customHeight="1">
      <c r="A14524" s="172"/>
    </row>
    <row r="14525" spans="1:1" s="173" customFormat="1" ht="12" hidden="1" customHeight="1">
      <c r="A14525" s="172"/>
    </row>
    <row r="14526" spans="1:1" s="173" customFormat="1" ht="12" hidden="1" customHeight="1">
      <c r="A14526" s="172"/>
    </row>
    <row r="14527" spans="1:1" s="173" customFormat="1" ht="12" hidden="1" customHeight="1">
      <c r="A14527" s="172"/>
    </row>
    <row r="14528" spans="1:1" s="173" customFormat="1" ht="12" hidden="1" customHeight="1">
      <c r="A14528" s="172"/>
    </row>
    <row r="14529" spans="1:1" s="173" customFormat="1" ht="12" hidden="1" customHeight="1">
      <c r="A14529" s="172"/>
    </row>
    <row r="14530" spans="1:1" s="173" customFormat="1" ht="12" hidden="1" customHeight="1">
      <c r="A14530" s="172"/>
    </row>
    <row r="14531" spans="1:1" s="173" customFormat="1" ht="12" hidden="1" customHeight="1">
      <c r="A14531" s="172"/>
    </row>
    <row r="14532" spans="1:1" s="173" customFormat="1" ht="12" hidden="1" customHeight="1">
      <c r="A14532" s="172"/>
    </row>
    <row r="14533" spans="1:1" s="173" customFormat="1" ht="12" hidden="1" customHeight="1">
      <c r="A14533" s="172"/>
    </row>
    <row r="14534" spans="1:1" s="173" customFormat="1" ht="12" hidden="1" customHeight="1">
      <c r="A14534" s="172"/>
    </row>
    <row r="14535" spans="1:1" s="173" customFormat="1" ht="12" hidden="1" customHeight="1">
      <c r="A14535" s="172"/>
    </row>
    <row r="14536" spans="1:1" s="173" customFormat="1" ht="12" hidden="1" customHeight="1">
      <c r="A14536" s="172"/>
    </row>
    <row r="14537" spans="1:1" s="173" customFormat="1" ht="12" hidden="1" customHeight="1">
      <c r="A14537" s="172"/>
    </row>
    <row r="14538" spans="1:1" s="173" customFormat="1" ht="12" hidden="1" customHeight="1">
      <c r="A14538" s="172"/>
    </row>
    <row r="14539" spans="1:1" s="173" customFormat="1" ht="12" hidden="1" customHeight="1">
      <c r="A14539" s="172"/>
    </row>
    <row r="14540" spans="1:1" s="173" customFormat="1" ht="12" hidden="1" customHeight="1">
      <c r="A14540" s="172"/>
    </row>
    <row r="14541" spans="1:1" s="173" customFormat="1" ht="12" hidden="1" customHeight="1">
      <c r="A14541" s="172"/>
    </row>
    <row r="14542" spans="1:1" s="173" customFormat="1" ht="12" hidden="1" customHeight="1">
      <c r="A14542" s="172"/>
    </row>
    <row r="14543" spans="1:1" s="173" customFormat="1" ht="12" hidden="1" customHeight="1">
      <c r="A14543" s="172"/>
    </row>
    <row r="14544" spans="1:1" s="173" customFormat="1" ht="12" hidden="1" customHeight="1">
      <c r="A14544" s="172"/>
    </row>
    <row r="14545" spans="1:1" s="173" customFormat="1" ht="12" hidden="1" customHeight="1">
      <c r="A14545" s="172"/>
    </row>
    <row r="14546" spans="1:1" s="173" customFormat="1" ht="12" hidden="1" customHeight="1">
      <c r="A14546" s="172"/>
    </row>
    <row r="14547" spans="1:1" s="173" customFormat="1" ht="12" hidden="1" customHeight="1">
      <c r="A14547" s="172"/>
    </row>
    <row r="14548" spans="1:1" s="173" customFormat="1" ht="12" hidden="1" customHeight="1">
      <c r="A14548" s="172"/>
    </row>
    <row r="14549" spans="1:1" s="173" customFormat="1" ht="12" hidden="1" customHeight="1">
      <c r="A14549" s="172"/>
    </row>
    <row r="14550" spans="1:1" s="173" customFormat="1" ht="12" hidden="1" customHeight="1">
      <c r="A14550" s="172"/>
    </row>
    <row r="14551" spans="1:1" s="173" customFormat="1" ht="12" hidden="1" customHeight="1">
      <c r="A14551" s="172"/>
    </row>
    <row r="14552" spans="1:1" s="173" customFormat="1" ht="12" hidden="1" customHeight="1">
      <c r="A14552" s="172"/>
    </row>
    <row r="14553" spans="1:1" s="173" customFormat="1" ht="12" hidden="1" customHeight="1">
      <c r="A14553" s="172"/>
    </row>
    <row r="14554" spans="1:1" s="173" customFormat="1" ht="12" hidden="1" customHeight="1">
      <c r="A14554" s="172"/>
    </row>
    <row r="14555" spans="1:1" s="173" customFormat="1" ht="12" hidden="1" customHeight="1">
      <c r="A14555" s="172"/>
    </row>
    <row r="14556" spans="1:1" s="173" customFormat="1" ht="12" hidden="1" customHeight="1">
      <c r="A14556" s="172"/>
    </row>
    <row r="14557" spans="1:1" s="173" customFormat="1" ht="12" hidden="1" customHeight="1">
      <c r="A14557" s="172"/>
    </row>
    <row r="14558" spans="1:1" s="173" customFormat="1" ht="12" hidden="1" customHeight="1">
      <c r="A14558" s="172"/>
    </row>
    <row r="14559" spans="1:1" s="173" customFormat="1" ht="12" hidden="1" customHeight="1">
      <c r="A14559" s="172"/>
    </row>
    <row r="14560" spans="1:1" s="173" customFormat="1" ht="12" hidden="1" customHeight="1">
      <c r="A14560" s="172"/>
    </row>
    <row r="14561" spans="1:1" s="173" customFormat="1" ht="12" hidden="1" customHeight="1">
      <c r="A14561" s="172"/>
    </row>
    <row r="14562" spans="1:1" s="173" customFormat="1" ht="12" hidden="1" customHeight="1">
      <c r="A14562" s="172"/>
    </row>
    <row r="14563" spans="1:1" s="173" customFormat="1" ht="12" hidden="1" customHeight="1">
      <c r="A14563" s="172"/>
    </row>
    <row r="14564" spans="1:1" s="173" customFormat="1" ht="12" hidden="1" customHeight="1">
      <c r="A14564" s="172"/>
    </row>
    <row r="14565" spans="1:1" s="173" customFormat="1" ht="12" hidden="1" customHeight="1">
      <c r="A14565" s="172"/>
    </row>
    <row r="14566" spans="1:1" s="173" customFormat="1" ht="12" hidden="1" customHeight="1">
      <c r="A14566" s="172"/>
    </row>
    <row r="14567" spans="1:1" s="173" customFormat="1" ht="12" hidden="1" customHeight="1">
      <c r="A14567" s="172"/>
    </row>
    <row r="14568" spans="1:1" s="173" customFormat="1" ht="12" hidden="1" customHeight="1">
      <c r="A14568" s="172"/>
    </row>
    <row r="14569" spans="1:1" s="173" customFormat="1" ht="12" hidden="1" customHeight="1">
      <c r="A14569" s="172"/>
    </row>
    <row r="14570" spans="1:1" s="173" customFormat="1" ht="12" hidden="1" customHeight="1">
      <c r="A14570" s="172"/>
    </row>
    <row r="14571" spans="1:1" s="173" customFormat="1" ht="12" hidden="1" customHeight="1">
      <c r="A14571" s="172"/>
    </row>
    <row r="14572" spans="1:1" s="173" customFormat="1" ht="12" hidden="1" customHeight="1">
      <c r="A14572" s="172"/>
    </row>
    <row r="14573" spans="1:1" s="173" customFormat="1" ht="12" hidden="1" customHeight="1">
      <c r="A14573" s="172"/>
    </row>
    <row r="14574" spans="1:1" s="173" customFormat="1" ht="12" hidden="1" customHeight="1">
      <c r="A14574" s="172"/>
    </row>
    <row r="14575" spans="1:1" s="173" customFormat="1" ht="12" hidden="1" customHeight="1">
      <c r="A14575" s="172"/>
    </row>
    <row r="14576" spans="1:1" s="173" customFormat="1" ht="12" hidden="1" customHeight="1">
      <c r="A14576" s="172"/>
    </row>
    <row r="14577" spans="1:1" s="173" customFormat="1" ht="12" hidden="1" customHeight="1">
      <c r="A14577" s="172"/>
    </row>
    <row r="14578" spans="1:1" s="173" customFormat="1" ht="12" hidden="1" customHeight="1">
      <c r="A14578" s="172"/>
    </row>
    <row r="14579" spans="1:1" s="173" customFormat="1" ht="12" hidden="1" customHeight="1">
      <c r="A14579" s="172"/>
    </row>
    <row r="14580" spans="1:1" s="173" customFormat="1" ht="12" hidden="1" customHeight="1">
      <c r="A14580" s="172"/>
    </row>
    <row r="14581" spans="1:1" s="173" customFormat="1" ht="12" hidden="1" customHeight="1">
      <c r="A14581" s="172"/>
    </row>
    <row r="14582" spans="1:1" s="173" customFormat="1" ht="12" hidden="1" customHeight="1">
      <c r="A14582" s="172"/>
    </row>
    <row r="14583" spans="1:1" s="173" customFormat="1" ht="12" hidden="1" customHeight="1">
      <c r="A14583" s="172"/>
    </row>
    <row r="14584" spans="1:1" s="173" customFormat="1" ht="12" hidden="1" customHeight="1">
      <c r="A14584" s="172"/>
    </row>
    <row r="14585" spans="1:1" s="173" customFormat="1" ht="12" hidden="1" customHeight="1">
      <c r="A14585" s="172"/>
    </row>
    <row r="14586" spans="1:1" s="173" customFormat="1" ht="12" hidden="1" customHeight="1">
      <c r="A14586" s="172"/>
    </row>
    <row r="14587" spans="1:1" s="173" customFormat="1" ht="12" hidden="1" customHeight="1">
      <c r="A14587" s="172"/>
    </row>
    <row r="14588" spans="1:1" s="173" customFormat="1" ht="12" hidden="1" customHeight="1">
      <c r="A14588" s="172"/>
    </row>
    <row r="14589" spans="1:1" s="173" customFormat="1" ht="12" hidden="1" customHeight="1">
      <c r="A14589" s="172"/>
    </row>
    <row r="14590" spans="1:1" s="173" customFormat="1" ht="12" hidden="1" customHeight="1">
      <c r="A14590" s="172"/>
    </row>
    <row r="14591" spans="1:1" s="173" customFormat="1" ht="12" hidden="1" customHeight="1">
      <c r="A14591" s="172"/>
    </row>
    <row r="14592" spans="1:1" s="173" customFormat="1" ht="12" hidden="1" customHeight="1">
      <c r="A14592" s="172"/>
    </row>
    <row r="14593" spans="1:1" s="173" customFormat="1" ht="12" hidden="1" customHeight="1">
      <c r="A14593" s="172"/>
    </row>
    <row r="14594" spans="1:1" s="173" customFormat="1" ht="12" hidden="1" customHeight="1">
      <c r="A14594" s="172"/>
    </row>
    <row r="14595" spans="1:1" s="173" customFormat="1" ht="12" hidden="1" customHeight="1">
      <c r="A14595" s="172"/>
    </row>
    <row r="14596" spans="1:1" s="173" customFormat="1" ht="12" hidden="1" customHeight="1">
      <c r="A14596" s="172"/>
    </row>
    <row r="14597" spans="1:1" s="173" customFormat="1" ht="12" hidden="1" customHeight="1">
      <c r="A14597" s="172"/>
    </row>
    <row r="14598" spans="1:1" s="173" customFormat="1" ht="12" hidden="1" customHeight="1">
      <c r="A14598" s="172"/>
    </row>
    <row r="14599" spans="1:1" s="173" customFormat="1" ht="12" hidden="1" customHeight="1">
      <c r="A14599" s="172"/>
    </row>
    <row r="14600" spans="1:1" s="173" customFormat="1" ht="12" hidden="1" customHeight="1">
      <c r="A14600" s="172"/>
    </row>
    <row r="14601" spans="1:1" s="173" customFormat="1" ht="12" hidden="1" customHeight="1">
      <c r="A14601" s="172"/>
    </row>
    <row r="14602" spans="1:1" s="173" customFormat="1" ht="12" hidden="1" customHeight="1">
      <c r="A14602" s="172"/>
    </row>
    <row r="14603" spans="1:1" s="173" customFormat="1" ht="12" hidden="1" customHeight="1">
      <c r="A14603" s="172"/>
    </row>
    <row r="14604" spans="1:1" s="173" customFormat="1" ht="12" hidden="1" customHeight="1">
      <c r="A14604" s="172"/>
    </row>
    <row r="14605" spans="1:1" s="173" customFormat="1" ht="12" hidden="1" customHeight="1">
      <c r="A14605" s="172"/>
    </row>
    <row r="14606" spans="1:1" s="173" customFormat="1" ht="12" hidden="1" customHeight="1">
      <c r="A14606" s="172"/>
    </row>
    <row r="14607" spans="1:1" s="173" customFormat="1" ht="12" hidden="1" customHeight="1">
      <c r="A14607" s="172"/>
    </row>
    <row r="14608" spans="1:1" s="173" customFormat="1" ht="12" hidden="1" customHeight="1">
      <c r="A14608" s="172"/>
    </row>
    <row r="14609" spans="1:1" s="173" customFormat="1" ht="12" hidden="1" customHeight="1">
      <c r="A14609" s="172"/>
    </row>
    <row r="14610" spans="1:1" s="173" customFormat="1" ht="12" hidden="1" customHeight="1">
      <c r="A14610" s="172"/>
    </row>
    <row r="14611" spans="1:1" s="173" customFormat="1" ht="12" hidden="1" customHeight="1">
      <c r="A14611" s="172"/>
    </row>
    <row r="14612" spans="1:1" s="173" customFormat="1" ht="12" hidden="1" customHeight="1">
      <c r="A14612" s="172"/>
    </row>
    <row r="14613" spans="1:1" s="173" customFormat="1" ht="12" hidden="1" customHeight="1">
      <c r="A14613" s="172"/>
    </row>
    <row r="14614" spans="1:1" s="173" customFormat="1" ht="12" hidden="1" customHeight="1">
      <c r="A14614" s="172"/>
    </row>
    <row r="14615" spans="1:1" s="173" customFormat="1" ht="12" hidden="1" customHeight="1">
      <c r="A14615" s="172"/>
    </row>
    <row r="14616" spans="1:1" s="173" customFormat="1" ht="12" hidden="1" customHeight="1">
      <c r="A14616" s="172"/>
    </row>
    <row r="14617" spans="1:1" s="173" customFormat="1" ht="12" hidden="1" customHeight="1">
      <c r="A14617" s="172"/>
    </row>
    <row r="14618" spans="1:1" s="173" customFormat="1" ht="12" hidden="1" customHeight="1">
      <c r="A14618" s="172"/>
    </row>
    <row r="14619" spans="1:1" s="173" customFormat="1" ht="12" hidden="1" customHeight="1">
      <c r="A14619" s="172"/>
    </row>
    <row r="14620" spans="1:1" s="173" customFormat="1" ht="12" hidden="1" customHeight="1">
      <c r="A14620" s="172"/>
    </row>
    <row r="14621" spans="1:1" s="173" customFormat="1" ht="12" hidden="1" customHeight="1">
      <c r="A14621" s="172"/>
    </row>
    <row r="14622" spans="1:1" s="173" customFormat="1" ht="12" hidden="1" customHeight="1">
      <c r="A14622" s="172"/>
    </row>
    <row r="14623" spans="1:1" s="173" customFormat="1" ht="12" hidden="1" customHeight="1">
      <c r="A14623" s="172"/>
    </row>
    <row r="14624" spans="1:1" s="173" customFormat="1" ht="12" hidden="1" customHeight="1">
      <c r="A14624" s="172"/>
    </row>
    <row r="14625" spans="1:1" s="173" customFormat="1" ht="12" hidden="1" customHeight="1">
      <c r="A14625" s="172"/>
    </row>
    <row r="14626" spans="1:1" s="173" customFormat="1" ht="12" hidden="1" customHeight="1">
      <c r="A14626" s="172"/>
    </row>
    <row r="14627" spans="1:1" s="173" customFormat="1" ht="12" hidden="1" customHeight="1">
      <c r="A14627" s="172"/>
    </row>
    <row r="14628" spans="1:1" s="173" customFormat="1" ht="12" hidden="1" customHeight="1">
      <c r="A14628" s="172"/>
    </row>
    <row r="14629" spans="1:1" s="173" customFormat="1" ht="12" hidden="1" customHeight="1">
      <c r="A14629" s="172"/>
    </row>
    <row r="14630" spans="1:1" s="173" customFormat="1" ht="12" hidden="1" customHeight="1">
      <c r="A14630" s="172"/>
    </row>
    <row r="14631" spans="1:1" s="173" customFormat="1" ht="12" hidden="1" customHeight="1">
      <c r="A14631" s="172"/>
    </row>
    <row r="14632" spans="1:1" s="173" customFormat="1" ht="12" hidden="1" customHeight="1">
      <c r="A14632" s="172"/>
    </row>
    <row r="14633" spans="1:1" s="173" customFormat="1" ht="12" hidden="1" customHeight="1">
      <c r="A14633" s="172"/>
    </row>
    <row r="14634" spans="1:1" s="173" customFormat="1" ht="12" hidden="1" customHeight="1">
      <c r="A14634" s="172"/>
    </row>
    <row r="14635" spans="1:1" s="173" customFormat="1" ht="12" hidden="1" customHeight="1">
      <c r="A14635" s="172"/>
    </row>
    <row r="14636" spans="1:1" s="173" customFormat="1" ht="12" hidden="1" customHeight="1">
      <c r="A14636" s="172"/>
    </row>
    <row r="14637" spans="1:1" s="173" customFormat="1" ht="12" hidden="1" customHeight="1">
      <c r="A14637" s="172"/>
    </row>
    <row r="14638" spans="1:1" s="173" customFormat="1" ht="12" hidden="1" customHeight="1">
      <c r="A14638" s="172"/>
    </row>
    <row r="14639" spans="1:1" s="173" customFormat="1" ht="12" hidden="1" customHeight="1">
      <c r="A14639" s="172"/>
    </row>
    <row r="14640" spans="1:1" s="173" customFormat="1" ht="12" hidden="1" customHeight="1">
      <c r="A14640" s="172"/>
    </row>
    <row r="14641" spans="1:1" s="173" customFormat="1" ht="12" hidden="1" customHeight="1">
      <c r="A14641" s="172"/>
    </row>
    <row r="14642" spans="1:1" s="173" customFormat="1" ht="12" hidden="1" customHeight="1">
      <c r="A14642" s="172"/>
    </row>
    <row r="14643" spans="1:1" s="173" customFormat="1" ht="12" hidden="1" customHeight="1">
      <c r="A14643" s="172"/>
    </row>
    <row r="14644" spans="1:1" s="173" customFormat="1" ht="12" hidden="1" customHeight="1">
      <c r="A14644" s="172"/>
    </row>
    <row r="14645" spans="1:1" s="173" customFormat="1" ht="12" hidden="1" customHeight="1">
      <c r="A14645" s="172"/>
    </row>
    <row r="14646" spans="1:1" s="173" customFormat="1" ht="12" hidden="1" customHeight="1">
      <c r="A14646" s="172"/>
    </row>
    <row r="14647" spans="1:1" s="173" customFormat="1" ht="12" hidden="1" customHeight="1">
      <c r="A14647" s="172"/>
    </row>
    <row r="14648" spans="1:1" s="173" customFormat="1" ht="12" hidden="1" customHeight="1">
      <c r="A14648" s="172"/>
    </row>
    <row r="14649" spans="1:1" s="173" customFormat="1" ht="12" hidden="1" customHeight="1">
      <c r="A14649" s="172"/>
    </row>
    <row r="14650" spans="1:1" s="173" customFormat="1" ht="12" hidden="1" customHeight="1">
      <c r="A14650" s="172"/>
    </row>
    <row r="14651" spans="1:1" s="173" customFormat="1" ht="12" hidden="1" customHeight="1">
      <c r="A14651" s="172"/>
    </row>
    <row r="14652" spans="1:1" s="173" customFormat="1" ht="12" hidden="1" customHeight="1">
      <c r="A14652" s="172"/>
    </row>
    <row r="14653" spans="1:1" s="173" customFormat="1" ht="12" hidden="1" customHeight="1">
      <c r="A14653" s="172"/>
    </row>
    <row r="14654" spans="1:1" s="173" customFormat="1" ht="12" hidden="1" customHeight="1">
      <c r="A14654" s="172"/>
    </row>
    <row r="14655" spans="1:1" s="173" customFormat="1" ht="12" hidden="1" customHeight="1">
      <c r="A14655" s="172"/>
    </row>
    <row r="14656" spans="1:1" s="173" customFormat="1" ht="12" hidden="1" customHeight="1">
      <c r="A14656" s="172"/>
    </row>
    <row r="14657" spans="1:1" s="173" customFormat="1" ht="12" hidden="1" customHeight="1">
      <c r="A14657" s="172"/>
    </row>
    <row r="14658" spans="1:1" s="173" customFormat="1" ht="12" hidden="1" customHeight="1">
      <c r="A14658" s="172"/>
    </row>
    <row r="14659" spans="1:1" s="173" customFormat="1" ht="12" hidden="1" customHeight="1">
      <c r="A14659" s="172"/>
    </row>
    <row r="14660" spans="1:1" s="173" customFormat="1" ht="12" hidden="1" customHeight="1">
      <c r="A14660" s="172"/>
    </row>
    <row r="14661" spans="1:1" s="173" customFormat="1" ht="12" hidden="1" customHeight="1">
      <c r="A14661" s="172"/>
    </row>
    <row r="14662" spans="1:1" s="173" customFormat="1" ht="12" hidden="1" customHeight="1">
      <c r="A14662" s="172"/>
    </row>
    <row r="14663" spans="1:1" s="173" customFormat="1" ht="12" hidden="1" customHeight="1">
      <c r="A14663" s="172"/>
    </row>
    <row r="14664" spans="1:1" s="173" customFormat="1" ht="12" hidden="1" customHeight="1">
      <c r="A14664" s="172"/>
    </row>
    <row r="14665" spans="1:1" s="173" customFormat="1" ht="12" hidden="1" customHeight="1">
      <c r="A14665" s="172"/>
    </row>
    <row r="14666" spans="1:1" s="173" customFormat="1" ht="12" hidden="1" customHeight="1">
      <c r="A14666" s="172"/>
    </row>
    <row r="14667" spans="1:1" s="173" customFormat="1" ht="12" hidden="1" customHeight="1">
      <c r="A14667" s="172"/>
    </row>
    <row r="14668" spans="1:1" s="173" customFormat="1" ht="12" hidden="1" customHeight="1">
      <c r="A14668" s="172"/>
    </row>
    <row r="14669" spans="1:1" s="173" customFormat="1" ht="12" hidden="1" customHeight="1">
      <c r="A14669" s="172"/>
    </row>
    <row r="14670" spans="1:1" s="173" customFormat="1" ht="12" hidden="1" customHeight="1">
      <c r="A14670" s="172"/>
    </row>
    <row r="14671" spans="1:1" s="173" customFormat="1" ht="12" hidden="1" customHeight="1">
      <c r="A14671" s="172"/>
    </row>
    <row r="14672" spans="1:1" s="173" customFormat="1" ht="12" hidden="1" customHeight="1">
      <c r="A14672" s="172"/>
    </row>
    <row r="14673" spans="1:1" s="173" customFormat="1" ht="12" hidden="1" customHeight="1">
      <c r="A14673" s="172"/>
    </row>
    <row r="14674" spans="1:1" s="173" customFormat="1" ht="12" hidden="1" customHeight="1">
      <c r="A14674" s="172"/>
    </row>
    <row r="14675" spans="1:1" s="173" customFormat="1" ht="12" hidden="1" customHeight="1">
      <c r="A14675" s="172"/>
    </row>
    <row r="14676" spans="1:1" s="173" customFormat="1" ht="12" hidden="1" customHeight="1">
      <c r="A14676" s="172"/>
    </row>
    <row r="14677" spans="1:1" s="173" customFormat="1" ht="12" hidden="1" customHeight="1">
      <c r="A14677" s="172"/>
    </row>
    <row r="14678" spans="1:1" s="173" customFormat="1" ht="12" hidden="1" customHeight="1">
      <c r="A14678" s="172"/>
    </row>
    <row r="14679" spans="1:1" s="173" customFormat="1" ht="12" hidden="1" customHeight="1">
      <c r="A14679" s="172"/>
    </row>
    <row r="14680" spans="1:1" s="173" customFormat="1" ht="12" hidden="1" customHeight="1">
      <c r="A14680" s="172"/>
    </row>
    <row r="14681" spans="1:1" s="173" customFormat="1" ht="12" hidden="1" customHeight="1">
      <c r="A14681" s="172"/>
    </row>
    <row r="14682" spans="1:1" s="173" customFormat="1" ht="12" hidden="1" customHeight="1">
      <c r="A14682" s="172"/>
    </row>
    <row r="14683" spans="1:1" s="173" customFormat="1" ht="12" hidden="1" customHeight="1">
      <c r="A14683" s="172"/>
    </row>
    <row r="14684" spans="1:1" s="173" customFormat="1" ht="12" hidden="1" customHeight="1">
      <c r="A14684" s="172"/>
    </row>
    <row r="14685" spans="1:1" s="173" customFormat="1" ht="12" hidden="1" customHeight="1">
      <c r="A14685" s="172"/>
    </row>
    <row r="14686" spans="1:1" s="173" customFormat="1" ht="12" hidden="1" customHeight="1">
      <c r="A14686" s="172"/>
    </row>
    <row r="14687" spans="1:1" s="173" customFormat="1" ht="12" hidden="1" customHeight="1">
      <c r="A14687" s="172"/>
    </row>
    <row r="14688" spans="1:1" s="173" customFormat="1" ht="12" hidden="1" customHeight="1">
      <c r="A14688" s="172"/>
    </row>
    <row r="14689" spans="1:1" s="173" customFormat="1" ht="12" hidden="1" customHeight="1">
      <c r="A14689" s="172"/>
    </row>
    <row r="14690" spans="1:1" s="173" customFormat="1" ht="12" hidden="1" customHeight="1">
      <c r="A14690" s="172"/>
    </row>
    <row r="14691" spans="1:1" s="173" customFormat="1" ht="12" hidden="1" customHeight="1">
      <c r="A14691" s="172"/>
    </row>
    <row r="14692" spans="1:1" s="173" customFormat="1" ht="12" hidden="1" customHeight="1">
      <c r="A14692" s="172"/>
    </row>
    <row r="14693" spans="1:1" s="173" customFormat="1" ht="12" hidden="1" customHeight="1">
      <c r="A14693" s="172"/>
    </row>
    <row r="14694" spans="1:1" s="173" customFormat="1" ht="12" hidden="1" customHeight="1">
      <c r="A14694" s="172"/>
    </row>
    <row r="14695" spans="1:1" s="173" customFormat="1" ht="12" hidden="1" customHeight="1">
      <c r="A14695" s="172"/>
    </row>
    <row r="14696" spans="1:1" s="173" customFormat="1" ht="12" hidden="1" customHeight="1">
      <c r="A14696" s="172"/>
    </row>
    <row r="14697" spans="1:1" s="173" customFormat="1" ht="12" hidden="1" customHeight="1">
      <c r="A14697" s="172"/>
    </row>
    <row r="14698" spans="1:1" s="173" customFormat="1" ht="12" hidden="1" customHeight="1">
      <c r="A14698" s="172"/>
    </row>
    <row r="14699" spans="1:1" s="173" customFormat="1" ht="12" hidden="1" customHeight="1">
      <c r="A14699" s="172"/>
    </row>
    <row r="14700" spans="1:1" s="173" customFormat="1" ht="12" hidden="1" customHeight="1">
      <c r="A14700" s="172"/>
    </row>
    <row r="14701" spans="1:1" s="173" customFormat="1" ht="12" hidden="1" customHeight="1">
      <c r="A14701" s="172"/>
    </row>
    <row r="14702" spans="1:1" s="173" customFormat="1" ht="12" hidden="1" customHeight="1">
      <c r="A14702" s="172"/>
    </row>
    <row r="14703" spans="1:1" s="173" customFormat="1" ht="12" hidden="1" customHeight="1">
      <c r="A14703" s="172"/>
    </row>
    <row r="14704" spans="1:1" s="173" customFormat="1" ht="12" hidden="1" customHeight="1">
      <c r="A14704" s="172"/>
    </row>
    <row r="14705" spans="1:1" s="173" customFormat="1" ht="12" hidden="1" customHeight="1">
      <c r="A14705" s="172"/>
    </row>
    <row r="14706" spans="1:1" s="173" customFormat="1" ht="12" hidden="1" customHeight="1">
      <c r="A14706" s="172"/>
    </row>
    <row r="14707" spans="1:1" s="173" customFormat="1" ht="12" hidden="1" customHeight="1">
      <c r="A14707" s="172"/>
    </row>
    <row r="14708" spans="1:1" s="173" customFormat="1" ht="12" hidden="1" customHeight="1">
      <c r="A14708" s="172"/>
    </row>
    <row r="14709" spans="1:1" s="173" customFormat="1" ht="12" hidden="1" customHeight="1">
      <c r="A14709" s="172"/>
    </row>
    <row r="14710" spans="1:1" s="173" customFormat="1" ht="12" hidden="1" customHeight="1">
      <c r="A14710" s="172"/>
    </row>
    <row r="14711" spans="1:1" s="173" customFormat="1" ht="12" hidden="1" customHeight="1">
      <c r="A14711" s="172"/>
    </row>
    <row r="14712" spans="1:1" s="173" customFormat="1" ht="12" hidden="1" customHeight="1">
      <c r="A14712" s="172"/>
    </row>
    <row r="14713" spans="1:1" s="173" customFormat="1" ht="12" hidden="1" customHeight="1">
      <c r="A14713" s="172"/>
    </row>
    <row r="14714" spans="1:1" s="173" customFormat="1" ht="12" hidden="1" customHeight="1">
      <c r="A14714" s="172"/>
    </row>
    <row r="14715" spans="1:1" s="173" customFormat="1" ht="12" hidden="1" customHeight="1">
      <c r="A14715" s="172"/>
    </row>
    <row r="14716" spans="1:1" s="173" customFormat="1" ht="12" hidden="1" customHeight="1">
      <c r="A14716" s="172"/>
    </row>
    <row r="14717" spans="1:1" s="173" customFormat="1" ht="12" hidden="1" customHeight="1">
      <c r="A14717" s="172"/>
    </row>
    <row r="14718" spans="1:1" s="173" customFormat="1" ht="12" hidden="1" customHeight="1">
      <c r="A14718" s="172"/>
    </row>
    <row r="14719" spans="1:1" s="173" customFormat="1" ht="12" hidden="1" customHeight="1">
      <c r="A14719" s="172"/>
    </row>
    <row r="14720" spans="1:1" s="173" customFormat="1" ht="12" hidden="1" customHeight="1">
      <c r="A14720" s="172"/>
    </row>
    <row r="14721" spans="1:1" s="173" customFormat="1" ht="12" hidden="1" customHeight="1">
      <c r="A14721" s="172"/>
    </row>
    <row r="14722" spans="1:1" s="173" customFormat="1" ht="12" hidden="1" customHeight="1">
      <c r="A14722" s="172"/>
    </row>
    <row r="14723" spans="1:1" s="173" customFormat="1" ht="12" hidden="1" customHeight="1">
      <c r="A14723" s="172"/>
    </row>
    <row r="14724" spans="1:1" s="173" customFormat="1" ht="12" hidden="1" customHeight="1">
      <c r="A14724" s="172"/>
    </row>
    <row r="14725" spans="1:1" s="173" customFormat="1" ht="12" hidden="1" customHeight="1">
      <c r="A14725" s="172"/>
    </row>
    <row r="14726" spans="1:1" s="173" customFormat="1" ht="12" hidden="1" customHeight="1">
      <c r="A14726" s="172"/>
    </row>
    <row r="14727" spans="1:1" s="173" customFormat="1" ht="12" hidden="1" customHeight="1">
      <c r="A14727" s="172"/>
    </row>
    <row r="14728" spans="1:1" s="173" customFormat="1" ht="12" hidden="1" customHeight="1">
      <c r="A14728" s="172"/>
    </row>
    <row r="14729" spans="1:1" s="173" customFormat="1" ht="12" hidden="1" customHeight="1">
      <c r="A14729" s="172"/>
    </row>
    <row r="14730" spans="1:1" s="173" customFormat="1" ht="12" hidden="1" customHeight="1">
      <c r="A14730" s="172"/>
    </row>
    <row r="14731" spans="1:1" s="173" customFormat="1" ht="12" hidden="1" customHeight="1">
      <c r="A14731" s="172"/>
    </row>
    <row r="14732" spans="1:1" s="173" customFormat="1" ht="12" hidden="1" customHeight="1">
      <c r="A14732" s="172"/>
    </row>
    <row r="14733" spans="1:1" s="173" customFormat="1" ht="12" hidden="1" customHeight="1">
      <c r="A14733" s="172"/>
    </row>
    <row r="14734" spans="1:1" s="173" customFormat="1" ht="12" hidden="1" customHeight="1">
      <c r="A14734" s="172"/>
    </row>
    <row r="14735" spans="1:1" s="173" customFormat="1" ht="12" hidden="1" customHeight="1">
      <c r="A14735" s="172"/>
    </row>
    <row r="14736" spans="1:1" s="173" customFormat="1" ht="12" hidden="1" customHeight="1">
      <c r="A14736" s="172"/>
    </row>
    <row r="14737" spans="1:1" s="173" customFormat="1" ht="12" hidden="1" customHeight="1">
      <c r="A14737" s="172"/>
    </row>
    <row r="14738" spans="1:1" s="173" customFormat="1" ht="12" hidden="1" customHeight="1">
      <c r="A14738" s="172"/>
    </row>
    <row r="14739" spans="1:1" s="173" customFormat="1" ht="12" hidden="1" customHeight="1">
      <c r="A14739" s="172"/>
    </row>
    <row r="14740" spans="1:1" s="173" customFormat="1" ht="12" hidden="1" customHeight="1">
      <c r="A14740" s="172"/>
    </row>
    <row r="14741" spans="1:1" s="173" customFormat="1" ht="12" hidden="1" customHeight="1">
      <c r="A14741" s="172"/>
    </row>
    <row r="14742" spans="1:1" s="173" customFormat="1" ht="12" hidden="1" customHeight="1">
      <c r="A14742" s="172"/>
    </row>
    <row r="14743" spans="1:1" s="173" customFormat="1" ht="12" hidden="1" customHeight="1">
      <c r="A14743" s="172"/>
    </row>
    <row r="14744" spans="1:1" s="173" customFormat="1" ht="12" hidden="1" customHeight="1">
      <c r="A14744" s="172"/>
    </row>
    <row r="14745" spans="1:1" s="173" customFormat="1" ht="12" hidden="1" customHeight="1">
      <c r="A14745" s="172"/>
    </row>
    <row r="14746" spans="1:1" s="173" customFormat="1" ht="12" hidden="1" customHeight="1">
      <c r="A14746" s="172"/>
    </row>
    <row r="14747" spans="1:1" s="173" customFormat="1" ht="12" hidden="1" customHeight="1">
      <c r="A14747" s="172"/>
    </row>
    <row r="14748" spans="1:1" s="173" customFormat="1" ht="12" hidden="1" customHeight="1">
      <c r="A14748" s="172"/>
    </row>
    <row r="14749" spans="1:1" s="173" customFormat="1" ht="12" hidden="1" customHeight="1">
      <c r="A14749" s="172"/>
    </row>
    <row r="14750" spans="1:1" s="173" customFormat="1" ht="12" hidden="1" customHeight="1">
      <c r="A14750" s="172"/>
    </row>
    <row r="14751" spans="1:1" s="173" customFormat="1" ht="12" hidden="1" customHeight="1">
      <c r="A14751" s="172"/>
    </row>
    <row r="14752" spans="1:1" s="173" customFormat="1" ht="12" hidden="1" customHeight="1">
      <c r="A14752" s="172"/>
    </row>
    <row r="14753" spans="1:1" s="173" customFormat="1" ht="12" hidden="1" customHeight="1">
      <c r="A14753" s="172"/>
    </row>
    <row r="14754" spans="1:1" s="173" customFormat="1" ht="12" hidden="1" customHeight="1">
      <c r="A14754" s="172"/>
    </row>
    <row r="14755" spans="1:1" s="173" customFormat="1" ht="12" hidden="1" customHeight="1">
      <c r="A14755" s="172"/>
    </row>
    <row r="14756" spans="1:1" s="173" customFormat="1" ht="12" hidden="1" customHeight="1">
      <c r="A14756" s="172"/>
    </row>
    <row r="14757" spans="1:1" s="173" customFormat="1" ht="12" hidden="1" customHeight="1">
      <c r="A14757" s="172"/>
    </row>
    <row r="14758" spans="1:1" s="173" customFormat="1" ht="12" hidden="1" customHeight="1">
      <c r="A14758" s="172"/>
    </row>
    <row r="14759" spans="1:1" s="173" customFormat="1" ht="12" hidden="1" customHeight="1">
      <c r="A14759" s="172"/>
    </row>
    <row r="14760" spans="1:1" s="173" customFormat="1" ht="12" hidden="1" customHeight="1">
      <c r="A14760" s="172"/>
    </row>
    <row r="14761" spans="1:1" s="173" customFormat="1" ht="12" hidden="1" customHeight="1">
      <c r="A14761" s="172"/>
    </row>
    <row r="14762" spans="1:1" s="173" customFormat="1" ht="12" hidden="1" customHeight="1">
      <c r="A14762" s="172"/>
    </row>
    <row r="14763" spans="1:1" s="173" customFormat="1" ht="12" hidden="1" customHeight="1">
      <c r="A14763" s="172"/>
    </row>
    <row r="14764" spans="1:1" s="173" customFormat="1" ht="12" hidden="1" customHeight="1">
      <c r="A14764" s="172"/>
    </row>
    <row r="14765" spans="1:1" s="173" customFormat="1" ht="12" hidden="1" customHeight="1">
      <c r="A14765" s="172"/>
    </row>
    <row r="14766" spans="1:1" s="173" customFormat="1" ht="12" hidden="1" customHeight="1">
      <c r="A14766" s="172"/>
    </row>
    <row r="14767" spans="1:1" s="173" customFormat="1" ht="12" hidden="1" customHeight="1">
      <c r="A14767" s="172"/>
    </row>
    <row r="14768" spans="1:1" s="173" customFormat="1" ht="12" hidden="1" customHeight="1">
      <c r="A14768" s="172"/>
    </row>
    <row r="14769" spans="1:1" s="173" customFormat="1" ht="12" hidden="1" customHeight="1">
      <c r="A14769" s="172"/>
    </row>
    <row r="14770" spans="1:1" s="173" customFormat="1" ht="12" hidden="1" customHeight="1">
      <c r="A14770" s="172"/>
    </row>
    <row r="14771" spans="1:1" s="173" customFormat="1" ht="12" hidden="1" customHeight="1">
      <c r="A14771" s="172"/>
    </row>
    <row r="14772" spans="1:1" s="173" customFormat="1" ht="12" hidden="1" customHeight="1">
      <c r="A14772" s="172"/>
    </row>
    <row r="14773" spans="1:1" s="173" customFormat="1" ht="12" hidden="1" customHeight="1">
      <c r="A14773" s="172"/>
    </row>
    <row r="14774" spans="1:1" s="173" customFormat="1" ht="12" hidden="1" customHeight="1">
      <c r="A14774" s="172"/>
    </row>
    <row r="14775" spans="1:1" s="173" customFormat="1" ht="12" hidden="1" customHeight="1">
      <c r="A14775" s="172"/>
    </row>
    <row r="14776" spans="1:1" s="173" customFormat="1" ht="12" hidden="1" customHeight="1">
      <c r="A14776" s="172"/>
    </row>
    <row r="14777" spans="1:1" s="173" customFormat="1" ht="12" hidden="1" customHeight="1">
      <c r="A14777" s="172"/>
    </row>
    <row r="14778" spans="1:1" s="173" customFormat="1" ht="12" hidden="1" customHeight="1">
      <c r="A14778" s="172"/>
    </row>
    <row r="14779" spans="1:1" s="173" customFormat="1" ht="12" hidden="1" customHeight="1">
      <c r="A14779" s="172"/>
    </row>
    <row r="14780" spans="1:1" s="173" customFormat="1" ht="12" hidden="1" customHeight="1">
      <c r="A14780" s="172"/>
    </row>
    <row r="14781" spans="1:1" s="173" customFormat="1" ht="12" hidden="1" customHeight="1">
      <c r="A14781" s="172"/>
    </row>
    <row r="14782" spans="1:1" s="173" customFormat="1" ht="12" hidden="1" customHeight="1">
      <c r="A14782" s="172"/>
    </row>
    <row r="14783" spans="1:1" s="173" customFormat="1" ht="12" hidden="1" customHeight="1">
      <c r="A14783" s="172"/>
    </row>
    <row r="14784" spans="1:1" s="173" customFormat="1" ht="12" hidden="1" customHeight="1">
      <c r="A14784" s="172"/>
    </row>
    <row r="14785" spans="1:1" s="173" customFormat="1" ht="12" hidden="1" customHeight="1">
      <c r="A14785" s="172"/>
    </row>
    <row r="14786" spans="1:1" s="173" customFormat="1" ht="12" hidden="1" customHeight="1">
      <c r="A14786" s="172"/>
    </row>
    <row r="14787" spans="1:1" s="173" customFormat="1" ht="12" hidden="1" customHeight="1">
      <c r="A14787" s="172"/>
    </row>
    <row r="14788" spans="1:1" s="173" customFormat="1" ht="12" hidden="1" customHeight="1">
      <c r="A14788" s="172"/>
    </row>
    <row r="14789" spans="1:1" s="173" customFormat="1" ht="12" hidden="1" customHeight="1">
      <c r="A14789" s="172"/>
    </row>
    <row r="14790" spans="1:1" s="173" customFormat="1" ht="12" hidden="1" customHeight="1">
      <c r="A14790" s="172"/>
    </row>
    <row r="14791" spans="1:1" s="173" customFormat="1" ht="12" hidden="1" customHeight="1">
      <c r="A14791" s="172"/>
    </row>
    <row r="14792" spans="1:1" s="173" customFormat="1" ht="12" hidden="1" customHeight="1">
      <c r="A14792" s="172"/>
    </row>
    <row r="14793" spans="1:1" s="173" customFormat="1" ht="12" hidden="1" customHeight="1">
      <c r="A14793" s="172"/>
    </row>
    <row r="14794" spans="1:1" s="173" customFormat="1" ht="12" hidden="1" customHeight="1">
      <c r="A14794" s="172"/>
    </row>
    <row r="14795" spans="1:1" s="173" customFormat="1" ht="12" hidden="1" customHeight="1">
      <c r="A14795" s="172"/>
    </row>
    <row r="14796" spans="1:1" s="173" customFormat="1" ht="12" hidden="1" customHeight="1">
      <c r="A14796" s="172"/>
    </row>
    <row r="14797" spans="1:1" s="173" customFormat="1" ht="12" hidden="1" customHeight="1">
      <c r="A14797" s="172"/>
    </row>
    <row r="14798" spans="1:1" s="173" customFormat="1" ht="12" hidden="1" customHeight="1">
      <c r="A14798" s="172"/>
    </row>
    <row r="14799" spans="1:1" s="173" customFormat="1" ht="12" hidden="1" customHeight="1">
      <c r="A14799" s="172"/>
    </row>
    <row r="14800" spans="1:1" s="173" customFormat="1" ht="12" hidden="1" customHeight="1">
      <c r="A14800" s="172"/>
    </row>
    <row r="14801" spans="1:1" s="173" customFormat="1" ht="12" hidden="1" customHeight="1">
      <c r="A14801" s="172"/>
    </row>
    <row r="14802" spans="1:1" s="173" customFormat="1" ht="12" hidden="1" customHeight="1">
      <c r="A14802" s="172"/>
    </row>
    <row r="14803" spans="1:1" s="173" customFormat="1" ht="12" hidden="1" customHeight="1">
      <c r="A14803" s="172"/>
    </row>
    <row r="14804" spans="1:1" s="173" customFormat="1" ht="12" hidden="1" customHeight="1">
      <c r="A14804" s="172"/>
    </row>
    <row r="14805" spans="1:1" s="173" customFormat="1" ht="12" hidden="1" customHeight="1">
      <c r="A14805" s="172"/>
    </row>
    <row r="14806" spans="1:1" s="173" customFormat="1" ht="12" hidden="1" customHeight="1">
      <c r="A14806" s="172"/>
    </row>
    <row r="14807" spans="1:1" s="173" customFormat="1" ht="12" hidden="1" customHeight="1">
      <c r="A14807" s="172"/>
    </row>
    <row r="14808" spans="1:1" s="173" customFormat="1" ht="12" hidden="1" customHeight="1">
      <c r="A14808" s="172"/>
    </row>
    <row r="14809" spans="1:1" s="173" customFormat="1" ht="12" hidden="1" customHeight="1">
      <c r="A14809" s="172"/>
    </row>
    <row r="14810" spans="1:1" s="173" customFormat="1" ht="12" hidden="1" customHeight="1">
      <c r="A14810" s="172"/>
    </row>
    <row r="14811" spans="1:1" s="173" customFormat="1" ht="12" hidden="1" customHeight="1">
      <c r="A14811" s="172"/>
    </row>
    <row r="14812" spans="1:1" s="173" customFormat="1" ht="12" hidden="1" customHeight="1">
      <c r="A14812" s="172"/>
    </row>
    <row r="14813" spans="1:1" s="173" customFormat="1" ht="12" hidden="1" customHeight="1">
      <c r="A14813" s="172"/>
    </row>
    <row r="14814" spans="1:1" s="173" customFormat="1" ht="12" hidden="1" customHeight="1">
      <c r="A14814" s="172"/>
    </row>
    <row r="14815" spans="1:1" s="173" customFormat="1" ht="12" hidden="1" customHeight="1">
      <c r="A14815" s="172"/>
    </row>
    <row r="14816" spans="1:1" s="173" customFormat="1" ht="12" hidden="1" customHeight="1">
      <c r="A14816" s="172"/>
    </row>
    <row r="14817" spans="1:1" s="173" customFormat="1" ht="12" hidden="1" customHeight="1">
      <c r="A14817" s="172"/>
    </row>
    <row r="14818" spans="1:1" s="173" customFormat="1" ht="12" hidden="1" customHeight="1">
      <c r="A14818" s="172"/>
    </row>
    <row r="14819" spans="1:1" s="173" customFormat="1" ht="12" hidden="1" customHeight="1">
      <c r="A14819" s="172"/>
    </row>
    <row r="14820" spans="1:1" s="173" customFormat="1" ht="12" hidden="1" customHeight="1">
      <c r="A14820" s="172"/>
    </row>
    <row r="14821" spans="1:1" s="173" customFormat="1" ht="12" hidden="1" customHeight="1">
      <c r="A14821" s="172"/>
    </row>
    <row r="14822" spans="1:1" s="173" customFormat="1" ht="12" hidden="1" customHeight="1">
      <c r="A14822" s="172"/>
    </row>
    <row r="14823" spans="1:1" s="173" customFormat="1" ht="12" hidden="1" customHeight="1">
      <c r="A14823" s="172"/>
    </row>
    <row r="14824" spans="1:1" s="173" customFormat="1" ht="12" hidden="1" customHeight="1">
      <c r="A14824" s="172"/>
    </row>
    <row r="14825" spans="1:1" s="173" customFormat="1" ht="12" hidden="1" customHeight="1">
      <c r="A14825" s="172"/>
    </row>
    <row r="14826" spans="1:1" s="173" customFormat="1" ht="12" hidden="1" customHeight="1">
      <c r="A14826" s="172"/>
    </row>
    <row r="14827" spans="1:1" s="173" customFormat="1" ht="12" hidden="1" customHeight="1">
      <c r="A14827" s="172"/>
    </row>
    <row r="14828" spans="1:1" s="173" customFormat="1" ht="12" hidden="1" customHeight="1">
      <c r="A14828" s="172"/>
    </row>
    <row r="14829" spans="1:1" s="173" customFormat="1" ht="12" hidden="1" customHeight="1">
      <c r="A14829" s="172"/>
    </row>
    <row r="14830" spans="1:1" s="173" customFormat="1" ht="12" hidden="1" customHeight="1">
      <c r="A14830" s="172"/>
    </row>
    <row r="14831" spans="1:1" s="173" customFormat="1" ht="12" hidden="1" customHeight="1">
      <c r="A14831" s="172"/>
    </row>
    <row r="14832" spans="1:1" s="173" customFormat="1" ht="12" hidden="1" customHeight="1">
      <c r="A14832" s="172"/>
    </row>
    <row r="14833" spans="1:1" s="173" customFormat="1" ht="12" hidden="1" customHeight="1">
      <c r="A14833" s="172"/>
    </row>
    <row r="14834" spans="1:1" s="173" customFormat="1" ht="12" hidden="1" customHeight="1">
      <c r="A14834" s="172"/>
    </row>
    <row r="14835" spans="1:1" s="173" customFormat="1" ht="12" hidden="1" customHeight="1">
      <c r="A14835" s="172"/>
    </row>
    <row r="14836" spans="1:1" s="173" customFormat="1" ht="12" hidden="1" customHeight="1">
      <c r="A14836" s="172"/>
    </row>
    <row r="14837" spans="1:1" s="173" customFormat="1" ht="12" hidden="1" customHeight="1">
      <c r="A14837" s="172"/>
    </row>
    <row r="14838" spans="1:1" s="173" customFormat="1" ht="12" hidden="1" customHeight="1">
      <c r="A14838" s="172"/>
    </row>
    <row r="14839" spans="1:1" s="173" customFormat="1" ht="12" hidden="1" customHeight="1">
      <c r="A14839" s="172"/>
    </row>
    <row r="14840" spans="1:1" s="173" customFormat="1" ht="12" hidden="1" customHeight="1">
      <c r="A14840" s="172"/>
    </row>
    <row r="14841" spans="1:1" s="173" customFormat="1" ht="12" hidden="1" customHeight="1">
      <c r="A14841" s="172"/>
    </row>
    <row r="14842" spans="1:1" s="173" customFormat="1" ht="12" hidden="1" customHeight="1">
      <c r="A14842" s="172"/>
    </row>
    <row r="14843" spans="1:1" s="173" customFormat="1" ht="12" hidden="1" customHeight="1">
      <c r="A14843" s="172"/>
    </row>
    <row r="14844" spans="1:1" s="173" customFormat="1" ht="12" hidden="1" customHeight="1">
      <c r="A14844" s="172"/>
    </row>
    <row r="14845" spans="1:1" s="173" customFormat="1" ht="12" hidden="1" customHeight="1">
      <c r="A14845" s="172"/>
    </row>
    <row r="14846" spans="1:1" s="173" customFormat="1" ht="12" hidden="1" customHeight="1">
      <c r="A14846" s="172"/>
    </row>
    <row r="14847" spans="1:1" s="173" customFormat="1" ht="12" hidden="1" customHeight="1">
      <c r="A14847" s="172"/>
    </row>
    <row r="14848" spans="1:1" s="173" customFormat="1" ht="12" hidden="1" customHeight="1">
      <c r="A14848" s="172"/>
    </row>
    <row r="14849" spans="1:1" s="173" customFormat="1" ht="12" hidden="1" customHeight="1">
      <c r="A14849" s="172"/>
    </row>
    <row r="14850" spans="1:1" s="173" customFormat="1" ht="12" hidden="1" customHeight="1">
      <c r="A14850" s="172"/>
    </row>
    <row r="14851" spans="1:1" s="173" customFormat="1" ht="12" hidden="1" customHeight="1">
      <c r="A14851" s="172"/>
    </row>
    <row r="14852" spans="1:1" s="173" customFormat="1" ht="12" hidden="1" customHeight="1">
      <c r="A14852" s="172"/>
    </row>
    <row r="14853" spans="1:1" s="173" customFormat="1" ht="12" hidden="1" customHeight="1">
      <c r="A14853" s="172"/>
    </row>
    <row r="14854" spans="1:1" s="173" customFormat="1" ht="12" hidden="1" customHeight="1">
      <c r="A14854" s="172"/>
    </row>
    <row r="14855" spans="1:1" s="173" customFormat="1" ht="12" hidden="1" customHeight="1">
      <c r="A14855" s="172"/>
    </row>
    <row r="14856" spans="1:1" s="173" customFormat="1" ht="12" hidden="1" customHeight="1">
      <c r="A14856" s="172"/>
    </row>
    <row r="14857" spans="1:1" s="173" customFormat="1" ht="12" hidden="1" customHeight="1">
      <c r="A14857" s="172"/>
    </row>
    <row r="14858" spans="1:1" s="173" customFormat="1" ht="12" hidden="1" customHeight="1">
      <c r="A14858" s="172"/>
    </row>
    <row r="14859" spans="1:1" s="173" customFormat="1" ht="12" hidden="1" customHeight="1">
      <c r="A14859" s="172"/>
    </row>
    <row r="14860" spans="1:1" s="173" customFormat="1" ht="12" hidden="1" customHeight="1">
      <c r="A14860" s="172"/>
    </row>
    <row r="14861" spans="1:1" s="173" customFormat="1" ht="12" hidden="1" customHeight="1">
      <c r="A14861" s="172"/>
    </row>
    <row r="14862" spans="1:1" s="173" customFormat="1" ht="12" hidden="1" customHeight="1">
      <c r="A14862" s="172"/>
    </row>
    <row r="14863" spans="1:1" s="173" customFormat="1" ht="12" hidden="1" customHeight="1">
      <c r="A14863" s="172"/>
    </row>
    <row r="14864" spans="1:1" s="173" customFormat="1" ht="12" hidden="1" customHeight="1">
      <c r="A14864" s="172"/>
    </row>
    <row r="14865" spans="1:1" s="173" customFormat="1" ht="12" hidden="1" customHeight="1">
      <c r="A14865" s="172"/>
    </row>
    <row r="14866" spans="1:1" s="173" customFormat="1" ht="12" hidden="1" customHeight="1">
      <c r="A14866" s="172"/>
    </row>
    <row r="14867" spans="1:1" s="173" customFormat="1" ht="12" hidden="1" customHeight="1">
      <c r="A14867" s="172"/>
    </row>
    <row r="14868" spans="1:1" s="173" customFormat="1" ht="12" hidden="1" customHeight="1">
      <c r="A14868" s="172"/>
    </row>
    <row r="14869" spans="1:1" s="173" customFormat="1" ht="12" hidden="1" customHeight="1">
      <c r="A14869" s="172"/>
    </row>
    <row r="14870" spans="1:1" s="173" customFormat="1" ht="12" hidden="1" customHeight="1">
      <c r="A14870" s="172"/>
    </row>
    <row r="14871" spans="1:1" s="173" customFormat="1" ht="12" hidden="1" customHeight="1">
      <c r="A14871" s="172"/>
    </row>
    <row r="14872" spans="1:1" s="173" customFormat="1" ht="12" hidden="1" customHeight="1">
      <c r="A14872" s="172"/>
    </row>
    <row r="14873" spans="1:1" s="173" customFormat="1" ht="12" hidden="1" customHeight="1">
      <c r="A14873" s="172"/>
    </row>
    <row r="14874" spans="1:1" s="173" customFormat="1" ht="12" hidden="1" customHeight="1">
      <c r="A14874" s="172"/>
    </row>
    <row r="14875" spans="1:1" s="173" customFormat="1" ht="12" hidden="1" customHeight="1">
      <c r="A14875" s="172"/>
    </row>
    <row r="14876" spans="1:1" s="173" customFormat="1" ht="12" hidden="1" customHeight="1">
      <c r="A14876" s="172"/>
    </row>
    <row r="14877" spans="1:1" s="173" customFormat="1" ht="12" hidden="1" customHeight="1">
      <c r="A14877" s="172"/>
    </row>
    <row r="14878" spans="1:1" s="173" customFormat="1" ht="12" hidden="1" customHeight="1">
      <c r="A14878" s="172"/>
    </row>
    <row r="14879" spans="1:1" s="173" customFormat="1" ht="12" hidden="1" customHeight="1">
      <c r="A14879" s="172"/>
    </row>
    <row r="14880" spans="1:1" s="173" customFormat="1" ht="12" hidden="1" customHeight="1">
      <c r="A14880" s="172"/>
    </row>
    <row r="14881" spans="1:1" s="173" customFormat="1" ht="12" hidden="1" customHeight="1">
      <c r="A14881" s="172"/>
    </row>
    <row r="14882" spans="1:1" s="173" customFormat="1" ht="12" hidden="1" customHeight="1">
      <c r="A14882" s="172"/>
    </row>
    <row r="14883" spans="1:1" s="173" customFormat="1" ht="12" hidden="1" customHeight="1">
      <c r="A14883" s="172"/>
    </row>
    <row r="14884" spans="1:1" s="173" customFormat="1" ht="12" hidden="1" customHeight="1">
      <c r="A14884" s="172"/>
    </row>
    <row r="14885" spans="1:1" s="173" customFormat="1" ht="12" hidden="1" customHeight="1">
      <c r="A14885" s="172"/>
    </row>
    <row r="14886" spans="1:1" s="173" customFormat="1" ht="12" hidden="1" customHeight="1">
      <c r="A14886" s="172"/>
    </row>
    <row r="14887" spans="1:1" s="173" customFormat="1" ht="12" hidden="1" customHeight="1">
      <c r="A14887" s="172"/>
    </row>
    <row r="14888" spans="1:1" s="173" customFormat="1" ht="12" hidden="1" customHeight="1">
      <c r="A14888" s="172"/>
    </row>
    <row r="14889" spans="1:1" s="173" customFormat="1" ht="12" hidden="1" customHeight="1">
      <c r="A14889" s="172"/>
    </row>
    <row r="14890" spans="1:1" s="173" customFormat="1" ht="12" hidden="1" customHeight="1">
      <c r="A14890" s="172"/>
    </row>
    <row r="14891" spans="1:1" s="173" customFormat="1" ht="12" hidden="1" customHeight="1">
      <c r="A14891" s="172"/>
    </row>
    <row r="14892" spans="1:1" s="173" customFormat="1" ht="12" hidden="1" customHeight="1">
      <c r="A14892" s="172"/>
    </row>
    <row r="14893" spans="1:1" s="173" customFormat="1" ht="12" hidden="1" customHeight="1">
      <c r="A14893" s="172"/>
    </row>
    <row r="14894" spans="1:1" s="173" customFormat="1" ht="12" hidden="1" customHeight="1">
      <c r="A14894" s="172"/>
    </row>
    <row r="14895" spans="1:1" s="173" customFormat="1" ht="12" hidden="1" customHeight="1">
      <c r="A14895" s="172"/>
    </row>
    <row r="14896" spans="1:1" s="173" customFormat="1" ht="12" hidden="1" customHeight="1">
      <c r="A14896" s="172"/>
    </row>
    <row r="14897" spans="1:1" s="173" customFormat="1" ht="12" hidden="1" customHeight="1">
      <c r="A14897" s="172"/>
    </row>
    <row r="14898" spans="1:1" s="173" customFormat="1" ht="12" hidden="1" customHeight="1">
      <c r="A14898" s="172"/>
    </row>
    <row r="14899" spans="1:1" s="173" customFormat="1" ht="12" hidden="1" customHeight="1">
      <c r="A14899" s="172"/>
    </row>
    <row r="14900" spans="1:1" s="173" customFormat="1" ht="12" hidden="1" customHeight="1">
      <c r="A14900" s="172"/>
    </row>
    <row r="14901" spans="1:1" s="173" customFormat="1" ht="12" hidden="1" customHeight="1">
      <c r="A14901" s="172"/>
    </row>
    <row r="14902" spans="1:1" s="173" customFormat="1" ht="12" hidden="1" customHeight="1">
      <c r="A14902" s="172"/>
    </row>
    <row r="14903" spans="1:1" s="173" customFormat="1" ht="12" hidden="1" customHeight="1">
      <c r="A14903" s="172"/>
    </row>
    <row r="14904" spans="1:1" s="173" customFormat="1" ht="12" hidden="1" customHeight="1">
      <c r="A14904" s="172"/>
    </row>
    <row r="14905" spans="1:1" s="173" customFormat="1" ht="12" hidden="1" customHeight="1">
      <c r="A14905" s="172"/>
    </row>
    <row r="14906" spans="1:1" s="173" customFormat="1" ht="12" hidden="1" customHeight="1">
      <c r="A14906" s="172"/>
    </row>
    <row r="14907" spans="1:1" s="173" customFormat="1" ht="12" hidden="1" customHeight="1">
      <c r="A14907" s="172"/>
    </row>
    <row r="14908" spans="1:1" s="173" customFormat="1" ht="12" hidden="1" customHeight="1">
      <c r="A14908" s="172"/>
    </row>
    <row r="14909" spans="1:1" s="173" customFormat="1" ht="12" hidden="1" customHeight="1">
      <c r="A14909" s="172"/>
    </row>
    <row r="14910" spans="1:1" s="173" customFormat="1" ht="12" hidden="1" customHeight="1">
      <c r="A14910" s="172"/>
    </row>
    <row r="14911" spans="1:1" s="173" customFormat="1" ht="12" hidden="1" customHeight="1">
      <c r="A14911" s="172"/>
    </row>
    <row r="14912" spans="1:1" s="173" customFormat="1" ht="12" hidden="1" customHeight="1">
      <c r="A14912" s="172"/>
    </row>
    <row r="14913" spans="1:1" s="173" customFormat="1" ht="12" hidden="1" customHeight="1">
      <c r="A14913" s="172"/>
    </row>
    <row r="14914" spans="1:1" s="173" customFormat="1" ht="12" hidden="1" customHeight="1">
      <c r="A14914" s="172"/>
    </row>
    <row r="14915" spans="1:1" s="173" customFormat="1" ht="12" hidden="1" customHeight="1">
      <c r="A14915" s="172"/>
    </row>
    <row r="14916" spans="1:1" s="173" customFormat="1" ht="12" hidden="1" customHeight="1">
      <c r="A14916" s="172"/>
    </row>
    <row r="14917" spans="1:1" s="173" customFormat="1" ht="12" hidden="1" customHeight="1">
      <c r="A14917" s="172"/>
    </row>
    <row r="14918" spans="1:1" s="173" customFormat="1" ht="12" hidden="1" customHeight="1">
      <c r="A14918" s="172"/>
    </row>
    <row r="14919" spans="1:1" s="173" customFormat="1" ht="12" hidden="1" customHeight="1">
      <c r="A14919" s="172"/>
    </row>
    <row r="14920" spans="1:1" s="173" customFormat="1" ht="12" hidden="1" customHeight="1">
      <c r="A14920" s="172"/>
    </row>
    <row r="14921" spans="1:1" s="173" customFormat="1" ht="12" hidden="1" customHeight="1">
      <c r="A14921" s="172"/>
    </row>
    <row r="14922" spans="1:1" s="173" customFormat="1" ht="12" hidden="1" customHeight="1">
      <c r="A14922" s="172"/>
    </row>
    <row r="14923" spans="1:1" s="173" customFormat="1" ht="12" hidden="1" customHeight="1">
      <c r="A14923" s="172"/>
    </row>
    <row r="14924" spans="1:1" s="173" customFormat="1" ht="12" hidden="1" customHeight="1">
      <c r="A14924" s="172"/>
    </row>
    <row r="14925" spans="1:1" s="173" customFormat="1" ht="12" hidden="1" customHeight="1">
      <c r="A14925" s="172"/>
    </row>
    <row r="14926" spans="1:1" s="173" customFormat="1" ht="12" hidden="1" customHeight="1">
      <c r="A14926" s="172"/>
    </row>
    <row r="14927" spans="1:1" s="173" customFormat="1" ht="12" hidden="1" customHeight="1">
      <c r="A14927" s="172"/>
    </row>
    <row r="14928" spans="1:1" s="173" customFormat="1" ht="12" hidden="1" customHeight="1">
      <c r="A14928" s="172"/>
    </row>
    <row r="14929" spans="1:1" s="173" customFormat="1" ht="12" hidden="1" customHeight="1">
      <c r="A14929" s="172"/>
    </row>
    <row r="14930" spans="1:1" s="173" customFormat="1" ht="12" hidden="1" customHeight="1">
      <c r="A14930" s="172"/>
    </row>
    <row r="14931" spans="1:1" s="173" customFormat="1" ht="12" hidden="1" customHeight="1">
      <c r="A14931" s="172"/>
    </row>
    <row r="14932" spans="1:1" s="173" customFormat="1" ht="12" hidden="1" customHeight="1">
      <c r="A14932" s="172"/>
    </row>
    <row r="14933" spans="1:1" s="173" customFormat="1" ht="12" hidden="1" customHeight="1">
      <c r="A14933" s="172"/>
    </row>
    <row r="14934" spans="1:1" s="173" customFormat="1" ht="12" hidden="1" customHeight="1">
      <c r="A14934" s="172"/>
    </row>
    <row r="14935" spans="1:1" s="173" customFormat="1" ht="12" hidden="1" customHeight="1">
      <c r="A14935" s="172"/>
    </row>
    <row r="14936" spans="1:1" s="173" customFormat="1" ht="12" hidden="1" customHeight="1">
      <c r="A14936" s="172"/>
    </row>
    <row r="14937" spans="1:1" s="173" customFormat="1" ht="12" hidden="1" customHeight="1">
      <c r="A14937" s="172"/>
    </row>
    <row r="14938" spans="1:1" s="173" customFormat="1" ht="12" hidden="1" customHeight="1">
      <c r="A14938" s="172"/>
    </row>
    <row r="14939" spans="1:1" s="173" customFormat="1" ht="12" hidden="1" customHeight="1">
      <c r="A14939" s="172"/>
    </row>
    <row r="14940" spans="1:1" s="173" customFormat="1" ht="12" hidden="1" customHeight="1">
      <c r="A14940" s="172"/>
    </row>
    <row r="14941" spans="1:1" s="173" customFormat="1" ht="12" hidden="1" customHeight="1">
      <c r="A14941" s="172"/>
    </row>
    <row r="14942" spans="1:1" s="173" customFormat="1" ht="12" hidden="1" customHeight="1">
      <c r="A14942" s="172"/>
    </row>
    <row r="14943" spans="1:1" s="173" customFormat="1" ht="12" hidden="1" customHeight="1">
      <c r="A14943" s="172"/>
    </row>
    <row r="14944" spans="1:1" s="173" customFormat="1" ht="12" hidden="1" customHeight="1">
      <c r="A14944" s="172"/>
    </row>
    <row r="14945" spans="1:1" s="173" customFormat="1" ht="12" hidden="1" customHeight="1">
      <c r="A14945" s="172"/>
    </row>
    <row r="14946" spans="1:1" s="173" customFormat="1" ht="12" hidden="1" customHeight="1">
      <c r="A14946" s="172"/>
    </row>
    <row r="14947" spans="1:1" s="173" customFormat="1" ht="12" hidden="1" customHeight="1">
      <c r="A14947" s="172"/>
    </row>
    <row r="14948" spans="1:1" s="173" customFormat="1" ht="12" hidden="1" customHeight="1">
      <c r="A14948" s="172"/>
    </row>
    <row r="14949" spans="1:1" s="173" customFormat="1" ht="12" hidden="1" customHeight="1">
      <c r="A14949" s="172"/>
    </row>
    <row r="14950" spans="1:1" s="173" customFormat="1" ht="12" hidden="1" customHeight="1">
      <c r="A14950" s="172"/>
    </row>
    <row r="14951" spans="1:1" s="173" customFormat="1" ht="12" hidden="1" customHeight="1">
      <c r="A14951" s="172"/>
    </row>
    <row r="14952" spans="1:1" s="173" customFormat="1" ht="12" hidden="1" customHeight="1">
      <c r="A14952" s="172"/>
    </row>
    <row r="14953" spans="1:1" s="173" customFormat="1" ht="12" hidden="1" customHeight="1">
      <c r="A14953" s="172"/>
    </row>
    <row r="14954" spans="1:1" s="173" customFormat="1" ht="12" hidden="1" customHeight="1">
      <c r="A14954" s="172"/>
    </row>
    <row r="14955" spans="1:1" s="173" customFormat="1" ht="12" hidden="1" customHeight="1">
      <c r="A14955" s="172"/>
    </row>
    <row r="14956" spans="1:1" s="173" customFormat="1" ht="12" hidden="1" customHeight="1">
      <c r="A14956" s="172"/>
    </row>
    <row r="14957" spans="1:1" s="173" customFormat="1" ht="12" hidden="1" customHeight="1">
      <c r="A14957" s="172"/>
    </row>
    <row r="14958" spans="1:1" s="173" customFormat="1" ht="12" hidden="1" customHeight="1">
      <c r="A14958" s="172"/>
    </row>
    <row r="14959" spans="1:1" s="173" customFormat="1" ht="12" hidden="1" customHeight="1">
      <c r="A14959" s="172"/>
    </row>
    <row r="14960" spans="1:1" s="173" customFormat="1" ht="12" hidden="1" customHeight="1">
      <c r="A14960" s="172"/>
    </row>
    <row r="14961" spans="1:1" s="173" customFormat="1" ht="12" hidden="1" customHeight="1">
      <c r="A14961" s="172"/>
    </row>
    <row r="14962" spans="1:1" s="173" customFormat="1" ht="12" hidden="1" customHeight="1">
      <c r="A14962" s="172"/>
    </row>
    <row r="14963" spans="1:1" s="173" customFormat="1" ht="12" hidden="1" customHeight="1">
      <c r="A14963" s="172"/>
    </row>
    <row r="14964" spans="1:1" s="173" customFormat="1" ht="12" hidden="1" customHeight="1">
      <c r="A14964" s="172"/>
    </row>
    <row r="14965" spans="1:1" s="173" customFormat="1" ht="12" hidden="1" customHeight="1">
      <c r="A14965" s="172"/>
    </row>
    <row r="14966" spans="1:1" s="173" customFormat="1" ht="12" hidden="1" customHeight="1">
      <c r="A14966" s="172"/>
    </row>
    <row r="14967" spans="1:1" s="173" customFormat="1" ht="12" hidden="1" customHeight="1">
      <c r="A14967" s="172"/>
    </row>
    <row r="14968" spans="1:1" s="173" customFormat="1" ht="12" hidden="1" customHeight="1">
      <c r="A14968" s="172"/>
    </row>
    <row r="14969" spans="1:1" s="173" customFormat="1" ht="12" hidden="1" customHeight="1">
      <c r="A14969" s="172"/>
    </row>
    <row r="14970" spans="1:1" s="173" customFormat="1" ht="12" hidden="1" customHeight="1">
      <c r="A14970" s="172"/>
    </row>
    <row r="14971" spans="1:1" s="173" customFormat="1" ht="12" hidden="1" customHeight="1">
      <c r="A14971" s="172"/>
    </row>
    <row r="14972" spans="1:1" s="173" customFormat="1" ht="12" hidden="1" customHeight="1">
      <c r="A14972" s="172"/>
    </row>
    <row r="14973" spans="1:1" s="173" customFormat="1" ht="12" hidden="1" customHeight="1">
      <c r="A14973" s="172"/>
    </row>
    <row r="14974" spans="1:1" s="173" customFormat="1" ht="12" hidden="1" customHeight="1">
      <c r="A14974" s="172"/>
    </row>
    <row r="14975" spans="1:1" s="173" customFormat="1" ht="12" hidden="1" customHeight="1">
      <c r="A14975" s="172"/>
    </row>
    <row r="14976" spans="1:1" s="173" customFormat="1" ht="12" hidden="1" customHeight="1">
      <c r="A14976" s="172"/>
    </row>
    <row r="14977" spans="1:1" s="173" customFormat="1" ht="12" hidden="1" customHeight="1">
      <c r="A14977" s="172"/>
    </row>
    <row r="14978" spans="1:1" s="173" customFormat="1" ht="12" hidden="1" customHeight="1">
      <c r="A14978" s="172"/>
    </row>
    <row r="14979" spans="1:1" s="173" customFormat="1" ht="12" hidden="1" customHeight="1">
      <c r="A14979" s="172"/>
    </row>
    <row r="14980" spans="1:1" s="173" customFormat="1" ht="12" hidden="1" customHeight="1">
      <c r="A14980" s="172"/>
    </row>
    <row r="14981" spans="1:1" s="173" customFormat="1" ht="12" hidden="1" customHeight="1">
      <c r="A14981" s="172"/>
    </row>
    <row r="14982" spans="1:1" s="173" customFormat="1" ht="12" hidden="1" customHeight="1">
      <c r="A14982" s="172"/>
    </row>
    <row r="14983" spans="1:1" s="173" customFormat="1" ht="12" hidden="1" customHeight="1">
      <c r="A14983" s="172"/>
    </row>
    <row r="14984" spans="1:1" s="173" customFormat="1" ht="12" hidden="1" customHeight="1">
      <c r="A14984" s="172"/>
    </row>
    <row r="14985" spans="1:1" s="173" customFormat="1" ht="12" hidden="1" customHeight="1">
      <c r="A14985" s="172"/>
    </row>
    <row r="14986" spans="1:1" s="173" customFormat="1" ht="12" hidden="1" customHeight="1">
      <c r="A14986" s="172"/>
    </row>
    <row r="14987" spans="1:1" s="173" customFormat="1" ht="12" hidden="1" customHeight="1">
      <c r="A14987" s="172"/>
    </row>
    <row r="14988" spans="1:1" s="173" customFormat="1" ht="12" hidden="1" customHeight="1">
      <c r="A14988" s="172"/>
    </row>
    <row r="14989" spans="1:1" s="173" customFormat="1" ht="12" hidden="1" customHeight="1">
      <c r="A14989" s="172"/>
    </row>
    <row r="14990" spans="1:1" s="173" customFormat="1" ht="12" hidden="1" customHeight="1">
      <c r="A14990" s="172"/>
    </row>
    <row r="14991" spans="1:1" s="173" customFormat="1" ht="12" hidden="1" customHeight="1">
      <c r="A14991" s="172"/>
    </row>
    <row r="14992" spans="1:1" s="173" customFormat="1" ht="12" hidden="1" customHeight="1">
      <c r="A14992" s="172"/>
    </row>
    <row r="14993" spans="1:1" s="173" customFormat="1" ht="12" hidden="1" customHeight="1">
      <c r="A14993" s="172"/>
    </row>
    <row r="14994" spans="1:1" s="173" customFormat="1" ht="12" hidden="1" customHeight="1">
      <c r="A14994" s="172"/>
    </row>
    <row r="14995" spans="1:1" s="173" customFormat="1" ht="12" hidden="1" customHeight="1">
      <c r="A14995" s="172"/>
    </row>
    <row r="14996" spans="1:1" s="173" customFormat="1" ht="12" hidden="1" customHeight="1">
      <c r="A14996" s="172"/>
    </row>
    <row r="14997" spans="1:1" s="173" customFormat="1" ht="12" hidden="1" customHeight="1">
      <c r="A14997" s="172"/>
    </row>
    <row r="14998" spans="1:1" s="173" customFormat="1" ht="12" hidden="1" customHeight="1">
      <c r="A14998" s="172"/>
    </row>
    <row r="14999" spans="1:1" s="173" customFormat="1" ht="12" hidden="1" customHeight="1">
      <c r="A14999" s="172"/>
    </row>
    <row r="15000" spans="1:1" s="173" customFormat="1" ht="12" hidden="1" customHeight="1">
      <c r="A15000" s="172"/>
    </row>
    <row r="15001" spans="1:1" s="173" customFormat="1" ht="12" hidden="1" customHeight="1">
      <c r="A15001" s="172"/>
    </row>
    <row r="15002" spans="1:1" s="173" customFormat="1" ht="12" hidden="1" customHeight="1">
      <c r="A15002" s="172"/>
    </row>
    <row r="15003" spans="1:1" s="173" customFormat="1" ht="12" hidden="1" customHeight="1">
      <c r="A15003" s="172"/>
    </row>
    <row r="15004" spans="1:1" s="173" customFormat="1" ht="12" hidden="1" customHeight="1">
      <c r="A15004" s="172"/>
    </row>
    <row r="15005" spans="1:1" s="173" customFormat="1" ht="12" hidden="1" customHeight="1">
      <c r="A15005" s="172"/>
    </row>
    <row r="15006" spans="1:1" s="173" customFormat="1" ht="12" hidden="1" customHeight="1">
      <c r="A15006" s="172"/>
    </row>
    <row r="15007" spans="1:1" s="173" customFormat="1" ht="12" hidden="1" customHeight="1">
      <c r="A15007" s="172"/>
    </row>
    <row r="15008" spans="1:1" s="173" customFormat="1" ht="12" hidden="1" customHeight="1">
      <c r="A15008" s="172"/>
    </row>
    <row r="15009" spans="1:1" s="173" customFormat="1" ht="12" hidden="1" customHeight="1">
      <c r="A15009" s="172"/>
    </row>
    <row r="15010" spans="1:1" s="173" customFormat="1" ht="12" hidden="1" customHeight="1">
      <c r="A15010" s="172"/>
    </row>
    <row r="15011" spans="1:1" s="173" customFormat="1" ht="12" hidden="1" customHeight="1">
      <c r="A15011" s="172"/>
    </row>
    <row r="15012" spans="1:1" s="173" customFormat="1" ht="12" hidden="1" customHeight="1">
      <c r="A15012" s="172"/>
    </row>
    <row r="15013" spans="1:1" s="173" customFormat="1" ht="12" hidden="1" customHeight="1">
      <c r="A15013" s="172"/>
    </row>
    <row r="15014" spans="1:1" s="173" customFormat="1" ht="12" hidden="1" customHeight="1">
      <c r="A15014" s="172"/>
    </row>
    <row r="15015" spans="1:1" s="173" customFormat="1" ht="12" hidden="1" customHeight="1">
      <c r="A15015" s="172"/>
    </row>
    <row r="15016" spans="1:1" s="173" customFormat="1" ht="12" hidden="1" customHeight="1">
      <c r="A15016" s="172"/>
    </row>
    <row r="15017" spans="1:1" s="173" customFormat="1" ht="12" hidden="1" customHeight="1">
      <c r="A15017" s="172"/>
    </row>
    <row r="15018" spans="1:1" s="173" customFormat="1" ht="12" hidden="1" customHeight="1">
      <c r="A15018" s="172"/>
    </row>
    <row r="15019" spans="1:1" s="173" customFormat="1" ht="12" hidden="1" customHeight="1">
      <c r="A15019" s="172"/>
    </row>
    <row r="15020" spans="1:1" s="173" customFormat="1" ht="12" hidden="1" customHeight="1">
      <c r="A15020" s="172"/>
    </row>
    <row r="15021" spans="1:1" s="173" customFormat="1" ht="12" hidden="1" customHeight="1">
      <c r="A15021" s="172"/>
    </row>
    <row r="15022" spans="1:1" s="173" customFormat="1" ht="12" hidden="1" customHeight="1">
      <c r="A15022" s="172"/>
    </row>
    <row r="15023" spans="1:1" s="173" customFormat="1" ht="12" hidden="1" customHeight="1">
      <c r="A15023" s="172"/>
    </row>
    <row r="15024" spans="1:1" s="173" customFormat="1" ht="12" hidden="1" customHeight="1">
      <c r="A15024" s="172"/>
    </row>
    <row r="15025" spans="1:1" s="173" customFormat="1" ht="12" hidden="1" customHeight="1">
      <c r="A15025" s="172"/>
    </row>
    <row r="15026" spans="1:1" s="173" customFormat="1" ht="12" hidden="1" customHeight="1">
      <c r="A15026" s="172"/>
    </row>
    <row r="15027" spans="1:1" s="173" customFormat="1" ht="12" hidden="1" customHeight="1">
      <c r="A15027" s="172"/>
    </row>
    <row r="15028" spans="1:1" s="173" customFormat="1" ht="12" hidden="1" customHeight="1">
      <c r="A15028" s="172"/>
    </row>
    <row r="15029" spans="1:1" s="173" customFormat="1" ht="12" hidden="1" customHeight="1">
      <c r="A15029" s="172"/>
    </row>
    <row r="15030" spans="1:1" s="173" customFormat="1" ht="12" hidden="1" customHeight="1">
      <c r="A15030" s="172"/>
    </row>
    <row r="15031" spans="1:1" s="173" customFormat="1" ht="12" hidden="1" customHeight="1">
      <c r="A15031" s="172"/>
    </row>
    <row r="15032" spans="1:1" s="173" customFormat="1" ht="12" hidden="1" customHeight="1">
      <c r="A15032" s="172"/>
    </row>
    <row r="15033" spans="1:1" s="173" customFormat="1" ht="12" hidden="1" customHeight="1">
      <c r="A15033" s="172"/>
    </row>
    <row r="15034" spans="1:1" s="173" customFormat="1" ht="12" hidden="1" customHeight="1">
      <c r="A15034" s="172"/>
    </row>
    <row r="15035" spans="1:1" s="173" customFormat="1" ht="12" hidden="1" customHeight="1">
      <c r="A15035" s="172"/>
    </row>
    <row r="15036" spans="1:1" s="173" customFormat="1" ht="12" hidden="1" customHeight="1">
      <c r="A15036" s="172"/>
    </row>
    <row r="15037" spans="1:1" s="173" customFormat="1" ht="12" hidden="1" customHeight="1">
      <c r="A15037" s="172"/>
    </row>
    <row r="15038" spans="1:1" s="173" customFormat="1" ht="12" hidden="1" customHeight="1">
      <c r="A15038" s="172"/>
    </row>
    <row r="15039" spans="1:1" s="173" customFormat="1" ht="12" hidden="1" customHeight="1">
      <c r="A15039" s="172"/>
    </row>
    <row r="15040" spans="1:1" s="173" customFormat="1" ht="12" hidden="1" customHeight="1">
      <c r="A15040" s="172"/>
    </row>
    <row r="15041" spans="1:1" s="173" customFormat="1" ht="12" hidden="1" customHeight="1">
      <c r="A15041" s="172"/>
    </row>
    <row r="15042" spans="1:1" s="173" customFormat="1" ht="12" hidden="1" customHeight="1">
      <c r="A15042" s="172"/>
    </row>
    <row r="15043" spans="1:1" s="173" customFormat="1" ht="12" hidden="1" customHeight="1">
      <c r="A15043" s="172"/>
    </row>
    <row r="15044" spans="1:1" s="173" customFormat="1" ht="12" hidden="1" customHeight="1">
      <c r="A15044" s="172"/>
    </row>
    <row r="15045" spans="1:1" s="173" customFormat="1" ht="12" hidden="1" customHeight="1">
      <c r="A15045" s="172"/>
    </row>
    <row r="15046" spans="1:1" s="173" customFormat="1" ht="12" hidden="1" customHeight="1">
      <c r="A15046" s="172"/>
    </row>
    <row r="15047" spans="1:1" s="173" customFormat="1" ht="12" hidden="1" customHeight="1">
      <c r="A15047" s="172"/>
    </row>
    <row r="15048" spans="1:1" s="173" customFormat="1" ht="12" hidden="1" customHeight="1">
      <c r="A15048" s="172"/>
    </row>
    <row r="15049" spans="1:1" s="173" customFormat="1" ht="12" hidden="1" customHeight="1">
      <c r="A15049" s="172"/>
    </row>
    <row r="15050" spans="1:1" s="173" customFormat="1" ht="12" hidden="1" customHeight="1">
      <c r="A15050" s="172"/>
    </row>
    <row r="15051" spans="1:1" s="173" customFormat="1" ht="12" hidden="1" customHeight="1">
      <c r="A15051" s="172"/>
    </row>
    <row r="15052" spans="1:1" s="173" customFormat="1" ht="12" hidden="1" customHeight="1">
      <c r="A15052" s="172"/>
    </row>
    <row r="15053" spans="1:1" s="173" customFormat="1" ht="12" hidden="1" customHeight="1">
      <c r="A15053" s="172"/>
    </row>
    <row r="15054" spans="1:1" s="173" customFormat="1" ht="12" hidden="1" customHeight="1">
      <c r="A15054" s="172"/>
    </row>
    <row r="15055" spans="1:1" s="173" customFormat="1" ht="12" hidden="1" customHeight="1">
      <c r="A15055" s="172"/>
    </row>
    <row r="15056" spans="1:1" s="173" customFormat="1" ht="12" hidden="1" customHeight="1">
      <c r="A15056" s="172"/>
    </row>
    <row r="15057" spans="1:1" s="173" customFormat="1" ht="12" hidden="1" customHeight="1">
      <c r="A15057" s="172"/>
    </row>
    <row r="15058" spans="1:1" s="173" customFormat="1" ht="12" hidden="1" customHeight="1">
      <c r="A15058" s="172"/>
    </row>
    <row r="15059" spans="1:1" s="173" customFormat="1" ht="12" hidden="1" customHeight="1">
      <c r="A15059" s="172"/>
    </row>
    <row r="15060" spans="1:1" s="173" customFormat="1" ht="12" hidden="1" customHeight="1">
      <c r="A15060" s="172"/>
    </row>
    <row r="15061" spans="1:1" s="173" customFormat="1" ht="12" hidden="1" customHeight="1">
      <c r="A15061" s="172"/>
    </row>
    <row r="15062" spans="1:1" s="173" customFormat="1" ht="12" hidden="1" customHeight="1">
      <c r="A15062" s="172"/>
    </row>
    <row r="15063" spans="1:1" s="173" customFormat="1" ht="12" hidden="1" customHeight="1">
      <c r="A15063" s="172"/>
    </row>
    <row r="15064" spans="1:1" s="173" customFormat="1" ht="12" hidden="1" customHeight="1">
      <c r="A15064" s="172"/>
    </row>
    <row r="15065" spans="1:1" s="173" customFormat="1" ht="12" hidden="1" customHeight="1">
      <c r="A15065" s="172"/>
    </row>
    <row r="15066" spans="1:1" s="173" customFormat="1" ht="12" hidden="1" customHeight="1">
      <c r="A15066" s="172"/>
    </row>
    <row r="15067" spans="1:1" s="173" customFormat="1" ht="12" hidden="1" customHeight="1">
      <c r="A15067" s="172"/>
    </row>
    <row r="15068" spans="1:1" s="173" customFormat="1" ht="12" hidden="1" customHeight="1">
      <c r="A15068" s="172"/>
    </row>
    <row r="15069" spans="1:1" s="173" customFormat="1" ht="12" hidden="1" customHeight="1">
      <c r="A15069" s="172"/>
    </row>
    <row r="15070" spans="1:1" s="173" customFormat="1" ht="12" hidden="1" customHeight="1">
      <c r="A15070" s="172"/>
    </row>
    <row r="15071" spans="1:1" s="173" customFormat="1" ht="12" hidden="1" customHeight="1">
      <c r="A15071" s="172"/>
    </row>
    <row r="15072" spans="1:1" s="173" customFormat="1" ht="12" hidden="1" customHeight="1">
      <c r="A15072" s="172"/>
    </row>
    <row r="15073" spans="1:1" s="173" customFormat="1" ht="12" hidden="1" customHeight="1">
      <c r="A15073" s="172"/>
    </row>
    <row r="15074" spans="1:1" s="173" customFormat="1" ht="12" hidden="1" customHeight="1">
      <c r="A15074" s="172"/>
    </row>
    <row r="15075" spans="1:1" s="173" customFormat="1" ht="12" hidden="1" customHeight="1">
      <c r="A15075" s="172"/>
    </row>
    <row r="15076" spans="1:1" s="173" customFormat="1" ht="12" hidden="1" customHeight="1">
      <c r="A15076" s="172"/>
    </row>
    <row r="15077" spans="1:1" s="173" customFormat="1" ht="12" hidden="1" customHeight="1">
      <c r="A15077" s="172"/>
    </row>
    <row r="15078" spans="1:1" s="173" customFormat="1" ht="12" hidden="1" customHeight="1">
      <c r="A15078" s="172"/>
    </row>
    <row r="15079" spans="1:1" s="173" customFormat="1" ht="12" hidden="1" customHeight="1">
      <c r="A15079" s="172"/>
    </row>
    <row r="15080" spans="1:1" s="173" customFormat="1" ht="12" hidden="1" customHeight="1">
      <c r="A15080" s="172"/>
    </row>
    <row r="15081" spans="1:1" s="173" customFormat="1" ht="12" hidden="1" customHeight="1">
      <c r="A15081" s="172"/>
    </row>
    <row r="15082" spans="1:1" s="173" customFormat="1" ht="12" hidden="1" customHeight="1">
      <c r="A15082" s="172"/>
    </row>
    <row r="15083" spans="1:1" s="173" customFormat="1" ht="12" hidden="1" customHeight="1">
      <c r="A15083" s="172"/>
    </row>
    <row r="15084" spans="1:1" s="173" customFormat="1" ht="12" hidden="1" customHeight="1">
      <c r="A15084" s="172"/>
    </row>
    <row r="15085" spans="1:1" s="173" customFormat="1" ht="12" hidden="1" customHeight="1">
      <c r="A15085" s="172"/>
    </row>
    <row r="15086" spans="1:1" s="173" customFormat="1" ht="12" hidden="1" customHeight="1">
      <c r="A15086" s="172"/>
    </row>
    <row r="15087" spans="1:1" s="173" customFormat="1" ht="12" hidden="1" customHeight="1">
      <c r="A15087" s="172"/>
    </row>
    <row r="15088" spans="1:1" s="173" customFormat="1" ht="12" hidden="1" customHeight="1">
      <c r="A15088" s="172"/>
    </row>
    <row r="15089" spans="1:1" s="173" customFormat="1" ht="12" hidden="1" customHeight="1">
      <c r="A15089" s="172"/>
    </row>
    <row r="15090" spans="1:1" s="173" customFormat="1" ht="12" hidden="1" customHeight="1">
      <c r="A15090" s="172"/>
    </row>
    <row r="15091" spans="1:1" s="173" customFormat="1" ht="12" hidden="1" customHeight="1">
      <c r="A15091" s="172"/>
    </row>
    <row r="15092" spans="1:1" s="173" customFormat="1" ht="12" hidden="1" customHeight="1">
      <c r="A15092" s="172"/>
    </row>
    <row r="15093" spans="1:1" s="173" customFormat="1" ht="12" hidden="1" customHeight="1">
      <c r="A15093" s="172"/>
    </row>
    <row r="15094" spans="1:1" s="173" customFormat="1" ht="12" hidden="1" customHeight="1">
      <c r="A15094" s="172"/>
    </row>
    <row r="15095" spans="1:1" s="173" customFormat="1" ht="12" hidden="1" customHeight="1">
      <c r="A15095" s="172"/>
    </row>
    <row r="15096" spans="1:1" s="173" customFormat="1" ht="12" hidden="1" customHeight="1">
      <c r="A15096" s="172"/>
    </row>
    <row r="15097" spans="1:1" s="173" customFormat="1" ht="12" hidden="1" customHeight="1">
      <c r="A15097" s="172"/>
    </row>
    <row r="15098" spans="1:1" s="173" customFormat="1" ht="12" hidden="1" customHeight="1">
      <c r="A15098" s="172"/>
    </row>
    <row r="15099" spans="1:1" s="173" customFormat="1" ht="12" hidden="1" customHeight="1">
      <c r="A15099" s="172"/>
    </row>
    <row r="15100" spans="1:1" s="173" customFormat="1" ht="12" hidden="1" customHeight="1">
      <c r="A15100" s="172"/>
    </row>
    <row r="15101" spans="1:1" s="173" customFormat="1" ht="12" hidden="1" customHeight="1">
      <c r="A15101" s="172"/>
    </row>
    <row r="15102" spans="1:1" s="173" customFormat="1" ht="12" hidden="1" customHeight="1">
      <c r="A15102" s="172"/>
    </row>
    <row r="15103" spans="1:1" s="173" customFormat="1" ht="12" hidden="1" customHeight="1">
      <c r="A15103" s="172"/>
    </row>
    <row r="15104" spans="1:1" s="173" customFormat="1" ht="12" hidden="1" customHeight="1">
      <c r="A15104" s="172"/>
    </row>
    <row r="15105" spans="1:1" s="173" customFormat="1" ht="12" hidden="1" customHeight="1">
      <c r="A15105" s="172"/>
    </row>
    <row r="15106" spans="1:1" s="173" customFormat="1" ht="12" hidden="1" customHeight="1">
      <c r="A15106" s="172"/>
    </row>
    <row r="15107" spans="1:1" s="173" customFormat="1" ht="12" hidden="1" customHeight="1">
      <c r="A15107" s="172"/>
    </row>
    <row r="15108" spans="1:1" s="173" customFormat="1" ht="12" hidden="1" customHeight="1">
      <c r="A15108" s="172"/>
    </row>
    <row r="15109" spans="1:1" s="173" customFormat="1" ht="12" hidden="1" customHeight="1">
      <c r="A15109" s="172"/>
    </row>
    <row r="15110" spans="1:1" s="173" customFormat="1" ht="12" hidden="1" customHeight="1">
      <c r="A15110" s="172"/>
    </row>
    <row r="15111" spans="1:1" s="173" customFormat="1" ht="12" hidden="1" customHeight="1">
      <c r="A15111" s="172"/>
    </row>
    <row r="15112" spans="1:1" s="173" customFormat="1" ht="12" hidden="1" customHeight="1">
      <c r="A15112" s="172"/>
    </row>
    <row r="15113" spans="1:1" s="173" customFormat="1" ht="12" hidden="1" customHeight="1">
      <c r="A15113" s="172"/>
    </row>
    <row r="15114" spans="1:1" s="173" customFormat="1" ht="12" hidden="1" customHeight="1">
      <c r="A15114" s="172"/>
    </row>
    <row r="15115" spans="1:1" s="173" customFormat="1" ht="12" hidden="1" customHeight="1">
      <c r="A15115" s="172"/>
    </row>
    <row r="15116" spans="1:1" s="173" customFormat="1" ht="12" hidden="1" customHeight="1">
      <c r="A15116" s="172"/>
    </row>
    <row r="15117" spans="1:1" s="173" customFormat="1" ht="12" hidden="1" customHeight="1">
      <c r="A15117" s="172"/>
    </row>
    <row r="15118" spans="1:1" s="173" customFormat="1" ht="12" hidden="1" customHeight="1">
      <c r="A15118" s="172"/>
    </row>
    <row r="15119" spans="1:1" s="173" customFormat="1" ht="12" hidden="1" customHeight="1">
      <c r="A15119" s="172"/>
    </row>
    <row r="15120" spans="1:1" s="173" customFormat="1" ht="12" hidden="1" customHeight="1">
      <c r="A15120" s="172"/>
    </row>
    <row r="15121" spans="1:1" s="173" customFormat="1" ht="12" hidden="1" customHeight="1">
      <c r="A15121" s="172"/>
    </row>
    <row r="15122" spans="1:1" s="173" customFormat="1" ht="12" hidden="1" customHeight="1">
      <c r="A15122" s="172"/>
    </row>
    <row r="15123" spans="1:1" s="173" customFormat="1" ht="12" hidden="1" customHeight="1">
      <c r="A15123" s="172"/>
    </row>
    <row r="15124" spans="1:1" s="173" customFormat="1" ht="12" hidden="1" customHeight="1">
      <c r="A15124" s="172"/>
    </row>
    <row r="15125" spans="1:1" s="173" customFormat="1" ht="12" hidden="1" customHeight="1">
      <c r="A15125" s="172"/>
    </row>
    <row r="15126" spans="1:1" s="173" customFormat="1" ht="12" hidden="1" customHeight="1">
      <c r="A15126" s="172"/>
    </row>
    <row r="15127" spans="1:1" s="173" customFormat="1" ht="12" hidden="1" customHeight="1">
      <c r="A15127" s="172"/>
    </row>
    <row r="15128" spans="1:1" s="173" customFormat="1" ht="12" hidden="1" customHeight="1">
      <c r="A15128" s="172"/>
    </row>
    <row r="15129" spans="1:1" s="173" customFormat="1" ht="12" hidden="1" customHeight="1">
      <c r="A15129" s="172"/>
    </row>
    <row r="15130" spans="1:1" s="173" customFormat="1" ht="12" hidden="1" customHeight="1">
      <c r="A15130" s="172"/>
    </row>
    <row r="15131" spans="1:1" s="173" customFormat="1" ht="12" hidden="1" customHeight="1">
      <c r="A15131" s="172"/>
    </row>
    <row r="15132" spans="1:1" s="173" customFormat="1" ht="12" hidden="1" customHeight="1">
      <c r="A15132" s="172"/>
    </row>
    <row r="15133" spans="1:1" s="173" customFormat="1" ht="12" hidden="1" customHeight="1">
      <c r="A15133" s="172"/>
    </row>
    <row r="15134" spans="1:1" s="173" customFormat="1" ht="12" hidden="1" customHeight="1">
      <c r="A15134" s="172"/>
    </row>
    <row r="15135" spans="1:1" s="173" customFormat="1" ht="12" hidden="1" customHeight="1">
      <c r="A15135" s="172"/>
    </row>
    <row r="15136" spans="1:1" s="173" customFormat="1" ht="12" hidden="1" customHeight="1">
      <c r="A15136" s="172"/>
    </row>
    <row r="15137" spans="1:1" s="173" customFormat="1" ht="12" hidden="1" customHeight="1">
      <c r="A15137" s="172"/>
    </row>
    <row r="15138" spans="1:1" s="173" customFormat="1" ht="12" hidden="1" customHeight="1">
      <c r="A15138" s="172"/>
    </row>
    <row r="15139" spans="1:1" s="173" customFormat="1" ht="12" hidden="1" customHeight="1">
      <c r="A15139" s="172"/>
    </row>
    <row r="15140" spans="1:1" s="173" customFormat="1" ht="12" hidden="1" customHeight="1">
      <c r="A15140" s="172"/>
    </row>
    <row r="15141" spans="1:1" s="173" customFormat="1" ht="12" hidden="1" customHeight="1">
      <c r="A15141" s="172"/>
    </row>
    <row r="15142" spans="1:1" s="173" customFormat="1" ht="12" hidden="1" customHeight="1">
      <c r="A15142" s="172"/>
    </row>
    <row r="15143" spans="1:1" s="173" customFormat="1" ht="12" hidden="1" customHeight="1">
      <c r="A15143" s="172"/>
    </row>
    <row r="15144" spans="1:1" s="173" customFormat="1" ht="12" hidden="1" customHeight="1">
      <c r="A15144" s="172"/>
    </row>
    <row r="15145" spans="1:1" s="173" customFormat="1" ht="12" hidden="1" customHeight="1">
      <c r="A15145" s="172"/>
    </row>
    <row r="15146" spans="1:1" s="173" customFormat="1" ht="12" hidden="1" customHeight="1">
      <c r="A15146" s="172"/>
    </row>
    <row r="15147" spans="1:1" s="173" customFormat="1" ht="12" hidden="1" customHeight="1">
      <c r="A15147" s="172"/>
    </row>
    <row r="15148" spans="1:1" s="173" customFormat="1" ht="12" hidden="1" customHeight="1">
      <c r="A15148" s="172"/>
    </row>
    <row r="15149" spans="1:1" s="173" customFormat="1" ht="12" hidden="1" customHeight="1">
      <c r="A15149" s="172"/>
    </row>
    <row r="15150" spans="1:1" s="173" customFormat="1" ht="12" hidden="1" customHeight="1">
      <c r="A15150" s="172"/>
    </row>
    <row r="15151" spans="1:1" s="173" customFormat="1" ht="12" hidden="1" customHeight="1">
      <c r="A15151" s="172"/>
    </row>
    <row r="15152" spans="1:1" s="173" customFormat="1" ht="12" hidden="1" customHeight="1">
      <c r="A15152" s="172"/>
    </row>
    <row r="15153" spans="1:1" s="173" customFormat="1" ht="12" hidden="1" customHeight="1">
      <c r="A15153" s="172"/>
    </row>
    <row r="15154" spans="1:1" s="173" customFormat="1" ht="12" hidden="1" customHeight="1">
      <c r="A15154" s="172"/>
    </row>
    <row r="15155" spans="1:1" s="173" customFormat="1" ht="12" hidden="1" customHeight="1">
      <c r="A15155" s="172"/>
    </row>
    <row r="15156" spans="1:1" s="173" customFormat="1" ht="12" hidden="1" customHeight="1">
      <c r="A15156" s="172"/>
    </row>
    <row r="15157" spans="1:1" s="173" customFormat="1" ht="12" hidden="1" customHeight="1">
      <c r="A15157" s="172"/>
    </row>
    <row r="15158" spans="1:1" s="173" customFormat="1" ht="12" hidden="1" customHeight="1">
      <c r="A15158" s="172"/>
    </row>
    <row r="15159" spans="1:1" s="173" customFormat="1" ht="12" hidden="1" customHeight="1">
      <c r="A15159" s="172"/>
    </row>
    <row r="15160" spans="1:1" s="173" customFormat="1" ht="12" hidden="1" customHeight="1">
      <c r="A15160" s="172"/>
    </row>
    <row r="15161" spans="1:1" s="173" customFormat="1" ht="12" hidden="1" customHeight="1">
      <c r="A15161" s="172"/>
    </row>
    <row r="15162" spans="1:1" s="173" customFormat="1" ht="12" hidden="1" customHeight="1">
      <c r="A15162" s="172"/>
    </row>
    <row r="15163" spans="1:1" s="173" customFormat="1" ht="12" hidden="1" customHeight="1">
      <c r="A15163" s="172"/>
    </row>
    <row r="15164" spans="1:1" s="173" customFormat="1" ht="12" hidden="1" customHeight="1">
      <c r="A15164" s="172"/>
    </row>
    <row r="15165" spans="1:1" s="173" customFormat="1" ht="12" hidden="1" customHeight="1">
      <c r="A15165" s="172"/>
    </row>
    <row r="15166" spans="1:1" s="173" customFormat="1" ht="12" hidden="1" customHeight="1">
      <c r="A15166" s="172"/>
    </row>
    <row r="15167" spans="1:1" s="173" customFormat="1" ht="12" hidden="1" customHeight="1">
      <c r="A15167" s="172"/>
    </row>
    <row r="15168" spans="1:1" s="173" customFormat="1" ht="12" hidden="1" customHeight="1">
      <c r="A15168" s="172"/>
    </row>
    <row r="15169" spans="1:1" s="173" customFormat="1" ht="12" hidden="1" customHeight="1">
      <c r="A15169" s="172"/>
    </row>
    <row r="15170" spans="1:1" s="173" customFormat="1" ht="12" hidden="1" customHeight="1">
      <c r="A15170" s="172"/>
    </row>
    <row r="15171" spans="1:1" s="173" customFormat="1" ht="12" hidden="1" customHeight="1">
      <c r="A15171" s="172"/>
    </row>
    <row r="15172" spans="1:1" s="173" customFormat="1" ht="12" hidden="1" customHeight="1">
      <c r="A15172" s="172"/>
    </row>
    <row r="15173" spans="1:1" s="173" customFormat="1" ht="12" hidden="1" customHeight="1">
      <c r="A15173" s="172"/>
    </row>
    <row r="15174" spans="1:1" s="173" customFormat="1" ht="12" hidden="1" customHeight="1">
      <c r="A15174" s="172"/>
    </row>
    <row r="15175" spans="1:1" s="173" customFormat="1" ht="12" hidden="1" customHeight="1">
      <c r="A15175" s="172"/>
    </row>
    <row r="15176" spans="1:1" s="173" customFormat="1" ht="12" hidden="1" customHeight="1">
      <c r="A15176" s="172"/>
    </row>
    <row r="15177" spans="1:1" s="173" customFormat="1" ht="12" hidden="1" customHeight="1">
      <c r="A15177" s="172"/>
    </row>
    <row r="15178" spans="1:1" s="173" customFormat="1" ht="12" hidden="1" customHeight="1">
      <c r="A15178" s="172"/>
    </row>
    <row r="15179" spans="1:1" s="173" customFormat="1" ht="12" hidden="1" customHeight="1">
      <c r="A15179" s="172"/>
    </row>
    <row r="15180" spans="1:1" s="173" customFormat="1" ht="12" hidden="1" customHeight="1">
      <c r="A15180" s="172"/>
    </row>
    <row r="15181" spans="1:1" s="173" customFormat="1" ht="12" hidden="1" customHeight="1">
      <c r="A15181" s="172"/>
    </row>
    <row r="15182" spans="1:1" s="173" customFormat="1" ht="12" hidden="1" customHeight="1">
      <c r="A15182" s="172"/>
    </row>
    <row r="15183" spans="1:1" s="173" customFormat="1" ht="12" hidden="1" customHeight="1">
      <c r="A15183" s="172"/>
    </row>
    <row r="15184" spans="1:1" s="173" customFormat="1" ht="12" hidden="1" customHeight="1">
      <c r="A15184" s="172"/>
    </row>
    <row r="15185" spans="1:1" s="173" customFormat="1" ht="12" hidden="1" customHeight="1">
      <c r="A15185" s="172"/>
    </row>
    <row r="15186" spans="1:1" s="173" customFormat="1" ht="12" hidden="1" customHeight="1">
      <c r="A15186" s="172"/>
    </row>
    <row r="15187" spans="1:1" s="173" customFormat="1" ht="12" hidden="1" customHeight="1">
      <c r="A15187" s="172"/>
    </row>
    <row r="15188" spans="1:1" s="173" customFormat="1" ht="12" hidden="1" customHeight="1">
      <c r="A15188" s="172"/>
    </row>
    <row r="15189" spans="1:1" s="173" customFormat="1" ht="12" hidden="1" customHeight="1">
      <c r="A15189" s="172"/>
    </row>
    <row r="15190" spans="1:1" s="173" customFormat="1" ht="12" hidden="1" customHeight="1">
      <c r="A15190" s="172"/>
    </row>
    <row r="15191" spans="1:1" s="173" customFormat="1" ht="12" hidden="1" customHeight="1">
      <c r="A15191" s="172"/>
    </row>
    <row r="15192" spans="1:1" s="173" customFormat="1" ht="12" hidden="1" customHeight="1">
      <c r="A15192" s="172"/>
    </row>
    <row r="15193" spans="1:1" s="173" customFormat="1" ht="12" hidden="1" customHeight="1">
      <c r="A15193" s="172"/>
    </row>
    <row r="15194" spans="1:1" s="173" customFormat="1" ht="12" hidden="1" customHeight="1">
      <c r="A15194" s="172"/>
    </row>
    <row r="15195" spans="1:1" s="173" customFormat="1" ht="12" hidden="1" customHeight="1">
      <c r="A15195" s="172"/>
    </row>
    <row r="15196" spans="1:1" s="173" customFormat="1" ht="12" hidden="1" customHeight="1">
      <c r="A15196" s="172"/>
    </row>
    <row r="15197" spans="1:1" s="173" customFormat="1" ht="12" hidden="1" customHeight="1">
      <c r="A15197" s="172"/>
    </row>
    <row r="15198" spans="1:1" s="173" customFormat="1" ht="12" hidden="1" customHeight="1">
      <c r="A15198" s="172"/>
    </row>
    <row r="15199" spans="1:1" s="173" customFormat="1" ht="12" hidden="1" customHeight="1">
      <c r="A15199" s="172"/>
    </row>
    <row r="15200" spans="1:1" s="173" customFormat="1" ht="12" hidden="1" customHeight="1">
      <c r="A15200" s="172"/>
    </row>
    <row r="15201" spans="1:1" s="173" customFormat="1" ht="12" hidden="1" customHeight="1">
      <c r="A15201" s="172"/>
    </row>
    <row r="15202" spans="1:1" s="173" customFormat="1" ht="12" hidden="1" customHeight="1">
      <c r="A15202" s="172"/>
    </row>
    <row r="15203" spans="1:1" s="173" customFormat="1" ht="12" hidden="1" customHeight="1">
      <c r="A15203" s="172"/>
    </row>
    <row r="15204" spans="1:1" s="173" customFormat="1" ht="12" hidden="1" customHeight="1">
      <c r="A15204" s="172"/>
    </row>
    <row r="15205" spans="1:1" s="173" customFormat="1" ht="12" hidden="1" customHeight="1">
      <c r="A15205" s="172"/>
    </row>
    <row r="15206" spans="1:1" s="173" customFormat="1" ht="12" hidden="1" customHeight="1">
      <c r="A15206" s="172"/>
    </row>
    <row r="15207" spans="1:1" s="173" customFormat="1" ht="12" hidden="1" customHeight="1">
      <c r="A15207" s="172"/>
    </row>
    <row r="15208" spans="1:1" s="173" customFormat="1" ht="12" hidden="1" customHeight="1">
      <c r="A15208" s="172"/>
    </row>
    <row r="15209" spans="1:1" s="173" customFormat="1" ht="12" hidden="1" customHeight="1">
      <c r="A15209" s="172"/>
    </row>
    <row r="15210" spans="1:1" s="173" customFormat="1" ht="12" hidden="1" customHeight="1">
      <c r="A15210" s="172"/>
    </row>
    <row r="15211" spans="1:1" s="173" customFormat="1" ht="12" hidden="1" customHeight="1">
      <c r="A15211" s="172"/>
    </row>
    <row r="15212" spans="1:1" s="173" customFormat="1" ht="12" hidden="1" customHeight="1">
      <c r="A15212" s="172"/>
    </row>
    <row r="15213" spans="1:1" s="173" customFormat="1" ht="12" hidden="1" customHeight="1">
      <c r="A15213" s="172"/>
    </row>
    <row r="15214" spans="1:1" s="173" customFormat="1" ht="12" hidden="1" customHeight="1">
      <c r="A15214" s="172"/>
    </row>
    <row r="15215" spans="1:1" s="173" customFormat="1" ht="12" hidden="1" customHeight="1">
      <c r="A15215" s="172"/>
    </row>
    <row r="15216" spans="1:1" s="173" customFormat="1" ht="12" hidden="1" customHeight="1">
      <c r="A15216" s="172"/>
    </row>
    <row r="15217" spans="1:1" s="173" customFormat="1" ht="12" hidden="1" customHeight="1">
      <c r="A15217" s="172"/>
    </row>
    <row r="15218" spans="1:1" s="173" customFormat="1" ht="12" hidden="1" customHeight="1">
      <c r="A15218" s="172"/>
    </row>
    <row r="15219" spans="1:1" s="173" customFormat="1" ht="12" hidden="1" customHeight="1">
      <c r="A15219" s="172"/>
    </row>
    <row r="15220" spans="1:1" s="173" customFormat="1" ht="12" hidden="1" customHeight="1">
      <c r="A15220" s="172"/>
    </row>
    <row r="15221" spans="1:1" s="173" customFormat="1" ht="12" hidden="1" customHeight="1">
      <c r="A15221" s="172"/>
    </row>
    <row r="15222" spans="1:1" s="173" customFormat="1" ht="12" hidden="1" customHeight="1">
      <c r="A15222" s="172"/>
    </row>
    <row r="15223" spans="1:1" s="173" customFormat="1" ht="12" hidden="1" customHeight="1">
      <c r="A15223" s="172"/>
    </row>
    <row r="15224" spans="1:1" s="173" customFormat="1" ht="12" hidden="1" customHeight="1">
      <c r="A15224" s="172"/>
    </row>
    <row r="15225" spans="1:1" s="173" customFormat="1" ht="12" hidden="1" customHeight="1">
      <c r="A15225" s="172"/>
    </row>
    <row r="15226" spans="1:1" s="173" customFormat="1" ht="12" hidden="1" customHeight="1">
      <c r="A15226" s="172"/>
    </row>
    <row r="15227" spans="1:1" s="173" customFormat="1" ht="12" hidden="1" customHeight="1">
      <c r="A15227" s="172"/>
    </row>
    <row r="15228" spans="1:1" s="173" customFormat="1" ht="12" hidden="1" customHeight="1">
      <c r="A15228" s="172"/>
    </row>
    <row r="15229" spans="1:1" s="173" customFormat="1" ht="12" hidden="1" customHeight="1">
      <c r="A15229" s="172"/>
    </row>
    <row r="15230" spans="1:1" s="173" customFormat="1" ht="12" hidden="1" customHeight="1">
      <c r="A15230" s="172"/>
    </row>
    <row r="15231" spans="1:1" s="173" customFormat="1" ht="12" hidden="1" customHeight="1">
      <c r="A15231" s="172"/>
    </row>
    <row r="15232" spans="1:1" s="173" customFormat="1" ht="12" hidden="1" customHeight="1">
      <c r="A15232" s="172"/>
    </row>
    <row r="15233" spans="1:1" s="173" customFormat="1" ht="12" hidden="1" customHeight="1">
      <c r="A15233" s="172"/>
    </row>
    <row r="15234" spans="1:1" s="173" customFormat="1" ht="12" hidden="1" customHeight="1">
      <c r="A15234" s="172"/>
    </row>
    <row r="15235" spans="1:1" s="173" customFormat="1" ht="12" hidden="1" customHeight="1">
      <c r="A15235" s="172"/>
    </row>
    <row r="15236" spans="1:1" s="173" customFormat="1" ht="12" hidden="1" customHeight="1">
      <c r="A15236" s="172"/>
    </row>
    <row r="15237" spans="1:1" s="173" customFormat="1" ht="12" hidden="1" customHeight="1">
      <c r="A15237" s="172"/>
    </row>
    <row r="15238" spans="1:1" s="173" customFormat="1" ht="12" hidden="1" customHeight="1">
      <c r="A15238" s="172"/>
    </row>
    <row r="15239" spans="1:1" s="173" customFormat="1" ht="12" hidden="1" customHeight="1">
      <c r="A15239" s="172"/>
    </row>
    <row r="15240" spans="1:1" s="173" customFormat="1" ht="12" hidden="1" customHeight="1">
      <c r="A15240" s="172"/>
    </row>
    <row r="15241" spans="1:1" s="173" customFormat="1" ht="12" hidden="1" customHeight="1">
      <c r="A15241" s="172"/>
    </row>
    <row r="15242" spans="1:1" s="173" customFormat="1" ht="12" hidden="1" customHeight="1">
      <c r="A15242" s="172"/>
    </row>
    <row r="15243" spans="1:1" s="173" customFormat="1" ht="12" hidden="1" customHeight="1">
      <c r="A15243" s="172"/>
    </row>
    <row r="15244" spans="1:1" s="173" customFormat="1" ht="12" hidden="1" customHeight="1">
      <c r="A15244" s="172"/>
    </row>
    <row r="15245" spans="1:1" s="173" customFormat="1" ht="12" hidden="1" customHeight="1">
      <c r="A15245" s="172"/>
    </row>
    <row r="15246" spans="1:1" s="173" customFormat="1" ht="12" hidden="1" customHeight="1">
      <c r="A15246" s="172"/>
    </row>
    <row r="15247" spans="1:1" s="173" customFormat="1" ht="12" hidden="1" customHeight="1">
      <c r="A15247" s="172"/>
    </row>
    <row r="15248" spans="1:1" s="173" customFormat="1" ht="12" hidden="1" customHeight="1">
      <c r="A15248" s="172"/>
    </row>
    <row r="15249" spans="1:1" s="173" customFormat="1" ht="12" hidden="1" customHeight="1">
      <c r="A15249" s="172"/>
    </row>
    <row r="15250" spans="1:1" s="173" customFormat="1" ht="12" hidden="1" customHeight="1">
      <c r="A15250" s="172"/>
    </row>
    <row r="15251" spans="1:1" s="173" customFormat="1" ht="12" hidden="1" customHeight="1">
      <c r="A15251" s="172"/>
    </row>
    <row r="15252" spans="1:1" s="173" customFormat="1" ht="12" hidden="1" customHeight="1">
      <c r="A15252" s="172"/>
    </row>
    <row r="15253" spans="1:1" s="173" customFormat="1" ht="12" hidden="1" customHeight="1">
      <c r="A15253" s="172"/>
    </row>
    <row r="15254" spans="1:1" s="173" customFormat="1" ht="12" hidden="1" customHeight="1">
      <c r="A15254" s="172"/>
    </row>
    <row r="15255" spans="1:1" s="173" customFormat="1" ht="12" hidden="1" customHeight="1">
      <c r="A15255" s="172"/>
    </row>
    <row r="15256" spans="1:1" s="173" customFormat="1" ht="12" hidden="1" customHeight="1">
      <c r="A15256" s="172"/>
    </row>
    <row r="15257" spans="1:1" s="173" customFormat="1" ht="12" hidden="1" customHeight="1">
      <c r="A15257" s="172"/>
    </row>
    <row r="15258" spans="1:1" s="173" customFormat="1" ht="12" hidden="1" customHeight="1">
      <c r="A15258" s="172"/>
    </row>
    <row r="15259" spans="1:1" s="173" customFormat="1" ht="12" hidden="1" customHeight="1">
      <c r="A15259" s="172"/>
    </row>
    <row r="15260" spans="1:1" s="173" customFormat="1" ht="12" hidden="1" customHeight="1">
      <c r="A15260" s="172"/>
    </row>
    <row r="15261" spans="1:1" s="173" customFormat="1" ht="12" hidden="1" customHeight="1">
      <c r="A15261" s="172"/>
    </row>
    <row r="15262" spans="1:1" s="173" customFormat="1" ht="12" hidden="1" customHeight="1">
      <c r="A15262" s="172"/>
    </row>
    <row r="15263" spans="1:1" s="173" customFormat="1" ht="12" hidden="1" customHeight="1">
      <c r="A15263" s="172"/>
    </row>
    <row r="15264" spans="1:1" s="173" customFormat="1" ht="12" hidden="1" customHeight="1">
      <c r="A15264" s="172"/>
    </row>
    <row r="15265" spans="1:1" s="173" customFormat="1" ht="12" hidden="1" customHeight="1">
      <c r="A15265" s="172"/>
    </row>
    <row r="15266" spans="1:1" s="173" customFormat="1" ht="12" hidden="1" customHeight="1">
      <c r="A15266" s="172"/>
    </row>
    <row r="15267" spans="1:1" s="173" customFormat="1" ht="12" hidden="1" customHeight="1">
      <c r="A15267" s="172"/>
    </row>
    <row r="15268" spans="1:1" s="173" customFormat="1" ht="12" hidden="1" customHeight="1">
      <c r="A15268" s="172"/>
    </row>
    <row r="15269" spans="1:1" s="173" customFormat="1" ht="12" hidden="1" customHeight="1">
      <c r="A15269" s="172"/>
    </row>
    <row r="15270" spans="1:1" s="173" customFormat="1" ht="12" hidden="1" customHeight="1">
      <c r="A15270" s="172"/>
    </row>
    <row r="15271" spans="1:1" s="173" customFormat="1" ht="12" hidden="1" customHeight="1">
      <c r="A15271" s="172"/>
    </row>
    <row r="15272" spans="1:1" s="173" customFormat="1" ht="12" hidden="1" customHeight="1">
      <c r="A15272" s="172"/>
    </row>
    <row r="15273" spans="1:1" s="173" customFormat="1" ht="12" hidden="1" customHeight="1">
      <c r="A15273" s="172"/>
    </row>
    <row r="15274" spans="1:1" s="173" customFormat="1" ht="12" hidden="1" customHeight="1">
      <c r="A15274" s="172"/>
    </row>
    <row r="15275" spans="1:1" s="173" customFormat="1" ht="12" hidden="1" customHeight="1">
      <c r="A15275" s="172"/>
    </row>
    <row r="15276" spans="1:1" s="173" customFormat="1" ht="12" hidden="1" customHeight="1">
      <c r="A15276" s="172"/>
    </row>
    <row r="15277" spans="1:1" s="173" customFormat="1" ht="12" hidden="1" customHeight="1">
      <c r="A15277" s="172"/>
    </row>
    <row r="15278" spans="1:1" s="173" customFormat="1" ht="12" hidden="1" customHeight="1">
      <c r="A15278" s="172"/>
    </row>
    <row r="15279" spans="1:1" s="173" customFormat="1" ht="12" hidden="1" customHeight="1">
      <c r="A15279" s="172"/>
    </row>
    <row r="15280" spans="1:1" s="173" customFormat="1" ht="12" hidden="1" customHeight="1">
      <c r="A15280" s="172"/>
    </row>
    <row r="15281" spans="1:1" s="173" customFormat="1" ht="12" hidden="1" customHeight="1">
      <c r="A15281" s="172"/>
    </row>
    <row r="15282" spans="1:1" s="173" customFormat="1" ht="12" hidden="1" customHeight="1">
      <c r="A15282" s="172"/>
    </row>
    <row r="15283" spans="1:1" s="173" customFormat="1" ht="12" hidden="1" customHeight="1">
      <c r="A15283" s="172"/>
    </row>
    <row r="15284" spans="1:1" s="173" customFormat="1" ht="12" hidden="1" customHeight="1">
      <c r="A15284" s="172"/>
    </row>
    <row r="15285" spans="1:1" s="173" customFormat="1" ht="12" hidden="1" customHeight="1">
      <c r="A15285" s="172"/>
    </row>
    <row r="15286" spans="1:1" s="173" customFormat="1" ht="12" hidden="1" customHeight="1">
      <c r="A15286" s="172"/>
    </row>
    <row r="15287" spans="1:1" s="173" customFormat="1" ht="12" hidden="1" customHeight="1">
      <c r="A15287" s="172"/>
    </row>
    <row r="15288" spans="1:1" s="173" customFormat="1" ht="12" hidden="1" customHeight="1">
      <c r="A15288" s="172"/>
    </row>
    <row r="15289" spans="1:1" s="173" customFormat="1" ht="12" hidden="1" customHeight="1">
      <c r="A15289" s="172"/>
    </row>
    <row r="15290" spans="1:1" s="173" customFormat="1" ht="12" hidden="1" customHeight="1">
      <c r="A15290" s="172"/>
    </row>
    <row r="15291" spans="1:1" s="173" customFormat="1" ht="12" hidden="1" customHeight="1">
      <c r="A15291" s="172"/>
    </row>
    <row r="15292" spans="1:1" s="173" customFormat="1" ht="12" hidden="1" customHeight="1">
      <c r="A15292" s="172"/>
    </row>
    <row r="15293" spans="1:1" s="173" customFormat="1" ht="12" hidden="1" customHeight="1">
      <c r="A15293" s="172"/>
    </row>
    <row r="15294" spans="1:1" s="173" customFormat="1" ht="12" hidden="1" customHeight="1">
      <c r="A15294" s="172"/>
    </row>
    <row r="15295" spans="1:1" s="173" customFormat="1" ht="12" hidden="1" customHeight="1">
      <c r="A15295" s="172"/>
    </row>
    <row r="15296" spans="1:1" s="173" customFormat="1" ht="12" hidden="1" customHeight="1">
      <c r="A15296" s="172"/>
    </row>
    <row r="15297" spans="1:1" s="173" customFormat="1" ht="12" hidden="1" customHeight="1">
      <c r="A15297" s="172"/>
    </row>
    <row r="15298" spans="1:1" s="173" customFormat="1" ht="12" hidden="1" customHeight="1">
      <c r="A15298" s="172"/>
    </row>
    <row r="15299" spans="1:1" s="173" customFormat="1" ht="12" hidden="1" customHeight="1">
      <c r="A15299" s="172"/>
    </row>
    <row r="15300" spans="1:1" s="173" customFormat="1" ht="12" hidden="1" customHeight="1">
      <c r="A15300" s="172"/>
    </row>
    <row r="15301" spans="1:1" s="173" customFormat="1" ht="12" hidden="1" customHeight="1">
      <c r="A15301" s="172"/>
    </row>
    <row r="15302" spans="1:1" s="173" customFormat="1" ht="12" hidden="1" customHeight="1">
      <c r="A15302" s="172"/>
    </row>
    <row r="15303" spans="1:1" s="173" customFormat="1" ht="12" hidden="1" customHeight="1">
      <c r="A15303" s="172"/>
    </row>
    <row r="15304" spans="1:1" s="173" customFormat="1" ht="12" hidden="1" customHeight="1">
      <c r="A15304" s="172"/>
    </row>
    <row r="15305" spans="1:1" s="173" customFormat="1" ht="12" hidden="1" customHeight="1">
      <c r="A15305" s="172"/>
    </row>
    <row r="15306" spans="1:1" s="173" customFormat="1" ht="12" hidden="1" customHeight="1">
      <c r="A15306" s="172"/>
    </row>
    <row r="15307" spans="1:1" s="173" customFormat="1" ht="12" hidden="1" customHeight="1">
      <c r="A15307" s="172"/>
    </row>
    <row r="15308" spans="1:1" s="173" customFormat="1" ht="12" hidden="1" customHeight="1">
      <c r="A15308" s="172"/>
    </row>
    <row r="15309" spans="1:1" s="173" customFormat="1" ht="12" hidden="1" customHeight="1">
      <c r="A15309" s="172"/>
    </row>
    <row r="15310" spans="1:1" s="173" customFormat="1" ht="12" hidden="1" customHeight="1">
      <c r="A15310" s="172"/>
    </row>
    <row r="15311" spans="1:1" s="173" customFormat="1" ht="12" hidden="1" customHeight="1">
      <c r="A15311" s="172"/>
    </row>
    <row r="15312" spans="1:1" s="173" customFormat="1" ht="12" hidden="1" customHeight="1">
      <c r="A15312" s="172"/>
    </row>
    <row r="15313" spans="1:1" s="173" customFormat="1" ht="12" hidden="1" customHeight="1">
      <c r="A15313" s="172"/>
    </row>
    <row r="15314" spans="1:1" s="173" customFormat="1" ht="12" hidden="1" customHeight="1">
      <c r="A15314" s="172"/>
    </row>
    <row r="15315" spans="1:1" s="173" customFormat="1" ht="12" hidden="1" customHeight="1">
      <c r="A15315" s="172"/>
    </row>
    <row r="15316" spans="1:1" s="173" customFormat="1" ht="12" hidden="1" customHeight="1">
      <c r="A15316" s="172"/>
    </row>
    <row r="15317" spans="1:1" s="173" customFormat="1" ht="12" hidden="1" customHeight="1">
      <c r="A15317" s="172"/>
    </row>
    <row r="15318" spans="1:1" s="173" customFormat="1" ht="12" hidden="1" customHeight="1">
      <c r="A15318" s="172"/>
    </row>
    <row r="15319" spans="1:1" s="173" customFormat="1" ht="12" hidden="1" customHeight="1">
      <c r="A15319" s="172"/>
    </row>
    <row r="15320" spans="1:1" s="173" customFormat="1" ht="12" hidden="1" customHeight="1">
      <c r="A15320" s="172"/>
    </row>
    <row r="15321" spans="1:1" s="173" customFormat="1" ht="12" hidden="1" customHeight="1">
      <c r="A15321" s="172"/>
    </row>
    <row r="15322" spans="1:1" s="173" customFormat="1" ht="12" hidden="1" customHeight="1">
      <c r="A15322" s="172"/>
    </row>
    <row r="15323" spans="1:1" s="173" customFormat="1" ht="12" hidden="1" customHeight="1">
      <c r="A15323" s="172"/>
    </row>
    <row r="15324" spans="1:1" s="173" customFormat="1" ht="12" hidden="1" customHeight="1">
      <c r="A15324" s="172"/>
    </row>
    <row r="15325" spans="1:1" s="173" customFormat="1" ht="12" hidden="1" customHeight="1">
      <c r="A15325" s="172"/>
    </row>
    <row r="15326" spans="1:1" s="173" customFormat="1" ht="12" hidden="1" customHeight="1">
      <c r="A15326" s="172"/>
    </row>
    <row r="15327" spans="1:1" s="173" customFormat="1" ht="12" hidden="1" customHeight="1">
      <c r="A15327" s="172"/>
    </row>
    <row r="15328" spans="1:1" s="173" customFormat="1" ht="12" hidden="1" customHeight="1">
      <c r="A15328" s="172"/>
    </row>
    <row r="15329" spans="1:1" s="173" customFormat="1" ht="12" hidden="1" customHeight="1">
      <c r="A15329" s="172"/>
    </row>
    <row r="15330" spans="1:1" s="173" customFormat="1" ht="12" hidden="1" customHeight="1">
      <c r="A15330" s="172"/>
    </row>
    <row r="15331" spans="1:1" s="173" customFormat="1" ht="12" hidden="1" customHeight="1">
      <c r="A15331" s="172"/>
    </row>
    <row r="15332" spans="1:1" s="173" customFormat="1" ht="12" hidden="1" customHeight="1">
      <c r="A15332" s="172"/>
    </row>
    <row r="15333" spans="1:1" s="173" customFormat="1" ht="12" hidden="1" customHeight="1">
      <c r="A15333" s="172"/>
    </row>
    <row r="15334" spans="1:1" s="173" customFormat="1" ht="12" hidden="1" customHeight="1">
      <c r="A15334" s="172"/>
    </row>
    <row r="15335" spans="1:1" s="173" customFormat="1" ht="12" hidden="1" customHeight="1">
      <c r="A15335" s="172"/>
    </row>
    <row r="15336" spans="1:1" s="173" customFormat="1" ht="12" hidden="1" customHeight="1">
      <c r="A15336" s="172"/>
    </row>
    <row r="15337" spans="1:1" s="173" customFormat="1" ht="12" hidden="1" customHeight="1">
      <c r="A15337" s="172"/>
    </row>
    <row r="15338" spans="1:1" s="173" customFormat="1" ht="12" hidden="1" customHeight="1">
      <c r="A15338" s="172"/>
    </row>
    <row r="15339" spans="1:1" s="173" customFormat="1" ht="12" hidden="1" customHeight="1">
      <c r="A15339" s="172"/>
    </row>
    <row r="15340" spans="1:1" s="173" customFormat="1" ht="12" hidden="1" customHeight="1">
      <c r="A15340" s="172"/>
    </row>
    <row r="15341" spans="1:1" s="173" customFormat="1" ht="12" hidden="1" customHeight="1">
      <c r="A15341" s="172"/>
    </row>
    <row r="15342" spans="1:1" s="173" customFormat="1" ht="12" hidden="1" customHeight="1">
      <c r="A15342" s="172"/>
    </row>
    <row r="15343" spans="1:1" s="173" customFormat="1" ht="12" hidden="1" customHeight="1">
      <c r="A15343" s="172"/>
    </row>
    <row r="15344" spans="1:1" s="173" customFormat="1" ht="12" hidden="1" customHeight="1">
      <c r="A15344" s="172"/>
    </row>
    <row r="15345" spans="1:1" s="173" customFormat="1" ht="12" hidden="1" customHeight="1">
      <c r="A15345" s="172"/>
    </row>
    <row r="15346" spans="1:1" s="173" customFormat="1" ht="12" hidden="1" customHeight="1">
      <c r="A15346" s="172"/>
    </row>
    <row r="15347" spans="1:1" s="173" customFormat="1" ht="12" hidden="1" customHeight="1">
      <c r="A15347" s="172"/>
    </row>
    <row r="15348" spans="1:1" s="173" customFormat="1" ht="12" hidden="1" customHeight="1">
      <c r="A15348" s="172"/>
    </row>
    <row r="15349" spans="1:1" s="173" customFormat="1" ht="12" hidden="1" customHeight="1">
      <c r="A15349" s="172"/>
    </row>
    <row r="15350" spans="1:1" s="173" customFormat="1" ht="12" hidden="1" customHeight="1">
      <c r="A15350" s="172"/>
    </row>
    <row r="15351" spans="1:1" s="173" customFormat="1" ht="12" hidden="1" customHeight="1">
      <c r="A15351" s="172"/>
    </row>
    <row r="15352" spans="1:1" s="173" customFormat="1" ht="12" hidden="1" customHeight="1">
      <c r="A15352" s="172"/>
    </row>
    <row r="15353" spans="1:1" s="173" customFormat="1" ht="12" hidden="1" customHeight="1">
      <c r="A15353" s="172"/>
    </row>
    <row r="15354" spans="1:1" s="173" customFormat="1" ht="12" hidden="1" customHeight="1">
      <c r="A15354" s="172"/>
    </row>
    <row r="15355" spans="1:1" s="173" customFormat="1" ht="12" hidden="1" customHeight="1">
      <c r="A15355" s="172"/>
    </row>
    <row r="15356" spans="1:1" s="173" customFormat="1" ht="12" hidden="1" customHeight="1">
      <c r="A15356" s="172"/>
    </row>
    <row r="15357" spans="1:1" s="173" customFormat="1" ht="12" hidden="1" customHeight="1">
      <c r="A15357" s="172"/>
    </row>
    <row r="15358" spans="1:1" s="173" customFormat="1" ht="12" hidden="1" customHeight="1">
      <c r="A15358" s="172"/>
    </row>
    <row r="15359" spans="1:1" s="173" customFormat="1" ht="12" hidden="1" customHeight="1">
      <c r="A15359" s="172"/>
    </row>
    <row r="15360" spans="1:1" s="173" customFormat="1" ht="12" hidden="1" customHeight="1">
      <c r="A15360" s="172"/>
    </row>
    <row r="15361" spans="1:1" s="173" customFormat="1" ht="12" hidden="1" customHeight="1">
      <c r="A15361" s="172"/>
    </row>
    <row r="15362" spans="1:1" s="173" customFormat="1" ht="12" hidden="1" customHeight="1">
      <c r="A15362" s="172"/>
    </row>
    <row r="15363" spans="1:1" s="173" customFormat="1" ht="12" hidden="1" customHeight="1">
      <c r="A15363" s="172"/>
    </row>
    <row r="15364" spans="1:1" s="173" customFormat="1" ht="12" hidden="1" customHeight="1">
      <c r="A15364" s="172"/>
    </row>
    <row r="15365" spans="1:1" s="173" customFormat="1" ht="12" hidden="1" customHeight="1">
      <c r="A15365" s="172"/>
    </row>
    <row r="15366" spans="1:1" s="173" customFormat="1" ht="12" hidden="1" customHeight="1">
      <c r="A15366" s="172"/>
    </row>
    <row r="15367" spans="1:1" s="173" customFormat="1" ht="12" hidden="1" customHeight="1">
      <c r="A15367" s="172"/>
    </row>
    <row r="15368" spans="1:1" s="173" customFormat="1" ht="12" hidden="1" customHeight="1">
      <c r="A15368" s="172"/>
    </row>
    <row r="15369" spans="1:1" s="173" customFormat="1" ht="12" hidden="1" customHeight="1">
      <c r="A15369" s="172"/>
    </row>
    <row r="15370" spans="1:1" s="173" customFormat="1" ht="12" hidden="1" customHeight="1">
      <c r="A15370" s="172"/>
    </row>
    <row r="15371" spans="1:1" s="173" customFormat="1" ht="12" hidden="1" customHeight="1">
      <c r="A15371" s="172"/>
    </row>
    <row r="15372" spans="1:1" s="173" customFormat="1" ht="12" hidden="1" customHeight="1">
      <c r="A15372" s="172"/>
    </row>
    <row r="15373" spans="1:1" s="173" customFormat="1" ht="12" hidden="1" customHeight="1">
      <c r="A15373" s="172"/>
    </row>
    <row r="15374" spans="1:1" s="173" customFormat="1" ht="12" hidden="1" customHeight="1">
      <c r="A15374" s="172"/>
    </row>
    <row r="15375" spans="1:1" s="173" customFormat="1" ht="12" hidden="1" customHeight="1">
      <c r="A15375" s="172"/>
    </row>
    <row r="15376" spans="1:1" s="173" customFormat="1" ht="12" hidden="1" customHeight="1">
      <c r="A15376" s="172"/>
    </row>
    <row r="15377" spans="1:1" s="173" customFormat="1" ht="12" hidden="1" customHeight="1">
      <c r="A15377" s="172"/>
    </row>
    <row r="15378" spans="1:1" s="173" customFormat="1" ht="12" hidden="1" customHeight="1">
      <c r="A15378" s="172"/>
    </row>
    <row r="15379" spans="1:1" s="173" customFormat="1" ht="12" hidden="1" customHeight="1">
      <c r="A15379" s="172"/>
    </row>
    <row r="15380" spans="1:1" s="173" customFormat="1" ht="12" hidden="1" customHeight="1">
      <c r="A15380" s="172"/>
    </row>
    <row r="15381" spans="1:1" s="173" customFormat="1" ht="12" hidden="1" customHeight="1">
      <c r="A15381" s="172"/>
    </row>
    <row r="15382" spans="1:1" s="173" customFormat="1" ht="12" hidden="1" customHeight="1">
      <c r="A15382" s="172"/>
    </row>
    <row r="15383" spans="1:1" s="173" customFormat="1" ht="12" hidden="1" customHeight="1">
      <c r="A15383" s="172"/>
    </row>
    <row r="15384" spans="1:1" s="173" customFormat="1" ht="12" hidden="1" customHeight="1">
      <c r="A15384" s="172"/>
    </row>
    <row r="15385" spans="1:1" s="173" customFormat="1" ht="12" hidden="1" customHeight="1">
      <c r="A15385" s="172"/>
    </row>
    <row r="15386" spans="1:1" s="173" customFormat="1" ht="12" hidden="1" customHeight="1">
      <c r="A15386" s="172"/>
    </row>
    <row r="15387" spans="1:1" s="173" customFormat="1" ht="12" hidden="1" customHeight="1">
      <c r="A15387" s="172"/>
    </row>
    <row r="15388" spans="1:1" s="173" customFormat="1" ht="12" hidden="1" customHeight="1">
      <c r="A15388" s="172"/>
    </row>
    <row r="15389" spans="1:1" s="173" customFormat="1" ht="12" hidden="1" customHeight="1">
      <c r="A15389" s="172"/>
    </row>
    <row r="15390" spans="1:1" s="173" customFormat="1" ht="12" hidden="1" customHeight="1">
      <c r="A15390" s="172"/>
    </row>
    <row r="15391" spans="1:1" s="173" customFormat="1" ht="12" hidden="1" customHeight="1">
      <c r="A15391" s="172"/>
    </row>
    <row r="15392" spans="1:1" s="173" customFormat="1" ht="12" hidden="1" customHeight="1">
      <c r="A15392" s="172"/>
    </row>
    <row r="15393" spans="1:1" s="173" customFormat="1" ht="12" hidden="1" customHeight="1">
      <c r="A15393" s="172"/>
    </row>
    <row r="15394" spans="1:1" s="173" customFormat="1" ht="12" hidden="1" customHeight="1">
      <c r="A15394" s="172"/>
    </row>
    <row r="15395" spans="1:1" s="173" customFormat="1" ht="12" hidden="1" customHeight="1">
      <c r="A15395" s="172"/>
    </row>
    <row r="15396" spans="1:1" s="173" customFormat="1" ht="12" hidden="1" customHeight="1">
      <c r="A15396" s="172"/>
    </row>
    <row r="15397" spans="1:1" s="173" customFormat="1" ht="12" hidden="1" customHeight="1">
      <c r="A15397" s="172"/>
    </row>
    <row r="15398" spans="1:1" s="173" customFormat="1" ht="12" hidden="1" customHeight="1">
      <c r="A15398" s="172"/>
    </row>
    <row r="15399" spans="1:1" s="173" customFormat="1" ht="12" hidden="1" customHeight="1">
      <c r="A15399" s="172"/>
    </row>
    <row r="15400" spans="1:1" s="173" customFormat="1" ht="12" hidden="1" customHeight="1">
      <c r="A15400" s="172"/>
    </row>
    <row r="15401" spans="1:1" s="173" customFormat="1" ht="12" hidden="1" customHeight="1">
      <c r="A15401" s="172"/>
    </row>
    <row r="15402" spans="1:1" s="173" customFormat="1" ht="12" hidden="1" customHeight="1">
      <c r="A15402" s="172"/>
    </row>
    <row r="15403" spans="1:1" s="173" customFormat="1" ht="12" hidden="1" customHeight="1">
      <c r="A15403" s="172"/>
    </row>
    <row r="15404" spans="1:1" s="173" customFormat="1" ht="12" hidden="1" customHeight="1">
      <c r="A15404" s="172"/>
    </row>
    <row r="15405" spans="1:1" s="173" customFormat="1" ht="12" hidden="1" customHeight="1">
      <c r="A15405" s="172"/>
    </row>
    <row r="15406" spans="1:1" s="173" customFormat="1" ht="12" hidden="1" customHeight="1">
      <c r="A15406" s="172"/>
    </row>
    <row r="15407" spans="1:1" s="173" customFormat="1" ht="12" hidden="1" customHeight="1">
      <c r="A15407" s="172"/>
    </row>
    <row r="15408" spans="1:1" s="173" customFormat="1" ht="12" hidden="1" customHeight="1">
      <c r="A15408" s="172"/>
    </row>
    <row r="15409" spans="1:1" s="173" customFormat="1" ht="12" hidden="1" customHeight="1">
      <c r="A15409" s="172"/>
    </row>
    <row r="15410" spans="1:1" s="173" customFormat="1" ht="12" hidden="1" customHeight="1">
      <c r="A15410" s="172"/>
    </row>
    <row r="15411" spans="1:1" s="173" customFormat="1" ht="12" hidden="1" customHeight="1">
      <c r="A15411" s="172"/>
    </row>
    <row r="15412" spans="1:1" s="173" customFormat="1" ht="12" hidden="1" customHeight="1">
      <c r="A15412" s="172"/>
    </row>
    <row r="15413" spans="1:1" s="173" customFormat="1" ht="12" hidden="1" customHeight="1">
      <c r="A15413" s="172"/>
    </row>
    <row r="15414" spans="1:1" s="173" customFormat="1" ht="12" hidden="1" customHeight="1">
      <c r="A15414" s="172"/>
    </row>
    <row r="15415" spans="1:1" s="173" customFormat="1" ht="12" hidden="1" customHeight="1">
      <c r="A15415" s="172"/>
    </row>
    <row r="15416" spans="1:1" s="173" customFormat="1" ht="12" hidden="1" customHeight="1">
      <c r="A15416" s="172"/>
    </row>
    <row r="15417" spans="1:1" s="173" customFormat="1" ht="12" hidden="1" customHeight="1">
      <c r="A15417" s="172"/>
    </row>
    <row r="15418" spans="1:1" s="173" customFormat="1" ht="12" hidden="1" customHeight="1">
      <c r="A15418" s="172"/>
    </row>
    <row r="15419" spans="1:1" s="173" customFormat="1" ht="12" hidden="1" customHeight="1">
      <c r="A15419" s="172"/>
    </row>
    <row r="15420" spans="1:1" s="173" customFormat="1" ht="12" hidden="1" customHeight="1">
      <c r="A15420" s="172"/>
    </row>
    <row r="15421" spans="1:1" s="173" customFormat="1" ht="12" hidden="1" customHeight="1">
      <c r="A15421" s="172"/>
    </row>
    <row r="15422" spans="1:1" s="173" customFormat="1" ht="12" hidden="1" customHeight="1">
      <c r="A15422" s="172"/>
    </row>
    <row r="15423" spans="1:1" s="173" customFormat="1" ht="12" hidden="1" customHeight="1">
      <c r="A15423" s="172"/>
    </row>
    <row r="15424" spans="1:1" s="173" customFormat="1" ht="12" hidden="1" customHeight="1">
      <c r="A15424" s="172"/>
    </row>
    <row r="15425" spans="1:1" s="173" customFormat="1" ht="12" hidden="1" customHeight="1">
      <c r="A15425" s="172"/>
    </row>
    <row r="15426" spans="1:1" s="173" customFormat="1" ht="12" hidden="1" customHeight="1">
      <c r="A15426" s="172"/>
    </row>
    <row r="15427" spans="1:1" s="173" customFormat="1" ht="12" hidden="1" customHeight="1">
      <c r="A15427" s="172"/>
    </row>
    <row r="15428" spans="1:1" s="173" customFormat="1" ht="12" hidden="1" customHeight="1">
      <c r="A15428" s="172"/>
    </row>
    <row r="15429" spans="1:1" s="173" customFormat="1" ht="12" hidden="1" customHeight="1">
      <c r="A15429" s="172"/>
    </row>
    <row r="15430" spans="1:1" s="173" customFormat="1" ht="12" hidden="1" customHeight="1">
      <c r="A15430" s="172"/>
    </row>
    <row r="15431" spans="1:1" s="173" customFormat="1" ht="12" hidden="1" customHeight="1">
      <c r="A15431" s="172"/>
    </row>
    <row r="15432" spans="1:1" s="173" customFormat="1" ht="12" hidden="1" customHeight="1">
      <c r="A15432" s="172"/>
    </row>
    <row r="15433" spans="1:1" s="173" customFormat="1" ht="12" hidden="1" customHeight="1">
      <c r="A15433" s="172"/>
    </row>
    <row r="15434" spans="1:1" s="173" customFormat="1" ht="12" hidden="1" customHeight="1">
      <c r="A15434" s="172"/>
    </row>
    <row r="15435" spans="1:1" s="173" customFormat="1" ht="12" hidden="1" customHeight="1">
      <c r="A15435" s="172"/>
    </row>
    <row r="15436" spans="1:1" s="173" customFormat="1" ht="12" hidden="1" customHeight="1">
      <c r="A15436" s="172"/>
    </row>
    <row r="15437" spans="1:1" s="173" customFormat="1" ht="12" hidden="1" customHeight="1">
      <c r="A15437" s="172"/>
    </row>
    <row r="15438" spans="1:1" s="173" customFormat="1" ht="12" hidden="1" customHeight="1">
      <c r="A15438" s="172"/>
    </row>
    <row r="15439" spans="1:1" s="173" customFormat="1" ht="12" hidden="1" customHeight="1">
      <c r="A15439" s="172"/>
    </row>
    <row r="15440" spans="1:1" s="173" customFormat="1" ht="12" hidden="1" customHeight="1">
      <c r="A15440" s="172"/>
    </row>
    <row r="15441" spans="1:1" s="173" customFormat="1" ht="12" hidden="1" customHeight="1">
      <c r="A15441" s="172"/>
    </row>
    <row r="15442" spans="1:1" s="173" customFormat="1" ht="12" hidden="1" customHeight="1">
      <c r="A15442" s="172"/>
    </row>
    <row r="15443" spans="1:1" s="173" customFormat="1" ht="12" hidden="1" customHeight="1">
      <c r="A15443" s="172"/>
    </row>
    <row r="15444" spans="1:1" s="173" customFormat="1" ht="12" hidden="1" customHeight="1">
      <c r="A15444" s="172"/>
    </row>
    <row r="15445" spans="1:1" s="173" customFormat="1" ht="12" hidden="1" customHeight="1">
      <c r="A15445" s="172"/>
    </row>
    <row r="15446" spans="1:1" s="173" customFormat="1" ht="12" hidden="1" customHeight="1">
      <c r="A15446" s="172"/>
    </row>
    <row r="15447" spans="1:1" s="173" customFormat="1" ht="12" hidden="1" customHeight="1">
      <c r="A15447" s="172"/>
    </row>
    <row r="15448" spans="1:1" s="173" customFormat="1" ht="12" hidden="1" customHeight="1">
      <c r="A15448" s="172"/>
    </row>
    <row r="15449" spans="1:1" s="173" customFormat="1" ht="12" hidden="1" customHeight="1">
      <c r="A15449" s="172"/>
    </row>
    <row r="15450" spans="1:1" s="173" customFormat="1" ht="12" hidden="1" customHeight="1">
      <c r="A15450" s="172"/>
    </row>
    <row r="15451" spans="1:1" s="173" customFormat="1" ht="12" hidden="1" customHeight="1">
      <c r="A15451" s="172"/>
    </row>
    <row r="15452" spans="1:1" s="173" customFormat="1" ht="12" hidden="1" customHeight="1">
      <c r="A15452" s="172"/>
    </row>
    <row r="15453" spans="1:1" s="173" customFormat="1" ht="12" hidden="1" customHeight="1">
      <c r="A15453" s="172"/>
    </row>
    <row r="15454" spans="1:1" s="173" customFormat="1" ht="12" hidden="1" customHeight="1">
      <c r="A15454" s="172"/>
    </row>
    <row r="15455" spans="1:1" s="173" customFormat="1" ht="12" hidden="1" customHeight="1">
      <c r="A15455" s="172"/>
    </row>
    <row r="15456" spans="1:1" s="173" customFormat="1" ht="12" hidden="1" customHeight="1">
      <c r="A15456" s="172"/>
    </row>
    <row r="15457" spans="1:1" s="173" customFormat="1" ht="12" hidden="1" customHeight="1">
      <c r="A15457" s="172"/>
    </row>
    <row r="15458" spans="1:1" s="173" customFormat="1" ht="12" hidden="1" customHeight="1">
      <c r="A15458" s="172"/>
    </row>
    <row r="15459" spans="1:1" s="173" customFormat="1" ht="12" hidden="1" customHeight="1">
      <c r="A15459" s="172"/>
    </row>
    <row r="15460" spans="1:1" s="173" customFormat="1" ht="12" hidden="1" customHeight="1">
      <c r="A15460" s="172"/>
    </row>
    <row r="15461" spans="1:1" s="173" customFormat="1" ht="12" hidden="1" customHeight="1">
      <c r="A15461" s="172"/>
    </row>
    <row r="15462" spans="1:1" s="173" customFormat="1" ht="12" hidden="1" customHeight="1">
      <c r="A15462" s="172"/>
    </row>
    <row r="15463" spans="1:1" s="173" customFormat="1" ht="12" hidden="1" customHeight="1">
      <c r="A15463" s="172"/>
    </row>
    <row r="15464" spans="1:1" s="173" customFormat="1" ht="12" hidden="1" customHeight="1">
      <c r="A15464" s="172"/>
    </row>
    <row r="15465" spans="1:1" s="173" customFormat="1" ht="12" hidden="1" customHeight="1">
      <c r="A15465" s="172"/>
    </row>
    <row r="15466" spans="1:1" s="173" customFormat="1" ht="12" hidden="1" customHeight="1">
      <c r="A15466" s="172"/>
    </row>
    <row r="15467" spans="1:1" s="173" customFormat="1" ht="12" hidden="1" customHeight="1">
      <c r="A15467" s="172"/>
    </row>
    <row r="15468" spans="1:1" s="173" customFormat="1" ht="12" hidden="1" customHeight="1">
      <c r="A15468" s="172"/>
    </row>
    <row r="15469" spans="1:1" s="173" customFormat="1" ht="12" hidden="1" customHeight="1">
      <c r="A15469" s="172"/>
    </row>
    <row r="15470" spans="1:1" s="173" customFormat="1" ht="12" hidden="1" customHeight="1">
      <c r="A15470" s="172"/>
    </row>
    <row r="15471" spans="1:1" s="173" customFormat="1" ht="12" hidden="1" customHeight="1">
      <c r="A15471" s="172"/>
    </row>
    <row r="15472" spans="1:1" s="173" customFormat="1" ht="12" hidden="1" customHeight="1">
      <c r="A15472" s="172"/>
    </row>
    <row r="15473" spans="1:1" s="173" customFormat="1" ht="12" hidden="1" customHeight="1">
      <c r="A15473" s="172"/>
    </row>
    <row r="15474" spans="1:1" s="173" customFormat="1" ht="12" hidden="1" customHeight="1">
      <c r="A15474" s="172"/>
    </row>
    <row r="15475" spans="1:1" s="173" customFormat="1" ht="12" hidden="1" customHeight="1">
      <c r="A15475" s="172"/>
    </row>
    <row r="15476" spans="1:1" s="173" customFormat="1" ht="12" hidden="1" customHeight="1">
      <c r="A15476" s="172"/>
    </row>
    <row r="15477" spans="1:1" s="173" customFormat="1" ht="12" hidden="1" customHeight="1">
      <c r="A15477" s="172"/>
    </row>
    <row r="15478" spans="1:1" s="173" customFormat="1" ht="12" hidden="1" customHeight="1">
      <c r="A15478" s="172"/>
    </row>
    <row r="15479" spans="1:1" s="173" customFormat="1" ht="12" hidden="1" customHeight="1">
      <c r="A15479" s="172"/>
    </row>
    <row r="15480" spans="1:1" s="173" customFormat="1" ht="12" hidden="1" customHeight="1">
      <c r="A15480" s="172"/>
    </row>
    <row r="15481" spans="1:1" s="173" customFormat="1" ht="12" hidden="1" customHeight="1">
      <c r="A15481" s="172"/>
    </row>
    <row r="15482" spans="1:1" s="173" customFormat="1" ht="12" hidden="1" customHeight="1">
      <c r="A15482" s="172"/>
    </row>
    <row r="15483" spans="1:1" s="173" customFormat="1" ht="12" hidden="1" customHeight="1">
      <c r="A15483" s="172"/>
    </row>
    <row r="15484" spans="1:1" s="173" customFormat="1" ht="12" hidden="1" customHeight="1">
      <c r="A15484" s="172"/>
    </row>
    <row r="15485" spans="1:1" s="173" customFormat="1" ht="12" hidden="1" customHeight="1">
      <c r="A15485" s="172"/>
    </row>
    <row r="15486" spans="1:1" s="173" customFormat="1" ht="12" hidden="1" customHeight="1">
      <c r="A15486" s="172"/>
    </row>
    <row r="15487" spans="1:1" s="173" customFormat="1" ht="12" hidden="1" customHeight="1">
      <c r="A15487" s="172"/>
    </row>
    <row r="15488" spans="1:1" s="173" customFormat="1" ht="12" hidden="1" customHeight="1">
      <c r="A15488" s="172"/>
    </row>
    <row r="15489" spans="1:1" s="173" customFormat="1" ht="12" hidden="1" customHeight="1">
      <c r="A15489" s="172"/>
    </row>
    <row r="15490" spans="1:1" s="173" customFormat="1" ht="12" hidden="1" customHeight="1">
      <c r="A15490" s="172"/>
    </row>
    <row r="15491" spans="1:1" s="173" customFormat="1" ht="12" hidden="1" customHeight="1">
      <c r="A15491" s="172"/>
    </row>
    <row r="15492" spans="1:1" s="173" customFormat="1" ht="12" hidden="1" customHeight="1">
      <c r="A15492" s="172"/>
    </row>
    <row r="15493" spans="1:1" s="173" customFormat="1" ht="12" hidden="1" customHeight="1">
      <c r="A15493" s="172"/>
    </row>
    <row r="15494" spans="1:1" s="173" customFormat="1" ht="12" hidden="1" customHeight="1">
      <c r="A15494" s="172"/>
    </row>
    <row r="15495" spans="1:1" s="173" customFormat="1" ht="12" hidden="1" customHeight="1">
      <c r="A15495" s="172"/>
    </row>
    <row r="15496" spans="1:1" s="173" customFormat="1" ht="12" hidden="1" customHeight="1">
      <c r="A15496" s="172"/>
    </row>
    <row r="15497" spans="1:1" s="173" customFormat="1" ht="12" hidden="1" customHeight="1">
      <c r="A15497" s="172"/>
    </row>
    <row r="15498" spans="1:1" s="173" customFormat="1" ht="12" hidden="1" customHeight="1">
      <c r="A15498" s="172"/>
    </row>
    <row r="15499" spans="1:1" s="173" customFormat="1" ht="12" hidden="1" customHeight="1">
      <c r="A15499" s="172"/>
    </row>
    <row r="15500" spans="1:1" s="173" customFormat="1" ht="12" hidden="1" customHeight="1">
      <c r="A15500" s="172"/>
    </row>
    <row r="15501" spans="1:1" s="173" customFormat="1" ht="12" hidden="1" customHeight="1">
      <c r="A15501" s="172"/>
    </row>
    <row r="15502" spans="1:1" s="173" customFormat="1" ht="12" hidden="1" customHeight="1">
      <c r="A15502" s="172"/>
    </row>
    <row r="15503" spans="1:1" s="173" customFormat="1" ht="12" hidden="1" customHeight="1">
      <c r="A15503" s="172"/>
    </row>
    <row r="15504" spans="1:1" s="173" customFormat="1" ht="12" hidden="1" customHeight="1">
      <c r="A15504" s="172"/>
    </row>
    <row r="15505" spans="1:1" s="173" customFormat="1" ht="12" hidden="1" customHeight="1">
      <c r="A15505" s="172"/>
    </row>
    <row r="15506" spans="1:1" s="173" customFormat="1" ht="12" hidden="1" customHeight="1">
      <c r="A15506" s="172"/>
    </row>
    <row r="15507" spans="1:1" s="173" customFormat="1" ht="12" hidden="1" customHeight="1">
      <c r="A15507" s="172"/>
    </row>
    <row r="15508" spans="1:1" s="173" customFormat="1" ht="12" hidden="1" customHeight="1">
      <c r="A15508" s="172"/>
    </row>
    <row r="15509" spans="1:1" s="173" customFormat="1" ht="12" hidden="1" customHeight="1">
      <c r="A15509" s="172"/>
    </row>
    <row r="15510" spans="1:1" s="173" customFormat="1" ht="12" hidden="1" customHeight="1">
      <c r="A15510" s="172"/>
    </row>
    <row r="15511" spans="1:1" s="173" customFormat="1" ht="12" hidden="1" customHeight="1">
      <c r="A15511" s="172"/>
    </row>
    <row r="15512" spans="1:1" s="173" customFormat="1" ht="12" hidden="1" customHeight="1">
      <c r="A15512" s="172"/>
    </row>
    <row r="15513" spans="1:1" s="173" customFormat="1" ht="12" hidden="1" customHeight="1">
      <c r="A15513" s="172"/>
    </row>
    <row r="15514" spans="1:1" s="173" customFormat="1" ht="12" hidden="1" customHeight="1">
      <c r="A15514" s="172"/>
    </row>
    <row r="15515" spans="1:1" s="173" customFormat="1" ht="12" hidden="1" customHeight="1">
      <c r="A15515" s="172"/>
    </row>
    <row r="15516" spans="1:1" s="173" customFormat="1" ht="12" hidden="1" customHeight="1">
      <c r="A15516" s="172"/>
    </row>
    <row r="15517" spans="1:1" s="173" customFormat="1" ht="12" hidden="1" customHeight="1">
      <c r="A15517" s="172"/>
    </row>
    <row r="15518" spans="1:1" s="173" customFormat="1" ht="12" hidden="1" customHeight="1">
      <c r="A15518" s="172"/>
    </row>
    <row r="15519" spans="1:1" s="173" customFormat="1" ht="12" hidden="1" customHeight="1">
      <c r="A15519" s="172"/>
    </row>
    <row r="15520" spans="1:1" s="173" customFormat="1" ht="12" hidden="1" customHeight="1">
      <c r="A15520" s="172"/>
    </row>
    <row r="15521" spans="1:1" s="173" customFormat="1" ht="12" hidden="1" customHeight="1">
      <c r="A15521" s="172"/>
    </row>
    <row r="15522" spans="1:1" s="173" customFormat="1" ht="12" hidden="1" customHeight="1">
      <c r="A15522" s="172"/>
    </row>
    <row r="15523" spans="1:1" s="173" customFormat="1" ht="12" hidden="1" customHeight="1">
      <c r="A15523" s="172"/>
    </row>
    <row r="15524" spans="1:1" s="173" customFormat="1" ht="12" hidden="1" customHeight="1">
      <c r="A15524" s="172"/>
    </row>
    <row r="15525" spans="1:1" s="173" customFormat="1" ht="12" hidden="1" customHeight="1">
      <c r="A15525" s="172"/>
    </row>
    <row r="15526" spans="1:1" s="173" customFormat="1" ht="12" hidden="1" customHeight="1">
      <c r="A15526" s="172"/>
    </row>
    <row r="15527" spans="1:1" s="173" customFormat="1" ht="12" hidden="1" customHeight="1">
      <c r="A15527" s="172"/>
    </row>
    <row r="15528" spans="1:1" s="173" customFormat="1" ht="12" hidden="1" customHeight="1">
      <c r="A15528" s="172"/>
    </row>
    <row r="15529" spans="1:1" s="173" customFormat="1" ht="12" hidden="1" customHeight="1">
      <c r="A15529" s="172"/>
    </row>
    <row r="15530" spans="1:1" s="173" customFormat="1" ht="12" hidden="1" customHeight="1">
      <c r="A15530" s="172"/>
    </row>
    <row r="15531" spans="1:1" s="173" customFormat="1" ht="12" hidden="1" customHeight="1">
      <c r="A15531" s="172"/>
    </row>
    <row r="15532" spans="1:1" s="173" customFormat="1" ht="12" hidden="1" customHeight="1">
      <c r="A15532" s="172"/>
    </row>
    <row r="15533" spans="1:1" s="173" customFormat="1" ht="12" hidden="1" customHeight="1">
      <c r="A15533" s="172"/>
    </row>
    <row r="15534" spans="1:1" s="173" customFormat="1" ht="12" hidden="1" customHeight="1">
      <c r="A15534" s="172"/>
    </row>
    <row r="15535" spans="1:1" s="173" customFormat="1" ht="12" hidden="1" customHeight="1">
      <c r="A15535" s="172"/>
    </row>
    <row r="15536" spans="1:1" s="173" customFormat="1" ht="12" hidden="1" customHeight="1">
      <c r="A15536" s="172"/>
    </row>
    <row r="15537" spans="1:1" s="173" customFormat="1" ht="12" hidden="1" customHeight="1">
      <c r="A15537" s="172"/>
    </row>
    <row r="15538" spans="1:1" s="173" customFormat="1" ht="12" hidden="1" customHeight="1">
      <c r="A15538" s="172"/>
    </row>
    <row r="15539" spans="1:1" s="173" customFormat="1" ht="12" hidden="1" customHeight="1">
      <c r="A15539" s="172"/>
    </row>
    <row r="15540" spans="1:1" s="173" customFormat="1" ht="12" hidden="1" customHeight="1">
      <c r="A15540" s="172"/>
    </row>
    <row r="15541" spans="1:1" s="173" customFormat="1" ht="12" hidden="1" customHeight="1">
      <c r="A15541" s="172"/>
    </row>
    <row r="15542" spans="1:1" s="173" customFormat="1" ht="12" hidden="1" customHeight="1">
      <c r="A15542" s="172"/>
    </row>
    <row r="15543" spans="1:1" s="173" customFormat="1" ht="12" hidden="1" customHeight="1">
      <c r="A15543" s="172"/>
    </row>
    <row r="15544" spans="1:1" s="173" customFormat="1" ht="12" hidden="1" customHeight="1">
      <c r="A15544" s="172"/>
    </row>
    <row r="15545" spans="1:1" s="173" customFormat="1" ht="12" hidden="1" customHeight="1">
      <c r="A15545" s="172"/>
    </row>
    <row r="15546" spans="1:1" s="173" customFormat="1" ht="12" hidden="1" customHeight="1">
      <c r="A15546" s="172"/>
    </row>
    <row r="15547" spans="1:1" s="173" customFormat="1" ht="12" hidden="1" customHeight="1">
      <c r="A15547" s="172"/>
    </row>
    <row r="15548" spans="1:1" s="173" customFormat="1" ht="12" hidden="1" customHeight="1">
      <c r="A15548" s="172"/>
    </row>
    <row r="15549" spans="1:1" s="173" customFormat="1" ht="12" hidden="1" customHeight="1">
      <c r="A15549" s="172"/>
    </row>
    <row r="15550" spans="1:1" s="173" customFormat="1" ht="12" hidden="1" customHeight="1">
      <c r="A15550" s="172"/>
    </row>
    <row r="15551" spans="1:1" s="173" customFormat="1" ht="12" hidden="1" customHeight="1">
      <c r="A15551" s="172"/>
    </row>
    <row r="15552" spans="1:1" s="173" customFormat="1" ht="12" hidden="1" customHeight="1">
      <c r="A15552" s="172"/>
    </row>
    <row r="15553" spans="1:1" s="173" customFormat="1" ht="12" hidden="1" customHeight="1">
      <c r="A15553" s="172"/>
    </row>
    <row r="15554" spans="1:1" s="173" customFormat="1" ht="12" hidden="1" customHeight="1">
      <c r="A15554" s="172"/>
    </row>
    <row r="15555" spans="1:1" s="173" customFormat="1" ht="12" hidden="1" customHeight="1">
      <c r="A15555" s="172"/>
    </row>
    <row r="15556" spans="1:1" s="173" customFormat="1" ht="12" hidden="1" customHeight="1">
      <c r="A15556" s="172"/>
    </row>
    <row r="15557" spans="1:1" s="173" customFormat="1" ht="12" hidden="1" customHeight="1">
      <c r="A15557" s="172"/>
    </row>
    <row r="15558" spans="1:1" s="173" customFormat="1" ht="12" hidden="1" customHeight="1">
      <c r="A15558" s="172"/>
    </row>
    <row r="15559" spans="1:1" s="173" customFormat="1" ht="12" hidden="1" customHeight="1">
      <c r="A15559" s="172"/>
    </row>
    <row r="15560" spans="1:1" s="173" customFormat="1" ht="12" hidden="1" customHeight="1">
      <c r="A15560" s="172"/>
    </row>
    <row r="15561" spans="1:1" s="173" customFormat="1" ht="12" hidden="1" customHeight="1">
      <c r="A15561" s="172"/>
    </row>
    <row r="15562" spans="1:1" s="173" customFormat="1" ht="12" hidden="1" customHeight="1">
      <c r="A15562" s="172"/>
    </row>
    <row r="15563" spans="1:1" s="173" customFormat="1" ht="12" hidden="1" customHeight="1">
      <c r="A15563" s="172"/>
    </row>
    <row r="15564" spans="1:1" s="173" customFormat="1" ht="12" hidden="1" customHeight="1">
      <c r="A15564" s="172"/>
    </row>
    <row r="15565" spans="1:1" s="173" customFormat="1" ht="12" hidden="1" customHeight="1">
      <c r="A15565" s="172"/>
    </row>
    <row r="15566" spans="1:1" s="173" customFormat="1" ht="12" hidden="1" customHeight="1">
      <c r="A15566" s="172"/>
    </row>
    <row r="15567" spans="1:1" s="173" customFormat="1" ht="12" hidden="1" customHeight="1">
      <c r="A15567" s="172"/>
    </row>
    <row r="15568" spans="1:1" s="173" customFormat="1" ht="12" hidden="1" customHeight="1">
      <c r="A15568" s="172"/>
    </row>
    <row r="15569" spans="1:1" s="173" customFormat="1" ht="12" hidden="1" customHeight="1">
      <c r="A15569" s="172"/>
    </row>
    <row r="15570" spans="1:1" s="173" customFormat="1" ht="12" hidden="1" customHeight="1">
      <c r="A15570" s="172"/>
    </row>
    <row r="15571" spans="1:1" s="173" customFormat="1" ht="12" hidden="1" customHeight="1">
      <c r="A15571" s="172"/>
    </row>
    <row r="15572" spans="1:1" s="173" customFormat="1" ht="12" hidden="1" customHeight="1">
      <c r="A15572" s="172"/>
    </row>
    <row r="15573" spans="1:1" s="173" customFormat="1" ht="12" hidden="1" customHeight="1">
      <c r="A15573" s="172"/>
    </row>
    <row r="15574" spans="1:1" s="173" customFormat="1" ht="12" hidden="1" customHeight="1">
      <c r="A15574" s="172"/>
    </row>
    <row r="15575" spans="1:1" s="173" customFormat="1" ht="12" hidden="1" customHeight="1">
      <c r="A15575" s="172"/>
    </row>
    <row r="15576" spans="1:1" s="173" customFormat="1" ht="12" hidden="1" customHeight="1">
      <c r="A15576" s="172"/>
    </row>
    <row r="15577" spans="1:1" s="173" customFormat="1" ht="12" hidden="1" customHeight="1">
      <c r="A15577" s="172"/>
    </row>
    <row r="15578" spans="1:1" s="173" customFormat="1" ht="12" hidden="1" customHeight="1">
      <c r="A15578" s="172"/>
    </row>
    <row r="15579" spans="1:1" s="173" customFormat="1" ht="12" hidden="1" customHeight="1">
      <c r="A15579" s="172"/>
    </row>
    <row r="15580" spans="1:1" s="173" customFormat="1" ht="12" hidden="1" customHeight="1">
      <c r="A15580" s="172"/>
    </row>
    <row r="15581" spans="1:1" s="173" customFormat="1" ht="12" hidden="1" customHeight="1">
      <c r="A15581" s="172"/>
    </row>
    <row r="15582" spans="1:1" s="173" customFormat="1" ht="12" hidden="1" customHeight="1">
      <c r="A15582" s="172"/>
    </row>
    <row r="15583" spans="1:1" s="173" customFormat="1" ht="12" hidden="1" customHeight="1">
      <c r="A15583" s="172"/>
    </row>
    <row r="15584" spans="1:1" s="173" customFormat="1" ht="12" hidden="1" customHeight="1">
      <c r="A15584" s="172"/>
    </row>
    <row r="15585" spans="1:1" s="173" customFormat="1" ht="12" hidden="1" customHeight="1">
      <c r="A15585" s="172"/>
    </row>
    <row r="15586" spans="1:1" s="173" customFormat="1" ht="12" hidden="1" customHeight="1">
      <c r="A15586" s="172"/>
    </row>
    <row r="15587" spans="1:1" s="173" customFormat="1" ht="12" hidden="1" customHeight="1">
      <c r="A15587" s="172"/>
    </row>
    <row r="15588" spans="1:1" s="173" customFormat="1" ht="12" hidden="1" customHeight="1">
      <c r="A15588" s="172"/>
    </row>
    <row r="15589" spans="1:1" s="173" customFormat="1" ht="12" hidden="1" customHeight="1">
      <c r="A15589" s="172"/>
    </row>
    <row r="15590" spans="1:1" s="173" customFormat="1" ht="12" hidden="1" customHeight="1">
      <c r="A15590" s="172"/>
    </row>
    <row r="15591" spans="1:1" s="173" customFormat="1" ht="12" hidden="1" customHeight="1">
      <c r="A15591" s="172"/>
    </row>
    <row r="15592" spans="1:1" s="173" customFormat="1" ht="12" hidden="1" customHeight="1">
      <c r="A15592" s="172"/>
    </row>
    <row r="15593" spans="1:1" s="173" customFormat="1" ht="12" hidden="1" customHeight="1">
      <c r="A15593" s="172"/>
    </row>
    <row r="15594" spans="1:1" s="173" customFormat="1" ht="12" hidden="1" customHeight="1">
      <c r="A15594" s="172"/>
    </row>
    <row r="15595" spans="1:1" s="173" customFormat="1" ht="12" hidden="1" customHeight="1">
      <c r="A15595" s="172"/>
    </row>
    <row r="15596" spans="1:1" s="173" customFormat="1" ht="12" hidden="1" customHeight="1">
      <c r="A15596" s="172"/>
    </row>
    <row r="15597" spans="1:1" s="173" customFormat="1" ht="12" hidden="1" customHeight="1">
      <c r="A15597" s="172"/>
    </row>
    <row r="15598" spans="1:1" s="173" customFormat="1" ht="12" hidden="1" customHeight="1">
      <c r="A15598" s="172"/>
    </row>
    <row r="15599" spans="1:1" s="173" customFormat="1" ht="12" hidden="1" customHeight="1">
      <c r="A15599" s="172"/>
    </row>
    <row r="15600" spans="1:1" s="173" customFormat="1" ht="12" hidden="1" customHeight="1">
      <c r="A15600" s="172"/>
    </row>
    <row r="15601" spans="1:1" s="173" customFormat="1" ht="12" hidden="1" customHeight="1">
      <c r="A15601" s="172"/>
    </row>
    <row r="15602" spans="1:1" s="173" customFormat="1" ht="12" hidden="1" customHeight="1">
      <c r="A15602" s="172"/>
    </row>
    <row r="15603" spans="1:1" s="173" customFormat="1" ht="12" hidden="1" customHeight="1">
      <c r="A15603" s="172"/>
    </row>
    <row r="15604" spans="1:1" s="173" customFormat="1" ht="12" hidden="1" customHeight="1">
      <c r="A15604" s="172"/>
    </row>
    <row r="15605" spans="1:1" s="173" customFormat="1" ht="12" hidden="1" customHeight="1">
      <c r="A15605" s="172"/>
    </row>
    <row r="15606" spans="1:1" s="173" customFormat="1" ht="12" hidden="1" customHeight="1">
      <c r="A15606" s="172"/>
    </row>
    <row r="15607" spans="1:1" s="173" customFormat="1" ht="12" hidden="1" customHeight="1">
      <c r="A15607" s="172"/>
    </row>
    <row r="15608" spans="1:1" s="173" customFormat="1" ht="12" hidden="1" customHeight="1">
      <c r="A15608" s="172"/>
    </row>
    <row r="15609" spans="1:1" s="173" customFormat="1" ht="12" hidden="1" customHeight="1">
      <c r="A15609" s="172"/>
    </row>
    <row r="15610" spans="1:1" s="173" customFormat="1" ht="12" hidden="1" customHeight="1">
      <c r="A15610" s="172"/>
    </row>
    <row r="15611" spans="1:1" s="173" customFormat="1" ht="12" hidden="1" customHeight="1">
      <c r="A15611" s="172"/>
    </row>
    <row r="15612" spans="1:1" s="173" customFormat="1" ht="12" hidden="1" customHeight="1">
      <c r="A15612" s="172"/>
    </row>
    <row r="15613" spans="1:1" s="173" customFormat="1" ht="12" hidden="1" customHeight="1">
      <c r="A15613" s="172"/>
    </row>
    <row r="15614" spans="1:1" s="173" customFormat="1" ht="12" hidden="1" customHeight="1">
      <c r="A15614" s="172"/>
    </row>
    <row r="15615" spans="1:1" s="173" customFormat="1" ht="12" hidden="1" customHeight="1">
      <c r="A15615" s="172"/>
    </row>
    <row r="15616" spans="1:1" s="173" customFormat="1" ht="12" hidden="1" customHeight="1">
      <c r="A15616" s="172"/>
    </row>
    <row r="15617" spans="1:1" s="173" customFormat="1" ht="12" hidden="1" customHeight="1">
      <c r="A15617" s="172"/>
    </row>
    <row r="15618" spans="1:1" s="173" customFormat="1" ht="12" hidden="1" customHeight="1">
      <c r="A15618" s="172"/>
    </row>
    <row r="15619" spans="1:1" s="173" customFormat="1" ht="12" hidden="1" customHeight="1">
      <c r="A15619" s="172"/>
    </row>
    <row r="15620" spans="1:1" s="173" customFormat="1" ht="12" hidden="1" customHeight="1">
      <c r="A15620" s="172"/>
    </row>
    <row r="15621" spans="1:1" s="173" customFormat="1" ht="12" hidden="1" customHeight="1">
      <c r="A15621" s="172"/>
    </row>
    <row r="15622" spans="1:1" s="173" customFormat="1" ht="12" hidden="1" customHeight="1">
      <c r="A15622" s="172"/>
    </row>
    <row r="15623" spans="1:1" s="173" customFormat="1" ht="12" hidden="1" customHeight="1">
      <c r="A15623" s="172"/>
    </row>
    <row r="15624" spans="1:1" s="173" customFormat="1" ht="12" hidden="1" customHeight="1">
      <c r="A15624" s="172"/>
    </row>
    <row r="15625" spans="1:1" s="173" customFormat="1" ht="12" hidden="1" customHeight="1">
      <c r="A15625" s="172"/>
    </row>
    <row r="15626" spans="1:1" s="173" customFormat="1" ht="12" hidden="1" customHeight="1">
      <c r="A15626" s="172"/>
    </row>
    <row r="15627" spans="1:1" s="173" customFormat="1" ht="12" hidden="1" customHeight="1">
      <c r="A15627" s="172"/>
    </row>
    <row r="15628" spans="1:1" s="173" customFormat="1" ht="12" hidden="1" customHeight="1">
      <c r="A15628" s="172"/>
    </row>
    <row r="15629" spans="1:1" s="173" customFormat="1" ht="12" hidden="1" customHeight="1">
      <c r="A15629" s="172"/>
    </row>
    <row r="15630" spans="1:1" s="173" customFormat="1" ht="12" hidden="1" customHeight="1">
      <c r="A15630" s="172"/>
    </row>
    <row r="15631" spans="1:1" s="173" customFormat="1" ht="12" hidden="1" customHeight="1">
      <c r="A15631" s="172"/>
    </row>
    <row r="15632" spans="1:1" s="173" customFormat="1" ht="12" hidden="1" customHeight="1">
      <c r="A15632" s="172"/>
    </row>
    <row r="15633" spans="1:1" s="173" customFormat="1" ht="12" hidden="1" customHeight="1">
      <c r="A15633" s="172"/>
    </row>
    <row r="15634" spans="1:1" s="173" customFormat="1" ht="12" hidden="1" customHeight="1">
      <c r="A15634" s="172"/>
    </row>
    <row r="15635" spans="1:1" s="173" customFormat="1" ht="12" hidden="1" customHeight="1">
      <c r="A15635" s="172"/>
    </row>
    <row r="15636" spans="1:1" s="173" customFormat="1" ht="12" hidden="1" customHeight="1">
      <c r="A15636" s="172"/>
    </row>
    <row r="15637" spans="1:1" s="173" customFormat="1" ht="12" hidden="1" customHeight="1">
      <c r="A15637" s="172"/>
    </row>
    <row r="15638" spans="1:1" s="173" customFormat="1" ht="12" hidden="1" customHeight="1">
      <c r="A15638" s="172"/>
    </row>
    <row r="15639" spans="1:1" s="173" customFormat="1" ht="12" hidden="1" customHeight="1">
      <c r="A15639" s="172"/>
    </row>
    <row r="15640" spans="1:1" s="173" customFormat="1" ht="12" hidden="1" customHeight="1">
      <c r="A15640" s="172"/>
    </row>
    <row r="15641" spans="1:1" s="173" customFormat="1" ht="12" hidden="1" customHeight="1">
      <c r="A15641" s="172"/>
    </row>
    <row r="15642" spans="1:1" s="173" customFormat="1" ht="12" hidden="1" customHeight="1">
      <c r="A15642" s="172"/>
    </row>
    <row r="15643" spans="1:1" s="173" customFormat="1" ht="12" hidden="1" customHeight="1">
      <c r="A15643" s="172"/>
    </row>
    <row r="15644" spans="1:1" s="173" customFormat="1" ht="12" hidden="1" customHeight="1">
      <c r="A15644" s="172"/>
    </row>
    <row r="15645" spans="1:1" s="173" customFormat="1" ht="12" hidden="1" customHeight="1">
      <c r="A15645" s="172"/>
    </row>
    <row r="15646" spans="1:1" s="173" customFormat="1" ht="12" hidden="1" customHeight="1">
      <c r="A15646" s="172"/>
    </row>
    <row r="15647" spans="1:1" s="173" customFormat="1" ht="12" hidden="1" customHeight="1">
      <c r="A15647" s="172"/>
    </row>
    <row r="15648" spans="1:1" s="173" customFormat="1" ht="12" hidden="1" customHeight="1">
      <c r="A15648" s="172"/>
    </row>
    <row r="15649" spans="1:1" s="173" customFormat="1" ht="12" hidden="1" customHeight="1">
      <c r="A15649" s="172"/>
    </row>
    <row r="15650" spans="1:1" s="173" customFormat="1" ht="12" hidden="1" customHeight="1">
      <c r="A15650" s="172"/>
    </row>
    <row r="15651" spans="1:1" s="173" customFormat="1" ht="12" hidden="1" customHeight="1">
      <c r="A15651" s="172"/>
    </row>
    <row r="15652" spans="1:1" s="173" customFormat="1" ht="12" hidden="1" customHeight="1">
      <c r="A15652" s="172"/>
    </row>
    <row r="15653" spans="1:1" s="173" customFormat="1" ht="12" hidden="1" customHeight="1">
      <c r="A15653" s="172"/>
    </row>
    <row r="15654" spans="1:1" s="173" customFormat="1" ht="12" hidden="1" customHeight="1">
      <c r="A15654" s="172"/>
    </row>
    <row r="15655" spans="1:1" s="173" customFormat="1" ht="12" hidden="1" customHeight="1">
      <c r="A15655" s="172"/>
    </row>
    <row r="15656" spans="1:1" s="173" customFormat="1" ht="12" hidden="1" customHeight="1">
      <c r="A15656" s="172"/>
    </row>
    <row r="15657" spans="1:1" s="173" customFormat="1" ht="12" hidden="1" customHeight="1">
      <c r="A15657" s="172"/>
    </row>
    <row r="15658" spans="1:1" s="173" customFormat="1" ht="12" hidden="1" customHeight="1">
      <c r="A15658" s="172"/>
    </row>
    <row r="15659" spans="1:1" s="173" customFormat="1" ht="12" hidden="1" customHeight="1">
      <c r="A15659" s="172"/>
    </row>
    <row r="15660" spans="1:1" s="173" customFormat="1" ht="12" hidden="1" customHeight="1">
      <c r="A15660" s="172"/>
    </row>
    <row r="15661" spans="1:1" s="173" customFormat="1" ht="12" hidden="1" customHeight="1">
      <c r="A15661" s="172"/>
    </row>
    <row r="15662" spans="1:1" s="173" customFormat="1" ht="12" hidden="1" customHeight="1">
      <c r="A15662" s="172"/>
    </row>
    <row r="15663" spans="1:1" s="173" customFormat="1" ht="12" hidden="1" customHeight="1">
      <c r="A15663" s="172"/>
    </row>
    <row r="15664" spans="1:1" s="173" customFormat="1" ht="12" hidden="1" customHeight="1">
      <c r="A15664" s="172"/>
    </row>
    <row r="15665" spans="1:1" s="173" customFormat="1" ht="12" hidden="1" customHeight="1">
      <c r="A15665" s="172"/>
    </row>
    <row r="15666" spans="1:1" s="173" customFormat="1" ht="12" hidden="1" customHeight="1">
      <c r="A15666" s="172"/>
    </row>
    <row r="15667" spans="1:1" s="173" customFormat="1" ht="12" hidden="1" customHeight="1">
      <c r="A15667" s="172"/>
    </row>
    <row r="15668" spans="1:1" s="173" customFormat="1" ht="12" hidden="1" customHeight="1">
      <c r="A15668" s="172"/>
    </row>
    <row r="15669" spans="1:1" s="173" customFormat="1" ht="12" hidden="1" customHeight="1">
      <c r="A15669" s="172"/>
    </row>
    <row r="15670" spans="1:1" s="173" customFormat="1" ht="12" hidden="1" customHeight="1">
      <c r="A15670" s="172"/>
    </row>
    <row r="15671" spans="1:1" s="173" customFormat="1" ht="12" hidden="1" customHeight="1">
      <c r="A15671" s="172"/>
    </row>
    <row r="15672" spans="1:1" s="173" customFormat="1" ht="12" hidden="1" customHeight="1">
      <c r="A15672" s="172"/>
    </row>
    <row r="15673" spans="1:1" s="173" customFormat="1" ht="12" hidden="1" customHeight="1">
      <c r="A15673" s="172"/>
    </row>
    <row r="15674" spans="1:1" s="173" customFormat="1" ht="12" hidden="1" customHeight="1">
      <c r="A15674" s="172"/>
    </row>
    <row r="15675" spans="1:1" s="173" customFormat="1" ht="12" hidden="1" customHeight="1">
      <c r="A15675" s="172"/>
    </row>
    <row r="15676" spans="1:1" s="173" customFormat="1" ht="12" hidden="1" customHeight="1">
      <c r="A15676" s="172"/>
    </row>
    <row r="15677" spans="1:1" s="173" customFormat="1" ht="12" hidden="1" customHeight="1">
      <c r="A15677" s="172"/>
    </row>
    <row r="15678" spans="1:1" s="173" customFormat="1" ht="12" hidden="1" customHeight="1">
      <c r="A15678" s="172"/>
    </row>
    <row r="15679" spans="1:1" s="173" customFormat="1" ht="12" hidden="1" customHeight="1">
      <c r="A15679" s="172"/>
    </row>
    <row r="15680" spans="1:1" s="173" customFormat="1" ht="12" hidden="1" customHeight="1">
      <c r="A15680" s="172"/>
    </row>
    <row r="15681" spans="1:1" s="173" customFormat="1" ht="12" hidden="1" customHeight="1">
      <c r="A15681" s="172"/>
    </row>
    <row r="15682" spans="1:1" s="173" customFormat="1" ht="12" hidden="1" customHeight="1">
      <c r="A15682" s="172"/>
    </row>
    <row r="15683" spans="1:1" s="173" customFormat="1" ht="12" hidden="1" customHeight="1">
      <c r="A15683" s="172"/>
    </row>
    <row r="15684" spans="1:1" s="173" customFormat="1" ht="12" hidden="1" customHeight="1">
      <c r="A15684" s="172"/>
    </row>
    <row r="15685" spans="1:1" s="173" customFormat="1" ht="12" hidden="1" customHeight="1">
      <c r="A15685" s="172"/>
    </row>
    <row r="15686" spans="1:1" s="173" customFormat="1" ht="12" hidden="1" customHeight="1">
      <c r="A15686" s="172"/>
    </row>
    <row r="15687" spans="1:1" s="173" customFormat="1" ht="12" hidden="1" customHeight="1">
      <c r="A15687" s="172"/>
    </row>
    <row r="15688" spans="1:1" s="173" customFormat="1" ht="12" hidden="1" customHeight="1">
      <c r="A15688" s="172"/>
    </row>
    <row r="15689" spans="1:1" s="173" customFormat="1" ht="12" hidden="1" customHeight="1">
      <c r="A15689" s="172"/>
    </row>
    <row r="15690" spans="1:1" s="173" customFormat="1" ht="12" hidden="1" customHeight="1">
      <c r="A15690" s="172"/>
    </row>
    <row r="15691" spans="1:1" s="173" customFormat="1" ht="12" hidden="1" customHeight="1">
      <c r="A15691" s="172"/>
    </row>
    <row r="15692" spans="1:1" s="173" customFormat="1" ht="12" hidden="1" customHeight="1">
      <c r="A15692" s="172"/>
    </row>
    <row r="15693" spans="1:1" s="173" customFormat="1" ht="12" hidden="1" customHeight="1">
      <c r="A15693" s="172"/>
    </row>
    <row r="15694" spans="1:1" s="173" customFormat="1" ht="12" hidden="1" customHeight="1">
      <c r="A15694" s="172"/>
    </row>
    <row r="15695" spans="1:1" s="173" customFormat="1" ht="12" hidden="1" customHeight="1">
      <c r="A15695" s="172"/>
    </row>
    <row r="15696" spans="1:1" s="173" customFormat="1" ht="12" hidden="1" customHeight="1">
      <c r="A15696" s="172"/>
    </row>
    <row r="15697" spans="1:1" s="173" customFormat="1" ht="12" hidden="1" customHeight="1">
      <c r="A15697" s="172"/>
    </row>
    <row r="15698" spans="1:1" s="173" customFormat="1" ht="12" hidden="1" customHeight="1">
      <c r="A15698" s="172"/>
    </row>
    <row r="15699" spans="1:1" s="173" customFormat="1" ht="12" hidden="1" customHeight="1">
      <c r="A15699" s="172"/>
    </row>
    <row r="15700" spans="1:1" s="173" customFormat="1" ht="12" hidden="1" customHeight="1">
      <c r="A15700" s="172"/>
    </row>
    <row r="15701" spans="1:1" s="173" customFormat="1" ht="12" hidden="1" customHeight="1">
      <c r="A15701" s="172"/>
    </row>
    <row r="15702" spans="1:1" s="173" customFormat="1" ht="12" hidden="1" customHeight="1">
      <c r="A15702" s="172"/>
    </row>
    <row r="15703" spans="1:1" s="173" customFormat="1" ht="12" hidden="1" customHeight="1">
      <c r="A15703" s="172"/>
    </row>
    <row r="15704" spans="1:1" s="173" customFormat="1" ht="12" hidden="1" customHeight="1">
      <c r="A15704" s="172"/>
    </row>
    <row r="15705" spans="1:1" s="173" customFormat="1" ht="12" hidden="1" customHeight="1">
      <c r="A15705" s="172"/>
    </row>
    <row r="15706" spans="1:1" s="173" customFormat="1" ht="12" hidden="1" customHeight="1">
      <c r="A15706" s="172"/>
    </row>
    <row r="15707" spans="1:1" s="173" customFormat="1" ht="12" hidden="1" customHeight="1">
      <c r="A15707" s="172"/>
    </row>
    <row r="15708" spans="1:1" s="173" customFormat="1" ht="12" hidden="1" customHeight="1">
      <c r="A15708" s="172"/>
    </row>
    <row r="15709" spans="1:1" s="173" customFormat="1" ht="12" hidden="1" customHeight="1">
      <c r="A15709" s="172"/>
    </row>
    <row r="15710" spans="1:1" s="173" customFormat="1" ht="12" hidden="1" customHeight="1">
      <c r="A15710" s="172"/>
    </row>
    <row r="15711" spans="1:1" s="173" customFormat="1" ht="12" hidden="1" customHeight="1">
      <c r="A15711" s="172"/>
    </row>
    <row r="15712" spans="1:1" s="173" customFormat="1" ht="12" hidden="1" customHeight="1">
      <c r="A15712" s="172"/>
    </row>
    <row r="15713" spans="1:1" s="173" customFormat="1" ht="12" hidden="1" customHeight="1">
      <c r="A15713" s="172"/>
    </row>
    <row r="15714" spans="1:1" s="173" customFormat="1" ht="12" hidden="1" customHeight="1">
      <c r="A15714" s="172"/>
    </row>
    <row r="15715" spans="1:1" s="173" customFormat="1" ht="12" hidden="1" customHeight="1">
      <c r="A15715" s="172"/>
    </row>
    <row r="15716" spans="1:1" s="173" customFormat="1" ht="12" hidden="1" customHeight="1">
      <c r="A15716" s="172"/>
    </row>
    <row r="15717" spans="1:1" s="173" customFormat="1" ht="12" hidden="1" customHeight="1">
      <c r="A15717" s="172"/>
    </row>
    <row r="15718" spans="1:1" s="173" customFormat="1" ht="12" hidden="1" customHeight="1">
      <c r="A15718" s="172"/>
    </row>
    <row r="15719" spans="1:1" s="173" customFormat="1" ht="12" hidden="1" customHeight="1">
      <c r="A15719" s="172"/>
    </row>
    <row r="15720" spans="1:1" s="173" customFormat="1" ht="12" hidden="1" customHeight="1">
      <c r="A15720" s="172"/>
    </row>
    <row r="15721" spans="1:1" s="173" customFormat="1" ht="12" hidden="1" customHeight="1">
      <c r="A15721" s="172"/>
    </row>
    <row r="15722" spans="1:1" s="173" customFormat="1" ht="12" hidden="1" customHeight="1">
      <c r="A15722" s="172"/>
    </row>
    <row r="15723" spans="1:1" s="173" customFormat="1" ht="12" hidden="1" customHeight="1">
      <c r="A15723" s="172"/>
    </row>
    <row r="15724" spans="1:1" s="173" customFormat="1" ht="12" hidden="1" customHeight="1">
      <c r="A15724" s="172"/>
    </row>
    <row r="15725" spans="1:1" s="173" customFormat="1" ht="12" hidden="1" customHeight="1">
      <c r="A15725" s="172"/>
    </row>
    <row r="15726" spans="1:1" s="173" customFormat="1" ht="12" hidden="1" customHeight="1">
      <c r="A15726" s="172"/>
    </row>
    <row r="15727" spans="1:1" s="173" customFormat="1" ht="12" hidden="1" customHeight="1">
      <c r="A15727" s="172"/>
    </row>
    <row r="15728" spans="1:1" s="173" customFormat="1" ht="12" hidden="1" customHeight="1">
      <c r="A15728" s="172"/>
    </row>
    <row r="15729" spans="1:1" s="173" customFormat="1" ht="12" hidden="1" customHeight="1">
      <c r="A15729" s="172"/>
    </row>
    <row r="15730" spans="1:1" s="173" customFormat="1" ht="12" hidden="1" customHeight="1">
      <c r="A15730" s="172"/>
    </row>
    <row r="15731" spans="1:1" s="173" customFormat="1" ht="12" hidden="1" customHeight="1">
      <c r="A15731" s="172"/>
    </row>
    <row r="15732" spans="1:1" s="173" customFormat="1" ht="12" hidden="1" customHeight="1">
      <c r="A15732" s="172"/>
    </row>
    <row r="15733" spans="1:1" s="173" customFormat="1" ht="12" hidden="1" customHeight="1">
      <c r="A15733" s="172"/>
    </row>
    <row r="15734" spans="1:1" s="173" customFormat="1" ht="12" hidden="1" customHeight="1">
      <c r="A15734" s="172"/>
    </row>
    <row r="15735" spans="1:1" s="173" customFormat="1" ht="12" hidden="1" customHeight="1">
      <c r="A15735" s="172"/>
    </row>
    <row r="15736" spans="1:1" s="173" customFormat="1" ht="12" hidden="1" customHeight="1">
      <c r="A15736" s="172"/>
    </row>
    <row r="15737" spans="1:1" s="173" customFormat="1" ht="12" hidden="1" customHeight="1">
      <c r="A15737" s="172"/>
    </row>
    <row r="15738" spans="1:1" s="173" customFormat="1" ht="12" hidden="1" customHeight="1">
      <c r="A15738" s="172"/>
    </row>
    <row r="15739" spans="1:1" s="173" customFormat="1" ht="12" hidden="1" customHeight="1">
      <c r="A15739" s="172"/>
    </row>
    <row r="15740" spans="1:1" s="173" customFormat="1" ht="12" hidden="1" customHeight="1">
      <c r="A15740" s="172"/>
    </row>
    <row r="15741" spans="1:1" s="173" customFormat="1" ht="12" hidden="1" customHeight="1">
      <c r="A15741" s="172"/>
    </row>
    <row r="15742" spans="1:1" s="173" customFormat="1" ht="12" hidden="1" customHeight="1">
      <c r="A15742" s="172"/>
    </row>
    <row r="15743" spans="1:1" s="173" customFormat="1" ht="12" hidden="1" customHeight="1">
      <c r="A15743" s="172"/>
    </row>
    <row r="15744" spans="1:1" s="173" customFormat="1" ht="12" hidden="1" customHeight="1">
      <c r="A15744" s="172"/>
    </row>
    <row r="15745" spans="1:1" s="173" customFormat="1" ht="12" hidden="1" customHeight="1">
      <c r="A15745" s="172"/>
    </row>
    <row r="15746" spans="1:1" s="173" customFormat="1" ht="12" hidden="1" customHeight="1">
      <c r="A15746" s="172"/>
    </row>
    <row r="15747" spans="1:1" s="173" customFormat="1" ht="12" hidden="1" customHeight="1">
      <c r="A15747" s="172"/>
    </row>
    <row r="15748" spans="1:1" s="173" customFormat="1" ht="12" hidden="1" customHeight="1">
      <c r="A15748" s="172"/>
    </row>
    <row r="15749" spans="1:1" s="173" customFormat="1" ht="12" hidden="1" customHeight="1">
      <c r="A15749" s="172"/>
    </row>
    <row r="15750" spans="1:1" s="173" customFormat="1" ht="12" hidden="1" customHeight="1">
      <c r="A15750" s="172"/>
    </row>
    <row r="15751" spans="1:1" s="173" customFormat="1" ht="12" hidden="1" customHeight="1">
      <c r="A15751" s="172"/>
    </row>
    <row r="15752" spans="1:1" s="173" customFormat="1" ht="12" hidden="1" customHeight="1">
      <c r="A15752" s="172"/>
    </row>
    <row r="15753" spans="1:1" s="173" customFormat="1" ht="12" hidden="1" customHeight="1">
      <c r="A15753" s="172"/>
    </row>
    <row r="15754" spans="1:1" s="173" customFormat="1" ht="12" hidden="1" customHeight="1">
      <c r="A15754" s="172"/>
    </row>
    <row r="15755" spans="1:1" s="173" customFormat="1" ht="12" hidden="1" customHeight="1">
      <c r="A15755" s="172"/>
    </row>
    <row r="15756" spans="1:1" s="173" customFormat="1" ht="12" hidden="1" customHeight="1">
      <c r="A15756" s="172"/>
    </row>
    <row r="15757" spans="1:1" s="173" customFormat="1" ht="12" hidden="1" customHeight="1">
      <c r="A15757" s="172"/>
    </row>
    <row r="15758" spans="1:1" s="173" customFormat="1" ht="12" hidden="1" customHeight="1">
      <c r="A15758" s="172"/>
    </row>
    <row r="15759" spans="1:1" s="173" customFormat="1" ht="12" hidden="1" customHeight="1">
      <c r="A15759" s="172"/>
    </row>
    <row r="15760" spans="1:1" s="173" customFormat="1" ht="12" hidden="1" customHeight="1">
      <c r="A15760" s="172"/>
    </row>
    <row r="15761" spans="1:1" s="173" customFormat="1" ht="12" hidden="1" customHeight="1">
      <c r="A15761" s="172"/>
    </row>
    <row r="15762" spans="1:1" s="173" customFormat="1" ht="12" hidden="1" customHeight="1">
      <c r="A15762" s="172"/>
    </row>
    <row r="15763" spans="1:1" s="173" customFormat="1" ht="12" hidden="1" customHeight="1">
      <c r="A15763" s="172"/>
    </row>
    <row r="15764" spans="1:1" s="173" customFormat="1" ht="12" hidden="1" customHeight="1">
      <c r="A15764" s="172"/>
    </row>
    <row r="15765" spans="1:1" s="173" customFormat="1" ht="12" hidden="1" customHeight="1">
      <c r="A15765" s="172"/>
    </row>
    <row r="15766" spans="1:1" s="173" customFormat="1" ht="12" hidden="1" customHeight="1">
      <c r="A15766" s="172"/>
    </row>
    <row r="15767" spans="1:1" s="173" customFormat="1" ht="12" hidden="1" customHeight="1">
      <c r="A15767" s="172"/>
    </row>
    <row r="15768" spans="1:1" s="173" customFormat="1" ht="12" hidden="1" customHeight="1">
      <c r="A15768" s="172"/>
    </row>
    <row r="15769" spans="1:1" s="173" customFormat="1" ht="12" hidden="1" customHeight="1">
      <c r="A15769" s="172"/>
    </row>
    <row r="15770" spans="1:1" s="173" customFormat="1" ht="12" hidden="1" customHeight="1">
      <c r="A15770" s="172"/>
    </row>
    <row r="15771" spans="1:1" s="173" customFormat="1" ht="12" hidden="1" customHeight="1">
      <c r="A15771" s="172"/>
    </row>
    <row r="15772" spans="1:1" s="173" customFormat="1" ht="12" hidden="1" customHeight="1">
      <c r="A15772" s="172"/>
    </row>
    <row r="15773" spans="1:1" s="173" customFormat="1" ht="12" hidden="1" customHeight="1">
      <c r="A15773" s="172"/>
    </row>
    <row r="15774" spans="1:1" s="173" customFormat="1" ht="12" hidden="1" customHeight="1">
      <c r="A15774" s="172"/>
    </row>
    <row r="15775" spans="1:1" s="173" customFormat="1" ht="12" hidden="1" customHeight="1">
      <c r="A15775" s="172"/>
    </row>
    <row r="15776" spans="1:1" s="173" customFormat="1" ht="12" hidden="1" customHeight="1">
      <c r="A15776" s="172"/>
    </row>
    <row r="15777" spans="1:1" s="173" customFormat="1" ht="12" hidden="1" customHeight="1">
      <c r="A15777" s="172"/>
    </row>
    <row r="15778" spans="1:1" s="173" customFormat="1" ht="12" hidden="1" customHeight="1">
      <c r="A15778" s="172"/>
    </row>
    <row r="15779" spans="1:1" s="173" customFormat="1" ht="12" hidden="1" customHeight="1">
      <c r="A15779" s="172"/>
    </row>
    <row r="15780" spans="1:1" s="173" customFormat="1" ht="12" hidden="1" customHeight="1">
      <c r="A15780" s="172"/>
    </row>
    <row r="15781" spans="1:1" s="173" customFormat="1" ht="12" hidden="1" customHeight="1">
      <c r="A15781" s="172"/>
    </row>
    <row r="15782" spans="1:1" s="173" customFormat="1" ht="12" hidden="1" customHeight="1">
      <c r="A15782" s="172"/>
    </row>
    <row r="15783" spans="1:1" s="173" customFormat="1" ht="12" hidden="1" customHeight="1">
      <c r="A15783" s="172"/>
    </row>
    <row r="15784" spans="1:1" s="173" customFormat="1" ht="12" hidden="1" customHeight="1">
      <c r="A15784" s="172"/>
    </row>
    <row r="15785" spans="1:1" s="173" customFormat="1" ht="12" hidden="1" customHeight="1">
      <c r="A15785" s="172"/>
    </row>
    <row r="15786" spans="1:1" s="173" customFormat="1" ht="12" hidden="1" customHeight="1">
      <c r="A15786" s="172"/>
    </row>
    <row r="15787" spans="1:1" s="173" customFormat="1" ht="12" hidden="1" customHeight="1">
      <c r="A15787" s="172"/>
    </row>
    <row r="15788" spans="1:1" s="173" customFormat="1" ht="12" hidden="1" customHeight="1">
      <c r="A15788" s="172"/>
    </row>
    <row r="15789" spans="1:1" s="173" customFormat="1" ht="12" hidden="1" customHeight="1">
      <c r="A15789" s="172"/>
    </row>
    <row r="15790" spans="1:1" s="173" customFormat="1" ht="12" hidden="1" customHeight="1">
      <c r="A15790" s="172"/>
    </row>
    <row r="15791" spans="1:1" s="173" customFormat="1" ht="12" hidden="1" customHeight="1">
      <c r="A15791" s="172"/>
    </row>
    <row r="15792" spans="1:1" s="173" customFormat="1" ht="12" hidden="1" customHeight="1">
      <c r="A15792" s="172"/>
    </row>
    <row r="15793" spans="1:1" s="173" customFormat="1" ht="12" hidden="1" customHeight="1">
      <c r="A15793" s="172"/>
    </row>
    <row r="15794" spans="1:1" s="173" customFormat="1" ht="12" hidden="1" customHeight="1">
      <c r="A15794" s="172"/>
    </row>
    <row r="15795" spans="1:1" s="173" customFormat="1" ht="12" hidden="1" customHeight="1">
      <c r="A15795" s="172"/>
    </row>
    <row r="15796" spans="1:1" s="173" customFormat="1" ht="12" hidden="1" customHeight="1">
      <c r="A15796" s="172"/>
    </row>
    <row r="15797" spans="1:1" s="173" customFormat="1" ht="12" hidden="1" customHeight="1">
      <c r="A15797" s="172"/>
    </row>
    <row r="15798" spans="1:1" s="173" customFormat="1" ht="12" hidden="1" customHeight="1">
      <c r="A15798" s="172"/>
    </row>
    <row r="15799" spans="1:1" s="173" customFormat="1" ht="12" hidden="1" customHeight="1">
      <c r="A15799" s="172"/>
    </row>
    <row r="15800" spans="1:1" s="173" customFormat="1" ht="12" hidden="1" customHeight="1">
      <c r="A15800" s="172"/>
    </row>
    <row r="15801" spans="1:1" s="173" customFormat="1" ht="12" hidden="1" customHeight="1">
      <c r="A15801" s="172"/>
    </row>
    <row r="15802" spans="1:1" s="173" customFormat="1" ht="12" hidden="1" customHeight="1">
      <c r="A15802" s="172"/>
    </row>
    <row r="15803" spans="1:1" s="173" customFormat="1" ht="12" hidden="1" customHeight="1">
      <c r="A15803" s="172"/>
    </row>
    <row r="15804" spans="1:1" s="173" customFormat="1" ht="12" hidden="1" customHeight="1">
      <c r="A15804" s="172"/>
    </row>
    <row r="15805" spans="1:1" s="173" customFormat="1" ht="12" hidden="1" customHeight="1">
      <c r="A15805" s="172"/>
    </row>
    <row r="15806" spans="1:1" s="173" customFormat="1" ht="12" hidden="1" customHeight="1">
      <c r="A15806" s="172"/>
    </row>
    <row r="15807" spans="1:1" s="173" customFormat="1" ht="12" hidden="1" customHeight="1">
      <c r="A15807" s="172"/>
    </row>
    <row r="15808" spans="1:1" s="173" customFormat="1" ht="12" hidden="1" customHeight="1">
      <c r="A15808" s="172"/>
    </row>
    <row r="15809" spans="1:1" s="173" customFormat="1" ht="12" hidden="1" customHeight="1">
      <c r="A15809" s="172"/>
    </row>
    <row r="15810" spans="1:1" s="173" customFormat="1" ht="12" hidden="1" customHeight="1">
      <c r="A15810" s="172"/>
    </row>
    <row r="15811" spans="1:1" s="173" customFormat="1" ht="12" hidden="1" customHeight="1">
      <c r="A15811" s="172"/>
    </row>
    <row r="15812" spans="1:1" s="173" customFormat="1" ht="12" hidden="1" customHeight="1">
      <c r="A15812" s="172"/>
    </row>
    <row r="15813" spans="1:1" s="173" customFormat="1" ht="12" hidden="1" customHeight="1">
      <c r="A15813" s="172"/>
    </row>
    <row r="15814" spans="1:1" s="173" customFormat="1" ht="12" hidden="1" customHeight="1">
      <c r="A15814" s="172"/>
    </row>
    <row r="15815" spans="1:1" s="173" customFormat="1" ht="12" hidden="1" customHeight="1">
      <c r="A15815" s="172"/>
    </row>
    <row r="15816" spans="1:1" s="173" customFormat="1" ht="12" hidden="1" customHeight="1">
      <c r="A15816" s="172"/>
    </row>
    <row r="15817" spans="1:1" s="173" customFormat="1" ht="12" hidden="1" customHeight="1">
      <c r="A15817" s="172"/>
    </row>
    <row r="15818" spans="1:1" s="173" customFormat="1" ht="12" hidden="1" customHeight="1">
      <c r="A15818" s="172"/>
    </row>
    <row r="15819" spans="1:1" s="173" customFormat="1" ht="12" hidden="1" customHeight="1">
      <c r="A15819" s="172"/>
    </row>
    <row r="15820" spans="1:1" s="173" customFormat="1" ht="12" hidden="1" customHeight="1">
      <c r="A15820" s="172"/>
    </row>
    <row r="15821" spans="1:1" s="173" customFormat="1" ht="12" hidden="1" customHeight="1">
      <c r="A15821" s="172"/>
    </row>
    <row r="15822" spans="1:1" s="173" customFormat="1" ht="12" hidden="1" customHeight="1">
      <c r="A15822" s="172"/>
    </row>
    <row r="15823" spans="1:1" s="173" customFormat="1" ht="12" hidden="1" customHeight="1">
      <c r="A15823" s="172"/>
    </row>
    <row r="15824" spans="1:1" s="173" customFormat="1" ht="12" hidden="1" customHeight="1">
      <c r="A15824" s="172"/>
    </row>
    <row r="15825" spans="1:1" s="173" customFormat="1" ht="12" hidden="1" customHeight="1">
      <c r="A15825" s="172"/>
    </row>
    <row r="15826" spans="1:1" s="173" customFormat="1" ht="12" hidden="1" customHeight="1">
      <c r="A15826" s="172"/>
    </row>
    <row r="15827" spans="1:1" s="173" customFormat="1" ht="12" hidden="1" customHeight="1">
      <c r="A15827" s="172"/>
    </row>
    <row r="15828" spans="1:1" s="173" customFormat="1" ht="12" hidden="1" customHeight="1">
      <c r="A15828" s="172"/>
    </row>
    <row r="15829" spans="1:1" s="173" customFormat="1" ht="12" hidden="1" customHeight="1">
      <c r="A15829" s="172"/>
    </row>
    <row r="15830" spans="1:1" s="173" customFormat="1" ht="12" hidden="1" customHeight="1">
      <c r="A15830" s="172"/>
    </row>
    <row r="15831" spans="1:1" s="173" customFormat="1" ht="12" hidden="1" customHeight="1">
      <c r="A15831" s="172"/>
    </row>
    <row r="15832" spans="1:1" s="173" customFormat="1" ht="12" hidden="1" customHeight="1">
      <c r="A15832" s="172"/>
    </row>
    <row r="15833" spans="1:1" s="173" customFormat="1" ht="12" hidden="1" customHeight="1">
      <c r="A15833" s="172"/>
    </row>
    <row r="15834" spans="1:1" s="173" customFormat="1" ht="12" hidden="1" customHeight="1">
      <c r="A15834" s="172"/>
    </row>
    <row r="15835" spans="1:1" s="173" customFormat="1" ht="12" hidden="1" customHeight="1">
      <c r="A15835" s="172"/>
    </row>
    <row r="15836" spans="1:1" s="173" customFormat="1" ht="12" hidden="1" customHeight="1">
      <c r="A15836" s="172"/>
    </row>
    <row r="15837" spans="1:1" s="173" customFormat="1" ht="12" hidden="1" customHeight="1">
      <c r="A15837" s="172"/>
    </row>
    <row r="15838" spans="1:1" s="173" customFormat="1" ht="12" hidden="1" customHeight="1">
      <c r="A15838" s="172"/>
    </row>
    <row r="15839" spans="1:1" s="173" customFormat="1" ht="12" hidden="1" customHeight="1">
      <c r="A15839" s="172"/>
    </row>
    <row r="15840" spans="1:1" s="173" customFormat="1" ht="12" hidden="1" customHeight="1">
      <c r="A15840" s="172"/>
    </row>
    <row r="15841" spans="1:1" s="173" customFormat="1" ht="12" hidden="1" customHeight="1">
      <c r="A15841" s="172"/>
    </row>
    <row r="15842" spans="1:1" s="173" customFormat="1" ht="12" hidden="1" customHeight="1">
      <c r="A15842" s="172"/>
    </row>
    <row r="15843" spans="1:1" s="173" customFormat="1" ht="12" hidden="1" customHeight="1">
      <c r="A15843" s="172"/>
    </row>
    <row r="15844" spans="1:1" s="173" customFormat="1" ht="12" hidden="1" customHeight="1">
      <c r="A15844" s="172"/>
    </row>
    <row r="15845" spans="1:1" s="173" customFormat="1" ht="12" hidden="1" customHeight="1">
      <c r="A15845" s="172"/>
    </row>
    <row r="15846" spans="1:1" s="173" customFormat="1" ht="12" hidden="1" customHeight="1">
      <c r="A15846" s="172"/>
    </row>
    <row r="15847" spans="1:1" s="173" customFormat="1" ht="12" hidden="1" customHeight="1">
      <c r="A15847" s="172"/>
    </row>
    <row r="15848" spans="1:1" s="173" customFormat="1" ht="12" hidden="1" customHeight="1">
      <c r="A15848" s="172"/>
    </row>
    <row r="15849" spans="1:1" s="173" customFormat="1" ht="12" hidden="1" customHeight="1">
      <c r="A15849" s="172"/>
    </row>
    <row r="15850" spans="1:1" s="173" customFormat="1" ht="12" hidden="1" customHeight="1">
      <c r="A15850" s="172"/>
    </row>
    <row r="15851" spans="1:1" s="173" customFormat="1" ht="12" hidden="1" customHeight="1">
      <c r="A15851" s="172"/>
    </row>
    <row r="15852" spans="1:1" s="173" customFormat="1" ht="12" hidden="1" customHeight="1">
      <c r="A15852" s="172"/>
    </row>
    <row r="15853" spans="1:1" s="173" customFormat="1" ht="12" hidden="1" customHeight="1">
      <c r="A15853" s="172"/>
    </row>
    <row r="15854" spans="1:1" s="173" customFormat="1" ht="12" hidden="1" customHeight="1">
      <c r="A15854" s="172"/>
    </row>
    <row r="15855" spans="1:1" s="173" customFormat="1" ht="12" hidden="1" customHeight="1">
      <c r="A15855" s="172"/>
    </row>
    <row r="15856" spans="1:1" s="173" customFormat="1" ht="12" hidden="1" customHeight="1">
      <c r="A15856" s="172"/>
    </row>
    <row r="15857" spans="1:1" s="173" customFormat="1" ht="12" hidden="1" customHeight="1">
      <c r="A15857" s="172"/>
    </row>
    <row r="15858" spans="1:1" s="173" customFormat="1" ht="12" hidden="1" customHeight="1">
      <c r="A15858" s="172"/>
    </row>
    <row r="15859" spans="1:1" s="173" customFormat="1" ht="12" hidden="1" customHeight="1">
      <c r="A15859" s="172"/>
    </row>
    <row r="15860" spans="1:1" s="173" customFormat="1" ht="12" hidden="1" customHeight="1">
      <c r="A15860" s="172"/>
    </row>
    <row r="15861" spans="1:1" s="173" customFormat="1" ht="12" hidden="1" customHeight="1">
      <c r="A15861" s="172"/>
    </row>
    <row r="15862" spans="1:1" s="173" customFormat="1" ht="12" hidden="1" customHeight="1">
      <c r="A15862" s="172"/>
    </row>
    <row r="15863" spans="1:1" s="173" customFormat="1" ht="12" hidden="1" customHeight="1">
      <c r="A15863" s="172"/>
    </row>
    <row r="15864" spans="1:1" s="173" customFormat="1" ht="12" hidden="1" customHeight="1">
      <c r="A15864" s="172"/>
    </row>
    <row r="15865" spans="1:1" s="173" customFormat="1" ht="12" hidden="1" customHeight="1">
      <c r="A15865" s="172"/>
    </row>
    <row r="15866" spans="1:1" s="173" customFormat="1" ht="12" hidden="1" customHeight="1">
      <c r="A15866" s="172"/>
    </row>
    <row r="15867" spans="1:1" s="173" customFormat="1" ht="12" hidden="1" customHeight="1">
      <c r="A15867" s="172"/>
    </row>
    <row r="15868" spans="1:1" s="173" customFormat="1" ht="12" hidden="1" customHeight="1">
      <c r="A15868" s="172"/>
    </row>
    <row r="15869" spans="1:1" s="173" customFormat="1" ht="12" hidden="1" customHeight="1">
      <c r="A15869" s="172"/>
    </row>
    <row r="15870" spans="1:1" s="173" customFormat="1" ht="12" hidden="1" customHeight="1">
      <c r="A15870" s="172"/>
    </row>
    <row r="15871" spans="1:1" s="173" customFormat="1" ht="12" hidden="1" customHeight="1">
      <c r="A15871" s="172"/>
    </row>
    <row r="15872" spans="1:1" s="173" customFormat="1" ht="12" hidden="1" customHeight="1">
      <c r="A15872" s="172"/>
    </row>
    <row r="15873" spans="1:1" s="173" customFormat="1" ht="12" hidden="1" customHeight="1">
      <c r="A15873" s="172"/>
    </row>
    <row r="15874" spans="1:1" s="173" customFormat="1" ht="12" hidden="1" customHeight="1">
      <c r="A15874" s="172"/>
    </row>
    <row r="15875" spans="1:1" s="173" customFormat="1" ht="12" hidden="1" customHeight="1">
      <c r="A15875" s="172"/>
    </row>
    <row r="15876" spans="1:1" s="173" customFormat="1" ht="12" hidden="1" customHeight="1">
      <c r="A15876" s="172"/>
    </row>
    <row r="15877" spans="1:1" s="173" customFormat="1" ht="12" hidden="1" customHeight="1">
      <c r="A15877" s="172"/>
    </row>
    <row r="15878" spans="1:1" s="173" customFormat="1" ht="12" hidden="1" customHeight="1">
      <c r="A15878" s="172"/>
    </row>
    <row r="15879" spans="1:1" s="173" customFormat="1" ht="12" hidden="1" customHeight="1">
      <c r="A15879" s="172"/>
    </row>
    <row r="15880" spans="1:1" s="173" customFormat="1" ht="12" hidden="1" customHeight="1">
      <c r="A15880" s="172"/>
    </row>
    <row r="15881" spans="1:1" s="173" customFormat="1" ht="12" hidden="1" customHeight="1">
      <c r="A15881" s="172"/>
    </row>
    <row r="15882" spans="1:1" s="173" customFormat="1" ht="12" hidden="1" customHeight="1">
      <c r="A15882" s="172"/>
    </row>
    <row r="15883" spans="1:1" s="173" customFormat="1" ht="12" hidden="1" customHeight="1">
      <c r="A15883" s="172"/>
    </row>
    <row r="15884" spans="1:1" s="173" customFormat="1" ht="12" hidden="1" customHeight="1">
      <c r="A15884" s="172"/>
    </row>
    <row r="15885" spans="1:1" s="173" customFormat="1" ht="12" hidden="1" customHeight="1">
      <c r="A15885" s="172"/>
    </row>
    <row r="15886" spans="1:1" s="173" customFormat="1" ht="12" hidden="1" customHeight="1">
      <c r="A15886" s="172"/>
    </row>
    <row r="15887" spans="1:1" s="173" customFormat="1" ht="12" hidden="1" customHeight="1">
      <c r="A15887" s="172"/>
    </row>
    <row r="15888" spans="1:1" s="173" customFormat="1" ht="12" hidden="1" customHeight="1">
      <c r="A15888" s="172"/>
    </row>
    <row r="15889" spans="1:1" s="173" customFormat="1" ht="12" hidden="1" customHeight="1">
      <c r="A15889" s="172"/>
    </row>
    <row r="15890" spans="1:1" s="173" customFormat="1" ht="12" hidden="1" customHeight="1">
      <c r="A15890" s="172"/>
    </row>
    <row r="15891" spans="1:1" s="173" customFormat="1" ht="12" hidden="1" customHeight="1">
      <c r="A15891" s="172"/>
    </row>
    <row r="15892" spans="1:1" s="173" customFormat="1" ht="12" hidden="1" customHeight="1">
      <c r="A15892" s="172"/>
    </row>
    <row r="15893" spans="1:1" s="173" customFormat="1" ht="12" hidden="1" customHeight="1">
      <c r="A15893" s="172"/>
    </row>
    <row r="15894" spans="1:1" s="173" customFormat="1" ht="12" hidden="1" customHeight="1">
      <c r="A15894" s="172"/>
    </row>
    <row r="15895" spans="1:1" s="173" customFormat="1" ht="12" hidden="1" customHeight="1">
      <c r="A15895" s="172"/>
    </row>
    <row r="15896" spans="1:1" s="173" customFormat="1" ht="12" hidden="1" customHeight="1">
      <c r="A15896" s="172"/>
    </row>
    <row r="15897" spans="1:1" s="173" customFormat="1" ht="12" hidden="1" customHeight="1">
      <c r="A15897" s="172"/>
    </row>
    <row r="15898" spans="1:1" s="173" customFormat="1" ht="12" hidden="1" customHeight="1">
      <c r="A15898" s="172"/>
    </row>
    <row r="15899" spans="1:1" s="173" customFormat="1" ht="12" hidden="1" customHeight="1">
      <c r="A15899" s="172"/>
    </row>
    <row r="15900" spans="1:1" s="173" customFormat="1" ht="12" hidden="1" customHeight="1">
      <c r="A15900" s="172"/>
    </row>
    <row r="15901" spans="1:1" s="173" customFormat="1" ht="12" hidden="1" customHeight="1">
      <c r="A15901" s="172"/>
    </row>
    <row r="15902" spans="1:1" s="173" customFormat="1" ht="12" hidden="1" customHeight="1">
      <c r="A15902" s="172"/>
    </row>
    <row r="15903" spans="1:1" s="173" customFormat="1" ht="12" hidden="1" customHeight="1">
      <c r="A15903" s="172"/>
    </row>
    <row r="15904" spans="1:1" s="173" customFormat="1" ht="12" hidden="1" customHeight="1">
      <c r="A15904" s="172"/>
    </row>
    <row r="15905" spans="1:1" s="173" customFormat="1" ht="12" hidden="1" customHeight="1">
      <c r="A15905" s="172"/>
    </row>
    <row r="15906" spans="1:1" s="173" customFormat="1" ht="12" hidden="1" customHeight="1">
      <c r="A15906" s="172"/>
    </row>
    <row r="15907" spans="1:1" s="173" customFormat="1" ht="12" hidden="1" customHeight="1">
      <c r="A15907" s="172"/>
    </row>
    <row r="15908" spans="1:1" s="173" customFormat="1" ht="12" hidden="1" customHeight="1">
      <c r="A15908" s="172"/>
    </row>
    <row r="15909" spans="1:1" s="173" customFormat="1" ht="12" hidden="1" customHeight="1">
      <c r="A15909" s="172"/>
    </row>
    <row r="15910" spans="1:1" s="173" customFormat="1" ht="12" hidden="1" customHeight="1">
      <c r="A15910" s="172"/>
    </row>
    <row r="15911" spans="1:1" s="173" customFormat="1" ht="12" hidden="1" customHeight="1">
      <c r="A15911" s="172"/>
    </row>
    <row r="15912" spans="1:1" s="173" customFormat="1" ht="12" hidden="1" customHeight="1">
      <c r="A15912" s="172"/>
    </row>
    <row r="15913" spans="1:1" s="173" customFormat="1" ht="12" hidden="1" customHeight="1">
      <c r="A15913" s="172"/>
    </row>
    <row r="15914" spans="1:1" s="173" customFormat="1" ht="12" hidden="1" customHeight="1">
      <c r="A15914" s="172"/>
    </row>
    <row r="15915" spans="1:1" s="173" customFormat="1" ht="12" hidden="1" customHeight="1">
      <c r="A15915" s="172"/>
    </row>
    <row r="15916" spans="1:1" s="173" customFormat="1" ht="12" hidden="1" customHeight="1">
      <c r="A15916" s="172"/>
    </row>
    <row r="15917" spans="1:1" s="173" customFormat="1" ht="12" hidden="1" customHeight="1">
      <c r="A15917" s="172"/>
    </row>
    <row r="15918" spans="1:1" s="173" customFormat="1" ht="12" hidden="1" customHeight="1">
      <c r="A15918" s="172"/>
    </row>
    <row r="15919" spans="1:1" s="173" customFormat="1" ht="12" hidden="1" customHeight="1">
      <c r="A15919" s="172"/>
    </row>
    <row r="15920" spans="1:1" s="173" customFormat="1" ht="12" hidden="1" customHeight="1">
      <c r="A15920" s="172"/>
    </row>
    <row r="15921" spans="1:1" s="173" customFormat="1" ht="12" hidden="1" customHeight="1">
      <c r="A15921" s="172"/>
    </row>
    <row r="15922" spans="1:1" s="173" customFormat="1" ht="12" hidden="1" customHeight="1">
      <c r="A15922" s="172"/>
    </row>
    <row r="15923" spans="1:1" s="173" customFormat="1" ht="12" hidden="1" customHeight="1">
      <c r="A15923" s="172"/>
    </row>
    <row r="15924" spans="1:1" s="173" customFormat="1" ht="12" hidden="1" customHeight="1">
      <c r="A15924" s="172"/>
    </row>
    <row r="15925" spans="1:1" s="173" customFormat="1" ht="12" hidden="1" customHeight="1">
      <c r="A15925" s="172"/>
    </row>
    <row r="15926" spans="1:1" s="173" customFormat="1" ht="12" hidden="1" customHeight="1">
      <c r="A15926" s="172"/>
    </row>
    <row r="15927" spans="1:1" s="173" customFormat="1" ht="12" hidden="1" customHeight="1">
      <c r="A15927" s="172"/>
    </row>
    <row r="15928" spans="1:1" s="173" customFormat="1" ht="12" hidden="1" customHeight="1">
      <c r="A15928" s="172"/>
    </row>
    <row r="15929" spans="1:1" s="173" customFormat="1" ht="12" hidden="1" customHeight="1">
      <c r="A15929" s="172"/>
    </row>
    <row r="15930" spans="1:1" s="173" customFormat="1" ht="12" hidden="1" customHeight="1">
      <c r="A15930" s="172"/>
    </row>
    <row r="15931" spans="1:1" s="173" customFormat="1" ht="12" hidden="1" customHeight="1">
      <c r="A15931" s="172"/>
    </row>
    <row r="15932" spans="1:1" s="173" customFormat="1" ht="12" hidden="1" customHeight="1">
      <c r="A15932" s="172"/>
    </row>
    <row r="15933" spans="1:1" s="173" customFormat="1" ht="12" hidden="1" customHeight="1">
      <c r="A15933" s="172"/>
    </row>
    <row r="15934" spans="1:1" s="173" customFormat="1" ht="12" hidden="1" customHeight="1">
      <c r="A15934" s="172"/>
    </row>
    <row r="15935" spans="1:1" s="173" customFormat="1" ht="12" hidden="1" customHeight="1">
      <c r="A15935" s="172"/>
    </row>
    <row r="15936" spans="1:1" s="173" customFormat="1" ht="12" hidden="1" customHeight="1">
      <c r="A15936" s="172"/>
    </row>
    <row r="15937" spans="1:1" s="173" customFormat="1" ht="12" hidden="1" customHeight="1">
      <c r="A15937" s="172"/>
    </row>
    <row r="15938" spans="1:1" s="173" customFormat="1" ht="12" hidden="1" customHeight="1">
      <c r="A15938" s="172"/>
    </row>
    <row r="15939" spans="1:1" s="173" customFormat="1" ht="12" hidden="1" customHeight="1">
      <c r="A15939" s="172"/>
    </row>
    <row r="15940" spans="1:1" s="173" customFormat="1" ht="12" hidden="1" customHeight="1">
      <c r="A15940" s="172"/>
    </row>
    <row r="15941" spans="1:1" s="173" customFormat="1" ht="12" hidden="1" customHeight="1">
      <c r="A15941" s="172"/>
    </row>
    <row r="15942" spans="1:1" s="173" customFormat="1" ht="12" hidden="1" customHeight="1">
      <c r="A15942" s="172"/>
    </row>
    <row r="15943" spans="1:1" s="173" customFormat="1" ht="12" hidden="1" customHeight="1">
      <c r="A15943" s="172"/>
    </row>
    <row r="15944" spans="1:1" s="173" customFormat="1" ht="12" hidden="1" customHeight="1">
      <c r="A15944" s="172"/>
    </row>
    <row r="15945" spans="1:1" s="173" customFormat="1" ht="12" hidden="1" customHeight="1">
      <c r="A15945" s="172"/>
    </row>
    <row r="15946" spans="1:1" s="173" customFormat="1" ht="12" hidden="1" customHeight="1">
      <c r="A15946" s="172"/>
    </row>
    <row r="15947" spans="1:1" s="173" customFormat="1" ht="12" hidden="1" customHeight="1">
      <c r="A15947" s="172"/>
    </row>
    <row r="15948" spans="1:1" s="173" customFormat="1" ht="12" hidden="1" customHeight="1">
      <c r="A15948" s="172"/>
    </row>
    <row r="15949" spans="1:1" s="173" customFormat="1" ht="12" hidden="1" customHeight="1">
      <c r="A15949" s="172"/>
    </row>
    <row r="15950" spans="1:1" s="173" customFormat="1" ht="12" hidden="1" customHeight="1">
      <c r="A15950" s="172"/>
    </row>
    <row r="15951" spans="1:1" s="173" customFormat="1" ht="12" hidden="1" customHeight="1">
      <c r="A15951" s="172"/>
    </row>
    <row r="15952" spans="1:1" s="173" customFormat="1" ht="12" hidden="1" customHeight="1">
      <c r="A15952" s="172"/>
    </row>
    <row r="15953" spans="1:1" s="173" customFormat="1" ht="12" hidden="1" customHeight="1">
      <c r="A15953" s="172"/>
    </row>
    <row r="15954" spans="1:1" s="173" customFormat="1" ht="12" hidden="1" customHeight="1">
      <c r="A15954" s="172"/>
    </row>
    <row r="15955" spans="1:1" s="173" customFormat="1" ht="12" hidden="1" customHeight="1">
      <c r="A15955" s="172"/>
    </row>
    <row r="15956" spans="1:1" s="173" customFormat="1" ht="12" hidden="1" customHeight="1">
      <c r="A15956" s="172"/>
    </row>
    <row r="15957" spans="1:1" s="173" customFormat="1" ht="12" hidden="1" customHeight="1">
      <c r="A15957" s="172"/>
    </row>
    <row r="15958" spans="1:1" s="173" customFormat="1" ht="12" hidden="1" customHeight="1">
      <c r="A15958" s="172"/>
    </row>
    <row r="15959" spans="1:1" s="173" customFormat="1" ht="12" hidden="1" customHeight="1">
      <c r="A15959" s="172"/>
    </row>
    <row r="15960" spans="1:1" s="173" customFormat="1" ht="12" hidden="1" customHeight="1">
      <c r="A15960" s="172"/>
    </row>
    <row r="15961" spans="1:1" s="173" customFormat="1" ht="12" hidden="1" customHeight="1">
      <c r="A15961" s="172"/>
    </row>
    <row r="15962" spans="1:1" s="173" customFormat="1" ht="12" hidden="1" customHeight="1">
      <c r="A15962" s="172"/>
    </row>
    <row r="15963" spans="1:1" s="173" customFormat="1" ht="12" hidden="1" customHeight="1">
      <c r="A15963" s="172"/>
    </row>
    <row r="15964" spans="1:1" s="173" customFormat="1" ht="12" hidden="1" customHeight="1">
      <c r="A15964" s="172"/>
    </row>
    <row r="15965" spans="1:1" s="173" customFormat="1" ht="12" hidden="1" customHeight="1">
      <c r="A15965" s="172"/>
    </row>
    <row r="15966" spans="1:1" s="173" customFormat="1" ht="12" hidden="1" customHeight="1">
      <c r="A15966" s="172"/>
    </row>
    <row r="15967" spans="1:1" s="173" customFormat="1" ht="12" hidden="1" customHeight="1">
      <c r="A15967" s="172"/>
    </row>
    <row r="15968" spans="1:1" s="173" customFormat="1" ht="12" hidden="1" customHeight="1">
      <c r="A15968" s="172"/>
    </row>
    <row r="15969" spans="1:1" s="173" customFormat="1" ht="12" hidden="1" customHeight="1">
      <c r="A15969" s="172"/>
    </row>
    <row r="15970" spans="1:1" s="173" customFormat="1" ht="12" hidden="1" customHeight="1">
      <c r="A15970" s="172"/>
    </row>
    <row r="15971" spans="1:1" s="173" customFormat="1" ht="12" hidden="1" customHeight="1">
      <c r="A15971" s="172"/>
    </row>
    <row r="15972" spans="1:1" s="173" customFormat="1" ht="12" hidden="1" customHeight="1">
      <c r="A15972" s="172"/>
    </row>
    <row r="15973" spans="1:1" s="173" customFormat="1" ht="12" hidden="1" customHeight="1">
      <c r="A15973" s="172"/>
    </row>
    <row r="15974" spans="1:1" s="173" customFormat="1" ht="12" hidden="1" customHeight="1">
      <c r="A15974" s="172"/>
    </row>
    <row r="15975" spans="1:1" s="173" customFormat="1" ht="12" hidden="1" customHeight="1">
      <c r="A15975" s="172"/>
    </row>
    <row r="15976" spans="1:1" s="173" customFormat="1" ht="12" hidden="1" customHeight="1">
      <c r="A15976" s="172"/>
    </row>
    <row r="15977" spans="1:1" s="173" customFormat="1" ht="12" hidden="1" customHeight="1">
      <c r="A15977" s="172"/>
    </row>
    <row r="15978" spans="1:1" s="173" customFormat="1" ht="12" hidden="1" customHeight="1">
      <c r="A15978" s="172"/>
    </row>
    <row r="15979" spans="1:1" s="173" customFormat="1" ht="12" hidden="1" customHeight="1">
      <c r="A15979" s="172"/>
    </row>
    <row r="15980" spans="1:1" s="173" customFormat="1" ht="12" hidden="1" customHeight="1">
      <c r="A15980" s="172"/>
    </row>
    <row r="15981" spans="1:1" s="173" customFormat="1" ht="12" hidden="1" customHeight="1">
      <c r="A15981" s="172"/>
    </row>
    <row r="15982" spans="1:1" s="173" customFormat="1" ht="12" hidden="1" customHeight="1">
      <c r="A15982" s="172"/>
    </row>
    <row r="15983" spans="1:1" s="173" customFormat="1" ht="12" hidden="1" customHeight="1">
      <c r="A15983" s="172"/>
    </row>
    <row r="15984" spans="1:1" s="173" customFormat="1" ht="12" hidden="1" customHeight="1">
      <c r="A15984" s="172"/>
    </row>
    <row r="15985" spans="1:1" s="173" customFormat="1" ht="12" hidden="1" customHeight="1">
      <c r="A15985" s="172"/>
    </row>
    <row r="15986" spans="1:1" s="173" customFormat="1" ht="12" hidden="1" customHeight="1">
      <c r="A15986" s="172"/>
    </row>
    <row r="15987" spans="1:1" s="173" customFormat="1" ht="12" hidden="1" customHeight="1">
      <c r="A15987" s="172"/>
    </row>
    <row r="15988" spans="1:1" s="173" customFormat="1" ht="12" hidden="1" customHeight="1">
      <c r="A15988" s="172"/>
    </row>
    <row r="15989" spans="1:1" s="173" customFormat="1" ht="12" hidden="1" customHeight="1">
      <c r="A15989" s="172"/>
    </row>
    <row r="15990" spans="1:1" s="173" customFormat="1" ht="12" hidden="1" customHeight="1">
      <c r="A15990" s="172"/>
    </row>
    <row r="15991" spans="1:1" s="173" customFormat="1" ht="12" hidden="1" customHeight="1">
      <c r="A15991" s="172"/>
    </row>
    <row r="15992" spans="1:1" s="173" customFormat="1" ht="12" hidden="1" customHeight="1">
      <c r="A15992" s="172"/>
    </row>
    <row r="15993" spans="1:1" s="173" customFormat="1" ht="12" hidden="1" customHeight="1">
      <c r="A15993" s="172"/>
    </row>
    <row r="15994" spans="1:1" s="173" customFormat="1" ht="12" hidden="1" customHeight="1">
      <c r="A15994" s="172"/>
    </row>
    <row r="15995" spans="1:1" s="173" customFormat="1" ht="12" hidden="1" customHeight="1">
      <c r="A15995" s="172"/>
    </row>
    <row r="15996" spans="1:1" s="173" customFormat="1" ht="12" hidden="1" customHeight="1">
      <c r="A15996" s="172"/>
    </row>
    <row r="15997" spans="1:1" s="173" customFormat="1" ht="12" hidden="1" customHeight="1">
      <c r="A15997" s="172"/>
    </row>
    <row r="15998" spans="1:1" s="173" customFormat="1" ht="12" hidden="1" customHeight="1">
      <c r="A15998" s="172"/>
    </row>
    <row r="15999" spans="1:1" s="173" customFormat="1" ht="12" hidden="1" customHeight="1">
      <c r="A15999" s="172"/>
    </row>
    <row r="16000" spans="1:1" s="173" customFormat="1" ht="12" hidden="1" customHeight="1">
      <c r="A16000" s="172"/>
    </row>
    <row r="16001" spans="1:1" s="173" customFormat="1" ht="12" hidden="1" customHeight="1">
      <c r="A16001" s="172"/>
    </row>
    <row r="16002" spans="1:1" s="173" customFormat="1" ht="12" hidden="1" customHeight="1">
      <c r="A16002" s="172"/>
    </row>
    <row r="16003" spans="1:1" s="173" customFormat="1" ht="12" hidden="1" customHeight="1">
      <c r="A16003" s="172"/>
    </row>
    <row r="16004" spans="1:1" s="173" customFormat="1" ht="12" hidden="1" customHeight="1">
      <c r="A16004" s="172"/>
    </row>
    <row r="16005" spans="1:1" s="173" customFormat="1" ht="12" hidden="1" customHeight="1">
      <c r="A16005" s="172"/>
    </row>
    <row r="16006" spans="1:1" s="173" customFormat="1" ht="12" hidden="1" customHeight="1">
      <c r="A16006" s="172"/>
    </row>
    <row r="16007" spans="1:1" s="173" customFormat="1" ht="12" hidden="1" customHeight="1">
      <c r="A16007" s="172"/>
    </row>
    <row r="16008" spans="1:1" s="173" customFormat="1" ht="12" hidden="1" customHeight="1">
      <c r="A16008" s="172"/>
    </row>
    <row r="16009" spans="1:1" s="173" customFormat="1" ht="12" hidden="1" customHeight="1">
      <c r="A16009" s="172"/>
    </row>
    <row r="16010" spans="1:1" s="173" customFormat="1" ht="12" hidden="1" customHeight="1">
      <c r="A16010" s="172"/>
    </row>
    <row r="16011" spans="1:1" s="173" customFormat="1" ht="12" hidden="1" customHeight="1">
      <c r="A16011" s="172"/>
    </row>
    <row r="16012" spans="1:1" s="173" customFormat="1" ht="12" hidden="1" customHeight="1">
      <c r="A16012" s="172"/>
    </row>
    <row r="16013" spans="1:1" s="173" customFormat="1" ht="12" hidden="1" customHeight="1">
      <c r="A16013" s="172"/>
    </row>
    <row r="16014" spans="1:1" s="173" customFormat="1" ht="12" hidden="1" customHeight="1">
      <c r="A16014" s="172"/>
    </row>
    <row r="16015" spans="1:1" s="173" customFormat="1" ht="12" hidden="1" customHeight="1">
      <c r="A16015" s="172"/>
    </row>
    <row r="16016" spans="1:1" s="173" customFormat="1" ht="12" hidden="1" customHeight="1">
      <c r="A16016" s="172"/>
    </row>
    <row r="16017" spans="1:1" s="173" customFormat="1" ht="12" hidden="1" customHeight="1">
      <c r="A16017" s="172"/>
    </row>
    <row r="16018" spans="1:1" s="173" customFormat="1" ht="12" hidden="1" customHeight="1">
      <c r="A16018" s="172"/>
    </row>
    <row r="16019" spans="1:1" s="173" customFormat="1" ht="12" hidden="1" customHeight="1">
      <c r="A16019" s="172"/>
    </row>
    <row r="16020" spans="1:1" s="173" customFormat="1" ht="12" hidden="1" customHeight="1">
      <c r="A16020" s="172"/>
    </row>
    <row r="16021" spans="1:1" s="173" customFormat="1" ht="12" hidden="1" customHeight="1">
      <c r="A16021" s="172"/>
    </row>
    <row r="16022" spans="1:1" s="173" customFormat="1" ht="12" hidden="1" customHeight="1">
      <c r="A16022" s="172"/>
    </row>
    <row r="16023" spans="1:1" s="173" customFormat="1" ht="12" hidden="1" customHeight="1">
      <c r="A16023" s="172"/>
    </row>
    <row r="16024" spans="1:1" s="173" customFormat="1" ht="12" hidden="1" customHeight="1">
      <c r="A16024" s="172"/>
    </row>
    <row r="16025" spans="1:1" s="173" customFormat="1" ht="12" hidden="1" customHeight="1">
      <c r="A16025" s="172"/>
    </row>
    <row r="16026" spans="1:1" s="173" customFormat="1" ht="12" hidden="1" customHeight="1">
      <c r="A16026" s="172"/>
    </row>
    <row r="16027" spans="1:1" s="173" customFormat="1" ht="12" hidden="1" customHeight="1">
      <c r="A16027" s="172"/>
    </row>
    <row r="16028" spans="1:1" s="173" customFormat="1" ht="12" hidden="1" customHeight="1">
      <c r="A16028" s="172"/>
    </row>
    <row r="16029" spans="1:1" s="173" customFormat="1" ht="12" hidden="1" customHeight="1">
      <c r="A16029" s="172"/>
    </row>
    <row r="16030" spans="1:1" s="173" customFormat="1" ht="12" hidden="1" customHeight="1">
      <c r="A16030" s="172"/>
    </row>
    <row r="16031" spans="1:1" s="173" customFormat="1" ht="12" hidden="1" customHeight="1">
      <c r="A16031" s="172"/>
    </row>
    <row r="16032" spans="1:1" s="173" customFormat="1" ht="12" hidden="1" customHeight="1">
      <c r="A16032" s="172"/>
    </row>
    <row r="16033" spans="1:1" s="173" customFormat="1" ht="12" hidden="1" customHeight="1">
      <c r="A16033" s="172"/>
    </row>
    <row r="16034" spans="1:1" s="173" customFormat="1" ht="12" hidden="1" customHeight="1">
      <c r="A16034" s="172"/>
    </row>
    <row r="16035" spans="1:1" s="173" customFormat="1" ht="12" hidden="1" customHeight="1">
      <c r="A16035" s="172"/>
    </row>
    <row r="16036" spans="1:1" s="173" customFormat="1" ht="12" hidden="1" customHeight="1">
      <c r="A16036" s="172"/>
    </row>
    <row r="16037" spans="1:1" s="173" customFormat="1" ht="12" hidden="1" customHeight="1">
      <c r="A16037" s="172"/>
    </row>
    <row r="16038" spans="1:1" s="173" customFormat="1" ht="12" hidden="1" customHeight="1">
      <c r="A16038" s="172"/>
    </row>
    <row r="16039" spans="1:1" s="173" customFormat="1" ht="12" hidden="1" customHeight="1">
      <c r="A16039" s="172"/>
    </row>
    <row r="16040" spans="1:1" s="173" customFormat="1" ht="12" hidden="1" customHeight="1">
      <c r="A16040" s="172"/>
    </row>
    <row r="16041" spans="1:1" s="173" customFormat="1" ht="12" hidden="1" customHeight="1">
      <c r="A16041" s="172"/>
    </row>
    <row r="16042" spans="1:1" s="173" customFormat="1" ht="12" hidden="1" customHeight="1">
      <c r="A16042" s="172"/>
    </row>
    <row r="16043" spans="1:1" s="173" customFormat="1" ht="12" hidden="1" customHeight="1">
      <c r="A16043" s="172"/>
    </row>
    <row r="16044" spans="1:1" s="173" customFormat="1" ht="12" hidden="1" customHeight="1">
      <c r="A16044" s="172"/>
    </row>
    <row r="16045" spans="1:1" s="173" customFormat="1" ht="12" hidden="1" customHeight="1">
      <c r="A16045" s="172"/>
    </row>
    <row r="16046" spans="1:1" s="173" customFormat="1" ht="12" hidden="1" customHeight="1">
      <c r="A16046" s="172"/>
    </row>
    <row r="16047" spans="1:1" s="173" customFormat="1" ht="12" hidden="1" customHeight="1">
      <c r="A16047" s="172"/>
    </row>
    <row r="16048" spans="1:1" s="173" customFormat="1" ht="12" hidden="1" customHeight="1">
      <c r="A16048" s="172"/>
    </row>
    <row r="16049" spans="1:1" s="173" customFormat="1" ht="12" hidden="1" customHeight="1">
      <c r="A16049" s="172"/>
    </row>
    <row r="16050" spans="1:1" s="173" customFormat="1" ht="12" hidden="1" customHeight="1">
      <c r="A16050" s="172"/>
    </row>
    <row r="16051" spans="1:1" s="173" customFormat="1" ht="12" hidden="1" customHeight="1">
      <c r="A16051" s="172"/>
    </row>
    <row r="16052" spans="1:1" s="173" customFormat="1" ht="12" hidden="1" customHeight="1">
      <c r="A16052" s="172"/>
    </row>
    <row r="16053" spans="1:1" s="173" customFormat="1" ht="12" hidden="1" customHeight="1">
      <c r="A16053" s="172"/>
    </row>
    <row r="16054" spans="1:1" s="173" customFormat="1" ht="12" hidden="1" customHeight="1">
      <c r="A16054" s="172"/>
    </row>
    <row r="16055" spans="1:1" s="173" customFormat="1" ht="12" hidden="1" customHeight="1">
      <c r="A16055" s="172"/>
    </row>
    <row r="16056" spans="1:1" s="173" customFormat="1" ht="12" hidden="1" customHeight="1">
      <c r="A16056" s="172"/>
    </row>
    <row r="16057" spans="1:1" s="173" customFormat="1" ht="12" hidden="1" customHeight="1">
      <c r="A16057" s="172"/>
    </row>
    <row r="16058" spans="1:1" s="173" customFormat="1" ht="12" hidden="1" customHeight="1">
      <c r="A16058" s="172"/>
    </row>
    <row r="16059" spans="1:1" s="173" customFormat="1" ht="12" hidden="1" customHeight="1">
      <c r="A16059" s="172"/>
    </row>
    <row r="16060" spans="1:1" s="173" customFormat="1" ht="12" hidden="1" customHeight="1">
      <c r="A16060" s="172"/>
    </row>
    <row r="16061" spans="1:1" s="173" customFormat="1" ht="12" hidden="1" customHeight="1">
      <c r="A16061" s="172"/>
    </row>
    <row r="16062" spans="1:1" s="173" customFormat="1" ht="12" hidden="1" customHeight="1">
      <c r="A16062" s="172"/>
    </row>
    <row r="16063" spans="1:1" s="173" customFormat="1" ht="12" hidden="1" customHeight="1">
      <c r="A16063" s="172"/>
    </row>
    <row r="16064" spans="1:1" s="173" customFormat="1" ht="12" hidden="1" customHeight="1">
      <c r="A16064" s="172"/>
    </row>
    <row r="16065" spans="1:1" s="173" customFormat="1" ht="12" hidden="1" customHeight="1">
      <c r="A16065" s="172"/>
    </row>
    <row r="16066" spans="1:1" s="173" customFormat="1" ht="12" hidden="1" customHeight="1">
      <c r="A16066" s="172"/>
    </row>
    <row r="16067" spans="1:1" s="173" customFormat="1" ht="12" hidden="1" customHeight="1">
      <c r="A16067" s="172"/>
    </row>
    <row r="16068" spans="1:1" s="173" customFormat="1" ht="12" hidden="1" customHeight="1">
      <c r="A16068" s="172"/>
    </row>
    <row r="16069" spans="1:1" s="173" customFormat="1" ht="12" hidden="1" customHeight="1">
      <c r="A16069" s="172"/>
    </row>
    <row r="16070" spans="1:1" s="173" customFormat="1" ht="12" hidden="1" customHeight="1">
      <c r="A16070" s="172"/>
    </row>
    <row r="16071" spans="1:1" s="173" customFormat="1" ht="12" hidden="1" customHeight="1">
      <c r="A16071" s="172"/>
    </row>
    <row r="16072" spans="1:1" s="173" customFormat="1" ht="12" hidden="1" customHeight="1">
      <c r="A16072" s="172"/>
    </row>
    <row r="16073" spans="1:1" s="173" customFormat="1" ht="12" hidden="1" customHeight="1">
      <c r="A16073" s="172"/>
    </row>
    <row r="16074" spans="1:1" s="173" customFormat="1" ht="12" hidden="1" customHeight="1">
      <c r="A16074" s="172"/>
    </row>
    <row r="16075" spans="1:1" s="173" customFormat="1" ht="12" hidden="1" customHeight="1">
      <c r="A16075" s="172"/>
    </row>
    <row r="16076" spans="1:1" s="173" customFormat="1" ht="12" hidden="1" customHeight="1">
      <c r="A16076" s="172"/>
    </row>
    <row r="16077" spans="1:1" s="173" customFormat="1" ht="12" hidden="1" customHeight="1">
      <c r="A16077" s="172"/>
    </row>
    <row r="16078" spans="1:1" s="173" customFormat="1" ht="12" hidden="1" customHeight="1">
      <c r="A16078" s="172"/>
    </row>
    <row r="16079" spans="1:1" s="173" customFormat="1" ht="12" hidden="1" customHeight="1">
      <c r="A16079" s="172"/>
    </row>
    <row r="16080" spans="1:1" s="173" customFormat="1" ht="12" hidden="1" customHeight="1">
      <c r="A16080" s="172"/>
    </row>
    <row r="16081" spans="1:1" s="173" customFormat="1" ht="12" hidden="1" customHeight="1">
      <c r="A16081" s="172"/>
    </row>
    <row r="16082" spans="1:1" s="173" customFormat="1" ht="12" hidden="1" customHeight="1">
      <c r="A16082" s="172"/>
    </row>
    <row r="16083" spans="1:1" s="173" customFormat="1" ht="12" hidden="1" customHeight="1">
      <c r="A16083" s="172"/>
    </row>
    <row r="16084" spans="1:1" s="173" customFormat="1" ht="12" hidden="1" customHeight="1">
      <c r="A16084" s="172"/>
    </row>
    <row r="16085" spans="1:1" s="173" customFormat="1" ht="12" hidden="1" customHeight="1">
      <c r="A16085" s="172"/>
    </row>
    <row r="16086" spans="1:1" s="173" customFormat="1" ht="12" hidden="1" customHeight="1">
      <c r="A16086" s="172"/>
    </row>
    <row r="16087" spans="1:1" s="173" customFormat="1" ht="12" hidden="1" customHeight="1">
      <c r="A16087" s="172"/>
    </row>
    <row r="16088" spans="1:1" s="173" customFormat="1" ht="12" hidden="1" customHeight="1">
      <c r="A16088" s="172"/>
    </row>
    <row r="16089" spans="1:1" s="173" customFormat="1" ht="12" hidden="1" customHeight="1">
      <c r="A16089" s="172"/>
    </row>
    <row r="16090" spans="1:1" s="173" customFormat="1" ht="12" hidden="1" customHeight="1">
      <c r="A16090" s="172"/>
    </row>
    <row r="16091" spans="1:1" s="173" customFormat="1" ht="12" hidden="1" customHeight="1">
      <c r="A16091" s="172"/>
    </row>
    <row r="16092" spans="1:1" s="173" customFormat="1" ht="12" hidden="1" customHeight="1">
      <c r="A16092" s="172"/>
    </row>
    <row r="16093" spans="1:1" s="173" customFormat="1" ht="12" hidden="1" customHeight="1">
      <c r="A16093" s="172"/>
    </row>
    <row r="16094" spans="1:1" s="173" customFormat="1" ht="12" hidden="1" customHeight="1">
      <c r="A16094" s="172"/>
    </row>
    <row r="16095" spans="1:1" s="173" customFormat="1" ht="12" hidden="1" customHeight="1">
      <c r="A16095" s="172"/>
    </row>
    <row r="16096" spans="1:1" s="173" customFormat="1" ht="12" hidden="1" customHeight="1">
      <c r="A16096" s="172"/>
    </row>
    <row r="16097" spans="1:1" s="173" customFormat="1" ht="12" hidden="1" customHeight="1">
      <c r="A16097" s="172"/>
    </row>
    <row r="16098" spans="1:1" s="173" customFormat="1" ht="12" hidden="1" customHeight="1">
      <c r="A16098" s="172"/>
    </row>
    <row r="16099" spans="1:1" s="173" customFormat="1" ht="12" hidden="1" customHeight="1">
      <c r="A16099" s="172"/>
    </row>
    <row r="16100" spans="1:1" s="173" customFormat="1" ht="12" hidden="1" customHeight="1">
      <c r="A16100" s="172"/>
    </row>
    <row r="16101" spans="1:1" s="173" customFormat="1" ht="12" hidden="1" customHeight="1">
      <c r="A16101" s="172"/>
    </row>
    <row r="16102" spans="1:1" s="173" customFormat="1" ht="12" hidden="1" customHeight="1">
      <c r="A16102" s="172"/>
    </row>
    <row r="16103" spans="1:1" s="173" customFormat="1" ht="12" hidden="1" customHeight="1">
      <c r="A16103" s="172"/>
    </row>
    <row r="16104" spans="1:1" s="173" customFormat="1" ht="12" hidden="1" customHeight="1">
      <c r="A16104" s="172"/>
    </row>
    <row r="16105" spans="1:1" s="173" customFormat="1" ht="12" hidden="1" customHeight="1">
      <c r="A16105" s="172"/>
    </row>
    <row r="16106" spans="1:1" s="173" customFormat="1" ht="12" hidden="1" customHeight="1">
      <c r="A16106" s="172"/>
    </row>
    <row r="16107" spans="1:1" s="173" customFormat="1" ht="12" hidden="1" customHeight="1">
      <c r="A16107" s="172"/>
    </row>
    <row r="16108" spans="1:1" s="173" customFormat="1" ht="12" hidden="1" customHeight="1">
      <c r="A16108" s="172"/>
    </row>
    <row r="16109" spans="1:1" s="173" customFormat="1" ht="12" hidden="1" customHeight="1">
      <c r="A16109" s="172"/>
    </row>
    <row r="16110" spans="1:1" s="173" customFormat="1" ht="12" hidden="1" customHeight="1">
      <c r="A16110" s="172"/>
    </row>
    <row r="16111" spans="1:1" s="173" customFormat="1" ht="12" hidden="1" customHeight="1">
      <c r="A16111" s="172"/>
    </row>
    <row r="16112" spans="1:1" s="173" customFormat="1" ht="12" hidden="1" customHeight="1">
      <c r="A16112" s="172"/>
    </row>
    <row r="16113" spans="1:1" s="173" customFormat="1" ht="12" hidden="1" customHeight="1">
      <c r="A16113" s="172"/>
    </row>
    <row r="16114" spans="1:1" s="173" customFormat="1" ht="12" hidden="1" customHeight="1">
      <c r="A16114" s="172"/>
    </row>
    <row r="16115" spans="1:1" s="173" customFormat="1" ht="12" hidden="1" customHeight="1">
      <c r="A16115" s="172"/>
    </row>
    <row r="16116" spans="1:1" s="173" customFormat="1" ht="12" hidden="1" customHeight="1">
      <c r="A16116" s="172"/>
    </row>
    <row r="16117" spans="1:1" s="173" customFormat="1" ht="12" hidden="1" customHeight="1">
      <c r="A16117" s="172"/>
    </row>
    <row r="16118" spans="1:1" s="173" customFormat="1" ht="12" hidden="1" customHeight="1">
      <c r="A16118" s="172"/>
    </row>
    <row r="16119" spans="1:1" s="173" customFormat="1" ht="12" hidden="1" customHeight="1">
      <c r="A16119" s="172"/>
    </row>
    <row r="16120" spans="1:1" s="173" customFormat="1" ht="12" hidden="1" customHeight="1">
      <c r="A16120" s="172"/>
    </row>
    <row r="16121" spans="1:1" s="173" customFormat="1" ht="12" hidden="1" customHeight="1">
      <c r="A16121" s="172"/>
    </row>
    <row r="16122" spans="1:1" s="173" customFormat="1" ht="12" hidden="1" customHeight="1">
      <c r="A16122" s="172"/>
    </row>
    <row r="16123" spans="1:1" s="173" customFormat="1" ht="12" hidden="1" customHeight="1">
      <c r="A16123" s="172"/>
    </row>
    <row r="16124" spans="1:1" s="173" customFormat="1" ht="12" hidden="1" customHeight="1">
      <c r="A16124" s="172"/>
    </row>
    <row r="16125" spans="1:1" s="173" customFormat="1" ht="12" hidden="1" customHeight="1">
      <c r="A16125" s="172"/>
    </row>
    <row r="16126" spans="1:1" s="173" customFormat="1" ht="12" hidden="1" customHeight="1">
      <c r="A16126" s="172"/>
    </row>
    <row r="16127" spans="1:1" s="173" customFormat="1" ht="12" hidden="1" customHeight="1">
      <c r="A16127" s="172"/>
    </row>
    <row r="16128" spans="1:1" s="173" customFormat="1" ht="12" hidden="1" customHeight="1">
      <c r="A16128" s="172"/>
    </row>
    <row r="16129" spans="1:1" s="173" customFormat="1" ht="12" hidden="1" customHeight="1">
      <c r="A16129" s="172"/>
    </row>
    <row r="16130" spans="1:1" s="173" customFormat="1" ht="12" hidden="1" customHeight="1">
      <c r="A16130" s="172"/>
    </row>
    <row r="16131" spans="1:1" s="173" customFormat="1" ht="12" hidden="1" customHeight="1">
      <c r="A16131" s="172"/>
    </row>
    <row r="16132" spans="1:1" s="173" customFormat="1" ht="12" hidden="1" customHeight="1">
      <c r="A16132" s="172"/>
    </row>
    <row r="16133" spans="1:1" s="173" customFormat="1" ht="12" hidden="1" customHeight="1">
      <c r="A16133" s="172"/>
    </row>
    <row r="16134" spans="1:1" s="173" customFormat="1" ht="12" hidden="1" customHeight="1">
      <c r="A16134" s="172"/>
    </row>
    <row r="16135" spans="1:1" s="173" customFormat="1" ht="12" hidden="1" customHeight="1">
      <c r="A16135" s="172"/>
    </row>
    <row r="16136" spans="1:1" s="173" customFormat="1" ht="12" hidden="1" customHeight="1">
      <c r="A16136" s="172"/>
    </row>
    <row r="16137" spans="1:1" s="173" customFormat="1" ht="12" hidden="1" customHeight="1">
      <c r="A16137" s="172"/>
    </row>
    <row r="16138" spans="1:1" s="173" customFormat="1" ht="12" hidden="1" customHeight="1">
      <c r="A16138" s="172"/>
    </row>
    <row r="16139" spans="1:1" s="173" customFormat="1" ht="12" hidden="1" customHeight="1">
      <c r="A16139" s="172"/>
    </row>
    <row r="16140" spans="1:1" s="173" customFormat="1" ht="12" hidden="1" customHeight="1">
      <c r="A16140" s="172"/>
    </row>
    <row r="16141" spans="1:1" s="173" customFormat="1" ht="12" hidden="1" customHeight="1">
      <c r="A16141" s="172"/>
    </row>
    <row r="16142" spans="1:1" s="173" customFormat="1" ht="12" hidden="1" customHeight="1">
      <c r="A16142" s="172"/>
    </row>
    <row r="16143" spans="1:1" s="173" customFormat="1" ht="12" hidden="1" customHeight="1">
      <c r="A16143" s="172"/>
    </row>
    <row r="16144" spans="1:1" s="173" customFormat="1" ht="12" hidden="1" customHeight="1">
      <c r="A16144" s="172"/>
    </row>
    <row r="16145" spans="1:1" s="173" customFormat="1" ht="12" hidden="1" customHeight="1">
      <c r="A16145" s="172"/>
    </row>
    <row r="16146" spans="1:1" s="173" customFormat="1" ht="12" hidden="1" customHeight="1">
      <c r="A16146" s="172"/>
    </row>
    <row r="16147" spans="1:1" s="173" customFormat="1" ht="12" hidden="1" customHeight="1">
      <c r="A16147" s="172"/>
    </row>
    <row r="16148" spans="1:1" s="173" customFormat="1" ht="12" hidden="1" customHeight="1">
      <c r="A16148" s="172"/>
    </row>
    <row r="16149" spans="1:1" s="173" customFormat="1" ht="12" hidden="1" customHeight="1">
      <c r="A16149" s="172"/>
    </row>
    <row r="16150" spans="1:1" s="173" customFormat="1" ht="12" hidden="1" customHeight="1">
      <c r="A16150" s="172"/>
    </row>
    <row r="16151" spans="1:1" s="173" customFormat="1" ht="12" hidden="1" customHeight="1">
      <c r="A16151" s="172"/>
    </row>
    <row r="16152" spans="1:1" s="173" customFormat="1" ht="12" hidden="1" customHeight="1">
      <c r="A16152" s="172"/>
    </row>
    <row r="16153" spans="1:1" s="173" customFormat="1" ht="12" hidden="1" customHeight="1">
      <c r="A16153" s="172"/>
    </row>
    <row r="16154" spans="1:1" s="173" customFormat="1" ht="12" hidden="1" customHeight="1">
      <c r="A16154" s="172"/>
    </row>
    <row r="16155" spans="1:1" s="173" customFormat="1" ht="12" hidden="1" customHeight="1">
      <c r="A16155" s="172"/>
    </row>
    <row r="16156" spans="1:1" s="173" customFormat="1" ht="12" hidden="1" customHeight="1">
      <c r="A16156" s="172"/>
    </row>
    <row r="16157" spans="1:1" s="173" customFormat="1" ht="12" hidden="1" customHeight="1">
      <c r="A16157" s="172"/>
    </row>
    <row r="16158" spans="1:1" s="173" customFormat="1" ht="12" hidden="1" customHeight="1">
      <c r="A16158" s="172"/>
    </row>
    <row r="16159" spans="1:1" s="173" customFormat="1" ht="12" hidden="1" customHeight="1">
      <c r="A16159" s="172"/>
    </row>
    <row r="16160" spans="1:1" s="173" customFormat="1" ht="12" hidden="1" customHeight="1">
      <c r="A16160" s="172"/>
    </row>
    <row r="16161" spans="1:1" s="173" customFormat="1" ht="12" hidden="1" customHeight="1">
      <c r="A16161" s="172"/>
    </row>
    <row r="16162" spans="1:1" s="173" customFormat="1" ht="12" hidden="1" customHeight="1">
      <c r="A16162" s="172"/>
    </row>
    <row r="16163" spans="1:1" s="173" customFormat="1" ht="12" hidden="1" customHeight="1">
      <c r="A16163" s="172"/>
    </row>
    <row r="16164" spans="1:1" s="173" customFormat="1" ht="12" hidden="1" customHeight="1">
      <c r="A16164" s="172"/>
    </row>
    <row r="16165" spans="1:1" s="173" customFormat="1" ht="12" hidden="1" customHeight="1">
      <c r="A16165" s="172"/>
    </row>
    <row r="16166" spans="1:1" s="173" customFormat="1" ht="12" hidden="1" customHeight="1">
      <c r="A16166" s="172"/>
    </row>
    <row r="16167" spans="1:1" s="173" customFormat="1" ht="12" hidden="1" customHeight="1">
      <c r="A16167" s="172"/>
    </row>
    <row r="16168" spans="1:1" s="173" customFormat="1" ht="12" hidden="1" customHeight="1">
      <c r="A16168" s="172"/>
    </row>
    <row r="16169" spans="1:1" s="173" customFormat="1" ht="12" hidden="1" customHeight="1">
      <c r="A16169" s="172"/>
    </row>
    <row r="16170" spans="1:1" s="173" customFormat="1" ht="12" hidden="1" customHeight="1">
      <c r="A16170" s="172"/>
    </row>
    <row r="16171" spans="1:1" s="173" customFormat="1" ht="12" hidden="1" customHeight="1">
      <c r="A16171" s="172"/>
    </row>
    <row r="16172" spans="1:1" s="173" customFormat="1" ht="12" hidden="1" customHeight="1">
      <c r="A16172" s="172"/>
    </row>
    <row r="16173" spans="1:1" s="173" customFormat="1" ht="12" hidden="1" customHeight="1">
      <c r="A16173" s="172"/>
    </row>
    <row r="16174" spans="1:1" s="173" customFormat="1" ht="12" hidden="1" customHeight="1">
      <c r="A16174" s="172"/>
    </row>
    <row r="16175" spans="1:1" s="173" customFormat="1" ht="12" hidden="1" customHeight="1">
      <c r="A16175" s="172"/>
    </row>
    <row r="16176" spans="1:1" s="173" customFormat="1" ht="12" hidden="1" customHeight="1">
      <c r="A16176" s="172"/>
    </row>
    <row r="16177" spans="1:1" s="173" customFormat="1" ht="12" hidden="1" customHeight="1">
      <c r="A16177" s="172"/>
    </row>
    <row r="16178" spans="1:1" s="173" customFormat="1" ht="12" hidden="1" customHeight="1">
      <c r="A16178" s="172"/>
    </row>
    <row r="16179" spans="1:1" s="173" customFormat="1" ht="12" hidden="1" customHeight="1">
      <c r="A16179" s="172"/>
    </row>
    <row r="16180" spans="1:1" s="173" customFormat="1" ht="12" hidden="1" customHeight="1">
      <c r="A16180" s="172"/>
    </row>
    <row r="16181" spans="1:1" s="173" customFormat="1" ht="12" hidden="1" customHeight="1">
      <c r="A16181" s="172"/>
    </row>
    <row r="16182" spans="1:1" s="173" customFormat="1" ht="12" hidden="1" customHeight="1">
      <c r="A16182" s="172"/>
    </row>
    <row r="16183" spans="1:1" s="173" customFormat="1" ht="12" hidden="1" customHeight="1">
      <c r="A16183" s="172"/>
    </row>
    <row r="16184" spans="1:1" s="173" customFormat="1" ht="12" hidden="1" customHeight="1">
      <c r="A16184" s="172"/>
    </row>
    <row r="16185" spans="1:1" s="173" customFormat="1" ht="12" hidden="1" customHeight="1">
      <c r="A16185" s="172"/>
    </row>
    <row r="16186" spans="1:1" s="173" customFormat="1" ht="12" hidden="1" customHeight="1">
      <c r="A16186" s="172"/>
    </row>
    <row r="16187" spans="1:1" s="173" customFormat="1" ht="12" hidden="1" customHeight="1">
      <c r="A16187" s="172"/>
    </row>
    <row r="16188" spans="1:1" s="173" customFormat="1" ht="12" hidden="1" customHeight="1">
      <c r="A16188" s="172"/>
    </row>
    <row r="16189" spans="1:1" s="173" customFormat="1" ht="12" hidden="1" customHeight="1">
      <c r="A16189" s="172"/>
    </row>
    <row r="16190" spans="1:1" s="173" customFormat="1" ht="12" hidden="1" customHeight="1">
      <c r="A16190" s="172"/>
    </row>
    <row r="16191" spans="1:1" s="173" customFormat="1" ht="12" hidden="1" customHeight="1">
      <c r="A16191" s="172"/>
    </row>
    <row r="16192" spans="1:1" s="173" customFormat="1" ht="12" hidden="1" customHeight="1">
      <c r="A16192" s="172"/>
    </row>
    <row r="16193" spans="1:1" s="173" customFormat="1" ht="12" hidden="1" customHeight="1">
      <c r="A16193" s="172"/>
    </row>
    <row r="16194" spans="1:1" s="173" customFormat="1" ht="12" hidden="1" customHeight="1">
      <c r="A16194" s="172"/>
    </row>
    <row r="16195" spans="1:1" s="173" customFormat="1" ht="12" hidden="1" customHeight="1">
      <c r="A16195" s="172"/>
    </row>
    <row r="16196" spans="1:1" s="173" customFormat="1" ht="12" hidden="1" customHeight="1">
      <c r="A16196" s="172"/>
    </row>
    <row r="16197" spans="1:1" s="173" customFormat="1" ht="12" hidden="1" customHeight="1">
      <c r="A16197" s="172"/>
    </row>
    <row r="16198" spans="1:1" s="173" customFormat="1" ht="12" hidden="1" customHeight="1">
      <c r="A16198" s="172"/>
    </row>
    <row r="16199" spans="1:1" s="173" customFormat="1" ht="12" hidden="1" customHeight="1">
      <c r="A16199" s="172"/>
    </row>
    <row r="16200" spans="1:1" s="173" customFormat="1" ht="12" hidden="1" customHeight="1">
      <c r="A16200" s="172"/>
    </row>
    <row r="16201" spans="1:1" s="173" customFormat="1" ht="12" hidden="1" customHeight="1">
      <c r="A16201" s="172"/>
    </row>
    <row r="16202" spans="1:1" s="173" customFormat="1" ht="12" hidden="1" customHeight="1">
      <c r="A16202" s="172"/>
    </row>
    <row r="16203" spans="1:1" s="173" customFormat="1" ht="12" hidden="1" customHeight="1">
      <c r="A16203" s="172"/>
    </row>
    <row r="16204" spans="1:1" s="173" customFormat="1" ht="12" hidden="1" customHeight="1">
      <c r="A16204" s="172"/>
    </row>
    <row r="16205" spans="1:1" s="173" customFormat="1" ht="12" hidden="1" customHeight="1">
      <c r="A16205" s="172"/>
    </row>
    <row r="16206" spans="1:1" s="173" customFormat="1" ht="12" hidden="1" customHeight="1">
      <c r="A16206" s="172"/>
    </row>
    <row r="16207" spans="1:1" s="173" customFormat="1" ht="12" hidden="1" customHeight="1">
      <c r="A16207" s="172"/>
    </row>
    <row r="16208" spans="1:1" s="173" customFormat="1" ht="12" hidden="1" customHeight="1">
      <c r="A16208" s="172"/>
    </row>
    <row r="16209" spans="1:1" s="173" customFormat="1" ht="12" hidden="1" customHeight="1">
      <c r="A16209" s="172"/>
    </row>
    <row r="16210" spans="1:1" s="173" customFormat="1" ht="12" hidden="1" customHeight="1">
      <c r="A16210" s="172"/>
    </row>
    <row r="16211" spans="1:1" s="173" customFormat="1" ht="12" hidden="1" customHeight="1">
      <c r="A16211" s="172"/>
    </row>
    <row r="16212" spans="1:1" s="173" customFormat="1" ht="12" hidden="1" customHeight="1">
      <c r="A16212" s="172"/>
    </row>
    <row r="16213" spans="1:1" s="173" customFormat="1" ht="12" hidden="1" customHeight="1">
      <c r="A16213" s="172"/>
    </row>
    <row r="16214" spans="1:1" s="173" customFormat="1" ht="12" hidden="1" customHeight="1">
      <c r="A16214" s="172"/>
    </row>
    <row r="16215" spans="1:1" s="173" customFormat="1" ht="12" hidden="1" customHeight="1">
      <c r="A16215" s="172"/>
    </row>
    <row r="16216" spans="1:1" s="173" customFormat="1" ht="12" hidden="1" customHeight="1">
      <c r="A16216" s="172"/>
    </row>
    <row r="16217" spans="1:1" s="173" customFormat="1" ht="12" hidden="1" customHeight="1">
      <c r="A16217" s="172"/>
    </row>
    <row r="16218" spans="1:1" s="173" customFormat="1" ht="12" hidden="1" customHeight="1">
      <c r="A16218" s="172"/>
    </row>
    <row r="16219" spans="1:1" s="173" customFormat="1" ht="12" hidden="1" customHeight="1">
      <c r="A16219" s="172"/>
    </row>
    <row r="16220" spans="1:1" s="173" customFormat="1" ht="12" hidden="1" customHeight="1">
      <c r="A16220" s="172"/>
    </row>
    <row r="16221" spans="1:1" s="173" customFormat="1" ht="12" hidden="1" customHeight="1">
      <c r="A16221" s="172"/>
    </row>
    <row r="16222" spans="1:1" s="173" customFormat="1" ht="12" hidden="1" customHeight="1">
      <c r="A16222" s="172"/>
    </row>
    <row r="16223" spans="1:1" s="173" customFormat="1" ht="12" hidden="1" customHeight="1">
      <c r="A16223" s="172"/>
    </row>
    <row r="16224" spans="1:1" s="173" customFormat="1" ht="12" hidden="1" customHeight="1">
      <c r="A16224" s="172"/>
    </row>
    <row r="16225" spans="1:1" s="173" customFormat="1" ht="12" hidden="1" customHeight="1">
      <c r="A16225" s="172"/>
    </row>
    <row r="16226" spans="1:1" s="173" customFormat="1" ht="12" hidden="1" customHeight="1">
      <c r="A16226" s="172"/>
    </row>
    <row r="16227" spans="1:1" s="173" customFormat="1" ht="12" hidden="1" customHeight="1">
      <c r="A16227" s="172"/>
    </row>
    <row r="16228" spans="1:1" s="173" customFormat="1" ht="12" hidden="1" customHeight="1">
      <c r="A16228" s="172"/>
    </row>
    <row r="16229" spans="1:1" s="173" customFormat="1" ht="12" hidden="1" customHeight="1">
      <c r="A16229" s="172"/>
    </row>
    <row r="16230" spans="1:1" s="173" customFormat="1" ht="12" hidden="1" customHeight="1">
      <c r="A16230" s="172"/>
    </row>
    <row r="16231" spans="1:1" s="173" customFormat="1" ht="12" hidden="1" customHeight="1">
      <c r="A16231" s="172"/>
    </row>
    <row r="16232" spans="1:1" s="173" customFormat="1" ht="12" hidden="1" customHeight="1">
      <c r="A16232" s="172"/>
    </row>
    <row r="16233" spans="1:1" s="173" customFormat="1" ht="12" hidden="1" customHeight="1">
      <c r="A16233" s="172"/>
    </row>
    <row r="16234" spans="1:1" s="173" customFormat="1" ht="12" hidden="1" customHeight="1">
      <c r="A16234" s="172"/>
    </row>
    <row r="16235" spans="1:1" s="173" customFormat="1" ht="12" hidden="1" customHeight="1">
      <c r="A16235" s="172"/>
    </row>
    <row r="16236" spans="1:1" s="173" customFormat="1" ht="12" hidden="1" customHeight="1">
      <c r="A16236" s="172"/>
    </row>
    <row r="16237" spans="1:1" s="173" customFormat="1" ht="12" hidden="1" customHeight="1">
      <c r="A16237" s="172"/>
    </row>
    <row r="16238" spans="1:1" s="173" customFormat="1" ht="12" hidden="1" customHeight="1">
      <c r="A16238" s="172"/>
    </row>
    <row r="16239" spans="1:1" s="173" customFormat="1" ht="12" hidden="1" customHeight="1">
      <c r="A16239" s="172"/>
    </row>
    <row r="16240" spans="1:1" s="173" customFormat="1" ht="12" hidden="1" customHeight="1">
      <c r="A16240" s="172"/>
    </row>
    <row r="16241" spans="1:1" s="173" customFormat="1" ht="12" hidden="1" customHeight="1">
      <c r="A16241" s="172"/>
    </row>
    <row r="16242" spans="1:1" s="173" customFormat="1" ht="12" hidden="1" customHeight="1">
      <c r="A16242" s="172"/>
    </row>
    <row r="16243" spans="1:1" s="173" customFormat="1" ht="12" hidden="1" customHeight="1">
      <c r="A16243" s="172"/>
    </row>
    <row r="16244" spans="1:1" s="173" customFormat="1" ht="12" hidden="1" customHeight="1">
      <c r="A16244" s="172"/>
    </row>
    <row r="16245" spans="1:1" s="173" customFormat="1" ht="12" hidden="1" customHeight="1">
      <c r="A16245" s="172"/>
    </row>
    <row r="16246" spans="1:1" s="173" customFormat="1" ht="12" hidden="1" customHeight="1">
      <c r="A16246" s="172"/>
    </row>
    <row r="16247" spans="1:1" s="173" customFormat="1" ht="12" hidden="1" customHeight="1">
      <c r="A16247" s="172"/>
    </row>
    <row r="16248" spans="1:1" s="173" customFormat="1" ht="12" hidden="1" customHeight="1">
      <c r="A16248" s="172"/>
    </row>
    <row r="16249" spans="1:1" s="173" customFormat="1" ht="12" hidden="1" customHeight="1">
      <c r="A16249" s="172"/>
    </row>
    <row r="16250" spans="1:1" s="173" customFormat="1" ht="12" hidden="1" customHeight="1">
      <c r="A16250" s="172"/>
    </row>
    <row r="16251" spans="1:1" s="173" customFormat="1" ht="12" hidden="1" customHeight="1">
      <c r="A16251" s="172"/>
    </row>
    <row r="16252" spans="1:1" s="173" customFormat="1" ht="12" hidden="1" customHeight="1">
      <c r="A16252" s="172"/>
    </row>
    <row r="16253" spans="1:1" s="173" customFormat="1" ht="12" hidden="1" customHeight="1">
      <c r="A16253" s="172"/>
    </row>
    <row r="16254" spans="1:1" s="173" customFormat="1" ht="12" hidden="1" customHeight="1">
      <c r="A16254" s="172"/>
    </row>
    <row r="16255" spans="1:1" s="173" customFormat="1" ht="12" hidden="1" customHeight="1">
      <c r="A16255" s="172"/>
    </row>
    <row r="16256" spans="1:1" s="173" customFormat="1" ht="12" hidden="1" customHeight="1">
      <c r="A16256" s="172"/>
    </row>
    <row r="16257" spans="1:1" s="173" customFormat="1" ht="12" hidden="1" customHeight="1">
      <c r="A16257" s="172"/>
    </row>
    <row r="16258" spans="1:1" s="173" customFormat="1" ht="12" hidden="1" customHeight="1">
      <c r="A16258" s="172"/>
    </row>
    <row r="16259" spans="1:1" s="173" customFormat="1" ht="12" hidden="1" customHeight="1">
      <c r="A16259" s="172"/>
    </row>
    <row r="16260" spans="1:1" s="173" customFormat="1" ht="12" hidden="1" customHeight="1">
      <c r="A16260" s="172"/>
    </row>
    <row r="16261" spans="1:1" s="173" customFormat="1" ht="12" hidden="1" customHeight="1">
      <c r="A16261" s="172"/>
    </row>
    <row r="16262" spans="1:1" s="173" customFormat="1" ht="12" hidden="1" customHeight="1">
      <c r="A16262" s="172"/>
    </row>
    <row r="16263" spans="1:1" s="173" customFormat="1" ht="12" hidden="1" customHeight="1">
      <c r="A16263" s="172"/>
    </row>
    <row r="16264" spans="1:1" s="173" customFormat="1" ht="12" hidden="1" customHeight="1">
      <c r="A16264" s="172"/>
    </row>
    <row r="16265" spans="1:1" s="173" customFormat="1" ht="12" hidden="1" customHeight="1">
      <c r="A16265" s="172"/>
    </row>
    <row r="16266" spans="1:1" s="173" customFormat="1" ht="12" hidden="1" customHeight="1">
      <c r="A16266" s="172"/>
    </row>
    <row r="16267" spans="1:1" s="173" customFormat="1" ht="12" hidden="1" customHeight="1">
      <c r="A16267" s="172"/>
    </row>
    <row r="16268" spans="1:1" s="173" customFormat="1" ht="12" hidden="1" customHeight="1">
      <c r="A16268" s="172"/>
    </row>
    <row r="16269" spans="1:1" s="173" customFormat="1" ht="12" hidden="1" customHeight="1">
      <c r="A16269" s="172"/>
    </row>
    <row r="16270" spans="1:1" s="173" customFormat="1" ht="12" hidden="1" customHeight="1">
      <c r="A16270" s="172"/>
    </row>
    <row r="16271" spans="1:1" s="173" customFormat="1" ht="12" hidden="1" customHeight="1">
      <c r="A16271" s="172"/>
    </row>
    <row r="16272" spans="1:1" s="173" customFormat="1" ht="12" hidden="1" customHeight="1">
      <c r="A16272" s="172"/>
    </row>
    <row r="16273" spans="1:1" s="173" customFormat="1" ht="12" hidden="1" customHeight="1">
      <c r="A16273" s="172"/>
    </row>
    <row r="16274" spans="1:1" s="173" customFormat="1" ht="12" hidden="1" customHeight="1">
      <c r="A16274" s="172"/>
    </row>
    <row r="16275" spans="1:1" s="173" customFormat="1" ht="12" hidden="1" customHeight="1">
      <c r="A16275" s="172"/>
    </row>
    <row r="16276" spans="1:1" s="173" customFormat="1" ht="12" hidden="1" customHeight="1">
      <c r="A16276" s="172"/>
    </row>
    <row r="16277" spans="1:1" s="173" customFormat="1" ht="12" hidden="1" customHeight="1">
      <c r="A16277" s="172"/>
    </row>
    <row r="16278" spans="1:1" s="173" customFormat="1" ht="12" hidden="1" customHeight="1">
      <c r="A16278" s="172"/>
    </row>
    <row r="16279" spans="1:1" s="173" customFormat="1" ht="12" hidden="1" customHeight="1">
      <c r="A16279" s="172"/>
    </row>
    <row r="16280" spans="1:1" s="173" customFormat="1" ht="12" hidden="1" customHeight="1">
      <c r="A16280" s="172"/>
    </row>
    <row r="16281" spans="1:1" s="173" customFormat="1" ht="12" hidden="1" customHeight="1">
      <c r="A16281" s="172"/>
    </row>
    <row r="16282" spans="1:1" s="173" customFormat="1" ht="12" hidden="1" customHeight="1">
      <c r="A16282" s="172"/>
    </row>
    <row r="16283" spans="1:1" s="173" customFormat="1" ht="12" hidden="1" customHeight="1">
      <c r="A16283" s="172"/>
    </row>
    <row r="16284" spans="1:1" s="173" customFormat="1" ht="12" hidden="1" customHeight="1">
      <c r="A16284" s="172"/>
    </row>
    <row r="16285" spans="1:1" s="173" customFormat="1" ht="12" hidden="1" customHeight="1">
      <c r="A16285" s="172"/>
    </row>
    <row r="16286" spans="1:1" s="173" customFormat="1" ht="12" hidden="1" customHeight="1">
      <c r="A16286" s="172"/>
    </row>
    <row r="16287" spans="1:1" s="173" customFormat="1" ht="12" hidden="1" customHeight="1">
      <c r="A16287" s="172"/>
    </row>
    <row r="16288" spans="1:1" s="173" customFormat="1" ht="12" hidden="1" customHeight="1">
      <c r="A16288" s="172"/>
    </row>
    <row r="16289" spans="1:1" s="173" customFormat="1" ht="12" hidden="1" customHeight="1">
      <c r="A16289" s="172"/>
    </row>
    <row r="16290" spans="1:1" s="173" customFormat="1" ht="12" hidden="1" customHeight="1">
      <c r="A16290" s="172"/>
    </row>
    <row r="16291" spans="1:1" s="173" customFormat="1" ht="12" hidden="1" customHeight="1">
      <c r="A16291" s="172"/>
    </row>
    <row r="16292" spans="1:1" s="173" customFormat="1" ht="12" hidden="1" customHeight="1">
      <c r="A16292" s="172"/>
    </row>
    <row r="16293" spans="1:1" s="173" customFormat="1" ht="12" hidden="1" customHeight="1">
      <c r="A16293" s="172"/>
    </row>
    <row r="16294" spans="1:1" s="173" customFormat="1" ht="12" hidden="1" customHeight="1">
      <c r="A16294" s="172"/>
    </row>
    <row r="16295" spans="1:1" s="173" customFormat="1" ht="12" hidden="1" customHeight="1">
      <c r="A16295" s="172"/>
    </row>
    <row r="16296" spans="1:1" s="173" customFormat="1" ht="12" hidden="1" customHeight="1">
      <c r="A16296" s="172"/>
    </row>
    <row r="16297" spans="1:1" s="173" customFormat="1" ht="12" hidden="1" customHeight="1">
      <c r="A16297" s="172"/>
    </row>
    <row r="16298" spans="1:1" s="173" customFormat="1" ht="12" hidden="1" customHeight="1">
      <c r="A16298" s="172"/>
    </row>
    <row r="16299" spans="1:1" s="173" customFormat="1" ht="12" hidden="1" customHeight="1">
      <c r="A16299" s="172"/>
    </row>
    <row r="16300" spans="1:1" s="173" customFormat="1" ht="12" hidden="1" customHeight="1">
      <c r="A16300" s="172"/>
    </row>
    <row r="16301" spans="1:1" s="173" customFormat="1" ht="12" hidden="1" customHeight="1">
      <c r="A16301" s="172"/>
    </row>
    <row r="16302" spans="1:1" s="173" customFormat="1" ht="12" hidden="1" customHeight="1">
      <c r="A16302" s="172"/>
    </row>
    <row r="16303" spans="1:1" s="173" customFormat="1" ht="12" hidden="1" customHeight="1">
      <c r="A16303" s="172"/>
    </row>
    <row r="16304" spans="1:1" s="173" customFormat="1" ht="12" hidden="1" customHeight="1">
      <c r="A16304" s="172"/>
    </row>
    <row r="16305" spans="1:1" s="173" customFormat="1" ht="12" hidden="1" customHeight="1">
      <c r="A16305" s="172"/>
    </row>
    <row r="16306" spans="1:1" s="173" customFormat="1" ht="12" hidden="1" customHeight="1">
      <c r="A16306" s="172"/>
    </row>
    <row r="16307" spans="1:1" s="173" customFormat="1" ht="12" hidden="1" customHeight="1">
      <c r="A16307" s="172"/>
    </row>
    <row r="16308" spans="1:1" s="173" customFormat="1" ht="12" hidden="1" customHeight="1">
      <c r="A16308" s="172"/>
    </row>
    <row r="16309" spans="1:1" s="173" customFormat="1" ht="12" hidden="1" customHeight="1">
      <c r="A16309" s="172"/>
    </row>
    <row r="16310" spans="1:1" s="173" customFormat="1" ht="12" hidden="1" customHeight="1">
      <c r="A16310" s="172"/>
    </row>
    <row r="16311" spans="1:1" s="173" customFormat="1" ht="12" hidden="1" customHeight="1">
      <c r="A16311" s="172"/>
    </row>
    <row r="16312" spans="1:1" s="173" customFormat="1" ht="12" hidden="1" customHeight="1">
      <c r="A16312" s="172"/>
    </row>
    <row r="16313" spans="1:1" s="173" customFormat="1" ht="12" hidden="1" customHeight="1">
      <c r="A16313" s="172"/>
    </row>
    <row r="16314" spans="1:1" s="173" customFormat="1" ht="12" hidden="1" customHeight="1">
      <c r="A16314" s="172"/>
    </row>
    <row r="16315" spans="1:1" s="173" customFormat="1" ht="12" hidden="1" customHeight="1">
      <c r="A16315" s="172"/>
    </row>
    <row r="16316" spans="1:1" s="173" customFormat="1" ht="12" hidden="1" customHeight="1">
      <c r="A16316" s="172"/>
    </row>
    <row r="16317" spans="1:1" s="173" customFormat="1" ht="12" hidden="1" customHeight="1">
      <c r="A16317" s="172"/>
    </row>
    <row r="16318" spans="1:1" s="173" customFormat="1" ht="12" hidden="1" customHeight="1">
      <c r="A16318" s="172"/>
    </row>
    <row r="16319" spans="1:1" s="173" customFormat="1" ht="12" hidden="1" customHeight="1">
      <c r="A16319" s="172"/>
    </row>
    <row r="16320" spans="1:1" s="173" customFormat="1" ht="12" hidden="1" customHeight="1">
      <c r="A16320" s="172"/>
    </row>
    <row r="16321" spans="1:1" s="173" customFormat="1" ht="12" hidden="1" customHeight="1">
      <c r="A16321" s="172"/>
    </row>
    <row r="16322" spans="1:1" s="173" customFormat="1" ht="12" hidden="1" customHeight="1">
      <c r="A16322" s="172"/>
    </row>
    <row r="16323" spans="1:1" s="173" customFormat="1" ht="12" hidden="1" customHeight="1">
      <c r="A16323" s="172"/>
    </row>
    <row r="16324" spans="1:1" s="173" customFormat="1" ht="12" hidden="1" customHeight="1">
      <c r="A16324" s="172"/>
    </row>
    <row r="16325" spans="1:1" s="173" customFormat="1" ht="12" hidden="1" customHeight="1">
      <c r="A16325" s="172"/>
    </row>
    <row r="16326" spans="1:1" s="173" customFormat="1" ht="12" hidden="1" customHeight="1">
      <c r="A16326" s="172"/>
    </row>
    <row r="16327" spans="1:1" s="173" customFormat="1" ht="12" hidden="1" customHeight="1">
      <c r="A16327" s="172"/>
    </row>
    <row r="16328" spans="1:1" s="173" customFormat="1" ht="12" hidden="1" customHeight="1">
      <c r="A16328" s="172"/>
    </row>
    <row r="16329" spans="1:1" s="173" customFormat="1" ht="12" hidden="1" customHeight="1">
      <c r="A16329" s="172"/>
    </row>
    <row r="16330" spans="1:1" s="173" customFormat="1" ht="12" hidden="1" customHeight="1">
      <c r="A16330" s="172"/>
    </row>
    <row r="16331" spans="1:1" s="173" customFormat="1" ht="12" hidden="1" customHeight="1">
      <c r="A16331" s="172"/>
    </row>
    <row r="16332" spans="1:1" s="173" customFormat="1" ht="12" hidden="1" customHeight="1">
      <c r="A16332" s="172"/>
    </row>
    <row r="16333" spans="1:1" s="173" customFormat="1" ht="12" hidden="1" customHeight="1">
      <c r="A16333" s="172"/>
    </row>
    <row r="16334" spans="1:1" s="173" customFormat="1" ht="12" hidden="1" customHeight="1">
      <c r="A16334" s="172"/>
    </row>
    <row r="16335" spans="1:1" s="173" customFormat="1" ht="12" hidden="1" customHeight="1">
      <c r="A16335" s="172"/>
    </row>
    <row r="16336" spans="1:1" s="173" customFormat="1" ht="12" hidden="1" customHeight="1">
      <c r="A16336" s="172"/>
    </row>
    <row r="16337" spans="1:1" s="173" customFormat="1" ht="12" hidden="1" customHeight="1">
      <c r="A16337" s="172"/>
    </row>
    <row r="16338" spans="1:1" s="173" customFormat="1" ht="12" hidden="1" customHeight="1">
      <c r="A16338" s="172"/>
    </row>
    <row r="16339" spans="1:1" s="173" customFormat="1" ht="12" hidden="1" customHeight="1">
      <c r="A16339" s="172"/>
    </row>
    <row r="16340" spans="1:1" s="173" customFormat="1" ht="12" hidden="1" customHeight="1">
      <c r="A16340" s="172"/>
    </row>
    <row r="16341" spans="1:1" s="173" customFormat="1" ht="12" hidden="1" customHeight="1">
      <c r="A16341" s="172"/>
    </row>
    <row r="16342" spans="1:1" s="173" customFormat="1" ht="12" hidden="1" customHeight="1">
      <c r="A16342" s="172"/>
    </row>
    <row r="16343" spans="1:1" s="173" customFormat="1" ht="12" hidden="1" customHeight="1">
      <c r="A16343" s="172"/>
    </row>
    <row r="16344" spans="1:1" s="173" customFormat="1" ht="12" hidden="1" customHeight="1">
      <c r="A16344" s="172"/>
    </row>
    <row r="16345" spans="1:1" s="173" customFormat="1" ht="12" hidden="1" customHeight="1">
      <c r="A16345" s="172"/>
    </row>
    <row r="16346" spans="1:1" s="173" customFormat="1" ht="12" hidden="1" customHeight="1">
      <c r="A16346" s="172"/>
    </row>
    <row r="16347" spans="1:1" s="173" customFormat="1" ht="12" hidden="1" customHeight="1">
      <c r="A16347" s="172"/>
    </row>
    <row r="16348" spans="1:1" s="173" customFormat="1" ht="12" hidden="1" customHeight="1">
      <c r="A16348" s="172"/>
    </row>
    <row r="16349" spans="1:1" s="173" customFormat="1" ht="12" hidden="1" customHeight="1">
      <c r="A16349" s="172"/>
    </row>
    <row r="16350" spans="1:1" s="173" customFormat="1" ht="12" hidden="1" customHeight="1">
      <c r="A16350" s="172"/>
    </row>
    <row r="16351" spans="1:1" s="173" customFormat="1" ht="12" hidden="1" customHeight="1">
      <c r="A16351" s="172"/>
    </row>
    <row r="16352" spans="1:1" s="173" customFormat="1" ht="12" hidden="1" customHeight="1">
      <c r="A16352" s="172"/>
    </row>
    <row r="16353" spans="1:1" s="173" customFormat="1" ht="12" hidden="1" customHeight="1">
      <c r="A16353" s="172"/>
    </row>
    <row r="16354" spans="1:1" s="173" customFormat="1" ht="12" hidden="1" customHeight="1">
      <c r="A16354" s="172"/>
    </row>
    <row r="16355" spans="1:1" s="173" customFormat="1" ht="12" hidden="1" customHeight="1">
      <c r="A16355" s="172"/>
    </row>
    <row r="16356" spans="1:1" s="173" customFormat="1" ht="12" hidden="1" customHeight="1">
      <c r="A16356" s="172"/>
    </row>
    <row r="16357" spans="1:1" s="173" customFormat="1" ht="12" hidden="1" customHeight="1">
      <c r="A16357" s="172"/>
    </row>
    <row r="16358" spans="1:1" s="173" customFormat="1" ht="12" hidden="1" customHeight="1">
      <c r="A16358" s="172"/>
    </row>
    <row r="16359" spans="1:1" s="173" customFormat="1" ht="12" hidden="1" customHeight="1">
      <c r="A16359" s="172"/>
    </row>
    <row r="16360" spans="1:1" s="173" customFormat="1" ht="12" hidden="1" customHeight="1">
      <c r="A16360" s="172"/>
    </row>
    <row r="16361" spans="1:1" s="173" customFormat="1" ht="12" hidden="1" customHeight="1">
      <c r="A16361" s="172"/>
    </row>
    <row r="16362" spans="1:1" s="173" customFormat="1" ht="12" hidden="1" customHeight="1">
      <c r="A16362" s="172"/>
    </row>
    <row r="16363" spans="1:1" s="173" customFormat="1" ht="12" hidden="1" customHeight="1">
      <c r="A16363" s="172"/>
    </row>
    <row r="16364" spans="1:1" s="173" customFormat="1" ht="12" hidden="1" customHeight="1">
      <c r="A16364" s="172"/>
    </row>
    <row r="16365" spans="1:1" s="173" customFormat="1" ht="12" hidden="1" customHeight="1">
      <c r="A16365" s="172"/>
    </row>
    <row r="16366" spans="1:1" s="173" customFormat="1" ht="12" hidden="1" customHeight="1">
      <c r="A16366" s="172"/>
    </row>
    <row r="16367" spans="1:1" s="173" customFormat="1" ht="12" hidden="1" customHeight="1">
      <c r="A16367" s="172"/>
    </row>
    <row r="16368" spans="1:1" s="173" customFormat="1" ht="12" hidden="1" customHeight="1">
      <c r="A16368" s="172"/>
    </row>
    <row r="16369" spans="1:1" s="173" customFormat="1" ht="12" hidden="1" customHeight="1">
      <c r="A16369" s="172"/>
    </row>
    <row r="16370" spans="1:1" s="173" customFormat="1" ht="12" hidden="1" customHeight="1">
      <c r="A16370" s="172"/>
    </row>
    <row r="16371" spans="1:1" s="173" customFormat="1" ht="12" hidden="1" customHeight="1">
      <c r="A16371" s="172"/>
    </row>
    <row r="16372" spans="1:1" s="173" customFormat="1" ht="12" hidden="1" customHeight="1">
      <c r="A16372" s="172"/>
    </row>
    <row r="16373" spans="1:1" s="173" customFormat="1" ht="12" hidden="1" customHeight="1">
      <c r="A16373" s="172"/>
    </row>
    <row r="16374" spans="1:1" s="173" customFormat="1" ht="12" hidden="1" customHeight="1">
      <c r="A16374" s="172"/>
    </row>
    <row r="16375" spans="1:1" s="173" customFormat="1" ht="12" hidden="1" customHeight="1">
      <c r="A16375" s="172"/>
    </row>
    <row r="16376" spans="1:1" s="173" customFormat="1" ht="12" hidden="1" customHeight="1">
      <c r="A16376" s="172"/>
    </row>
    <row r="16377" spans="1:1" s="173" customFormat="1" ht="12" hidden="1" customHeight="1">
      <c r="A16377" s="172"/>
    </row>
    <row r="16378" spans="1:1" s="173" customFormat="1" ht="12" hidden="1" customHeight="1">
      <c r="A16378" s="172"/>
    </row>
    <row r="16379" spans="1:1" s="173" customFormat="1" ht="12" hidden="1" customHeight="1">
      <c r="A16379" s="172"/>
    </row>
    <row r="16380" spans="1:1" s="173" customFormat="1" ht="12" hidden="1" customHeight="1">
      <c r="A16380" s="172"/>
    </row>
    <row r="16381" spans="1:1" s="173" customFormat="1" ht="12" hidden="1" customHeight="1">
      <c r="A16381" s="172"/>
    </row>
    <row r="16382" spans="1:1" s="173" customFormat="1" ht="12" hidden="1" customHeight="1">
      <c r="A16382" s="172"/>
    </row>
    <row r="16383" spans="1:1" s="173" customFormat="1" ht="12" hidden="1" customHeight="1">
      <c r="A16383" s="172"/>
    </row>
    <row r="16384" spans="1:1" s="173" customFormat="1" ht="12" hidden="1" customHeight="1">
      <c r="A16384" s="172"/>
    </row>
    <row r="16385" spans="1:1" s="173" customFormat="1" ht="12" hidden="1" customHeight="1">
      <c r="A16385" s="172"/>
    </row>
    <row r="16386" spans="1:1" s="173" customFormat="1" ht="12" hidden="1" customHeight="1">
      <c r="A16386" s="172"/>
    </row>
    <row r="16387" spans="1:1" s="173" customFormat="1" ht="12" hidden="1" customHeight="1">
      <c r="A16387" s="172"/>
    </row>
    <row r="16388" spans="1:1" s="173" customFormat="1" ht="12" hidden="1" customHeight="1">
      <c r="A16388" s="172"/>
    </row>
    <row r="16389" spans="1:1" s="173" customFormat="1" ht="12" hidden="1" customHeight="1">
      <c r="A16389" s="172"/>
    </row>
    <row r="16390" spans="1:1" s="173" customFormat="1" ht="12" hidden="1" customHeight="1">
      <c r="A16390" s="172"/>
    </row>
    <row r="16391" spans="1:1" s="173" customFormat="1" ht="12" hidden="1" customHeight="1">
      <c r="A16391" s="172"/>
    </row>
    <row r="16392" spans="1:1" s="173" customFormat="1" ht="12" hidden="1" customHeight="1">
      <c r="A16392" s="172"/>
    </row>
    <row r="16393" spans="1:1" s="173" customFormat="1" ht="12" hidden="1" customHeight="1">
      <c r="A16393" s="172"/>
    </row>
    <row r="16394" spans="1:1" s="173" customFormat="1" ht="12" hidden="1" customHeight="1">
      <c r="A16394" s="172"/>
    </row>
    <row r="16395" spans="1:1" s="173" customFormat="1" ht="12" hidden="1" customHeight="1">
      <c r="A16395" s="172"/>
    </row>
    <row r="16396" spans="1:1" s="173" customFormat="1" ht="12" hidden="1" customHeight="1">
      <c r="A16396" s="172"/>
    </row>
    <row r="16397" spans="1:1" s="173" customFormat="1" ht="12" hidden="1" customHeight="1">
      <c r="A16397" s="172"/>
    </row>
    <row r="16398" spans="1:1" s="173" customFormat="1" ht="12" hidden="1" customHeight="1">
      <c r="A16398" s="172"/>
    </row>
    <row r="16399" spans="1:1" s="173" customFormat="1" ht="12" hidden="1" customHeight="1">
      <c r="A16399" s="172"/>
    </row>
    <row r="16400" spans="1:1" s="173" customFormat="1" ht="12" hidden="1" customHeight="1">
      <c r="A16400" s="172"/>
    </row>
    <row r="16401" spans="1:1" s="173" customFormat="1" ht="12" hidden="1" customHeight="1">
      <c r="A16401" s="172"/>
    </row>
    <row r="16402" spans="1:1" s="173" customFormat="1" ht="12" hidden="1" customHeight="1">
      <c r="A16402" s="172"/>
    </row>
    <row r="16403" spans="1:1" s="173" customFormat="1" ht="12" hidden="1" customHeight="1">
      <c r="A16403" s="172"/>
    </row>
    <row r="16404" spans="1:1" s="173" customFormat="1" ht="12" hidden="1" customHeight="1">
      <c r="A16404" s="172"/>
    </row>
    <row r="16405" spans="1:1" s="173" customFormat="1" ht="12" hidden="1" customHeight="1">
      <c r="A16405" s="172"/>
    </row>
    <row r="16406" spans="1:1" s="173" customFormat="1" ht="12" hidden="1" customHeight="1">
      <c r="A16406" s="172"/>
    </row>
    <row r="16407" spans="1:1" s="173" customFormat="1" ht="12" hidden="1" customHeight="1">
      <c r="A16407" s="172"/>
    </row>
    <row r="16408" spans="1:1" s="173" customFormat="1" ht="12" hidden="1" customHeight="1">
      <c r="A16408" s="172"/>
    </row>
    <row r="16409" spans="1:1" s="173" customFormat="1" ht="12" hidden="1" customHeight="1">
      <c r="A16409" s="172"/>
    </row>
    <row r="16410" spans="1:1" s="173" customFormat="1" ht="12" hidden="1" customHeight="1">
      <c r="A16410" s="172"/>
    </row>
    <row r="16411" spans="1:1" s="173" customFormat="1" ht="12" hidden="1" customHeight="1">
      <c r="A16411" s="172"/>
    </row>
    <row r="16412" spans="1:1" s="173" customFormat="1" ht="12" hidden="1" customHeight="1">
      <c r="A16412" s="172"/>
    </row>
    <row r="16413" spans="1:1" s="173" customFormat="1" ht="12" hidden="1" customHeight="1">
      <c r="A16413" s="172"/>
    </row>
    <row r="16414" spans="1:1" s="173" customFormat="1" ht="12" hidden="1" customHeight="1">
      <c r="A16414" s="172"/>
    </row>
    <row r="16415" spans="1:1" s="173" customFormat="1" ht="12" hidden="1" customHeight="1">
      <c r="A16415" s="172"/>
    </row>
    <row r="16416" spans="1:1" s="173" customFormat="1" ht="12" hidden="1" customHeight="1">
      <c r="A16416" s="172"/>
    </row>
    <row r="16417" spans="1:1" s="173" customFormat="1" ht="12" hidden="1" customHeight="1">
      <c r="A16417" s="172"/>
    </row>
    <row r="16418" spans="1:1" s="173" customFormat="1" ht="12" hidden="1" customHeight="1">
      <c r="A16418" s="172"/>
    </row>
    <row r="16419" spans="1:1" s="173" customFormat="1" ht="12" hidden="1" customHeight="1">
      <c r="A16419" s="172"/>
    </row>
    <row r="16420" spans="1:1" s="173" customFormat="1" ht="12" hidden="1" customHeight="1">
      <c r="A16420" s="172"/>
    </row>
    <row r="16421" spans="1:1" s="173" customFormat="1" ht="12" hidden="1" customHeight="1">
      <c r="A16421" s="172"/>
    </row>
    <row r="16422" spans="1:1" s="173" customFormat="1" ht="12" hidden="1" customHeight="1">
      <c r="A16422" s="172"/>
    </row>
    <row r="16423" spans="1:1" s="173" customFormat="1" ht="12" hidden="1" customHeight="1">
      <c r="A16423" s="172"/>
    </row>
    <row r="16424" spans="1:1" s="173" customFormat="1" ht="12" hidden="1" customHeight="1">
      <c r="A16424" s="172"/>
    </row>
    <row r="16425" spans="1:1" s="173" customFormat="1" ht="12" hidden="1" customHeight="1">
      <c r="A16425" s="172"/>
    </row>
    <row r="16426" spans="1:1" s="173" customFormat="1" ht="12" hidden="1" customHeight="1">
      <c r="A16426" s="172"/>
    </row>
    <row r="16427" spans="1:1" s="173" customFormat="1" ht="12" hidden="1" customHeight="1">
      <c r="A16427" s="172"/>
    </row>
    <row r="16428" spans="1:1" s="173" customFormat="1" ht="12" hidden="1" customHeight="1">
      <c r="A16428" s="172"/>
    </row>
    <row r="16429" spans="1:1" s="173" customFormat="1" ht="12" hidden="1" customHeight="1">
      <c r="A16429" s="172"/>
    </row>
    <row r="16430" spans="1:1" s="173" customFormat="1" ht="12" hidden="1" customHeight="1">
      <c r="A16430" s="172"/>
    </row>
    <row r="16431" spans="1:1" s="173" customFormat="1" ht="12" hidden="1" customHeight="1">
      <c r="A16431" s="172"/>
    </row>
    <row r="16432" spans="1:1" s="173" customFormat="1" ht="12" hidden="1" customHeight="1">
      <c r="A16432" s="172"/>
    </row>
    <row r="16433" spans="1:1" s="173" customFormat="1" ht="12" hidden="1" customHeight="1">
      <c r="A16433" s="172"/>
    </row>
    <row r="16434" spans="1:1" s="173" customFormat="1" ht="12" hidden="1" customHeight="1">
      <c r="A16434" s="172"/>
    </row>
    <row r="16435" spans="1:1" s="173" customFormat="1" ht="12" hidden="1" customHeight="1">
      <c r="A16435" s="172"/>
    </row>
    <row r="16436" spans="1:1" s="173" customFormat="1" ht="12" hidden="1" customHeight="1">
      <c r="A16436" s="172"/>
    </row>
    <row r="16437" spans="1:1" s="173" customFormat="1" ht="12" hidden="1" customHeight="1">
      <c r="A16437" s="172"/>
    </row>
    <row r="16438" spans="1:1" s="173" customFormat="1" ht="12" hidden="1" customHeight="1">
      <c r="A16438" s="172"/>
    </row>
    <row r="16439" spans="1:1" s="173" customFormat="1" ht="12" hidden="1" customHeight="1">
      <c r="A16439" s="172"/>
    </row>
    <row r="16440" spans="1:1" s="173" customFormat="1" ht="12" hidden="1" customHeight="1">
      <c r="A16440" s="172"/>
    </row>
    <row r="16441" spans="1:1" s="173" customFormat="1" ht="12" hidden="1" customHeight="1">
      <c r="A16441" s="172"/>
    </row>
    <row r="16442" spans="1:1" s="173" customFormat="1" ht="12" hidden="1" customHeight="1">
      <c r="A16442" s="172"/>
    </row>
    <row r="16443" spans="1:1" s="173" customFormat="1" ht="12" hidden="1" customHeight="1">
      <c r="A16443" s="172"/>
    </row>
    <row r="16444" spans="1:1" s="173" customFormat="1" ht="12" hidden="1" customHeight="1">
      <c r="A16444" s="172"/>
    </row>
    <row r="16445" spans="1:1" s="173" customFormat="1" ht="12" hidden="1" customHeight="1">
      <c r="A16445" s="172"/>
    </row>
    <row r="16446" spans="1:1" s="173" customFormat="1" ht="12" hidden="1" customHeight="1">
      <c r="A16446" s="172"/>
    </row>
    <row r="16447" spans="1:1" s="173" customFormat="1" ht="12" hidden="1" customHeight="1">
      <c r="A16447" s="172"/>
    </row>
    <row r="16448" spans="1:1" s="173" customFormat="1" ht="12" hidden="1" customHeight="1">
      <c r="A16448" s="172"/>
    </row>
    <row r="16449" spans="1:1" s="173" customFormat="1" ht="12" hidden="1" customHeight="1">
      <c r="A16449" s="172"/>
    </row>
    <row r="16450" spans="1:1" s="173" customFormat="1" ht="12" hidden="1" customHeight="1">
      <c r="A16450" s="172"/>
    </row>
    <row r="16451" spans="1:1" s="173" customFormat="1" ht="12" hidden="1" customHeight="1">
      <c r="A16451" s="172"/>
    </row>
    <row r="16452" spans="1:1" s="173" customFormat="1" ht="12" hidden="1" customHeight="1">
      <c r="A16452" s="172"/>
    </row>
    <row r="16453" spans="1:1" s="173" customFormat="1" ht="12" hidden="1" customHeight="1">
      <c r="A16453" s="172"/>
    </row>
    <row r="16454" spans="1:1" s="173" customFormat="1" ht="12" hidden="1" customHeight="1">
      <c r="A16454" s="172"/>
    </row>
    <row r="16455" spans="1:1" s="173" customFormat="1" ht="12" hidden="1" customHeight="1">
      <c r="A16455" s="172"/>
    </row>
    <row r="16456" spans="1:1" s="173" customFormat="1" ht="12" hidden="1" customHeight="1">
      <c r="A16456" s="172"/>
    </row>
    <row r="16457" spans="1:1" s="173" customFormat="1" ht="12" hidden="1" customHeight="1">
      <c r="A16457" s="172"/>
    </row>
    <row r="16458" spans="1:1" s="173" customFormat="1" ht="12" hidden="1" customHeight="1">
      <c r="A16458" s="172"/>
    </row>
    <row r="16459" spans="1:1" s="173" customFormat="1" ht="12" hidden="1" customHeight="1">
      <c r="A16459" s="172"/>
    </row>
    <row r="16460" spans="1:1" s="173" customFormat="1" ht="12" hidden="1" customHeight="1">
      <c r="A16460" s="172"/>
    </row>
    <row r="16461" spans="1:1" s="173" customFormat="1" ht="12" hidden="1" customHeight="1">
      <c r="A16461" s="172"/>
    </row>
    <row r="16462" spans="1:1" s="173" customFormat="1" ht="12" hidden="1" customHeight="1">
      <c r="A16462" s="172"/>
    </row>
    <row r="16463" spans="1:1" s="173" customFormat="1" ht="12" hidden="1" customHeight="1">
      <c r="A16463" s="172"/>
    </row>
    <row r="16464" spans="1:1" s="173" customFormat="1" ht="12" hidden="1" customHeight="1">
      <c r="A16464" s="172"/>
    </row>
    <row r="16465" spans="1:1" s="173" customFormat="1" ht="12" hidden="1" customHeight="1">
      <c r="A16465" s="172"/>
    </row>
    <row r="16466" spans="1:1" s="173" customFormat="1" ht="12" hidden="1" customHeight="1">
      <c r="A16466" s="172"/>
    </row>
    <row r="16467" spans="1:1" s="173" customFormat="1" ht="12" hidden="1" customHeight="1">
      <c r="A16467" s="172"/>
    </row>
    <row r="16468" spans="1:1" s="173" customFormat="1" ht="12" hidden="1" customHeight="1">
      <c r="A16468" s="172"/>
    </row>
    <row r="16469" spans="1:1" s="173" customFormat="1" ht="12" hidden="1" customHeight="1">
      <c r="A16469" s="172"/>
    </row>
    <row r="16470" spans="1:1" s="173" customFormat="1" ht="12" hidden="1" customHeight="1">
      <c r="A16470" s="172"/>
    </row>
    <row r="16471" spans="1:1" s="173" customFormat="1" ht="12" hidden="1" customHeight="1">
      <c r="A16471" s="172"/>
    </row>
    <row r="16472" spans="1:1" s="173" customFormat="1" ht="12" hidden="1" customHeight="1">
      <c r="A16472" s="172"/>
    </row>
    <row r="16473" spans="1:1" s="173" customFormat="1" ht="12" hidden="1" customHeight="1">
      <c r="A16473" s="172"/>
    </row>
    <row r="16474" spans="1:1" s="173" customFormat="1" ht="12" hidden="1" customHeight="1">
      <c r="A16474" s="172"/>
    </row>
    <row r="16475" spans="1:1" s="173" customFormat="1" ht="12" hidden="1" customHeight="1">
      <c r="A16475" s="172"/>
    </row>
    <row r="16476" spans="1:1" s="173" customFormat="1" ht="12" hidden="1" customHeight="1">
      <c r="A16476" s="172"/>
    </row>
    <row r="16477" spans="1:1" s="173" customFormat="1" ht="12" hidden="1" customHeight="1">
      <c r="A16477" s="172"/>
    </row>
    <row r="16478" spans="1:1" s="173" customFormat="1" ht="12" hidden="1" customHeight="1">
      <c r="A16478" s="172"/>
    </row>
    <row r="16479" spans="1:1" s="173" customFormat="1" ht="12" hidden="1" customHeight="1">
      <c r="A16479" s="172"/>
    </row>
    <row r="16480" spans="1:1" s="173" customFormat="1" ht="12" hidden="1" customHeight="1">
      <c r="A16480" s="172"/>
    </row>
    <row r="16481" spans="1:1" s="173" customFormat="1" ht="12" hidden="1" customHeight="1">
      <c r="A16481" s="172"/>
    </row>
    <row r="16482" spans="1:1" s="173" customFormat="1" ht="12" hidden="1" customHeight="1">
      <c r="A16482" s="172"/>
    </row>
    <row r="16483" spans="1:1" s="173" customFormat="1" ht="12" hidden="1" customHeight="1">
      <c r="A16483" s="172"/>
    </row>
    <row r="16484" spans="1:1" s="173" customFormat="1" ht="12" hidden="1" customHeight="1">
      <c r="A16484" s="172"/>
    </row>
    <row r="16485" spans="1:1" s="173" customFormat="1" ht="12" hidden="1" customHeight="1">
      <c r="A16485" s="172"/>
    </row>
    <row r="16486" spans="1:1" s="173" customFormat="1" ht="12" hidden="1" customHeight="1">
      <c r="A16486" s="172"/>
    </row>
    <row r="16487" spans="1:1" s="173" customFormat="1" ht="12" hidden="1" customHeight="1">
      <c r="A16487" s="172"/>
    </row>
    <row r="16488" spans="1:1" s="173" customFormat="1" ht="12" hidden="1" customHeight="1">
      <c r="A16488" s="172"/>
    </row>
    <row r="16489" spans="1:1" s="173" customFormat="1" ht="12" hidden="1" customHeight="1">
      <c r="A16489" s="172"/>
    </row>
    <row r="16490" spans="1:1" s="173" customFormat="1" ht="12" hidden="1" customHeight="1">
      <c r="A16490" s="172"/>
    </row>
    <row r="16491" spans="1:1" s="173" customFormat="1" ht="12" hidden="1" customHeight="1">
      <c r="A16491" s="172"/>
    </row>
    <row r="16492" spans="1:1" s="173" customFormat="1" ht="12" hidden="1" customHeight="1">
      <c r="A16492" s="172"/>
    </row>
    <row r="16493" spans="1:1" s="173" customFormat="1" ht="12" hidden="1" customHeight="1">
      <c r="A16493" s="172"/>
    </row>
    <row r="16494" spans="1:1" s="173" customFormat="1" ht="12" hidden="1" customHeight="1">
      <c r="A16494" s="172"/>
    </row>
    <row r="16495" spans="1:1" s="173" customFormat="1" ht="12" hidden="1" customHeight="1">
      <c r="A16495" s="172"/>
    </row>
    <row r="16496" spans="1:1" s="173" customFormat="1" ht="12" hidden="1" customHeight="1">
      <c r="A16496" s="172"/>
    </row>
    <row r="16497" spans="1:1" s="173" customFormat="1" ht="12" hidden="1" customHeight="1">
      <c r="A16497" s="172"/>
    </row>
    <row r="16498" spans="1:1" s="173" customFormat="1" ht="12" hidden="1" customHeight="1">
      <c r="A16498" s="172"/>
    </row>
    <row r="16499" spans="1:1" s="173" customFormat="1" ht="12" hidden="1" customHeight="1">
      <c r="A16499" s="172"/>
    </row>
    <row r="16500" spans="1:1" s="173" customFormat="1" ht="12" hidden="1" customHeight="1">
      <c r="A16500" s="172"/>
    </row>
    <row r="16501" spans="1:1" s="173" customFormat="1" ht="12" hidden="1" customHeight="1">
      <c r="A16501" s="172"/>
    </row>
    <row r="16502" spans="1:1" s="173" customFormat="1" ht="12" hidden="1" customHeight="1">
      <c r="A16502" s="172"/>
    </row>
    <row r="16503" spans="1:1" s="173" customFormat="1" ht="12" hidden="1" customHeight="1">
      <c r="A16503" s="172"/>
    </row>
    <row r="16504" spans="1:1" s="173" customFormat="1" ht="12" hidden="1" customHeight="1">
      <c r="A16504" s="172"/>
    </row>
    <row r="16505" spans="1:1" s="173" customFormat="1" ht="12" hidden="1" customHeight="1">
      <c r="A16505" s="172"/>
    </row>
    <row r="16506" spans="1:1" s="173" customFormat="1" ht="12" hidden="1" customHeight="1">
      <c r="A16506" s="172"/>
    </row>
    <row r="16507" spans="1:1" s="173" customFormat="1" ht="12" hidden="1" customHeight="1">
      <c r="A16507" s="172"/>
    </row>
    <row r="16508" spans="1:1" s="173" customFormat="1" ht="12" hidden="1" customHeight="1">
      <c r="A16508" s="172"/>
    </row>
    <row r="16509" spans="1:1" s="173" customFormat="1" ht="12" hidden="1" customHeight="1">
      <c r="A16509" s="172"/>
    </row>
    <row r="16510" spans="1:1" s="173" customFormat="1" ht="12" hidden="1" customHeight="1">
      <c r="A16510" s="172"/>
    </row>
    <row r="16511" spans="1:1" s="173" customFormat="1" ht="12" hidden="1" customHeight="1">
      <c r="A16511" s="172"/>
    </row>
    <row r="16512" spans="1:1" s="173" customFormat="1" ht="12" hidden="1" customHeight="1">
      <c r="A16512" s="172"/>
    </row>
    <row r="16513" spans="1:1" s="173" customFormat="1" ht="12" hidden="1" customHeight="1">
      <c r="A16513" s="172"/>
    </row>
    <row r="16514" spans="1:1" s="173" customFormat="1" ht="12" hidden="1" customHeight="1">
      <c r="A16514" s="172"/>
    </row>
    <row r="16515" spans="1:1" s="173" customFormat="1" ht="12" hidden="1" customHeight="1">
      <c r="A16515" s="172"/>
    </row>
    <row r="16516" spans="1:1" s="173" customFormat="1" ht="12" hidden="1" customHeight="1">
      <c r="A16516" s="172"/>
    </row>
    <row r="16517" spans="1:1" s="173" customFormat="1" ht="12" hidden="1" customHeight="1">
      <c r="A16517" s="172"/>
    </row>
    <row r="16518" spans="1:1" s="173" customFormat="1" ht="12" hidden="1" customHeight="1">
      <c r="A16518" s="172"/>
    </row>
    <row r="16519" spans="1:1" s="173" customFormat="1" ht="12" hidden="1" customHeight="1">
      <c r="A16519" s="172"/>
    </row>
    <row r="16520" spans="1:1" s="173" customFormat="1" ht="12" hidden="1" customHeight="1">
      <c r="A16520" s="172"/>
    </row>
    <row r="16521" spans="1:1" s="173" customFormat="1" ht="12" hidden="1" customHeight="1">
      <c r="A16521" s="172"/>
    </row>
    <row r="16522" spans="1:1" s="173" customFormat="1" ht="12" hidden="1" customHeight="1">
      <c r="A16522" s="172"/>
    </row>
    <row r="16523" spans="1:1" s="173" customFormat="1" ht="12" hidden="1" customHeight="1">
      <c r="A16523" s="172"/>
    </row>
    <row r="16524" spans="1:1" s="173" customFormat="1" ht="12" hidden="1" customHeight="1">
      <c r="A16524" s="172"/>
    </row>
    <row r="16525" spans="1:1" s="173" customFormat="1" ht="12" hidden="1" customHeight="1">
      <c r="A16525" s="172"/>
    </row>
    <row r="16526" spans="1:1" s="173" customFormat="1" ht="12" hidden="1" customHeight="1">
      <c r="A16526" s="172"/>
    </row>
    <row r="16527" spans="1:1" s="173" customFormat="1" ht="12" hidden="1" customHeight="1">
      <c r="A16527" s="172"/>
    </row>
    <row r="16528" spans="1:1" s="173" customFormat="1" ht="12" hidden="1" customHeight="1">
      <c r="A16528" s="172"/>
    </row>
    <row r="16529" spans="1:1" s="173" customFormat="1" ht="12" hidden="1" customHeight="1">
      <c r="A16529" s="172"/>
    </row>
    <row r="16530" spans="1:1" s="173" customFormat="1" ht="12" hidden="1" customHeight="1">
      <c r="A16530" s="172"/>
    </row>
    <row r="16531" spans="1:1" s="173" customFormat="1" ht="12" hidden="1" customHeight="1">
      <c r="A16531" s="172"/>
    </row>
    <row r="16532" spans="1:1" s="173" customFormat="1" ht="12" hidden="1" customHeight="1">
      <c r="A16532" s="172"/>
    </row>
    <row r="16533" spans="1:1" s="173" customFormat="1" ht="12" hidden="1" customHeight="1">
      <c r="A16533" s="172"/>
    </row>
    <row r="16534" spans="1:1" s="173" customFormat="1" ht="12" hidden="1" customHeight="1">
      <c r="A16534" s="172"/>
    </row>
    <row r="16535" spans="1:1" s="173" customFormat="1" ht="12" hidden="1" customHeight="1">
      <c r="A16535" s="172"/>
    </row>
    <row r="16536" spans="1:1" s="173" customFormat="1" ht="12" hidden="1" customHeight="1">
      <c r="A16536" s="172"/>
    </row>
    <row r="16537" spans="1:1" s="173" customFormat="1" ht="12" hidden="1" customHeight="1">
      <c r="A16537" s="172"/>
    </row>
    <row r="16538" spans="1:1" s="173" customFormat="1" ht="12" hidden="1" customHeight="1">
      <c r="A16538" s="172"/>
    </row>
    <row r="16539" spans="1:1" s="173" customFormat="1" ht="12" hidden="1" customHeight="1">
      <c r="A16539" s="172"/>
    </row>
    <row r="16540" spans="1:1" s="173" customFormat="1" ht="12" hidden="1" customHeight="1">
      <c r="A16540" s="172"/>
    </row>
    <row r="16541" spans="1:1" s="173" customFormat="1" ht="12" hidden="1" customHeight="1">
      <c r="A16541" s="172"/>
    </row>
    <row r="16542" spans="1:1" s="173" customFormat="1" ht="12" hidden="1" customHeight="1">
      <c r="A16542" s="172"/>
    </row>
    <row r="16543" spans="1:1" s="173" customFormat="1" ht="12" hidden="1" customHeight="1">
      <c r="A16543" s="172"/>
    </row>
    <row r="16544" spans="1:1" s="173" customFormat="1" ht="12" hidden="1" customHeight="1">
      <c r="A16544" s="172"/>
    </row>
    <row r="16545" spans="1:1" s="173" customFormat="1" ht="12" hidden="1" customHeight="1">
      <c r="A16545" s="172"/>
    </row>
    <row r="16546" spans="1:1" s="173" customFormat="1" ht="12" hidden="1" customHeight="1">
      <c r="A16546" s="172"/>
    </row>
    <row r="16547" spans="1:1" s="173" customFormat="1" ht="12" hidden="1" customHeight="1">
      <c r="A16547" s="172"/>
    </row>
    <row r="16548" spans="1:1" s="173" customFormat="1" ht="12" hidden="1" customHeight="1">
      <c r="A16548" s="172"/>
    </row>
    <row r="16549" spans="1:1" s="173" customFormat="1" ht="12" hidden="1" customHeight="1">
      <c r="A16549" s="172"/>
    </row>
    <row r="16550" spans="1:1" s="173" customFormat="1" ht="12" hidden="1" customHeight="1">
      <c r="A16550" s="172"/>
    </row>
    <row r="16551" spans="1:1" s="173" customFormat="1" ht="12" hidden="1" customHeight="1">
      <c r="A16551" s="172"/>
    </row>
    <row r="16552" spans="1:1" s="173" customFormat="1" ht="12" hidden="1" customHeight="1">
      <c r="A16552" s="172"/>
    </row>
    <row r="16553" spans="1:1" s="173" customFormat="1" ht="12" hidden="1" customHeight="1">
      <c r="A16553" s="172"/>
    </row>
    <row r="16554" spans="1:1" s="173" customFormat="1" ht="12" hidden="1" customHeight="1">
      <c r="A16554" s="172"/>
    </row>
    <row r="16555" spans="1:1" s="173" customFormat="1" ht="12" hidden="1" customHeight="1">
      <c r="A16555" s="172"/>
    </row>
    <row r="16556" spans="1:1" s="173" customFormat="1" ht="12" hidden="1" customHeight="1">
      <c r="A16556" s="172"/>
    </row>
    <row r="16557" spans="1:1" s="173" customFormat="1" ht="12" hidden="1" customHeight="1">
      <c r="A16557" s="172"/>
    </row>
    <row r="16558" spans="1:1" s="173" customFormat="1" ht="12" hidden="1" customHeight="1">
      <c r="A16558" s="172"/>
    </row>
    <row r="16559" spans="1:1" s="173" customFormat="1" ht="12" hidden="1" customHeight="1">
      <c r="A16559" s="172"/>
    </row>
    <row r="16560" spans="1:1" s="173" customFormat="1" ht="12" hidden="1" customHeight="1">
      <c r="A16560" s="172"/>
    </row>
    <row r="16561" spans="1:1" s="173" customFormat="1" ht="12" hidden="1" customHeight="1">
      <c r="A16561" s="172"/>
    </row>
    <row r="16562" spans="1:1" s="173" customFormat="1" ht="12" hidden="1" customHeight="1">
      <c r="A16562" s="172"/>
    </row>
    <row r="16563" spans="1:1" s="173" customFormat="1" ht="12" hidden="1" customHeight="1">
      <c r="A16563" s="172"/>
    </row>
    <row r="16564" spans="1:1" s="173" customFormat="1" ht="12" hidden="1" customHeight="1">
      <c r="A16564" s="172"/>
    </row>
    <row r="16565" spans="1:1" s="173" customFormat="1" ht="12" hidden="1" customHeight="1">
      <c r="A16565" s="172"/>
    </row>
    <row r="16566" spans="1:1" s="173" customFormat="1" ht="12" hidden="1" customHeight="1">
      <c r="A16566" s="172"/>
    </row>
    <row r="16567" spans="1:1" s="173" customFormat="1" ht="12" hidden="1" customHeight="1">
      <c r="A16567" s="172"/>
    </row>
    <row r="16568" spans="1:1" s="173" customFormat="1" ht="12" hidden="1" customHeight="1">
      <c r="A16568" s="172"/>
    </row>
    <row r="16569" spans="1:1" s="173" customFormat="1" ht="12" hidden="1" customHeight="1">
      <c r="A16569" s="172"/>
    </row>
    <row r="16570" spans="1:1" s="173" customFormat="1" ht="12" hidden="1" customHeight="1">
      <c r="A16570" s="172"/>
    </row>
    <row r="16571" spans="1:1" s="173" customFormat="1" ht="12" hidden="1" customHeight="1">
      <c r="A16571" s="172"/>
    </row>
    <row r="16572" spans="1:1" s="173" customFormat="1" ht="12" hidden="1" customHeight="1">
      <c r="A16572" s="172"/>
    </row>
    <row r="16573" spans="1:1" s="173" customFormat="1" ht="12" hidden="1" customHeight="1">
      <c r="A16573" s="172"/>
    </row>
    <row r="16574" spans="1:1" s="173" customFormat="1" ht="12" hidden="1" customHeight="1">
      <c r="A16574" s="172"/>
    </row>
    <row r="16575" spans="1:1" s="173" customFormat="1" ht="12" hidden="1" customHeight="1">
      <c r="A16575" s="172"/>
    </row>
    <row r="16576" spans="1:1" s="173" customFormat="1" ht="12" hidden="1" customHeight="1">
      <c r="A16576" s="172"/>
    </row>
    <row r="16577" spans="1:1" s="173" customFormat="1" ht="12" hidden="1" customHeight="1">
      <c r="A16577" s="172"/>
    </row>
    <row r="16578" spans="1:1" s="173" customFormat="1" ht="12" hidden="1" customHeight="1">
      <c r="A16578" s="172"/>
    </row>
    <row r="16579" spans="1:1" s="173" customFormat="1" ht="12" hidden="1" customHeight="1">
      <c r="A16579" s="172"/>
    </row>
    <row r="16580" spans="1:1" s="173" customFormat="1" ht="12" hidden="1" customHeight="1">
      <c r="A16580" s="172"/>
    </row>
    <row r="16581" spans="1:1" s="173" customFormat="1" ht="12" hidden="1" customHeight="1">
      <c r="A16581" s="172"/>
    </row>
    <row r="16582" spans="1:1" s="173" customFormat="1" ht="12" hidden="1" customHeight="1">
      <c r="A16582" s="172"/>
    </row>
    <row r="16583" spans="1:1" s="173" customFormat="1" ht="12" hidden="1" customHeight="1">
      <c r="A16583" s="172"/>
    </row>
    <row r="16584" spans="1:1" s="173" customFormat="1" ht="12" hidden="1" customHeight="1">
      <c r="A16584" s="172"/>
    </row>
    <row r="16585" spans="1:1" s="173" customFormat="1" ht="12" hidden="1" customHeight="1">
      <c r="A16585" s="172"/>
    </row>
    <row r="16586" spans="1:1" s="173" customFormat="1" ht="12" hidden="1" customHeight="1">
      <c r="A16586" s="172"/>
    </row>
    <row r="16587" spans="1:1" s="173" customFormat="1" ht="12" hidden="1" customHeight="1">
      <c r="A16587" s="172"/>
    </row>
    <row r="16588" spans="1:1" s="173" customFormat="1" ht="12" hidden="1" customHeight="1">
      <c r="A16588" s="172"/>
    </row>
    <row r="16589" spans="1:1" s="173" customFormat="1" ht="12" hidden="1" customHeight="1">
      <c r="A16589" s="172"/>
    </row>
    <row r="16590" spans="1:1" s="173" customFormat="1" ht="12" hidden="1" customHeight="1">
      <c r="A16590" s="172"/>
    </row>
    <row r="16591" spans="1:1" s="173" customFormat="1" ht="12" hidden="1" customHeight="1">
      <c r="A16591" s="172"/>
    </row>
    <row r="16592" spans="1:1" s="173" customFormat="1" ht="12" hidden="1" customHeight="1">
      <c r="A16592" s="172"/>
    </row>
    <row r="16593" spans="1:1" s="173" customFormat="1" ht="12" hidden="1" customHeight="1">
      <c r="A16593" s="172"/>
    </row>
    <row r="16594" spans="1:1" s="173" customFormat="1" ht="12" hidden="1" customHeight="1">
      <c r="A16594" s="172"/>
    </row>
    <row r="16595" spans="1:1" s="173" customFormat="1" ht="12" hidden="1" customHeight="1">
      <c r="A16595" s="172"/>
    </row>
    <row r="16596" spans="1:1" s="173" customFormat="1" ht="12" hidden="1" customHeight="1">
      <c r="A16596" s="172"/>
    </row>
    <row r="16597" spans="1:1" s="173" customFormat="1" ht="12" hidden="1" customHeight="1">
      <c r="A16597" s="172"/>
    </row>
    <row r="16598" spans="1:1" s="173" customFormat="1" ht="12" hidden="1" customHeight="1">
      <c r="A16598" s="172"/>
    </row>
    <row r="16599" spans="1:1" s="173" customFormat="1" ht="12" hidden="1" customHeight="1">
      <c r="A16599" s="172"/>
    </row>
    <row r="16600" spans="1:1" s="173" customFormat="1" ht="12" hidden="1" customHeight="1">
      <c r="A16600" s="172"/>
    </row>
    <row r="16601" spans="1:1" s="173" customFormat="1" ht="12" hidden="1" customHeight="1">
      <c r="A16601" s="172"/>
    </row>
    <row r="16602" spans="1:1" s="173" customFormat="1" ht="12" hidden="1" customHeight="1">
      <c r="A16602" s="172"/>
    </row>
    <row r="16603" spans="1:1" s="173" customFormat="1" ht="12" hidden="1" customHeight="1">
      <c r="A16603" s="172"/>
    </row>
    <row r="16604" spans="1:1" s="173" customFormat="1" ht="12" hidden="1" customHeight="1">
      <c r="A16604" s="172"/>
    </row>
    <row r="16605" spans="1:1" s="173" customFormat="1" ht="12" hidden="1" customHeight="1">
      <c r="A16605" s="172"/>
    </row>
    <row r="16606" spans="1:1" s="173" customFormat="1" ht="12" hidden="1" customHeight="1">
      <c r="A16606" s="172"/>
    </row>
    <row r="16607" spans="1:1" s="173" customFormat="1" ht="12" hidden="1" customHeight="1">
      <c r="A16607" s="172"/>
    </row>
    <row r="16608" spans="1:1" s="173" customFormat="1" ht="12" hidden="1" customHeight="1">
      <c r="A16608" s="172"/>
    </row>
    <row r="16609" spans="1:1" s="173" customFormat="1" ht="12" hidden="1" customHeight="1">
      <c r="A16609" s="172"/>
    </row>
    <row r="16610" spans="1:1" s="173" customFormat="1" ht="12" hidden="1" customHeight="1">
      <c r="A16610" s="172"/>
    </row>
    <row r="16611" spans="1:1" s="173" customFormat="1" ht="12" hidden="1" customHeight="1">
      <c r="A16611" s="172"/>
    </row>
    <row r="16612" spans="1:1" s="173" customFormat="1" ht="12" hidden="1" customHeight="1">
      <c r="A16612" s="172"/>
    </row>
    <row r="16613" spans="1:1" s="173" customFormat="1" ht="12" hidden="1" customHeight="1">
      <c r="A16613" s="172"/>
    </row>
    <row r="16614" spans="1:1" s="173" customFormat="1" ht="12" hidden="1" customHeight="1">
      <c r="A16614" s="172"/>
    </row>
    <row r="16615" spans="1:1" s="173" customFormat="1" ht="12" hidden="1" customHeight="1">
      <c r="A16615" s="172"/>
    </row>
    <row r="16616" spans="1:1" s="173" customFormat="1" ht="12" hidden="1" customHeight="1">
      <c r="A16616" s="172"/>
    </row>
    <row r="16617" spans="1:1" s="173" customFormat="1" ht="12" hidden="1" customHeight="1">
      <c r="A16617" s="172"/>
    </row>
    <row r="16618" spans="1:1" s="173" customFormat="1" ht="12" hidden="1" customHeight="1">
      <c r="A16618" s="172"/>
    </row>
    <row r="16619" spans="1:1" s="173" customFormat="1" ht="12" hidden="1" customHeight="1">
      <c r="A16619" s="172"/>
    </row>
    <row r="16620" spans="1:1" s="173" customFormat="1" ht="12" hidden="1" customHeight="1">
      <c r="A16620" s="172"/>
    </row>
    <row r="16621" spans="1:1" s="173" customFormat="1" ht="12" hidden="1" customHeight="1">
      <c r="A16621" s="172"/>
    </row>
    <row r="16622" spans="1:1" s="173" customFormat="1" ht="12" hidden="1" customHeight="1">
      <c r="A16622" s="172"/>
    </row>
    <row r="16623" spans="1:1" s="173" customFormat="1" ht="12" hidden="1" customHeight="1">
      <c r="A16623" s="172"/>
    </row>
    <row r="16624" spans="1:1" s="173" customFormat="1" ht="12" hidden="1" customHeight="1">
      <c r="A16624" s="172"/>
    </row>
    <row r="16625" spans="1:1" s="173" customFormat="1" ht="12" hidden="1" customHeight="1">
      <c r="A16625" s="172"/>
    </row>
    <row r="16626" spans="1:1" s="173" customFormat="1" ht="12" hidden="1" customHeight="1">
      <c r="A16626" s="172"/>
    </row>
    <row r="16627" spans="1:1" s="173" customFormat="1" ht="12" hidden="1" customHeight="1">
      <c r="A16627" s="172"/>
    </row>
    <row r="16628" spans="1:1" s="173" customFormat="1" ht="12" hidden="1" customHeight="1">
      <c r="A16628" s="172"/>
    </row>
    <row r="16629" spans="1:1" s="173" customFormat="1" ht="12" hidden="1" customHeight="1">
      <c r="A16629" s="172"/>
    </row>
    <row r="16630" spans="1:1" s="173" customFormat="1" ht="12" hidden="1" customHeight="1">
      <c r="A16630" s="172"/>
    </row>
    <row r="16631" spans="1:1" s="173" customFormat="1" ht="12" hidden="1" customHeight="1">
      <c r="A16631" s="172"/>
    </row>
    <row r="16632" spans="1:1" s="173" customFormat="1" ht="12" hidden="1" customHeight="1">
      <c r="A16632" s="172"/>
    </row>
    <row r="16633" spans="1:1" s="173" customFormat="1" ht="12" hidden="1" customHeight="1">
      <c r="A16633" s="172"/>
    </row>
    <row r="16634" spans="1:1" s="173" customFormat="1" ht="12" hidden="1" customHeight="1">
      <c r="A16634" s="172"/>
    </row>
    <row r="16635" spans="1:1" s="173" customFormat="1" ht="12" hidden="1" customHeight="1">
      <c r="A16635" s="172"/>
    </row>
    <row r="16636" spans="1:1" s="173" customFormat="1" ht="12" hidden="1" customHeight="1">
      <c r="A16636" s="172"/>
    </row>
    <row r="16637" spans="1:1" s="173" customFormat="1" ht="12" hidden="1" customHeight="1">
      <c r="A16637" s="172"/>
    </row>
    <row r="16638" spans="1:1" s="173" customFormat="1" ht="12" hidden="1" customHeight="1">
      <c r="A16638" s="172"/>
    </row>
    <row r="16639" spans="1:1" s="173" customFormat="1" ht="12" hidden="1" customHeight="1">
      <c r="A16639" s="172"/>
    </row>
    <row r="16640" spans="1:1" s="173" customFormat="1" ht="12" hidden="1" customHeight="1">
      <c r="A16640" s="172"/>
    </row>
    <row r="16641" spans="1:1" s="173" customFormat="1" ht="12" hidden="1" customHeight="1">
      <c r="A16641" s="172"/>
    </row>
    <row r="16642" spans="1:1" s="173" customFormat="1" ht="12" hidden="1" customHeight="1">
      <c r="A16642" s="172"/>
    </row>
    <row r="16643" spans="1:1" s="173" customFormat="1" ht="12" hidden="1" customHeight="1">
      <c r="A16643" s="172"/>
    </row>
    <row r="16644" spans="1:1" s="173" customFormat="1" ht="12" hidden="1" customHeight="1">
      <c r="A16644" s="172"/>
    </row>
    <row r="16645" spans="1:1" s="173" customFormat="1" ht="12" hidden="1" customHeight="1">
      <c r="A16645" s="172"/>
    </row>
    <row r="16646" spans="1:1" s="173" customFormat="1" ht="12" hidden="1" customHeight="1">
      <c r="A16646" s="172"/>
    </row>
    <row r="16647" spans="1:1" s="173" customFormat="1" ht="12" hidden="1" customHeight="1">
      <c r="A16647" s="172"/>
    </row>
    <row r="16648" spans="1:1" s="173" customFormat="1" ht="12" hidden="1" customHeight="1">
      <c r="A16648" s="172"/>
    </row>
    <row r="16649" spans="1:1" s="173" customFormat="1" ht="12" hidden="1" customHeight="1">
      <c r="A16649" s="172"/>
    </row>
    <row r="16650" spans="1:1" s="173" customFormat="1" ht="12" hidden="1" customHeight="1">
      <c r="A16650" s="172"/>
    </row>
    <row r="16651" spans="1:1" s="173" customFormat="1" ht="12" hidden="1" customHeight="1">
      <c r="A16651" s="172"/>
    </row>
    <row r="16652" spans="1:1" s="173" customFormat="1" ht="12" hidden="1" customHeight="1">
      <c r="A16652" s="172"/>
    </row>
    <row r="16653" spans="1:1" s="173" customFormat="1" ht="12" hidden="1" customHeight="1">
      <c r="A16653" s="172"/>
    </row>
    <row r="16654" spans="1:1" s="173" customFormat="1" ht="12" hidden="1" customHeight="1">
      <c r="A16654" s="172"/>
    </row>
    <row r="16655" spans="1:1" s="173" customFormat="1" ht="12" hidden="1" customHeight="1">
      <c r="A16655" s="172"/>
    </row>
    <row r="16656" spans="1:1" s="173" customFormat="1" ht="12" hidden="1" customHeight="1">
      <c r="A16656" s="172"/>
    </row>
    <row r="16657" spans="1:1" s="173" customFormat="1" ht="12" hidden="1" customHeight="1">
      <c r="A16657" s="172"/>
    </row>
    <row r="16658" spans="1:1" s="173" customFormat="1" ht="12" hidden="1" customHeight="1">
      <c r="A16658" s="172"/>
    </row>
    <row r="16659" spans="1:1" s="173" customFormat="1" ht="12" hidden="1" customHeight="1">
      <c r="A16659" s="172"/>
    </row>
    <row r="16660" spans="1:1" s="173" customFormat="1" ht="12" hidden="1" customHeight="1">
      <c r="A16660" s="172"/>
    </row>
    <row r="16661" spans="1:1" s="173" customFormat="1" ht="12" hidden="1" customHeight="1">
      <c r="A16661" s="172"/>
    </row>
    <row r="16662" spans="1:1" s="173" customFormat="1" ht="12" hidden="1" customHeight="1">
      <c r="A16662" s="172"/>
    </row>
    <row r="16663" spans="1:1" s="173" customFormat="1" ht="12" hidden="1" customHeight="1">
      <c r="A16663" s="172"/>
    </row>
    <row r="16664" spans="1:1" s="173" customFormat="1" ht="12" hidden="1" customHeight="1">
      <c r="A16664" s="172"/>
    </row>
    <row r="16665" spans="1:1" s="173" customFormat="1" ht="12" hidden="1" customHeight="1">
      <c r="A16665" s="172"/>
    </row>
    <row r="16666" spans="1:1" s="173" customFormat="1" ht="12" hidden="1" customHeight="1">
      <c r="A16666" s="172"/>
    </row>
    <row r="16667" spans="1:1" s="173" customFormat="1" ht="12" hidden="1" customHeight="1">
      <c r="A16667" s="172"/>
    </row>
    <row r="16668" spans="1:1" s="173" customFormat="1" ht="12" hidden="1" customHeight="1">
      <c r="A16668" s="172"/>
    </row>
    <row r="16669" spans="1:1" s="173" customFormat="1" ht="12" hidden="1" customHeight="1">
      <c r="A16669" s="172"/>
    </row>
    <row r="16670" spans="1:1" s="173" customFormat="1" ht="12" hidden="1" customHeight="1">
      <c r="A16670" s="172"/>
    </row>
    <row r="16671" spans="1:1" s="173" customFormat="1" ht="12" hidden="1" customHeight="1">
      <c r="A16671" s="172"/>
    </row>
    <row r="16672" spans="1:1" s="173" customFormat="1" ht="12" hidden="1" customHeight="1">
      <c r="A16672" s="172"/>
    </row>
    <row r="16673" spans="1:1" s="173" customFormat="1" ht="12" hidden="1" customHeight="1">
      <c r="A16673" s="172"/>
    </row>
    <row r="16674" spans="1:1" s="173" customFormat="1" ht="12" hidden="1" customHeight="1">
      <c r="A16674" s="172"/>
    </row>
    <row r="16675" spans="1:1" s="173" customFormat="1" ht="12" hidden="1" customHeight="1">
      <c r="A16675" s="172"/>
    </row>
    <row r="16676" spans="1:1" s="173" customFormat="1" ht="12" hidden="1" customHeight="1">
      <c r="A16676" s="172"/>
    </row>
    <row r="16677" spans="1:1" s="173" customFormat="1" ht="12" hidden="1" customHeight="1">
      <c r="A16677" s="172"/>
    </row>
    <row r="16678" spans="1:1" s="173" customFormat="1" ht="12" hidden="1" customHeight="1">
      <c r="A16678" s="172"/>
    </row>
    <row r="16679" spans="1:1" s="173" customFormat="1" ht="12" hidden="1" customHeight="1">
      <c r="A16679" s="172"/>
    </row>
    <row r="16680" spans="1:1" s="173" customFormat="1" ht="12" hidden="1" customHeight="1">
      <c r="A16680" s="172"/>
    </row>
    <row r="16681" spans="1:1" s="173" customFormat="1" ht="12" hidden="1" customHeight="1">
      <c r="A16681" s="172"/>
    </row>
    <row r="16682" spans="1:1" s="173" customFormat="1" ht="12" hidden="1" customHeight="1">
      <c r="A16682" s="172"/>
    </row>
    <row r="16683" spans="1:1" s="173" customFormat="1" ht="12" hidden="1" customHeight="1">
      <c r="A16683" s="172"/>
    </row>
    <row r="16684" spans="1:1" s="173" customFormat="1" ht="12" hidden="1" customHeight="1">
      <c r="A16684" s="172"/>
    </row>
    <row r="16685" spans="1:1" s="173" customFormat="1" ht="12" hidden="1" customHeight="1">
      <c r="A16685" s="172"/>
    </row>
    <row r="16686" spans="1:1" s="173" customFormat="1" ht="12" hidden="1" customHeight="1">
      <c r="A16686" s="172"/>
    </row>
    <row r="16687" spans="1:1" s="173" customFormat="1" ht="12" hidden="1" customHeight="1">
      <c r="A16687" s="172"/>
    </row>
    <row r="16688" spans="1:1" s="173" customFormat="1" ht="12" hidden="1" customHeight="1">
      <c r="A16688" s="172"/>
    </row>
    <row r="16689" spans="1:1" s="173" customFormat="1" ht="12" hidden="1" customHeight="1">
      <c r="A16689" s="172"/>
    </row>
    <row r="16690" spans="1:1" s="173" customFormat="1" ht="12" hidden="1" customHeight="1">
      <c r="A16690" s="172"/>
    </row>
    <row r="16691" spans="1:1" s="173" customFormat="1" ht="12" hidden="1" customHeight="1">
      <c r="A16691" s="172"/>
    </row>
    <row r="16692" spans="1:1" s="173" customFormat="1" ht="12" hidden="1" customHeight="1">
      <c r="A16692" s="172"/>
    </row>
    <row r="16693" spans="1:1" s="173" customFormat="1" ht="12" hidden="1" customHeight="1">
      <c r="A16693" s="172"/>
    </row>
    <row r="16694" spans="1:1" s="173" customFormat="1" ht="12" hidden="1" customHeight="1">
      <c r="A16694" s="172"/>
    </row>
    <row r="16695" spans="1:1" s="173" customFormat="1" ht="12" hidden="1" customHeight="1">
      <c r="A16695" s="172"/>
    </row>
    <row r="16696" spans="1:1" s="173" customFormat="1" ht="12" hidden="1" customHeight="1">
      <c r="A16696" s="172"/>
    </row>
    <row r="16697" spans="1:1" s="173" customFormat="1" ht="12" hidden="1" customHeight="1">
      <c r="A16697" s="172"/>
    </row>
    <row r="16698" spans="1:1" s="173" customFormat="1" ht="12" hidden="1" customHeight="1">
      <c r="A16698" s="172"/>
    </row>
    <row r="16699" spans="1:1" s="173" customFormat="1" ht="12" hidden="1" customHeight="1">
      <c r="A16699" s="172"/>
    </row>
    <row r="16700" spans="1:1" s="173" customFormat="1" ht="12" hidden="1" customHeight="1">
      <c r="A16700" s="172"/>
    </row>
    <row r="16701" spans="1:1" s="173" customFormat="1" ht="12" hidden="1" customHeight="1">
      <c r="A16701" s="172"/>
    </row>
    <row r="16702" spans="1:1" s="173" customFormat="1" ht="12" hidden="1" customHeight="1">
      <c r="A16702" s="172"/>
    </row>
    <row r="16703" spans="1:1" s="173" customFormat="1" ht="12" hidden="1" customHeight="1">
      <c r="A16703" s="172"/>
    </row>
    <row r="16704" spans="1:1" s="173" customFormat="1" ht="12" hidden="1" customHeight="1">
      <c r="A16704" s="172"/>
    </row>
    <row r="16705" spans="1:1" s="173" customFormat="1" ht="12" hidden="1" customHeight="1">
      <c r="A16705" s="172"/>
    </row>
    <row r="16706" spans="1:1" s="173" customFormat="1" ht="12" hidden="1" customHeight="1">
      <c r="A16706" s="172"/>
    </row>
    <row r="16707" spans="1:1" s="173" customFormat="1" ht="12" hidden="1" customHeight="1">
      <c r="A16707" s="172"/>
    </row>
    <row r="16708" spans="1:1" s="173" customFormat="1" ht="12" hidden="1" customHeight="1">
      <c r="A16708" s="172"/>
    </row>
    <row r="16709" spans="1:1" s="173" customFormat="1" ht="12" hidden="1" customHeight="1">
      <c r="A16709" s="172"/>
    </row>
    <row r="16710" spans="1:1" s="173" customFormat="1" ht="12" hidden="1" customHeight="1">
      <c r="A16710" s="172"/>
    </row>
    <row r="16711" spans="1:1" s="173" customFormat="1" ht="12" hidden="1" customHeight="1">
      <c r="A16711" s="172"/>
    </row>
    <row r="16712" spans="1:1" s="173" customFormat="1" ht="12" hidden="1" customHeight="1">
      <c r="A16712" s="172"/>
    </row>
    <row r="16713" spans="1:1" s="173" customFormat="1" ht="12" hidden="1" customHeight="1">
      <c r="A16713" s="172"/>
    </row>
    <row r="16714" spans="1:1" s="173" customFormat="1" ht="12" hidden="1" customHeight="1">
      <c r="A16714" s="172"/>
    </row>
    <row r="16715" spans="1:1" s="173" customFormat="1" ht="12" hidden="1" customHeight="1">
      <c r="A16715" s="172"/>
    </row>
    <row r="16716" spans="1:1" s="173" customFormat="1" ht="12" hidden="1" customHeight="1">
      <c r="A16716" s="172"/>
    </row>
    <row r="16717" spans="1:1" s="173" customFormat="1" ht="12" hidden="1" customHeight="1">
      <c r="A16717" s="172"/>
    </row>
    <row r="16718" spans="1:1" s="173" customFormat="1" ht="12" hidden="1" customHeight="1">
      <c r="A16718" s="172"/>
    </row>
    <row r="16719" spans="1:1" s="173" customFormat="1" ht="12" hidden="1" customHeight="1">
      <c r="A16719" s="172"/>
    </row>
    <row r="16720" spans="1:1" s="173" customFormat="1" ht="12" hidden="1" customHeight="1">
      <c r="A16720" s="172"/>
    </row>
    <row r="16721" spans="1:1" s="173" customFormat="1" ht="12" hidden="1" customHeight="1">
      <c r="A16721" s="172"/>
    </row>
    <row r="16722" spans="1:1" s="173" customFormat="1" ht="12" hidden="1" customHeight="1">
      <c r="A16722" s="172"/>
    </row>
    <row r="16723" spans="1:1" s="173" customFormat="1" ht="12" hidden="1" customHeight="1">
      <c r="A16723" s="172"/>
    </row>
    <row r="16724" spans="1:1" s="173" customFormat="1" ht="12" hidden="1" customHeight="1">
      <c r="A16724" s="172"/>
    </row>
    <row r="16725" spans="1:1" s="173" customFormat="1" ht="12" hidden="1" customHeight="1">
      <c r="A16725" s="172"/>
    </row>
    <row r="16726" spans="1:1" s="173" customFormat="1" ht="12" hidden="1" customHeight="1">
      <c r="A16726" s="172"/>
    </row>
    <row r="16727" spans="1:1" s="173" customFormat="1" ht="12" hidden="1" customHeight="1">
      <c r="A16727" s="172"/>
    </row>
    <row r="16728" spans="1:1" s="173" customFormat="1" ht="12" hidden="1" customHeight="1">
      <c r="A16728" s="172"/>
    </row>
    <row r="16729" spans="1:1" s="173" customFormat="1" ht="12" hidden="1" customHeight="1">
      <c r="A16729" s="172"/>
    </row>
    <row r="16730" spans="1:1" s="173" customFormat="1" ht="12" hidden="1" customHeight="1">
      <c r="A16730" s="172"/>
    </row>
    <row r="16731" spans="1:1" s="173" customFormat="1" ht="12" hidden="1" customHeight="1">
      <c r="A16731" s="172"/>
    </row>
    <row r="16732" spans="1:1" s="173" customFormat="1" ht="12" hidden="1" customHeight="1">
      <c r="A16732" s="172"/>
    </row>
    <row r="16733" spans="1:1" s="173" customFormat="1" ht="12" hidden="1" customHeight="1">
      <c r="A16733" s="172"/>
    </row>
    <row r="16734" spans="1:1" s="173" customFormat="1" ht="12" hidden="1" customHeight="1">
      <c r="A16734" s="172"/>
    </row>
    <row r="16735" spans="1:1" s="173" customFormat="1" ht="12" hidden="1" customHeight="1">
      <c r="A16735" s="172"/>
    </row>
    <row r="16736" spans="1:1" s="173" customFormat="1" ht="12" hidden="1" customHeight="1">
      <c r="A16736" s="172"/>
    </row>
    <row r="16737" spans="1:1" s="173" customFormat="1" ht="12" hidden="1" customHeight="1">
      <c r="A16737" s="172"/>
    </row>
    <row r="16738" spans="1:1" s="173" customFormat="1" ht="12" hidden="1" customHeight="1">
      <c r="A16738" s="172"/>
    </row>
    <row r="16739" spans="1:1" s="173" customFormat="1" ht="12" hidden="1" customHeight="1">
      <c r="A16739" s="172"/>
    </row>
    <row r="16740" spans="1:1" s="173" customFormat="1" ht="12" hidden="1" customHeight="1">
      <c r="A16740" s="172"/>
    </row>
    <row r="16741" spans="1:1" s="173" customFormat="1" ht="12" hidden="1" customHeight="1">
      <c r="A16741" s="172"/>
    </row>
    <row r="16742" spans="1:1" s="173" customFormat="1" ht="12" hidden="1" customHeight="1">
      <c r="A16742" s="172"/>
    </row>
    <row r="16743" spans="1:1" s="173" customFormat="1" ht="12" hidden="1" customHeight="1">
      <c r="A16743" s="172"/>
    </row>
    <row r="16744" spans="1:1" s="173" customFormat="1" ht="12" hidden="1" customHeight="1">
      <c r="A16744" s="172"/>
    </row>
    <row r="16745" spans="1:1" s="173" customFormat="1" ht="12" hidden="1" customHeight="1">
      <c r="A16745" s="172"/>
    </row>
    <row r="16746" spans="1:1" s="173" customFormat="1" ht="12" hidden="1" customHeight="1">
      <c r="A16746" s="172"/>
    </row>
    <row r="16747" spans="1:1" s="173" customFormat="1" ht="12" hidden="1" customHeight="1">
      <c r="A16747" s="172"/>
    </row>
    <row r="16748" spans="1:1" s="173" customFormat="1" ht="12" hidden="1" customHeight="1">
      <c r="A16748" s="172"/>
    </row>
    <row r="16749" spans="1:1" s="173" customFormat="1" ht="12" hidden="1" customHeight="1">
      <c r="A16749" s="172"/>
    </row>
    <row r="16750" spans="1:1" s="173" customFormat="1" ht="12" hidden="1" customHeight="1">
      <c r="A16750" s="172"/>
    </row>
    <row r="16751" spans="1:1" s="173" customFormat="1" ht="12" hidden="1" customHeight="1">
      <c r="A16751" s="172"/>
    </row>
    <row r="16752" spans="1:1" s="173" customFormat="1" ht="12" hidden="1" customHeight="1">
      <c r="A16752" s="172"/>
    </row>
    <row r="16753" spans="1:1" s="173" customFormat="1" ht="12" hidden="1" customHeight="1">
      <c r="A16753" s="172"/>
    </row>
    <row r="16754" spans="1:1" s="173" customFormat="1" ht="12" hidden="1" customHeight="1">
      <c r="A16754" s="172"/>
    </row>
    <row r="16755" spans="1:1" s="173" customFormat="1" ht="12" hidden="1" customHeight="1">
      <c r="A16755" s="172"/>
    </row>
    <row r="16756" spans="1:1" s="173" customFormat="1" ht="12" hidden="1" customHeight="1">
      <c r="A16756" s="172"/>
    </row>
    <row r="16757" spans="1:1" s="173" customFormat="1" ht="12" hidden="1" customHeight="1">
      <c r="A16757" s="172"/>
    </row>
    <row r="16758" spans="1:1" s="173" customFormat="1" ht="12" hidden="1" customHeight="1">
      <c r="A16758" s="172"/>
    </row>
    <row r="16759" spans="1:1" s="173" customFormat="1" ht="12" hidden="1" customHeight="1">
      <c r="A16759" s="172"/>
    </row>
    <row r="16760" spans="1:1" s="173" customFormat="1" ht="12" hidden="1" customHeight="1">
      <c r="A16760" s="172"/>
    </row>
    <row r="16761" spans="1:1" s="173" customFormat="1" ht="12" hidden="1" customHeight="1">
      <c r="A16761" s="172"/>
    </row>
    <row r="16762" spans="1:1" s="173" customFormat="1" ht="12" hidden="1" customHeight="1">
      <c r="A16762" s="172"/>
    </row>
    <row r="16763" spans="1:1" s="173" customFormat="1" ht="12" hidden="1" customHeight="1">
      <c r="A16763" s="172"/>
    </row>
    <row r="16764" spans="1:1" s="173" customFormat="1" ht="12" hidden="1" customHeight="1">
      <c r="A16764" s="172"/>
    </row>
    <row r="16765" spans="1:1" s="173" customFormat="1" ht="12" hidden="1" customHeight="1">
      <c r="A16765" s="172"/>
    </row>
    <row r="16766" spans="1:1" s="173" customFormat="1" ht="12" hidden="1" customHeight="1">
      <c r="A16766" s="172"/>
    </row>
    <row r="16767" spans="1:1" s="173" customFormat="1" ht="12" hidden="1" customHeight="1">
      <c r="A16767" s="172"/>
    </row>
    <row r="16768" spans="1:1" s="173" customFormat="1" ht="12" hidden="1" customHeight="1">
      <c r="A16768" s="172"/>
    </row>
    <row r="16769" spans="1:1" s="173" customFormat="1" ht="12" hidden="1" customHeight="1">
      <c r="A16769" s="172"/>
    </row>
    <row r="16770" spans="1:1" s="173" customFormat="1" ht="12" hidden="1" customHeight="1">
      <c r="A16770" s="172"/>
    </row>
    <row r="16771" spans="1:1" s="173" customFormat="1" ht="12" hidden="1" customHeight="1">
      <c r="A16771" s="172"/>
    </row>
    <row r="16772" spans="1:1" s="173" customFormat="1" ht="12" hidden="1" customHeight="1">
      <c r="A16772" s="172"/>
    </row>
    <row r="16773" spans="1:1" s="173" customFormat="1" ht="12" hidden="1" customHeight="1">
      <c r="A16773" s="172"/>
    </row>
    <row r="16774" spans="1:1" s="173" customFormat="1" ht="12" hidden="1" customHeight="1">
      <c r="A16774" s="172"/>
    </row>
    <row r="16775" spans="1:1" s="173" customFormat="1" ht="12" hidden="1" customHeight="1">
      <c r="A16775" s="172"/>
    </row>
    <row r="16776" spans="1:1" s="173" customFormat="1" ht="12" hidden="1" customHeight="1">
      <c r="A16776" s="172"/>
    </row>
    <row r="16777" spans="1:1" s="173" customFormat="1" ht="12" hidden="1" customHeight="1">
      <c r="A16777" s="172"/>
    </row>
    <row r="16778" spans="1:1" s="173" customFormat="1" ht="12" hidden="1" customHeight="1">
      <c r="A16778" s="172"/>
    </row>
    <row r="16779" spans="1:1" s="173" customFormat="1" ht="12" hidden="1" customHeight="1">
      <c r="A16779" s="172"/>
    </row>
    <row r="16780" spans="1:1" s="173" customFormat="1" ht="12" hidden="1" customHeight="1">
      <c r="A16780" s="172"/>
    </row>
    <row r="16781" spans="1:1" s="173" customFormat="1" ht="12" hidden="1" customHeight="1">
      <c r="A16781" s="172"/>
    </row>
    <row r="16782" spans="1:1" s="173" customFormat="1" ht="12" hidden="1" customHeight="1">
      <c r="A16782" s="172"/>
    </row>
    <row r="16783" spans="1:1" s="173" customFormat="1" ht="12" hidden="1" customHeight="1">
      <c r="A16783" s="172"/>
    </row>
    <row r="16784" spans="1:1" s="173" customFormat="1" ht="12" hidden="1" customHeight="1">
      <c r="A16784" s="172"/>
    </row>
    <row r="16785" spans="1:1" s="173" customFormat="1" ht="12" hidden="1" customHeight="1">
      <c r="A16785" s="172"/>
    </row>
    <row r="16786" spans="1:1" s="173" customFormat="1" ht="12" hidden="1" customHeight="1">
      <c r="A16786" s="172"/>
    </row>
    <row r="16787" spans="1:1" s="173" customFormat="1" ht="12" hidden="1" customHeight="1">
      <c r="A16787" s="172"/>
    </row>
    <row r="16788" spans="1:1" s="173" customFormat="1" ht="12" hidden="1" customHeight="1">
      <c r="A16788" s="172"/>
    </row>
    <row r="16789" spans="1:1" s="173" customFormat="1" ht="12" hidden="1" customHeight="1">
      <c r="A16789" s="172"/>
    </row>
    <row r="16790" spans="1:1" s="173" customFormat="1" ht="12" hidden="1" customHeight="1">
      <c r="A16790" s="172"/>
    </row>
    <row r="16791" spans="1:1" s="173" customFormat="1" ht="12" hidden="1" customHeight="1">
      <c r="A16791" s="172"/>
    </row>
    <row r="16792" spans="1:1" s="173" customFormat="1" ht="12" hidden="1" customHeight="1">
      <c r="A16792" s="172"/>
    </row>
    <row r="16793" spans="1:1" s="173" customFormat="1" ht="12" hidden="1" customHeight="1">
      <c r="A16793" s="172"/>
    </row>
    <row r="16794" spans="1:1" s="173" customFormat="1" ht="12" hidden="1" customHeight="1">
      <c r="A16794" s="172"/>
    </row>
    <row r="16795" spans="1:1" s="173" customFormat="1" ht="12" hidden="1" customHeight="1">
      <c r="A16795" s="172"/>
    </row>
    <row r="16796" spans="1:1" s="173" customFormat="1" ht="12" hidden="1" customHeight="1">
      <c r="A16796" s="172"/>
    </row>
    <row r="16797" spans="1:1" s="173" customFormat="1" ht="12" hidden="1" customHeight="1">
      <c r="A16797" s="172"/>
    </row>
    <row r="16798" spans="1:1" s="173" customFormat="1" ht="12" hidden="1" customHeight="1">
      <c r="A16798" s="172"/>
    </row>
    <row r="16799" spans="1:1" s="173" customFormat="1" ht="12" hidden="1" customHeight="1">
      <c r="A16799" s="172"/>
    </row>
    <row r="16800" spans="1:1" s="173" customFormat="1" ht="12" hidden="1" customHeight="1">
      <c r="A16800" s="172"/>
    </row>
    <row r="16801" spans="1:1" s="173" customFormat="1" ht="12" hidden="1" customHeight="1">
      <c r="A16801" s="172"/>
    </row>
    <row r="16802" spans="1:1" s="173" customFormat="1" ht="12" hidden="1" customHeight="1">
      <c r="A16802" s="172"/>
    </row>
    <row r="16803" spans="1:1" s="173" customFormat="1" ht="12" hidden="1" customHeight="1">
      <c r="A16803" s="172"/>
    </row>
    <row r="16804" spans="1:1" s="173" customFormat="1" ht="12" hidden="1" customHeight="1">
      <c r="A16804" s="172"/>
    </row>
    <row r="16805" spans="1:1" s="173" customFormat="1" ht="12" hidden="1" customHeight="1">
      <c r="A16805" s="172"/>
    </row>
    <row r="16806" spans="1:1" s="173" customFormat="1" ht="12" hidden="1" customHeight="1">
      <c r="A16806" s="172"/>
    </row>
    <row r="16807" spans="1:1" s="173" customFormat="1" ht="12" hidden="1" customHeight="1">
      <c r="A16807" s="172"/>
    </row>
    <row r="16808" spans="1:1" s="173" customFormat="1" ht="12" hidden="1" customHeight="1">
      <c r="A16808" s="172"/>
    </row>
    <row r="16809" spans="1:1" s="173" customFormat="1" ht="12" hidden="1" customHeight="1">
      <c r="A16809" s="172"/>
    </row>
    <row r="16810" spans="1:1" s="173" customFormat="1" ht="12" hidden="1" customHeight="1">
      <c r="A16810" s="172"/>
    </row>
    <row r="16811" spans="1:1" s="173" customFormat="1" ht="12" hidden="1" customHeight="1">
      <c r="A16811" s="172"/>
    </row>
    <row r="16812" spans="1:1" s="173" customFormat="1" ht="12" hidden="1" customHeight="1">
      <c r="A16812" s="172"/>
    </row>
    <row r="16813" spans="1:1" s="173" customFormat="1" ht="12" hidden="1" customHeight="1">
      <c r="A16813" s="172"/>
    </row>
    <row r="16814" spans="1:1" s="173" customFormat="1" ht="12" hidden="1" customHeight="1">
      <c r="A16814" s="172"/>
    </row>
    <row r="16815" spans="1:1" s="173" customFormat="1" ht="12" hidden="1" customHeight="1">
      <c r="A16815" s="172"/>
    </row>
    <row r="16816" spans="1:1" s="173" customFormat="1" ht="12" hidden="1" customHeight="1">
      <c r="A16816" s="172"/>
    </row>
    <row r="16817" spans="1:1" s="173" customFormat="1" ht="12" hidden="1" customHeight="1">
      <c r="A16817" s="172"/>
    </row>
    <row r="16818" spans="1:1" s="173" customFormat="1" ht="12" hidden="1" customHeight="1">
      <c r="A16818" s="172"/>
    </row>
    <row r="16819" spans="1:1" s="173" customFormat="1" ht="12" hidden="1" customHeight="1">
      <c r="A16819" s="172"/>
    </row>
    <row r="16820" spans="1:1" s="173" customFormat="1" ht="12" hidden="1" customHeight="1">
      <c r="A16820" s="172"/>
    </row>
    <row r="16821" spans="1:1" s="173" customFormat="1" ht="12" hidden="1" customHeight="1">
      <c r="A16821" s="172"/>
    </row>
    <row r="16822" spans="1:1" s="173" customFormat="1" ht="12" hidden="1" customHeight="1">
      <c r="A16822" s="172"/>
    </row>
    <row r="16823" spans="1:1" s="173" customFormat="1" ht="12" hidden="1" customHeight="1">
      <c r="A16823" s="172"/>
    </row>
    <row r="16824" spans="1:1" s="173" customFormat="1" ht="12" hidden="1" customHeight="1">
      <c r="A16824" s="172"/>
    </row>
    <row r="16825" spans="1:1" s="173" customFormat="1" ht="12" hidden="1" customHeight="1">
      <c r="A16825" s="172"/>
    </row>
    <row r="16826" spans="1:1" s="173" customFormat="1" ht="12" hidden="1" customHeight="1">
      <c r="A16826" s="172"/>
    </row>
    <row r="16827" spans="1:1" s="173" customFormat="1" ht="12" hidden="1" customHeight="1">
      <c r="A16827" s="172"/>
    </row>
    <row r="16828" spans="1:1" s="173" customFormat="1" ht="12" hidden="1" customHeight="1">
      <c r="A16828" s="172"/>
    </row>
    <row r="16829" spans="1:1" s="173" customFormat="1" ht="12" hidden="1" customHeight="1">
      <c r="A16829" s="172"/>
    </row>
    <row r="16830" spans="1:1" s="173" customFormat="1" ht="12" hidden="1" customHeight="1">
      <c r="A16830" s="172"/>
    </row>
    <row r="16831" spans="1:1" s="173" customFormat="1" ht="12" hidden="1" customHeight="1">
      <c r="A16831" s="172"/>
    </row>
    <row r="16832" spans="1:1" s="173" customFormat="1" ht="12" hidden="1" customHeight="1">
      <c r="A16832" s="172"/>
    </row>
    <row r="16833" spans="1:1" s="173" customFormat="1" ht="12" hidden="1" customHeight="1">
      <c r="A16833" s="172"/>
    </row>
    <row r="16834" spans="1:1" s="173" customFormat="1" ht="12" hidden="1" customHeight="1">
      <c r="A16834" s="172"/>
    </row>
    <row r="16835" spans="1:1" s="173" customFormat="1" ht="12" hidden="1" customHeight="1">
      <c r="A16835" s="172"/>
    </row>
    <row r="16836" spans="1:1" s="173" customFormat="1" ht="12" hidden="1" customHeight="1">
      <c r="A16836" s="172"/>
    </row>
    <row r="16837" spans="1:1" s="173" customFormat="1" ht="12" hidden="1" customHeight="1">
      <c r="A16837" s="172"/>
    </row>
    <row r="16838" spans="1:1" s="173" customFormat="1" ht="12" hidden="1" customHeight="1">
      <c r="A16838" s="172"/>
    </row>
    <row r="16839" spans="1:1" s="173" customFormat="1" ht="12" hidden="1" customHeight="1">
      <c r="A16839" s="172"/>
    </row>
    <row r="16840" spans="1:1" s="173" customFormat="1" ht="12" hidden="1" customHeight="1">
      <c r="A16840" s="172"/>
    </row>
    <row r="16841" spans="1:1" s="173" customFormat="1" ht="12" hidden="1" customHeight="1">
      <c r="A16841" s="172"/>
    </row>
    <row r="16842" spans="1:1" s="173" customFormat="1" ht="12" hidden="1" customHeight="1">
      <c r="A16842" s="172"/>
    </row>
    <row r="16843" spans="1:1" s="173" customFormat="1" ht="12" hidden="1" customHeight="1">
      <c r="A16843" s="172"/>
    </row>
    <row r="16844" spans="1:1" s="173" customFormat="1" ht="12" hidden="1" customHeight="1">
      <c r="A16844" s="172"/>
    </row>
    <row r="16845" spans="1:1" s="173" customFormat="1" ht="12" hidden="1" customHeight="1">
      <c r="A16845" s="172"/>
    </row>
    <row r="16846" spans="1:1" s="173" customFormat="1" ht="12" hidden="1" customHeight="1">
      <c r="A16846" s="172"/>
    </row>
    <row r="16847" spans="1:1" s="173" customFormat="1" ht="12" hidden="1" customHeight="1">
      <c r="A16847" s="172"/>
    </row>
    <row r="16848" spans="1:1" s="173" customFormat="1" ht="12" hidden="1" customHeight="1">
      <c r="A16848" s="172"/>
    </row>
    <row r="16849" spans="1:1" s="173" customFormat="1" ht="12" hidden="1" customHeight="1">
      <c r="A16849" s="172"/>
    </row>
    <row r="16850" spans="1:1" s="173" customFormat="1" ht="12" hidden="1" customHeight="1">
      <c r="A16850" s="172"/>
    </row>
    <row r="16851" spans="1:1" s="173" customFormat="1" ht="12" hidden="1" customHeight="1">
      <c r="A16851" s="172"/>
    </row>
    <row r="16852" spans="1:1" s="173" customFormat="1" ht="12" hidden="1" customHeight="1">
      <c r="A16852" s="172"/>
    </row>
    <row r="16853" spans="1:1" s="173" customFormat="1" ht="12" hidden="1" customHeight="1">
      <c r="A16853" s="172"/>
    </row>
    <row r="16854" spans="1:1" s="173" customFormat="1" ht="12" hidden="1" customHeight="1">
      <c r="A16854" s="172"/>
    </row>
    <row r="16855" spans="1:1" s="173" customFormat="1" ht="12" hidden="1" customHeight="1">
      <c r="A16855" s="172"/>
    </row>
    <row r="16856" spans="1:1" s="173" customFormat="1" ht="12" hidden="1" customHeight="1">
      <c r="A16856" s="172"/>
    </row>
    <row r="16857" spans="1:1" s="173" customFormat="1" ht="12" hidden="1" customHeight="1">
      <c r="A16857" s="172"/>
    </row>
    <row r="16858" spans="1:1" s="173" customFormat="1" ht="12" hidden="1" customHeight="1">
      <c r="A16858" s="172"/>
    </row>
    <row r="16859" spans="1:1" s="173" customFormat="1" ht="12" hidden="1" customHeight="1">
      <c r="A16859" s="172"/>
    </row>
    <row r="16860" spans="1:1" s="173" customFormat="1" ht="12" hidden="1" customHeight="1">
      <c r="A16860" s="172"/>
    </row>
    <row r="16861" spans="1:1" s="173" customFormat="1" ht="12" hidden="1" customHeight="1">
      <c r="A16861" s="172"/>
    </row>
    <row r="16862" spans="1:1" s="173" customFormat="1" ht="12" hidden="1" customHeight="1">
      <c r="A16862" s="172"/>
    </row>
    <row r="16863" spans="1:1" s="173" customFormat="1" ht="12" hidden="1" customHeight="1">
      <c r="A16863" s="172"/>
    </row>
    <row r="16864" spans="1:1" s="173" customFormat="1" ht="12" hidden="1" customHeight="1">
      <c r="A16864" s="172"/>
    </row>
    <row r="16865" spans="1:1" s="173" customFormat="1" ht="12" hidden="1" customHeight="1">
      <c r="A16865" s="172"/>
    </row>
    <row r="16866" spans="1:1" s="173" customFormat="1" ht="12" hidden="1" customHeight="1">
      <c r="A16866" s="172"/>
    </row>
    <row r="16867" spans="1:1" s="173" customFormat="1" ht="12" hidden="1" customHeight="1">
      <c r="A16867" s="172"/>
    </row>
    <row r="16868" spans="1:1" s="173" customFormat="1" ht="12" hidden="1" customHeight="1">
      <c r="A16868" s="172"/>
    </row>
    <row r="16869" spans="1:1" s="173" customFormat="1" ht="12" hidden="1" customHeight="1">
      <c r="A16869" s="172"/>
    </row>
    <row r="16870" spans="1:1" s="173" customFormat="1" ht="12" hidden="1" customHeight="1">
      <c r="A16870" s="172"/>
    </row>
    <row r="16871" spans="1:1" s="173" customFormat="1" ht="12" hidden="1" customHeight="1">
      <c r="A16871" s="172"/>
    </row>
    <row r="16872" spans="1:1" s="173" customFormat="1" ht="12" hidden="1" customHeight="1">
      <c r="A16872" s="172"/>
    </row>
    <row r="16873" spans="1:1" s="173" customFormat="1" ht="12" hidden="1" customHeight="1">
      <c r="A16873" s="172"/>
    </row>
    <row r="16874" spans="1:1" s="173" customFormat="1" ht="12" hidden="1" customHeight="1">
      <c r="A16874" s="172"/>
    </row>
    <row r="16875" spans="1:1" s="173" customFormat="1" ht="12" hidden="1" customHeight="1">
      <c r="A16875" s="172"/>
    </row>
    <row r="16876" spans="1:1" s="173" customFormat="1" ht="12" hidden="1" customHeight="1">
      <c r="A16876" s="172"/>
    </row>
    <row r="16877" spans="1:1" s="173" customFormat="1" ht="12" hidden="1" customHeight="1">
      <c r="A16877" s="172"/>
    </row>
    <row r="16878" spans="1:1" s="173" customFormat="1" ht="12" hidden="1" customHeight="1">
      <c r="A16878" s="172"/>
    </row>
    <row r="16879" spans="1:1" s="173" customFormat="1" ht="12" hidden="1" customHeight="1">
      <c r="A16879" s="172"/>
    </row>
    <row r="16880" spans="1:1" s="173" customFormat="1" ht="12" hidden="1" customHeight="1">
      <c r="A16880" s="172"/>
    </row>
    <row r="16881" spans="1:1" s="173" customFormat="1" ht="12" hidden="1" customHeight="1">
      <c r="A16881" s="172"/>
    </row>
    <row r="16882" spans="1:1" s="173" customFormat="1" ht="12" hidden="1" customHeight="1">
      <c r="A16882" s="172"/>
    </row>
    <row r="16883" spans="1:1" s="173" customFormat="1" ht="12" hidden="1" customHeight="1">
      <c r="A16883" s="172"/>
    </row>
    <row r="16884" spans="1:1" s="173" customFormat="1" ht="12" hidden="1" customHeight="1">
      <c r="A16884" s="172"/>
    </row>
    <row r="16885" spans="1:1" s="173" customFormat="1" ht="12" hidden="1" customHeight="1">
      <c r="A16885" s="172"/>
    </row>
    <row r="16886" spans="1:1" s="173" customFormat="1" ht="12" hidden="1" customHeight="1">
      <c r="A16886" s="172"/>
    </row>
    <row r="16887" spans="1:1" s="173" customFormat="1" ht="12" hidden="1" customHeight="1">
      <c r="A16887" s="172"/>
    </row>
    <row r="16888" spans="1:1" s="173" customFormat="1" ht="12" hidden="1" customHeight="1">
      <c r="A16888" s="172"/>
    </row>
    <row r="16889" spans="1:1" s="173" customFormat="1" ht="12" hidden="1" customHeight="1">
      <c r="A16889" s="172"/>
    </row>
    <row r="16890" spans="1:1" s="173" customFormat="1" ht="12" hidden="1" customHeight="1">
      <c r="A16890" s="172"/>
    </row>
    <row r="16891" spans="1:1" s="173" customFormat="1" ht="12" hidden="1" customHeight="1">
      <c r="A16891" s="172"/>
    </row>
    <row r="16892" spans="1:1" s="173" customFormat="1" ht="12" hidden="1" customHeight="1">
      <c r="A16892" s="172"/>
    </row>
    <row r="16893" spans="1:1" s="173" customFormat="1" ht="12" hidden="1" customHeight="1">
      <c r="A16893" s="172"/>
    </row>
    <row r="16894" spans="1:1" s="173" customFormat="1" ht="12" hidden="1" customHeight="1">
      <c r="A16894" s="172"/>
    </row>
    <row r="16895" spans="1:1" s="173" customFormat="1" ht="12" hidden="1" customHeight="1">
      <c r="A16895" s="172"/>
    </row>
    <row r="16896" spans="1:1" s="173" customFormat="1" ht="12" hidden="1" customHeight="1">
      <c r="A16896" s="172"/>
    </row>
    <row r="16897" spans="1:1" s="173" customFormat="1" ht="12" hidden="1" customHeight="1">
      <c r="A16897" s="172"/>
    </row>
    <row r="16898" spans="1:1" s="173" customFormat="1" ht="12" hidden="1" customHeight="1">
      <c r="A16898" s="172"/>
    </row>
    <row r="16899" spans="1:1" s="173" customFormat="1" ht="12" hidden="1" customHeight="1">
      <c r="A16899" s="172"/>
    </row>
    <row r="16900" spans="1:1" s="173" customFormat="1" ht="12" hidden="1" customHeight="1">
      <c r="A16900" s="172"/>
    </row>
    <row r="16901" spans="1:1" s="173" customFormat="1" ht="12" hidden="1" customHeight="1">
      <c r="A16901" s="172"/>
    </row>
    <row r="16902" spans="1:1" s="173" customFormat="1" ht="12" hidden="1" customHeight="1">
      <c r="A16902" s="172"/>
    </row>
    <row r="16903" spans="1:1" s="173" customFormat="1" ht="12" hidden="1" customHeight="1">
      <c r="A16903" s="172"/>
    </row>
    <row r="16904" spans="1:1" s="173" customFormat="1" ht="12" hidden="1" customHeight="1">
      <c r="A16904" s="172"/>
    </row>
    <row r="16905" spans="1:1" s="173" customFormat="1" ht="12" hidden="1" customHeight="1">
      <c r="A16905" s="172"/>
    </row>
    <row r="16906" spans="1:1" s="173" customFormat="1" ht="12" hidden="1" customHeight="1">
      <c r="A16906" s="172"/>
    </row>
    <row r="16907" spans="1:1" s="173" customFormat="1" ht="12" hidden="1" customHeight="1">
      <c r="A16907" s="172"/>
    </row>
    <row r="16908" spans="1:1" s="173" customFormat="1" ht="12" hidden="1" customHeight="1">
      <c r="A16908" s="172"/>
    </row>
    <row r="16909" spans="1:1" s="173" customFormat="1" ht="12" hidden="1" customHeight="1">
      <c r="A16909" s="172"/>
    </row>
    <row r="16910" spans="1:1" s="173" customFormat="1" ht="12" hidden="1" customHeight="1">
      <c r="A16910" s="172"/>
    </row>
    <row r="16911" spans="1:1" s="173" customFormat="1" ht="12" hidden="1" customHeight="1">
      <c r="A16911" s="172"/>
    </row>
    <row r="16912" spans="1:1" s="173" customFormat="1" ht="12" hidden="1" customHeight="1">
      <c r="A16912" s="172"/>
    </row>
    <row r="16913" spans="1:1" s="173" customFormat="1" ht="12" hidden="1" customHeight="1">
      <c r="A16913" s="172"/>
    </row>
    <row r="16914" spans="1:1" s="173" customFormat="1" ht="12" hidden="1" customHeight="1">
      <c r="A16914" s="172"/>
    </row>
    <row r="16915" spans="1:1" s="173" customFormat="1" ht="12" hidden="1" customHeight="1">
      <c r="A16915" s="172"/>
    </row>
    <row r="16916" spans="1:1" s="173" customFormat="1" ht="12" hidden="1" customHeight="1">
      <c r="A16916" s="172"/>
    </row>
    <row r="16917" spans="1:1" s="173" customFormat="1" ht="12" hidden="1" customHeight="1">
      <c r="A16917" s="172"/>
    </row>
    <row r="16918" spans="1:1" s="173" customFormat="1" ht="12" hidden="1" customHeight="1">
      <c r="A16918" s="172"/>
    </row>
    <row r="16919" spans="1:1" s="173" customFormat="1" ht="12" hidden="1" customHeight="1">
      <c r="A16919" s="172"/>
    </row>
    <row r="16920" spans="1:1" s="173" customFormat="1" ht="12" hidden="1" customHeight="1">
      <c r="A16920" s="172"/>
    </row>
    <row r="16921" spans="1:1" s="173" customFormat="1" ht="12" hidden="1" customHeight="1">
      <c r="A16921" s="172"/>
    </row>
    <row r="16922" spans="1:1" s="173" customFormat="1" ht="12" hidden="1" customHeight="1">
      <c r="A16922" s="172"/>
    </row>
    <row r="16923" spans="1:1" s="173" customFormat="1" ht="12" hidden="1" customHeight="1">
      <c r="A16923" s="172"/>
    </row>
    <row r="16924" spans="1:1" s="173" customFormat="1" ht="12" hidden="1" customHeight="1">
      <c r="A16924" s="172"/>
    </row>
    <row r="16925" spans="1:1" s="173" customFormat="1" ht="12" hidden="1" customHeight="1">
      <c r="A16925" s="172"/>
    </row>
    <row r="16926" spans="1:1" s="173" customFormat="1" ht="12" hidden="1" customHeight="1">
      <c r="A16926" s="172"/>
    </row>
    <row r="16927" spans="1:1" s="173" customFormat="1" ht="12" hidden="1" customHeight="1">
      <c r="A16927" s="172"/>
    </row>
    <row r="16928" spans="1:1" s="173" customFormat="1" ht="12" hidden="1" customHeight="1">
      <c r="A16928" s="172"/>
    </row>
    <row r="16929" spans="1:1" s="173" customFormat="1" ht="12" hidden="1" customHeight="1">
      <c r="A16929" s="172"/>
    </row>
    <row r="16930" spans="1:1" s="173" customFormat="1" ht="12" hidden="1" customHeight="1">
      <c r="A16930" s="172"/>
    </row>
    <row r="16931" spans="1:1" s="173" customFormat="1" ht="12" hidden="1" customHeight="1">
      <c r="A16931" s="172"/>
    </row>
    <row r="16932" spans="1:1" s="173" customFormat="1" ht="12" hidden="1" customHeight="1">
      <c r="A16932" s="172"/>
    </row>
    <row r="16933" spans="1:1" s="173" customFormat="1" ht="12" hidden="1" customHeight="1">
      <c r="A16933" s="172"/>
    </row>
    <row r="16934" spans="1:1" s="173" customFormat="1" ht="12" hidden="1" customHeight="1">
      <c r="A16934" s="172"/>
    </row>
    <row r="16935" spans="1:1" s="173" customFormat="1" ht="12" hidden="1" customHeight="1">
      <c r="A16935" s="172"/>
    </row>
    <row r="16936" spans="1:1" s="173" customFormat="1" ht="12" hidden="1" customHeight="1">
      <c r="A16936" s="172"/>
    </row>
    <row r="16937" spans="1:1" s="173" customFormat="1" ht="12" hidden="1" customHeight="1">
      <c r="A16937" s="172"/>
    </row>
    <row r="16938" spans="1:1" s="173" customFormat="1" ht="12" hidden="1" customHeight="1">
      <c r="A16938" s="172"/>
    </row>
    <row r="16939" spans="1:1" s="173" customFormat="1" ht="12" hidden="1" customHeight="1">
      <c r="A16939" s="172"/>
    </row>
    <row r="16940" spans="1:1" s="173" customFormat="1" ht="12" hidden="1" customHeight="1">
      <c r="A16940" s="172"/>
    </row>
    <row r="16941" spans="1:1" s="173" customFormat="1" ht="12" hidden="1" customHeight="1">
      <c r="A16941" s="172"/>
    </row>
    <row r="16942" spans="1:1" s="173" customFormat="1" ht="12" hidden="1" customHeight="1">
      <c r="A16942" s="172"/>
    </row>
    <row r="16943" spans="1:1" s="173" customFormat="1" ht="12" hidden="1" customHeight="1">
      <c r="A16943" s="172"/>
    </row>
    <row r="16944" spans="1:1" s="173" customFormat="1" ht="12" hidden="1" customHeight="1">
      <c r="A16944" s="172"/>
    </row>
    <row r="16945" spans="1:1" s="173" customFormat="1" ht="12" hidden="1" customHeight="1">
      <c r="A16945" s="172"/>
    </row>
    <row r="16946" spans="1:1" s="173" customFormat="1" ht="12" hidden="1" customHeight="1">
      <c r="A16946" s="172"/>
    </row>
    <row r="16947" spans="1:1" s="173" customFormat="1" ht="12" hidden="1" customHeight="1">
      <c r="A16947" s="172"/>
    </row>
    <row r="16948" spans="1:1" s="173" customFormat="1" ht="12" hidden="1" customHeight="1">
      <c r="A16948" s="172"/>
    </row>
    <row r="16949" spans="1:1" s="173" customFormat="1" ht="12" hidden="1" customHeight="1">
      <c r="A16949" s="172"/>
    </row>
    <row r="16950" spans="1:1" s="173" customFormat="1" ht="12" hidden="1" customHeight="1">
      <c r="A16950" s="172"/>
    </row>
    <row r="16951" spans="1:1" s="173" customFormat="1" ht="12" hidden="1" customHeight="1">
      <c r="A16951" s="172"/>
    </row>
    <row r="16952" spans="1:1" s="173" customFormat="1" ht="12" hidden="1" customHeight="1">
      <c r="A16952" s="172"/>
    </row>
    <row r="16953" spans="1:1" s="173" customFormat="1" ht="12" hidden="1" customHeight="1">
      <c r="A16953" s="172"/>
    </row>
    <row r="16954" spans="1:1" s="173" customFormat="1" ht="12" hidden="1" customHeight="1">
      <c r="A16954" s="172"/>
    </row>
    <row r="16955" spans="1:1" s="173" customFormat="1" ht="12" hidden="1" customHeight="1">
      <c r="A16955" s="172"/>
    </row>
    <row r="16956" spans="1:1" s="173" customFormat="1" ht="12" hidden="1" customHeight="1">
      <c r="A16956" s="172"/>
    </row>
    <row r="16957" spans="1:1" s="173" customFormat="1" ht="12" hidden="1" customHeight="1">
      <c r="A16957" s="172"/>
    </row>
    <row r="16958" spans="1:1" s="173" customFormat="1" ht="12" hidden="1" customHeight="1">
      <c r="A16958" s="172"/>
    </row>
    <row r="16959" spans="1:1" s="173" customFormat="1" ht="12" hidden="1" customHeight="1">
      <c r="A16959" s="172"/>
    </row>
    <row r="16960" spans="1:1" s="173" customFormat="1" ht="12" hidden="1" customHeight="1">
      <c r="A16960" s="172"/>
    </row>
    <row r="16961" spans="1:1" s="173" customFormat="1" ht="12" hidden="1" customHeight="1">
      <c r="A16961" s="172"/>
    </row>
    <row r="16962" spans="1:1" s="173" customFormat="1" ht="12" hidden="1" customHeight="1">
      <c r="A16962" s="172"/>
    </row>
    <row r="16963" spans="1:1" s="173" customFormat="1" ht="12" hidden="1" customHeight="1">
      <c r="A16963" s="172"/>
    </row>
    <row r="16964" spans="1:1" s="173" customFormat="1" ht="12" hidden="1" customHeight="1">
      <c r="A16964" s="172"/>
    </row>
    <row r="16965" spans="1:1" s="173" customFormat="1" ht="12" hidden="1" customHeight="1">
      <c r="A16965" s="172"/>
    </row>
    <row r="16966" spans="1:1" s="173" customFormat="1" ht="12" hidden="1" customHeight="1">
      <c r="A16966" s="172"/>
    </row>
    <row r="16967" spans="1:1" s="173" customFormat="1" ht="12" hidden="1" customHeight="1">
      <c r="A16967" s="172"/>
    </row>
    <row r="16968" spans="1:1" s="173" customFormat="1" ht="12" hidden="1" customHeight="1">
      <c r="A16968" s="172"/>
    </row>
    <row r="16969" spans="1:1" s="173" customFormat="1" ht="12" hidden="1" customHeight="1">
      <c r="A16969" s="172"/>
    </row>
    <row r="16970" spans="1:1" s="173" customFormat="1" ht="12" hidden="1" customHeight="1">
      <c r="A16970" s="172"/>
    </row>
    <row r="16971" spans="1:1" s="173" customFormat="1" ht="12" hidden="1" customHeight="1">
      <c r="A16971" s="172"/>
    </row>
    <row r="16972" spans="1:1" s="173" customFormat="1" ht="12" hidden="1" customHeight="1">
      <c r="A16972" s="172"/>
    </row>
    <row r="16973" spans="1:1" s="173" customFormat="1" ht="12" hidden="1" customHeight="1">
      <c r="A16973" s="172"/>
    </row>
    <row r="16974" spans="1:1" s="173" customFormat="1" ht="12" hidden="1" customHeight="1">
      <c r="A16974" s="172"/>
    </row>
    <row r="16975" spans="1:1" s="173" customFormat="1" ht="12" hidden="1" customHeight="1">
      <c r="A16975" s="172"/>
    </row>
    <row r="16976" spans="1:1" s="173" customFormat="1" ht="12" hidden="1" customHeight="1">
      <c r="A16976" s="172"/>
    </row>
    <row r="16977" spans="1:1" s="173" customFormat="1" ht="12" hidden="1" customHeight="1">
      <c r="A16977" s="172"/>
    </row>
    <row r="16978" spans="1:1" s="173" customFormat="1" ht="12" hidden="1" customHeight="1">
      <c r="A16978" s="172"/>
    </row>
    <row r="16979" spans="1:1" s="173" customFormat="1" ht="12" hidden="1" customHeight="1">
      <c r="A16979" s="172"/>
    </row>
    <row r="16980" spans="1:1" s="173" customFormat="1" ht="12" hidden="1" customHeight="1">
      <c r="A16980" s="172"/>
    </row>
    <row r="16981" spans="1:1" s="173" customFormat="1" ht="12" hidden="1" customHeight="1">
      <c r="A16981" s="172"/>
    </row>
    <row r="16982" spans="1:1" s="173" customFormat="1" ht="12" hidden="1" customHeight="1">
      <c r="A16982" s="172"/>
    </row>
    <row r="16983" spans="1:1" s="173" customFormat="1" ht="12" hidden="1" customHeight="1">
      <c r="A16983" s="172"/>
    </row>
    <row r="16984" spans="1:1" s="173" customFormat="1" ht="12" hidden="1" customHeight="1">
      <c r="A16984" s="172"/>
    </row>
    <row r="16985" spans="1:1" s="173" customFormat="1" ht="12" hidden="1" customHeight="1">
      <c r="A16985" s="172"/>
    </row>
    <row r="16986" spans="1:1" s="173" customFormat="1" ht="12" hidden="1" customHeight="1">
      <c r="A16986" s="172"/>
    </row>
    <row r="16987" spans="1:1" s="173" customFormat="1" ht="12" hidden="1" customHeight="1">
      <c r="A16987" s="172"/>
    </row>
    <row r="16988" spans="1:1" s="173" customFormat="1" ht="12" hidden="1" customHeight="1">
      <c r="A16988" s="172"/>
    </row>
    <row r="16989" spans="1:1" s="173" customFormat="1" ht="12" hidden="1" customHeight="1">
      <c r="A16989" s="172"/>
    </row>
    <row r="16990" spans="1:1" s="173" customFormat="1" ht="12" hidden="1" customHeight="1">
      <c r="A16990" s="172"/>
    </row>
    <row r="16991" spans="1:1" s="173" customFormat="1" ht="12" hidden="1" customHeight="1">
      <c r="A16991" s="172"/>
    </row>
    <row r="16992" spans="1:1" s="173" customFormat="1" ht="12" hidden="1" customHeight="1">
      <c r="A16992" s="172"/>
    </row>
    <row r="16993" spans="1:1" s="173" customFormat="1" ht="12" hidden="1" customHeight="1">
      <c r="A16993" s="172"/>
    </row>
    <row r="16994" spans="1:1" s="173" customFormat="1" ht="12" hidden="1" customHeight="1">
      <c r="A16994" s="172"/>
    </row>
    <row r="16995" spans="1:1" s="173" customFormat="1" ht="12" hidden="1" customHeight="1">
      <c r="A16995" s="172"/>
    </row>
    <row r="16996" spans="1:1" s="173" customFormat="1" ht="12" hidden="1" customHeight="1">
      <c r="A16996" s="172"/>
    </row>
    <row r="16997" spans="1:1" s="173" customFormat="1" ht="12" hidden="1" customHeight="1">
      <c r="A16997" s="172"/>
    </row>
    <row r="16998" spans="1:1" s="173" customFormat="1" ht="12" hidden="1" customHeight="1">
      <c r="A16998" s="172"/>
    </row>
    <row r="16999" spans="1:1" s="173" customFormat="1" ht="12" hidden="1" customHeight="1">
      <c r="A16999" s="172"/>
    </row>
    <row r="17000" spans="1:1" s="173" customFormat="1" ht="12" hidden="1" customHeight="1">
      <c r="A17000" s="172"/>
    </row>
    <row r="17001" spans="1:1" s="173" customFormat="1" ht="12" hidden="1" customHeight="1">
      <c r="A17001" s="172"/>
    </row>
    <row r="17002" spans="1:1" s="173" customFormat="1" ht="12" hidden="1" customHeight="1">
      <c r="A17002" s="172"/>
    </row>
    <row r="17003" spans="1:1" s="173" customFormat="1" ht="12" hidden="1" customHeight="1">
      <c r="A17003" s="172"/>
    </row>
    <row r="17004" spans="1:1" s="173" customFormat="1" ht="12" hidden="1" customHeight="1">
      <c r="A17004" s="172"/>
    </row>
    <row r="17005" spans="1:1" s="173" customFormat="1" ht="12" hidden="1" customHeight="1">
      <c r="A17005" s="172"/>
    </row>
    <row r="17006" spans="1:1" s="173" customFormat="1" ht="12" hidden="1" customHeight="1">
      <c r="A17006" s="172"/>
    </row>
    <row r="17007" spans="1:1" s="173" customFormat="1" ht="12" hidden="1" customHeight="1">
      <c r="A17007" s="172"/>
    </row>
    <row r="17008" spans="1:1" s="173" customFormat="1" ht="12" hidden="1" customHeight="1">
      <c r="A17008" s="172"/>
    </row>
    <row r="17009" spans="1:1" s="173" customFormat="1" ht="12" hidden="1" customHeight="1">
      <c r="A17009" s="172"/>
    </row>
    <row r="17010" spans="1:1" s="173" customFormat="1" ht="12" hidden="1" customHeight="1">
      <c r="A17010" s="172"/>
    </row>
    <row r="17011" spans="1:1" s="173" customFormat="1" ht="12" hidden="1" customHeight="1">
      <c r="A17011" s="172"/>
    </row>
    <row r="17012" spans="1:1" s="173" customFormat="1" ht="12" hidden="1" customHeight="1">
      <c r="A17012" s="172"/>
    </row>
    <row r="17013" spans="1:1" s="173" customFormat="1" ht="12" hidden="1" customHeight="1">
      <c r="A17013" s="172"/>
    </row>
    <row r="17014" spans="1:1" s="173" customFormat="1" ht="12" hidden="1" customHeight="1">
      <c r="A17014" s="172"/>
    </row>
    <row r="17015" spans="1:1" s="173" customFormat="1" ht="12" hidden="1" customHeight="1">
      <c r="A17015" s="172"/>
    </row>
    <row r="17016" spans="1:1" s="173" customFormat="1" ht="12" hidden="1" customHeight="1">
      <c r="A17016" s="172"/>
    </row>
    <row r="17017" spans="1:1" s="173" customFormat="1" ht="12" hidden="1" customHeight="1">
      <c r="A17017" s="172"/>
    </row>
    <row r="17018" spans="1:1" s="173" customFormat="1" ht="12" hidden="1" customHeight="1">
      <c r="A17018" s="172"/>
    </row>
    <row r="17019" spans="1:1" s="173" customFormat="1" ht="12" hidden="1" customHeight="1">
      <c r="A17019" s="172"/>
    </row>
    <row r="17020" spans="1:1" s="173" customFormat="1" ht="12" hidden="1" customHeight="1">
      <c r="A17020" s="172"/>
    </row>
    <row r="17021" spans="1:1" s="173" customFormat="1" ht="12" hidden="1" customHeight="1">
      <c r="A17021" s="172"/>
    </row>
    <row r="17022" spans="1:1" s="173" customFormat="1" ht="12" hidden="1" customHeight="1">
      <c r="A17022" s="172"/>
    </row>
    <row r="17023" spans="1:1" s="173" customFormat="1" ht="12" hidden="1" customHeight="1">
      <c r="A17023" s="172"/>
    </row>
    <row r="17024" spans="1:1" s="173" customFormat="1" ht="12" hidden="1" customHeight="1">
      <c r="A17024" s="172"/>
    </row>
    <row r="17025" spans="1:1" s="173" customFormat="1" ht="12" hidden="1" customHeight="1">
      <c r="A17025" s="172"/>
    </row>
    <row r="17026" spans="1:1" s="173" customFormat="1" ht="12" hidden="1" customHeight="1">
      <c r="A17026" s="172"/>
    </row>
    <row r="17027" spans="1:1" s="173" customFormat="1" ht="12" hidden="1" customHeight="1">
      <c r="A17027" s="172"/>
    </row>
    <row r="17028" spans="1:1" s="173" customFormat="1" ht="12" hidden="1" customHeight="1">
      <c r="A17028" s="172"/>
    </row>
    <row r="17029" spans="1:1" s="173" customFormat="1" ht="12" hidden="1" customHeight="1">
      <c r="A17029" s="172"/>
    </row>
    <row r="17030" spans="1:1" s="173" customFormat="1" ht="12" hidden="1" customHeight="1">
      <c r="A17030" s="172"/>
    </row>
    <row r="17031" spans="1:1" s="173" customFormat="1" ht="12" hidden="1" customHeight="1">
      <c r="A17031" s="172"/>
    </row>
    <row r="17032" spans="1:1" s="173" customFormat="1" ht="12" hidden="1" customHeight="1">
      <c r="A17032" s="172"/>
    </row>
    <row r="17033" spans="1:1" s="173" customFormat="1" ht="12" hidden="1" customHeight="1">
      <c r="A17033" s="172"/>
    </row>
    <row r="17034" spans="1:1" s="173" customFormat="1" ht="12" hidden="1" customHeight="1">
      <c r="A17034" s="172"/>
    </row>
    <row r="17035" spans="1:1" s="173" customFormat="1" ht="12" hidden="1" customHeight="1">
      <c r="A17035" s="172"/>
    </row>
    <row r="17036" spans="1:1" s="173" customFormat="1" ht="12" hidden="1" customHeight="1">
      <c r="A17036" s="172"/>
    </row>
    <row r="17037" spans="1:1" s="173" customFormat="1" ht="12" hidden="1" customHeight="1">
      <c r="A17037" s="172"/>
    </row>
    <row r="17038" spans="1:1" s="173" customFormat="1" ht="12" hidden="1" customHeight="1">
      <c r="A17038" s="172"/>
    </row>
    <row r="17039" spans="1:1" s="173" customFormat="1" ht="12" hidden="1" customHeight="1">
      <c r="A17039" s="172"/>
    </row>
    <row r="17040" spans="1:1" s="173" customFormat="1" ht="12" hidden="1" customHeight="1">
      <c r="A17040" s="172"/>
    </row>
    <row r="17041" spans="1:1" s="173" customFormat="1" ht="12" hidden="1" customHeight="1">
      <c r="A17041" s="172"/>
    </row>
    <row r="17042" spans="1:1" s="173" customFormat="1" ht="12" hidden="1" customHeight="1">
      <c r="A17042" s="172"/>
    </row>
    <row r="17043" spans="1:1" s="173" customFormat="1" ht="12" hidden="1" customHeight="1">
      <c r="A17043" s="172"/>
    </row>
    <row r="17044" spans="1:1" s="173" customFormat="1" ht="12" hidden="1" customHeight="1">
      <c r="A17044" s="172"/>
    </row>
    <row r="17045" spans="1:1" s="173" customFormat="1" ht="12" hidden="1" customHeight="1">
      <c r="A17045" s="172"/>
    </row>
    <row r="17046" spans="1:1" s="173" customFormat="1" ht="12" hidden="1" customHeight="1">
      <c r="A17046" s="172"/>
    </row>
    <row r="17047" spans="1:1" s="173" customFormat="1" ht="12" hidden="1" customHeight="1">
      <c r="A17047" s="172"/>
    </row>
    <row r="17048" spans="1:1" s="173" customFormat="1" ht="12" hidden="1" customHeight="1">
      <c r="A17048" s="172"/>
    </row>
    <row r="17049" spans="1:1" s="173" customFormat="1" ht="12" hidden="1" customHeight="1">
      <c r="A17049" s="172"/>
    </row>
    <row r="17050" spans="1:1" s="173" customFormat="1" ht="12" hidden="1" customHeight="1">
      <c r="A17050" s="172"/>
    </row>
    <row r="17051" spans="1:1" s="173" customFormat="1" ht="12" hidden="1" customHeight="1">
      <c r="A17051" s="172"/>
    </row>
    <row r="17052" spans="1:1" s="173" customFormat="1" ht="12" hidden="1" customHeight="1">
      <c r="A17052" s="172"/>
    </row>
    <row r="17053" spans="1:1" s="173" customFormat="1" ht="12" hidden="1" customHeight="1">
      <c r="A17053" s="172"/>
    </row>
    <row r="17054" spans="1:1" s="173" customFormat="1" ht="12" hidden="1" customHeight="1">
      <c r="A17054" s="172"/>
    </row>
    <row r="17055" spans="1:1" s="173" customFormat="1" ht="12" hidden="1" customHeight="1">
      <c r="A17055" s="172"/>
    </row>
    <row r="17056" spans="1:1" s="173" customFormat="1" ht="12" hidden="1" customHeight="1">
      <c r="A17056" s="172"/>
    </row>
    <row r="17057" spans="1:1" s="173" customFormat="1" ht="12" hidden="1" customHeight="1">
      <c r="A17057" s="172"/>
    </row>
    <row r="17058" spans="1:1" s="173" customFormat="1" ht="12" hidden="1" customHeight="1">
      <c r="A17058" s="172"/>
    </row>
    <row r="17059" spans="1:1" s="173" customFormat="1" ht="12" hidden="1" customHeight="1">
      <c r="A17059" s="172"/>
    </row>
    <row r="17060" spans="1:1" s="173" customFormat="1" ht="12" hidden="1" customHeight="1">
      <c r="A17060" s="172"/>
    </row>
    <row r="17061" spans="1:1" s="173" customFormat="1" ht="12" hidden="1" customHeight="1">
      <c r="A17061" s="172"/>
    </row>
    <row r="17062" spans="1:1" s="173" customFormat="1" ht="12" hidden="1" customHeight="1">
      <c r="A17062" s="172"/>
    </row>
    <row r="17063" spans="1:1" s="173" customFormat="1" ht="12" hidden="1" customHeight="1">
      <c r="A17063" s="172"/>
    </row>
    <row r="17064" spans="1:1" s="173" customFormat="1" ht="12" hidden="1" customHeight="1">
      <c r="A17064" s="172"/>
    </row>
    <row r="17065" spans="1:1" s="173" customFormat="1" ht="12" hidden="1" customHeight="1">
      <c r="A17065" s="172"/>
    </row>
    <row r="17066" spans="1:1" s="173" customFormat="1" ht="12" hidden="1" customHeight="1">
      <c r="A17066" s="172"/>
    </row>
    <row r="17067" spans="1:1" s="173" customFormat="1" ht="12" hidden="1" customHeight="1">
      <c r="A17067" s="172"/>
    </row>
    <row r="17068" spans="1:1" s="173" customFormat="1" ht="12" hidden="1" customHeight="1">
      <c r="A17068" s="172"/>
    </row>
    <row r="17069" spans="1:1" s="173" customFormat="1" ht="12" hidden="1" customHeight="1">
      <c r="A17069" s="172"/>
    </row>
    <row r="17070" spans="1:1" s="173" customFormat="1" ht="12" hidden="1" customHeight="1">
      <c r="A17070" s="172"/>
    </row>
    <row r="17071" spans="1:1" s="173" customFormat="1" ht="12" hidden="1" customHeight="1">
      <c r="A17071" s="172"/>
    </row>
    <row r="17072" spans="1:1" s="173" customFormat="1" ht="12" hidden="1" customHeight="1">
      <c r="A17072" s="172"/>
    </row>
    <row r="17073" spans="1:1" s="173" customFormat="1" ht="12" hidden="1" customHeight="1">
      <c r="A17073" s="172"/>
    </row>
    <row r="17074" spans="1:1" s="173" customFormat="1" ht="12" hidden="1" customHeight="1">
      <c r="A17074" s="172"/>
    </row>
    <row r="17075" spans="1:1" s="173" customFormat="1" ht="12" hidden="1" customHeight="1">
      <c r="A17075" s="172"/>
    </row>
    <row r="17076" spans="1:1" s="173" customFormat="1" ht="12" hidden="1" customHeight="1">
      <c r="A17076" s="172"/>
    </row>
    <row r="17077" spans="1:1" s="173" customFormat="1" ht="12" hidden="1" customHeight="1">
      <c r="A17077" s="172"/>
    </row>
    <row r="17078" spans="1:1" s="173" customFormat="1" ht="12" hidden="1" customHeight="1">
      <c r="A17078" s="172"/>
    </row>
    <row r="17079" spans="1:1" s="173" customFormat="1" ht="12" hidden="1" customHeight="1">
      <c r="A17079" s="172"/>
    </row>
    <row r="17080" spans="1:1" s="173" customFormat="1" ht="12" hidden="1" customHeight="1">
      <c r="A17080" s="172"/>
    </row>
    <row r="17081" spans="1:1" s="173" customFormat="1" ht="12" hidden="1" customHeight="1">
      <c r="A17081" s="172"/>
    </row>
    <row r="17082" spans="1:1" s="173" customFormat="1" ht="12" hidden="1" customHeight="1">
      <c r="A17082" s="172"/>
    </row>
    <row r="17083" spans="1:1" s="173" customFormat="1" ht="12" hidden="1" customHeight="1">
      <c r="A17083" s="172"/>
    </row>
    <row r="17084" spans="1:1" s="173" customFormat="1" ht="12" hidden="1" customHeight="1">
      <c r="A17084" s="172"/>
    </row>
    <row r="17085" spans="1:1" s="173" customFormat="1" ht="12" hidden="1" customHeight="1">
      <c r="A17085" s="172"/>
    </row>
    <row r="17086" spans="1:1" s="173" customFormat="1" ht="12" hidden="1" customHeight="1">
      <c r="A17086" s="172"/>
    </row>
    <row r="17087" spans="1:1" s="173" customFormat="1" ht="12" hidden="1" customHeight="1">
      <c r="A17087" s="172"/>
    </row>
    <row r="17088" spans="1:1" s="173" customFormat="1" ht="12" hidden="1" customHeight="1">
      <c r="A17088" s="172"/>
    </row>
    <row r="17089" spans="1:1" s="173" customFormat="1" ht="12" hidden="1" customHeight="1">
      <c r="A17089" s="172"/>
    </row>
    <row r="17090" spans="1:1" s="173" customFormat="1" ht="12" hidden="1" customHeight="1">
      <c r="A17090" s="172"/>
    </row>
    <row r="17091" spans="1:1" s="173" customFormat="1" ht="12" hidden="1" customHeight="1">
      <c r="A17091" s="172"/>
    </row>
    <row r="17092" spans="1:1" s="173" customFormat="1" ht="12" hidden="1" customHeight="1">
      <c r="A17092" s="172"/>
    </row>
    <row r="17093" spans="1:1" s="173" customFormat="1" ht="12" hidden="1" customHeight="1">
      <c r="A17093" s="172"/>
    </row>
    <row r="17094" spans="1:1" s="173" customFormat="1" ht="12" hidden="1" customHeight="1">
      <c r="A17094" s="172"/>
    </row>
    <row r="17095" spans="1:1" s="173" customFormat="1" ht="12" hidden="1" customHeight="1">
      <c r="A17095" s="172"/>
    </row>
    <row r="17096" spans="1:1" s="173" customFormat="1" ht="12" hidden="1" customHeight="1">
      <c r="A17096" s="172"/>
    </row>
    <row r="17097" spans="1:1" s="173" customFormat="1" ht="12" hidden="1" customHeight="1">
      <c r="A17097" s="172"/>
    </row>
    <row r="17098" spans="1:1" s="173" customFormat="1" ht="12" hidden="1" customHeight="1">
      <c r="A17098" s="172"/>
    </row>
    <row r="17099" spans="1:1" s="173" customFormat="1" ht="12" hidden="1" customHeight="1">
      <c r="A17099" s="172"/>
    </row>
    <row r="17100" spans="1:1" s="173" customFormat="1" ht="12" hidden="1" customHeight="1">
      <c r="A17100" s="172"/>
    </row>
    <row r="17101" spans="1:1" s="173" customFormat="1" ht="12" hidden="1" customHeight="1">
      <c r="A17101" s="172"/>
    </row>
    <row r="17102" spans="1:1" s="173" customFormat="1" ht="12" hidden="1" customHeight="1">
      <c r="A17102" s="172"/>
    </row>
    <row r="17103" spans="1:1" s="173" customFormat="1" ht="12" hidden="1" customHeight="1">
      <c r="A17103" s="172"/>
    </row>
    <row r="17104" spans="1:1" s="173" customFormat="1" ht="12" hidden="1" customHeight="1">
      <c r="A17104" s="172"/>
    </row>
    <row r="17105" spans="1:1" s="173" customFormat="1" ht="12" hidden="1" customHeight="1">
      <c r="A17105" s="172"/>
    </row>
    <row r="17106" spans="1:1" s="173" customFormat="1" ht="12" hidden="1" customHeight="1">
      <c r="A17106" s="172"/>
    </row>
    <row r="17107" spans="1:1" s="173" customFormat="1" ht="12" hidden="1" customHeight="1">
      <c r="A17107" s="172"/>
    </row>
    <row r="17108" spans="1:1" s="173" customFormat="1" ht="12" hidden="1" customHeight="1">
      <c r="A17108" s="172"/>
    </row>
    <row r="17109" spans="1:1" s="173" customFormat="1" ht="12" hidden="1" customHeight="1">
      <c r="A17109" s="172"/>
    </row>
    <row r="17110" spans="1:1" s="173" customFormat="1" ht="12" hidden="1" customHeight="1">
      <c r="A17110" s="172"/>
    </row>
    <row r="17111" spans="1:1" s="173" customFormat="1" ht="12" hidden="1" customHeight="1">
      <c r="A17111" s="172"/>
    </row>
    <row r="17112" spans="1:1" s="173" customFormat="1" ht="12" hidden="1" customHeight="1">
      <c r="A17112" s="172"/>
    </row>
    <row r="17113" spans="1:1" s="173" customFormat="1" ht="12" hidden="1" customHeight="1">
      <c r="A17113" s="172"/>
    </row>
    <row r="17114" spans="1:1" s="173" customFormat="1" ht="12" hidden="1" customHeight="1">
      <c r="A17114" s="172"/>
    </row>
    <row r="17115" spans="1:1" s="173" customFormat="1" ht="12" hidden="1" customHeight="1">
      <c r="A17115" s="172"/>
    </row>
    <row r="17116" spans="1:1" s="173" customFormat="1" ht="12" hidden="1" customHeight="1">
      <c r="A17116" s="172"/>
    </row>
    <row r="17117" spans="1:1" s="173" customFormat="1" ht="12" hidden="1" customHeight="1">
      <c r="A17117" s="172"/>
    </row>
    <row r="17118" spans="1:1" s="173" customFormat="1" ht="12" hidden="1" customHeight="1">
      <c r="A17118" s="172"/>
    </row>
    <row r="17119" spans="1:1" s="173" customFormat="1" ht="12" hidden="1" customHeight="1">
      <c r="A17119" s="172"/>
    </row>
    <row r="17120" spans="1:1" s="173" customFormat="1" ht="12" hidden="1" customHeight="1">
      <c r="A17120" s="172"/>
    </row>
    <row r="17121" spans="1:1" s="173" customFormat="1" ht="12" hidden="1" customHeight="1">
      <c r="A17121" s="172"/>
    </row>
    <row r="17122" spans="1:1" s="173" customFormat="1" ht="12" hidden="1" customHeight="1">
      <c r="A17122" s="172"/>
    </row>
    <row r="17123" spans="1:1" s="173" customFormat="1" ht="12" hidden="1" customHeight="1">
      <c r="A17123" s="172"/>
    </row>
    <row r="17124" spans="1:1" s="173" customFormat="1" ht="12" hidden="1" customHeight="1">
      <c r="A17124" s="172"/>
    </row>
    <row r="17125" spans="1:1" s="173" customFormat="1" ht="12" hidden="1" customHeight="1">
      <c r="A17125" s="172"/>
    </row>
    <row r="17126" spans="1:1" s="173" customFormat="1" ht="12" hidden="1" customHeight="1">
      <c r="A17126" s="172"/>
    </row>
    <row r="17127" spans="1:1" s="173" customFormat="1" ht="12" hidden="1" customHeight="1">
      <c r="A17127" s="172"/>
    </row>
    <row r="17128" spans="1:1" s="173" customFormat="1" ht="12" hidden="1" customHeight="1">
      <c r="A17128" s="172"/>
    </row>
    <row r="17129" spans="1:1" s="173" customFormat="1" ht="12" hidden="1" customHeight="1">
      <c r="A17129" s="172"/>
    </row>
    <row r="17130" spans="1:1" s="173" customFormat="1" ht="12" hidden="1" customHeight="1">
      <c r="A17130" s="172"/>
    </row>
    <row r="17131" spans="1:1" s="173" customFormat="1" ht="12" hidden="1" customHeight="1">
      <c r="A17131" s="172"/>
    </row>
    <row r="17132" spans="1:1" s="173" customFormat="1" ht="12" hidden="1" customHeight="1">
      <c r="A17132" s="172"/>
    </row>
    <row r="17133" spans="1:1" s="173" customFormat="1" ht="12" hidden="1" customHeight="1">
      <c r="A17133" s="172"/>
    </row>
    <row r="17134" spans="1:1" s="173" customFormat="1" ht="12" hidden="1" customHeight="1">
      <c r="A17134" s="172"/>
    </row>
    <row r="17135" spans="1:1" s="173" customFormat="1" ht="12" hidden="1" customHeight="1">
      <c r="A17135" s="172"/>
    </row>
    <row r="17136" spans="1:1" s="173" customFormat="1" ht="12" hidden="1" customHeight="1">
      <c r="A17136" s="172"/>
    </row>
    <row r="17137" spans="1:1" s="173" customFormat="1" ht="12" hidden="1" customHeight="1">
      <c r="A17137" s="172"/>
    </row>
    <row r="17138" spans="1:1" s="173" customFormat="1" ht="12" hidden="1" customHeight="1">
      <c r="A17138" s="172"/>
    </row>
    <row r="17139" spans="1:1" s="173" customFormat="1" ht="12" hidden="1" customHeight="1">
      <c r="A17139" s="172"/>
    </row>
    <row r="17140" spans="1:1" s="173" customFormat="1" ht="12" hidden="1" customHeight="1">
      <c r="A17140" s="172"/>
    </row>
    <row r="17141" spans="1:1" s="173" customFormat="1" ht="12" hidden="1" customHeight="1">
      <c r="A17141" s="172"/>
    </row>
    <row r="17142" spans="1:1" s="173" customFormat="1" ht="12" hidden="1" customHeight="1">
      <c r="A17142" s="172"/>
    </row>
    <row r="17143" spans="1:1" s="173" customFormat="1" ht="12" hidden="1" customHeight="1">
      <c r="A17143" s="172"/>
    </row>
    <row r="17144" spans="1:1" s="173" customFormat="1" ht="12" hidden="1" customHeight="1">
      <c r="A17144" s="172"/>
    </row>
    <row r="17145" spans="1:1" s="173" customFormat="1" ht="12" hidden="1" customHeight="1">
      <c r="A17145" s="172"/>
    </row>
    <row r="17146" spans="1:1" s="173" customFormat="1" ht="12" hidden="1" customHeight="1">
      <c r="A17146" s="172"/>
    </row>
    <row r="17147" spans="1:1" s="173" customFormat="1" ht="12" hidden="1" customHeight="1">
      <c r="A17147" s="172"/>
    </row>
    <row r="17148" spans="1:1" s="173" customFormat="1" ht="12" hidden="1" customHeight="1">
      <c r="A17148" s="172"/>
    </row>
    <row r="17149" spans="1:1" s="173" customFormat="1" ht="12" hidden="1" customHeight="1">
      <c r="A17149" s="172"/>
    </row>
    <row r="17150" spans="1:1" s="173" customFormat="1" ht="12" hidden="1" customHeight="1">
      <c r="A17150" s="172"/>
    </row>
    <row r="17151" spans="1:1" s="173" customFormat="1" ht="12" hidden="1" customHeight="1">
      <c r="A17151" s="172"/>
    </row>
    <row r="17152" spans="1:1" s="173" customFormat="1" ht="12" hidden="1" customHeight="1">
      <c r="A17152" s="172"/>
    </row>
    <row r="17153" spans="1:1" s="173" customFormat="1" ht="12" hidden="1" customHeight="1">
      <c r="A17153" s="172"/>
    </row>
    <row r="17154" spans="1:1" s="173" customFormat="1" ht="12" hidden="1" customHeight="1">
      <c r="A17154" s="172"/>
    </row>
    <row r="17155" spans="1:1" s="173" customFormat="1" ht="12" hidden="1" customHeight="1">
      <c r="A17155" s="172"/>
    </row>
    <row r="17156" spans="1:1" s="173" customFormat="1" ht="12" hidden="1" customHeight="1">
      <c r="A17156" s="172"/>
    </row>
    <row r="17157" spans="1:1" s="173" customFormat="1" ht="12" hidden="1" customHeight="1">
      <c r="A17157" s="172"/>
    </row>
    <row r="17158" spans="1:1" s="173" customFormat="1" ht="12" hidden="1" customHeight="1">
      <c r="A17158" s="172"/>
    </row>
    <row r="17159" spans="1:1" s="173" customFormat="1" ht="12" hidden="1" customHeight="1">
      <c r="A17159" s="172"/>
    </row>
    <row r="17160" spans="1:1" s="173" customFormat="1" ht="12" hidden="1" customHeight="1">
      <c r="A17160" s="172"/>
    </row>
    <row r="17161" spans="1:1" s="173" customFormat="1" ht="12" hidden="1" customHeight="1">
      <c r="A17161" s="172"/>
    </row>
    <row r="17162" spans="1:1" s="173" customFormat="1" ht="12" hidden="1" customHeight="1">
      <c r="A17162" s="172"/>
    </row>
    <row r="17163" spans="1:1" s="173" customFormat="1" ht="12" hidden="1" customHeight="1">
      <c r="A17163" s="172"/>
    </row>
    <row r="17164" spans="1:1" s="173" customFormat="1" ht="12" hidden="1" customHeight="1">
      <c r="A17164" s="172"/>
    </row>
    <row r="17165" spans="1:1" s="173" customFormat="1" ht="12" hidden="1" customHeight="1">
      <c r="A17165" s="172"/>
    </row>
    <row r="17166" spans="1:1" s="173" customFormat="1" ht="12" hidden="1" customHeight="1">
      <c r="A17166" s="172"/>
    </row>
    <row r="17167" spans="1:1" s="173" customFormat="1" ht="12" hidden="1" customHeight="1">
      <c r="A17167" s="172"/>
    </row>
    <row r="17168" spans="1:1" s="173" customFormat="1" ht="12" hidden="1" customHeight="1">
      <c r="A17168" s="172"/>
    </row>
    <row r="17169" spans="1:1" s="173" customFormat="1" ht="12" hidden="1" customHeight="1">
      <c r="A17169" s="172"/>
    </row>
    <row r="17170" spans="1:1" s="173" customFormat="1" ht="12" hidden="1" customHeight="1">
      <c r="A17170" s="172"/>
    </row>
    <row r="17171" spans="1:1" s="173" customFormat="1" ht="12" hidden="1" customHeight="1">
      <c r="A17171" s="172"/>
    </row>
    <row r="17172" spans="1:1" s="173" customFormat="1" ht="12" hidden="1" customHeight="1">
      <c r="A17172" s="172"/>
    </row>
    <row r="17173" spans="1:1" s="173" customFormat="1" ht="12" hidden="1" customHeight="1">
      <c r="A17173" s="172"/>
    </row>
    <row r="17174" spans="1:1" s="173" customFormat="1" ht="12" hidden="1" customHeight="1">
      <c r="A17174" s="172"/>
    </row>
    <row r="17175" spans="1:1" s="173" customFormat="1" ht="12" hidden="1" customHeight="1">
      <c r="A17175" s="172"/>
    </row>
    <row r="17176" spans="1:1" s="173" customFormat="1" ht="12" hidden="1" customHeight="1">
      <c r="A17176" s="172"/>
    </row>
    <row r="17177" spans="1:1" s="173" customFormat="1" ht="12" hidden="1" customHeight="1">
      <c r="A17177" s="172"/>
    </row>
    <row r="17178" spans="1:1" s="173" customFormat="1" ht="12" hidden="1" customHeight="1">
      <c r="A17178" s="172"/>
    </row>
    <row r="17179" spans="1:1" s="173" customFormat="1" ht="12" hidden="1" customHeight="1">
      <c r="A17179" s="172"/>
    </row>
    <row r="17180" spans="1:1" s="173" customFormat="1" ht="12" hidden="1" customHeight="1">
      <c r="A17180" s="172"/>
    </row>
    <row r="17181" spans="1:1" s="173" customFormat="1" ht="12" hidden="1" customHeight="1">
      <c r="A17181" s="172"/>
    </row>
    <row r="17182" spans="1:1" s="173" customFormat="1" ht="12" hidden="1" customHeight="1">
      <c r="A17182" s="172"/>
    </row>
    <row r="17183" spans="1:1" s="173" customFormat="1" ht="12" hidden="1" customHeight="1">
      <c r="A17183" s="172"/>
    </row>
    <row r="17184" spans="1:1" s="173" customFormat="1" ht="12" hidden="1" customHeight="1">
      <c r="A17184" s="172"/>
    </row>
    <row r="17185" spans="1:1" s="173" customFormat="1" ht="12" hidden="1" customHeight="1">
      <c r="A17185" s="172"/>
    </row>
    <row r="17186" spans="1:1" s="173" customFormat="1" ht="12" hidden="1" customHeight="1">
      <c r="A17186" s="172"/>
    </row>
    <row r="17187" spans="1:1" s="173" customFormat="1" ht="12" hidden="1" customHeight="1">
      <c r="A17187" s="172"/>
    </row>
    <row r="17188" spans="1:1" s="173" customFormat="1" ht="12" hidden="1" customHeight="1">
      <c r="A17188" s="172"/>
    </row>
    <row r="17189" spans="1:1" s="173" customFormat="1" ht="12" hidden="1" customHeight="1">
      <c r="A17189" s="172"/>
    </row>
    <row r="17190" spans="1:1" s="173" customFormat="1" ht="12" hidden="1" customHeight="1">
      <c r="A17190" s="172"/>
    </row>
    <row r="17191" spans="1:1" s="173" customFormat="1" ht="12" hidden="1" customHeight="1">
      <c r="A17191" s="172"/>
    </row>
    <row r="17192" spans="1:1" s="173" customFormat="1" ht="12" hidden="1" customHeight="1">
      <c r="A17192" s="172"/>
    </row>
    <row r="17193" spans="1:1" s="173" customFormat="1" ht="12" hidden="1" customHeight="1">
      <c r="A17193" s="172"/>
    </row>
    <row r="17194" spans="1:1" s="173" customFormat="1" ht="12" hidden="1" customHeight="1">
      <c r="A17194" s="172"/>
    </row>
    <row r="17195" spans="1:1" s="173" customFormat="1" ht="12" hidden="1" customHeight="1">
      <c r="A17195" s="172"/>
    </row>
    <row r="17196" spans="1:1" s="173" customFormat="1" ht="12" hidden="1" customHeight="1">
      <c r="A17196" s="172"/>
    </row>
    <row r="17197" spans="1:1" s="173" customFormat="1" ht="12" hidden="1" customHeight="1">
      <c r="A17197" s="172"/>
    </row>
    <row r="17198" spans="1:1" s="173" customFormat="1" ht="12" hidden="1" customHeight="1">
      <c r="A17198" s="172"/>
    </row>
    <row r="17199" spans="1:1" s="173" customFormat="1" ht="12" hidden="1" customHeight="1">
      <c r="A17199" s="172"/>
    </row>
    <row r="17200" spans="1:1" s="173" customFormat="1" ht="12" hidden="1" customHeight="1">
      <c r="A17200" s="172"/>
    </row>
    <row r="17201" spans="1:1" s="173" customFormat="1" ht="12" hidden="1" customHeight="1">
      <c r="A17201" s="172"/>
    </row>
    <row r="17202" spans="1:1" s="173" customFormat="1" ht="12" hidden="1" customHeight="1">
      <c r="A17202" s="172"/>
    </row>
    <row r="17203" spans="1:1" s="173" customFormat="1" ht="12" hidden="1" customHeight="1">
      <c r="A17203" s="172"/>
    </row>
    <row r="17204" spans="1:1" s="173" customFormat="1" ht="12" hidden="1" customHeight="1">
      <c r="A17204" s="172"/>
    </row>
    <row r="17205" spans="1:1" s="173" customFormat="1" ht="12" hidden="1" customHeight="1">
      <c r="A17205" s="172"/>
    </row>
    <row r="17206" spans="1:1" s="173" customFormat="1" ht="12" hidden="1" customHeight="1">
      <c r="A17206" s="172"/>
    </row>
    <row r="17207" spans="1:1" s="173" customFormat="1" ht="12" hidden="1" customHeight="1">
      <c r="A17207" s="172"/>
    </row>
    <row r="17208" spans="1:1" s="173" customFormat="1" ht="12" hidden="1" customHeight="1">
      <c r="A17208" s="172"/>
    </row>
    <row r="17209" spans="1:1" s="173" customFormat="1" ht="12" hidden="1" customHeight="1">
      <c r="A17209" s="172"/>
    </row>
    <row r="17210" spans="1:1" s="173" customFormat="1" ht="12" hidden="1" customHeight="1">
      <c r="A17210" s="172"/>
    </row>
    <row r="17211" spans="1:1" s="173" customFormat="1" ht="12" hidden="1" customHeight="1">
      <c r="A17211" s="172"/>
    </row>
    <row r="17212" spans="1:1" s="173" customFormat="1" ht="12" hidden="1" customHeight="1">
      <c r="A17212" s="172"/>
    </row>
    <row r="17213" spans="1:1" s="173" customFormat="1" ht="12" hidden="1" customHeight="1">
      <c r="A17213" s="172"/>
    </row>
    <row r="17214" spans="1:1" s="173" customFormat="1" ht="12" hidden="1" customHeight="1">
      <c r="A17214" s="172"/>
    </row>
    <row r="17215" spans="1:1" s="173" customFormat="1" ht="12" hidden="1" customHeight="1">
      <c r="A17215" s="172"/>
    </row>
    <row r="17216" spans="1:1" s="173" customFormat="1" ht="12" hidden="1" customHeight="1">
      <c r="A17216" s="172"/>
    </row>
    <row r="17217" spans="1:1" s="173" customFormat="1" ht="12" hidden="1" customHeight="1">
      <c r="A17217" s="172"/>
    </row>
    <row r="17218" spans="1:1" s="173" customFormat="1" ht="12" hidden="1" customHeight="1">
      <c r="A17218" s="172"/>
    </row>
    <row r="17219" spans="1:1" s="173" customFormat="1" ht="12" hidden="1" customHeight="1">
      <c r="A17219" s="172"/>
    </row>
    <row r="17220" spans="1:1" s="173" customFormat="1" ht="12" hidden="1" customHeight="1">
      <c r="A17220" s="172"/>
    </row>
    <row r="17221" spans="1:1" s="173" customFormat="1" ht="12" hidden="1" customHeight="1">
      <c r="A17221" s="172"/>
    </row>
    <row r="17222" spans="1:1" s="173" customFormat="1" ht="12" hidden="1" customHeight="1">
      <c r="A17222" s="172"/>
    </row>
    <row r="17223" spans="1:1" s="173" customFormat="1" ht="12" hidden="1" customHeight="1">
      <c r="A17223" s="172"/>
    </row>
    <row r="17224" spans="1:1" s="173" customFormat="1" ht="12" hidden="1" customHeight="1">
      <c r="A17224" s="172"/>
    </row>
    <row r="17225" spans="1:1" s="173" customFormat="1" ht="12" hidden="1" customHeight="1">
      <c r="A17225" s="172"/>
    </row>
    <row r="17226" spans="1:1" s="173" customFormat="1" ht="12" hidden="1" customHeight="1">
      <c r="A17226" s="172"/>
    </row>
    <row r="17227" spans="1:1" s="173" customFormat="1" ht="12" hidden="1" customHeight="1">
      <c r="A17227" s="172"/>
    </row>
    <row r="17228" spans="1:1" s="173" customFormat="1" ht="12" hidden="1" customHeight="1">
      <c r="A17228" s="172"/>
    </row>
    <row r="17229" spans="1:1" s="173" customFormat="1" ht="12" hidden="1" customHeight="1">
      <c r="A17229" s="172"/>
    </row>
    <row r="17230" spans="1:1" s="173" customFormat="1" ht="12" hidden="1" customHeight="1">
      <c r="A17230" s="172"/>
    </row>
    <row r="17231" spans="1:1" s="173" customFormat="1" ht="12" hidden="1" customHeight="1">
      <c r="A17231" s="172"/>
    </row>
    <row r="17232" spans="1:1" s="173" customFormat="1" ht="12" hidden="1" customHeight="1">
      <c r="A17232" s="172"/>
    </row>
    <row r="17233" spans="1:1" s="173" customFormat="1" ht="12" hidden="1" customHeight="1">
      <c r="A17233" s="172"/>
    </row>
    <row r="17234" spans="1:1" s="173" customFormat="1" ht="12" hidden="1" customHeight="1">
      <c r="A17234" s="172"/>
    </row>
    <row r="17235" spans="1:1" s="173" customFormat="1" ht="12" hidden="1" customHeight="1">
      <c r="A17235" s="172"/>
    </row>
    <row r="17236" spans="1:1" s="173" customFormat="1" ht="12" hidden="1" customHeight="1">
      <c r="A17236" s="172"/>
    </row>
    <row r="17237" spans="1:1" s="173" customFormat="1" ht="12" hidden="1" customHeight="1">
      <c r="A17237" s="172"/>
    </row>
    <row r="17238" spans="1:1" s="173" customFormat="1" ht="12" hidden="1" customHeight="1">
      <c r="A17238" s="172"/>
    </row>
    <row r="17239" spans="1:1" s="173" customFormat="1" ht="12" hidden="1" customHeight="1">
      <c r="A17239" s="172"/>
    </row>
    <row r="17240" spans="1:1" s="173" customFormat="1" ht="12" hidden="1" customHeight="1">
      <c r="A17240" s="172"/>
    </row>
    <row r="17241" spans="1:1" s="173" customFormat="1" ht="12" hidden="1" customHeight="1">
      <c r="A17241" s="172"/>
    </row>
    <row r="17242" spans="1:1" s="173" customFormat="1" ht="12" hidden="1" customHeight="1">
      <c r="A17242" s="172"/>
    </row>
    <row r="17243" spans="1:1" s="173" customFormat="1" ht="12" hidden="1" customHeight="1">
      <c r="A17243" s="172"/>
    </row>
    <row r="17244" spans="1:1" s="173" customFormat="1" ht="12" hidden="1" customHeight="1">
      <c r="A17244" s="172"/>
    </row>
    <row r="17245" spans="1:1" s="173" customFormat="1" ht="12" hidden="1" customHeight="1">
      <c r="A17245" s="172"/>
    </row>
    <row r="17246" spans="1:1" s="173" customFormat="1" ht="12" hidden="1" customHeight="1">
      <c r="A17246" s="172"/>
    </row>
    <row r="17247" spans="1:1" s="173" customFormat="1" ht="12" hidden="1" customHeight="1">
      <c r="A17247" s="172"/>
    </row>
    <row r="17248" spans="1:1" s="173" customFormat="1" ht="12" hidden="1" customHeight="1">
      <c r="A17248" s="172"/>
    </row>
    <row r="17249" spans="1:1" s="173" customFormat="1" ht="12" hidden="1" customHeight="1">
      <c r="A17249" s="172"/>
    </row>
    <row r="17250" spans="1:1" s="173" customFormat="1" ht="12" hidden="1" customHeight="1">
      <c r="A17250" s="172"/>
    </row>
    <row r="17251" spans="1:1" s="173" customFormat="1" ht="12" hidden="1" customHeight="1">
      <c r="A17251" s="172"/>
    </row>
    <row r="17252" spans="1:1" s="173" customFormat="1" ht="12" hidden="1" customHeight="1">
      <c r="A17252" s="172"/>
    </row>
    <row r="17253" spans="1:1" s="173" customFormat="1" ht="12" hidden="1" customHeight="1">
      <c r="A17253" s="172"/>
    </row>
    <row r="17254" spans="1:1" s="173" customFormat="1" ht="12" hidden="1" customHeight="1">
      <c r="A17254" s="172"/>
    </row>
    <row r="17255" spans="1:1" s="173" customFormat="1" ht="12" hidden="1" customHeight="1">
      <c r="A17255" s="172"/>
    </row>
    <row r="17256" spans="1:1" s="173" customFormat="1" ht="12" hidden="1" customHeight="1">
      <c r="A17256" s="172"/>
    </row>
    <row r="17257" spans="1:1" s="173" customFormat="1" ht="12" hidden="1" customHeight="1">
      <c r="A17257" s="172"/>
    </row>
    <row r="17258" spans="1:1" s="173" customFormat="1" ht="12" hidden="1" customHeight="1">
      <c r="A17258" s="172"/>
    </row>
    <row r="17259" spans="1:1" s="173" customFormat="1" ht="12" hidden="1" customHeight="1">
      <c r="A17259" s="172"/>
    </row>
    <row r="17260" spans="1:1" s="173" customFormat="1" ht="12" hidden="1" customHeight="1">
      <c r="A17260" s="172"/>
    </row>
    <row r="17261" spans="1:1" s="173" customFormat="1" ht="12" hidden="1" customHeight="1">
      <c r="A17261" s="172"/>
    </row>
    <row r="17262" spans="1:1" s="173" customFormat="1" ht="12" hidden="1" customHeight="1">
      <c r="A17262" s="172"/>
    </row>
    <row r="17263" spans="1:1" s="173" customFormat="1" ht="12" hidden="1" customHeight="1">
      <c r="A17263" s="172"/>
    </row>
    <row r="17264" spans="1:1" s="173" customFormat="1" ht="12" hidden="1" customHeight="1">
      <c r="A17264" s="172"/>
    </row>
    <row r="17265" spans="1:1" s="173" customFormat="1" ht="12" hidden="1" customHeight="1">
      <c r="A17265" s="172"/>
    </row>
    <row r="17266" spans="1:1" s="173" customFormat="1" ht="12" hidden="1" customHeight="1">
      <c r="A17266" s="172"/>
    </row>
    <row r="17267" spans="1:1" s="173" customFormat="1" ht="12" hidden="1" customHeight="1">
      <c r="A17267" s="172"/>
    </row>
    <row r="17268" spans="1:1" s="173" customFormat="1" ht="12" hidden="1" customHeight="1">
      <c r="A17268" s="172"/>
    </row>
    <row r="17269" spans="1:1" s="173" customFormat="1" ht="12" hidden="1" customHeight="1">
      <c r="A17269" s="172"/>
    </row>
    <row r="17270" spans="1:1" s="173" customFormat="1" ht="12" hidden="1" customHeight="1">
      <c r="A17270" s="172"/>
    </row>
    <row r="17271" spans="1:1" s="173" customFormat="1" ht="12" hidden="1" customHeight="1">
      <c r="A17271" s="172"/>
    </row>
    <row r="17272" spans="1:1" s="173" customFormat="1" ht="12" hidden="1" customHeight="1">
      <c r="A17272" s="172"/>
    </row>
    <row r="17273" spans="1:1" s="173" customFormat="1" ht="12" hidden="1" customHeight="1">
      <c r="A17273" s="172"/>
    </row>
    <row r="17274" spans="1:1" s="173" customFormat="1" ht="12" hidden="1" customHeight="1">
      <c r="A17274" s="172"/>
    </row>
    <row r="17275" spans="1:1" s="173" customFormat="1" ht="12" hidden="1" customHeight="1">
      <c r="A17275" s="172"/>
    </row>
    <row r="17276" spans="1:1" s="173" customFormat="1" ht="12" hidden="1" customHeight="1">
      <c r="A17276" s="172"/>
    </row>
    <row r="17277" spans="1:1" s="173" customFormat="1" ht="12" hidden="1" customHeight="1">
      <c r="A17277" s="172"/>
    </row>
    <row r="17278" spans="1:1" s="173" customFormat="1" ht="12" hidden="1" customHeight="1">
      <c r="A17278" s="172"/>
    </row>
    <row r="17279" spans="1:1" s="173" customFormat="1" ht="12" hidden="1" customHeight="1">
      <c r="A17279" s="172"/>
    </row>
    <row r="17280" spans="1:1" s="173" customFormat="1" ht="12" hidden="1" customHeight="1">
      <c r="A17280" s="172"/>
    </row>
    <row r="17281" spans="1:1" s="173" customFormat="1" ht="12" hidden="1" customHeight="1">
      <c r="A17281" s="172"/>
    </row>
    <row r="17282" spans="1:1" s="173" customFormat="1" ht="12" hidden="1" customHeight="1">
      <c r="A17282" s="172"/>
    </row>
    <row r="17283" spans="1:1" s="173" customFormat="1" ht="12" hidden="1" customHeight="1">
      <c r="A17283" s="172"/>
    </row>
    <row r="17284" spans="1:1" s="173" customFormat="1" ht="12" hidden="1" customHeight="1">
      <c r="A17284" s="172"/>
    </row>
    <row r="17285" spans="1:1" s="173" customFormat="1" ht="12" hidden="1" customHeight="1">
      <c r="A17285" s="172"/>
    </row>
    <row r="17286" spans="1:1" s="173" customFormat="1" ht="12" hidden="1" customHeight="1">
      <c r="A17286" s="172"/>
    </row>
    <row r="17287" spans="1:1" s="173" customFormat="1" ht="12" hidden="1" customHeight="1">
      <c r="A17287" s="172"/>
    </row>
    <row r="17288" spans="1:1" s="173" customFormat="1" ht="12" hidden="1" customHeight="1">
      <c r="A17288" s="172"/>
    </row>
    <row r="17289" spans="1:1" s="173" customFormat="1" ht="12" hidden="1" customHeight="1">
      <c r="A17289" s="172"/>
    </row>
    <row r="17290" spans="1:1" s="173" customFormat="1" ht="12" hidden="1" customHeight="1">
      <c r="A17290" s="172"/>
    </row>
    <row r="17291" spans="1:1" s="173" customFormat="1" ht="12" hidden="1" customHeight="1">
      <c r="A17291" s="172"/>
    </row>
    <row r="17292" spans="1:1" s="173" customFormat="1" ht="12" hidden="1" customHeight="1">
      <c r="A17292" s="172"/>
    </row>
    <row r="17293" spans="1:1" s="173" customFormat="1" ht="12" hidden="1" customHeight="1">
      <c r="A17293" s="172"/>
    </row>
    <row r="17294" spans="1:1" s="173" customFormat="1" ht="12" hidden="1" customHeight="1">
      <c r="A17294" s="172"/>
    </row>
    <row r="17295" spans="1:1" s="173" customFormat="1" ht="12" hidden="1" customHeight="1">
      <c r="A17295" s="172"/>
    </row>
    <row r="17296" spans="1:1" s="173" customFormat="1" ht="12" hidden="1" customHeight="1">
      <c r="A17296" s="172"/>
    </row>
    <row r="17297" spans="1:1" s="173" customFormat="1" ht="12" hidden="1" customHeight="1">
      <c r="A17297" s="172"/>
    </row>
    <row r="17298" spans="1:1" s="173" customFormat="1" ht="12" hidden="1" customHeight="1">
      <c r="A17298" s="172"/>
    </row>
    <row r="17299" spans="1:1" s="173" customFormat="1" ht="12" hidden="1" customHeight="1">
      <c r="A17299" s="172"/>
    </row>
    <row r="17300" spans="1:1" s="173" customFormat="1" ht="12" hidden="1" customHeight="1">
      <c r="A17300" s="172"/>
    </row>
    <row r="17301" spans="1:1" s="173" customFormat="1" ht="12" hidden="1" customHeight="1">
      <c r="A17301" s="172"/>
    </row>
    <row r="17302" spans="1:1" s="173" customFormat="1" ht="12" hidden="1" customHeight="1">
      <c r="A17302" s="172"/>
    </row>
    <row r="17303" spans="1:1" s="173" customFormat="1" ht="12" hidden="1" customHeight="1">
      <c r="A17303" s="172"/>
    </row>
    <row r="17304" spans="1:1" s="173" customFormat="1" ht="12" hidden="1" customHeight="1">
      <c r="A17304" s="172"/>
    </row>
    <row r="17305" spans="1:1" s="173" customFormat="1" ht="12" hidden="1" customHeight="1">
      <c r="A17305" s="172"/>
    </row>
    <row r="17306" spans="1:1" s="173" customFormat="1" ht="12" hidden="1" customHeight="1">
      <c r="A17306" s="172"/>
    </row>
    <row r="17307" spans="1:1" s="173" customFormat="1" ht="12" hidden="1" customHeight="1">
      <c r="A17307" s="172"/>
    </row>
    <row r="17308" spans="1:1" s="173" customFormat="1" ht="12" hidden="1" customHeight="1">
      <c r="A17308" s="172"/>
    </row>
    <row r="17309" spans="1:1" s="173" customFormat="1" ht="12" hidden="1" customHeight="1">
      <c r="A17309" s="172"/>
    </row>
    <row r="17310" spans="1:1" s="173" customFormat="1" ht="12" hidden="1" customHeight="1">
      <c r="A17310" s="172"/>
    </row>
    <row r="17311" spans="1:1" s="173" customFormat="1" ht="12" hidden="1" customHeight="1">
      <c r="A17311" s="172"/>
    </row>
    <row r="17312" spans="1:1" s="173" customFormat="1" ht="12" hidden="1" customHeight="1">
      <c r="A17312" s="172"/>
    </row>
    <row r="17313" spans="1:1" s="173" customFormat="1" ht="12" hidden="1" customHeight="1">
      <c r="A17313" s="172"/>
    </row>
    <row r="17314" spans="1:1" s="173" customFormat="1" ht="12" hidden="1" customHeight="1">
      <c r="A17314" s="172"/>
    </row>
    <row r="17315" spans="1:1" s="173" customFormat="1" ht="12" hidden="1" customHeight="1">
      <c r="A17315" s="172"/>
    </row>
    <row r="17316" spans="1:1" s="173" customFormat="1" ht="12" hidden="1" customHeight="1">
      <c r="A17316" s="172"/>
    </row>
    <row r="17317" spans="1:1" s="173" customFormat="1" ht="12" hidden="1" customHeight="1">
      <c r="A17317" s="172"/>
    </row>
    <row r="17318" spans="1:1" s="173" customFormat="1" ht="12" hidden="1" customHeight="1">
      <c r="A17318" s="172"/>
    </row>
    <row r="17319" spans="1:1" s="173" customFormat="1" ht="12" hidden="1" customHeight="1">
      <c r="A17319" s="172"/>
    </row>
    <row r="17320" spans="1:1" s="173" customFormat="1" ht="12" hidden="1" customHeight="1">
      <c r="A17320" s="172"/>
    </row>
    <row r="17321" spans="1:1" s="173" customFormat="1" ht="12" hidden="1" customHeight="1">
      <c r="A17321" s="172"/>
    </row>
    <row r="17322" spans="1:1" s="173" customFormat="1" ht="12" hidden="1" customHeight="1">
      <c r="A17322" s="172"/>
    </row>
    <row r="17323" spans="1:1" s="173" customFormat="1" ht="12" hidden="1" customHeight="1">
      <c r="A17323" s="172"/>
    </row>
    <row r="17324" spans="1:1" s="173" customFormat="1" ht="12" hidden="1" customHeight="1">
      <c r="A17324" s="172"/>
    </row>
    <row r="17325" spans="1:1" s="173" customFormat="1" ht="12" hidden="1" customHeight="1">
      <c r="A17325" s="172"/>
    </row>
    <row r="17326" spans="1:1" s="173" customFormat="1" ht="12" hidden="1" customHeight="1">
      <c r="A17326" s="172"/>
    </row>
    <row r="17327" spans="1:1" s="173" customFormat="1" ht="12" hidden="1" customHeight="1">
      <c r="A17327" s="172"/>
    </row>
    <row r="17328" spans="1:1" s="173" customFormat="1" ht="12" hidden="1" customHeight="1">
      <c r="A17328" s="172"/>
    </row>
    <row r="17329" spans="1:1" s="173" customFormat="1" ht="12" hidden="1" customHeight="1">
      <c r="A17329" s="172"/>
    </row>
    <row r="17330" spans="1:1" s="173" customFormat="1" ht="12" hidden="1" customHeight="1">
      <c r="A17330" s="172"/>
    </row>
    <row r="17331" spans="1:1" s="173" customFormat="1" ht="12" hidden="1" customHeight="1">
      <c r="A17331" s="172"/>
    </row>
    <row r="17332" spans="1:1" s="173" customFormat="1" ht="12" hidden="1" customHeight="1">
      <c r="A17332" s="172"/>
    </row>
    <row r="17333" spans="1:1" s="173" customFormat="1" ht="12" hidden="1" customHeight="1">
      <c r="A17333" s="172"/>
    </row>
    <row r="17334" spans="1:1" s="173" customFormat="1" ht="12" hidden="1" customHeight="1">
      <c r="A17334" s="172"/>
    </row>
    <row r="17335" spans="1:1" s="173" customFormat="1" ht="12" hidden="1" customHeight="1">
      <c r="A17335" s="172"/>
    </row>
    <row r="17336" spans="1:1" s="173" customFormat="1" ht="12" hidden="1" customHeight="1">
      <c r="A17336" s="172"/>
    </row>
    <row r="17337" spans="1:1" s="173" customFormat="1" ht="12" hidden="1" customHeight="1">
      <c r="A17337" s="172"/>
    </row>
    <row r="17338" spans="1:1" s="173" customFormat="1" ht="12" hidden="1" customHeight="1">
      <c r="A17338" s="172"/>
    </row>
    <row r="17339" spans="1:1" s="173" customFormat="1" ht="12" hidden="1" customHeight="1">
      <c r="A17339" s="172"/>
    </row>
    <row r="17340" spans="1:1" s="173" customFormat="1" ht="12" hidden="1" customHeight="1">
      <c r="A17340" s="172"/>
    </row>
    <row r="17341" spans="1:1" s="173" customFormat="1" ht="12" hidden="1" customHeight="1">
      <c r="A17341" s="172"/>
    </row>
    <row r="17342" spans="1:1" s="173" customFormat="1" ht="12" hidden="1" customHeight="1">
      <c r="A17342" s="172"/>
    </row>
    <row r="17343" spans="1:1" s="173" customFormat="1" ht="12" hidden="1" customHeight="1">
      <c r="A17343" s="172"/>
    </row>
    <row r="17344" spans="1:1" s="173" customFormat="1" ht="12" hidden="1" customHeight="1">
      <c r="A17344" s="172"/>
    </row>
    <row r="17345" spans="1:1" s="173" customFormat="1" ht="12" hidden="1" customHeight="1">
      <c r="A17345" s="172"/>
    </row>
    <row r="17346" spans="1:1" s="173" customFormat="1" ht="12" hidden="1" customHeight="1">
      <c r="A17346" s="172"/>
    </row>
    <row r="17347" spans="1:1" s="173" customFormat="1" ht="12" hidden="1" customHeight="1">
      <c r="A17347" s="172"/>
    </row>
    <row r="17348" spans="1:1" s="173" customFormat="1" ht="12" hidden="1" customHeight="1">
      <c r="A17348" s="172"/>
    </row>
    <row r="17349" spans="1:1" s="173" customFormat="1" ht="12" hidden="1" customHeight="1">
      <c r="A17349" s="172"/>
    </row>
    <row r="17350" spans="1:1" s="173" customFormat="1" ht="12" hidden="1" customHeight="1">
      <c r="A17350" s="172"/>
    </row>
    <row r="17351" spans="1:1" s="173" customFormat="1" ht="12" hidden="1" customHeight="1">
      <c r="A17351" s="172"/>
    </row>
    <row r="17352" spans="1:1" s="173" customFormat="1" ht="12" hidden="1" customHeight="1">
      <c r="A17352" s="172"/>
    </row>
    <row r="17353" spans="1:1" s="173" customFormat="1" ht="12" hidden="1" customHeight="1">
      <c r="A17353" s="172"/>
    </row>
    <row r="17354" spans="1:1" s="173" customFormat="1" ht="12" hidden="1" customHeight="1">
      <c r="A17354" s="172"/>
    </row>
    <row r="17355" spans="1:1" s="173" customFormat="1" ht="12" hidden="1" customHeight="1">
      <c r="A17355" s="172"/>
    </row>
    <row r="17356" spans="1:1" s="173" customFormat="1" ht="12" hidden="1" customHeight="1">
      <c r="A17356" s="172"/>
    </row>
    <row r="17357" spans="1:1" s="173" customFormat="1" ht="12" hidden="1" customHeight="1">
      <c r="A17357" s="172"/>
    </row>
    <row r="17358" spans="1:1" s="173" customFormat="1" ht="12" hidden="1" customHeight="1">
      <c r="A17358" s="172"/>
    </row>
    <row r="17359" spans="1:1" s="173" customFormat="1" ht="12" hidden="1" customHeight="1">
      <c r="A17359" s="172"/>
    </row>
    <row r="17360" spans="1:1" s="173" customFormat="1" ht="12" hidden="1" customHeight="1">
      <c r="A17360" s="172"/>
    </row>
    <row r="17361" spans="1:1" s="173" customFormat="1" ht="12" hidden="1" customHeight="1">
      <c r="A17361" s="172"/>
    </row>
    <row r="17362" spans="1:1" s="173" customFormat="1" ht="12" hidden="1" customHeight="1">
      <c r="A17362" s="172"/>
    </row>
    <row r="17363" spans="1:1" s="173" customFormat="1" ht="12" hidden="1" customHeight="1">
      <c r="A17363" s="172"/>
    </row>
    <row r="17364" spans="1:1" s="173" customFormat="1" ht="12" hidden="1" customHeight="1">
      <c r="A17364" s="172"/>
    </row>
    <row r="17365" spans="1:1" s="173" customFormat="1" ht="12" hidden="1" customHeight="1">
      <c r="A17365" s="172"/>
    </row>
    <row r="17366" spans="1:1" s="173" customFormat="1" ht="12" hidden="1" customHeight="1">
      <c r="A17366" s="172"/>
    </row>
    <row r="17367" spans="1:1" s="173" customFormat="1" ht="12" hidden="1" customHeight="1">
      <c r="A17367" s="172"/>
    </row>
    <row r="17368" spans="1:1" s="173" customFormat="1" ht="12" hidden="1" customHeight="1">
      <c r="A17368" s="172"/>
    </row>
    <row r="17369" spans="1:1" s="173" customFormat="1" ht="12" hidden="1" customHeight="1">
      <c r="A17369" s="172"/>
    </row>
    <row r="17370" spans="1:1" s="173" customFormat="1" ht="12" hidden="1" customHeight="1">
      <c r="A17370" s="172"/>
    </row>
    <row r="17371" spans="1:1" s="173" customFormat="1" ht="12" hidden="1" customHeight="1">
      <c r="A17371" s="172"/>
    </row>
    <row r="17372" spans="1:1" s="173" customFormat="1" ht="12" hidden="1" customHeight="1">
      <c r="A17372" s="172"/>
    </row>
    <row r="17373" spans="1:1" s="173" customFormat="1" ht="12" hidden="1" customHeight="1">
      <c r="A17373" s="172"/>
    </row>
    <row r="17374" spans="1:1" s="173" customFormat="1" ht="12" hidden="1" customHeight="1">
      <c r="A17374" s="172"/>
    </row>
    <row r="17375" spans="1:1" s="173" customFormat="1" ht="12" hidden="1" customHeight="1">
      <c r="A17375" s="172"/>
    </row>
    <row r="17376" spans="1:1" s="173" customFormat="1" ht="12" hidden="1" customHeight="1">
      <c r="A17376" s="172"/>
    </row>
    <row r="17377" spans="1:1" s="173" customFormat="1" ht="12" hidden="1" customHeight="1">
      <c r="A17377" s="172"/>
    </row>
    <row r="17378" spans="1:1" s="173" customFormat="1" ht="12" hidden="1" customHeight="1">
      <c r="A17378" s="172"/>
    </row>
    <row r="17379" spans="1:1" s="173" customFormat="1" ht="12" hidden="1" customHeight="1">
      <c r="A17379" s="172"/>
    </row>
    <row r="17380" spans="1:1" s="173" customFormat="1" ht="12" hidden="1" customHeight="1">
      <c r="A17380" s="172"/>
    </row>
    <row r="17381" spans="1:1" s="173" customFormat="1" ht="12" hidden="1" customHeight="1">
      <c r="A17381" s="172"/>
    </row>
    <row r="17382" spans="1:1" s="173" customFormat="1" ht="12" hidden="1" customHeight="1">
      <c r="A17382" s="172"/>
    </row>
    <row r="17383" spans="1:1" s="173" customFormat="1" ht="12" hidden="1" customHeight="1">
      <c r="A17383" s="172"/>
    </row>
    <row r="17384" spans="1:1" s="173" customFormat="1" ht="12" hidden="1" customHeight="1">
      <c r="A17384" s="172"/>
    </row>
    <row r="17385" spans="1:1" s="173" customFormat="1" ht="12" hidden="1" customHeight="1">
      <c r="A17385" s="172"/>
    </row>
    <row r="17386" spans="1:1" s="173" customFormat="1" ht="12" hidden="1" customHeight="1">
      <c r="A17386" s="172"/>
    </row>
    <row r="17387" spans="1:1" s="173" customFormat="1" ht="12" hidden="1" customHeight="1">
      <c r="A17387" s="172"/>
    </row>
    <row r="17388" spans="1:1" s="173" customFormat="1" ht="12" hidden="1" customHeight="1">
      <c r="A17388" s="172"/>
    </row>
    <row r="17389" spans="1:1" s="173" customFormat="1" ht="12" hidden="1" customHeight="1">
      <c r="A17389" s="172"/>
    </row>
    <row r="17390" spans="1:1" s="173" customFormat="1" ht="12" hidden="1" customHeight="1">
      <c r="A17390" s="172"/>
    </row>
    <row r="17391" spans="1:1" s="173" customFormat="1" ht="12" hidden="1" customHeight="1">
      <c r="A17391" s="172"/>
    </row>
    <row r="17392" spans="1:1" s="173" customFormat="1" ht="12" hidden="1" customHeight="1">
      <c r="A17392" s="172"/>
    </row>
    <row r="17393" spans="1:1" s="173" customFormat="1" ht="12" hidden="1" customHeight="1">
      <c r="A17393" s="172"/>
    </row>
    <row r="17394" spans="1:1" s="173" customFormat="1" ht="12" hidden="1" customHeight="1">
      <c r="A17394" s="172"/>
    </row>
    <row r="17395" spans="1:1" s="173" customFormat="1" ht="12" hidden="1" customHeight="1">
      <c r="A17395" s="172"/>
    </row>
    <row r="17396" spans="1:1" s="173" customFormat="1" ht="12" hidden="1" customHeight="1">
      <c r="A17396" s="172"/>
    </row>
    <row r="17397" spans="1:1" s="173" customFormat="1" ht="12" hidden="1" customHeight="1">
      <c r="A17397" s="172"/>
    </row>
    <row r="17398" spans="1:1" s="173" customFormat="1" ht="12" hidden="1" customHeight="1">
      <c r="A17398" s="172"/>
    </row>
    <row r="17399" spans="1:1" s="173" customFormat="1" ht="12" hidden="1" customHeight="1">
      <c r="A17399" s="172"/>
    </row>
    <row r="17400" spans="1:1" s="173" customFormat="1" ht="12" hidden="1" customHeight="1">
      <c r="A17400" s="172"/>
    </row>
    <row r="17401" spans="1:1" s="173" customFormat="1" ht="12" hidden="1" customHeight="1">
      <c r="A17401" s="172"/>
    </row>
    <row r="17402" spans="1:1" s="173" customFormat="1" ht="12" hidden="1" customHeight="1">
      <c r="A17402" s="172"/>
    </row>
    <row r="17403" spans="1:1" s="173" customFormat="1" ht="12" hidden="1" customHeight="1">
      <c r="A17403" s="172"/>
    </row>
    <row r="17404" spans="1:1" s="173" customFormat="1" ht="12" hidden="1" customHeight="1">
      <c r="A17404" s="172"/>
    </row>
    <row r="17405" spans="1:1" s="173" customFormat="1" ht="12" hidden="1" customHeight="1">
      <c r="A17405" s="172"/>
    </row>
    <row r="17406" spans="1:1" s="173" customFormat="1" ht="12" hidden="1" customHeight="1">
      <c r="A17406" s="172"/>
    </row>
    <row r="17407" spans="1:1" s="173" customFormat="1" ht="12" hidden="1" customHeight="1">
      <c r="A17407" s="172"/>
    </row>
    <row r="17408" spans="1:1" s="173" customFormat="1" ht="12" hidden="1" customHeight="1">
      <c r="A17408" s="172"/>
    </row>
    <row r="17409" spans="1:1" s="173" customFormat="1" ht="12" hidden="1" customHeight="1">
      <c r="A17409" s="172"/>
    </row>
    <row r="17410" spans="1:1" s="173" customFormat="1" ht="12" hidden="1" customHeight="1">
      <c r="A17410" s="172"/>
    </row>
    <row r="17411" spans="1:1" s="173" customFormat="1" ht="12" hidden="1" customHeight="1">
      <c r="A17411" s="172"/>
    </row>
    <row r="17412" spans="1:1" s="173" customFormat="1" ht="12" hidden="1" customHeight="1">
      <c r="A17412" s="172"/>
    </row>
    <row r="17413" spans="1:1" s="173" customFormat="1" ht="12" hidden="1" customHeight="1">
      <c r="A17413" s="172"/>
    </row>
    <row r="17414" spans="1:1" s="173" customFormat="1" ht="12" hidden="1" customHeight="1">
      <c r="A17414" s="172"/>
    </row>
    <row r="17415" spans="1:1" s="173" customFormat="1" ht="12" hidden="1" customHeight="1">
      <c r="A17415" s="172"/>
    </row>
    <row r="17416" spans="1:1" s="173" customFormat="1" ht="12" hidden="1" customHeight="1">
      <c r="A17416" s="172"/>
    </row>
    <row r="17417" spans="1:1" s="173" customFormat="1" ht="12" hidden="1" customHeight="1">
      <c r="A17417" s="172"/>
    </row>
    <row r="17418" spans="1:1" s="173" customFormat="1" ht="12" hidden="1" customHeight="1">
      <c r="A17418" s="172"/>
    </row>
    <row r="17419" spans="1:1" s="173" customFormat="1" ht="12" hidden="1" customHeight="1">
      <c r="A17419" s="172"/>
    </row>
    <row r="17420" spans="1:1" s="173" customFormat="1" ht="12" hidden="1" customHeight="1">
      <c r="A17420" s="172"/>
    </row>
    <row r="17421" spans="1:1" s="173" customFormat="1" ht="12" hidden="1" customHeight="1">
      <c r="A17421" s="172"/>
    </row>
    <row r="17422" spans="1:1" s="173" customFormat="1" ht="12" hidden="1" customHeight="1">
      <c r="A17422" s="172"/>
    </row>
    <row r="17423" spans="1:1" s="173" customFormat="1" ht="12" hidden="1" customHeight="1">
      <c r="A17423" s="172"/>
    </row>
    <row r="17424" spans="1:1" s="173" customFormat="1" ht="12" hidden="1" customHeight="1">
      <c r="A17424" s="172"/>
    </row>
    <row r="17425" spans="1:1" s="173" customFormat="1" ht="12" hidden="1" customHeight="1">
      <c r="A17425" s="172"/>
    </row>
    <row r="17426" spans="1:1" s="173" customFormat="1" ht="12" hidden="1" customHeight="1">
      <c r="A17426" s="172"/>
    </row>
    <row r="17427" spans="1:1" s="173" customFormat="1" ht="12" hidden="1" customHeight="1">
      <c r="A17427" s="172"/>
    </row>
    <row r="17428" spans="1:1" s="173" customFormat="1" ht="12" hidden="1" customHeight="1">
      <c r="A17428" s="172"/>
    </row>
    <row r="17429" spans="1:1" s="173" customFormat="1" ht="12" hidden="1" customHeight="1">
      <c r="A17429" s="172"/>
    </row>
    <row r="17430" spans="1:1" s="173" customFormat="1" ht="12" hidden="1" customHeight="1">
      <c r="A17430" s="172"/>
    </row>
    <row r="17431" spans="1:1" s="173" customFormat="1" ht="12" hidden="1" customHeight="1">
      <c r="A17431" s="172"/>
    </row>
    <row r="17432" spans="1:1" s="173" customFormat="1" ht="12" hidden="1" customHeight="1">
      <c r="A17432" s="172"/>
    </row>
    <row r="17433" spans="1:1" s="173" customFormat="1" ht="12" hidden="1" customHeight="1">
      <c r="A17433" s="172"/>
    </row>
    <row r="17434" spans="1:1" s="173" customFormat="1" ht="12" hidden="1" customHeight="1">
      <c r="A17434" s="172"/>
    </row>
    <row r="17435" spans="1:1" s="173" customFormat="1" ht="12" hidden="1" customHeight="1">
      <c r="A17435" s="172"/>
    </row>
    <row r="17436" spans="1:1" s="173" customFormat="1" ht="12" hidden="1" customHeight="1">
      <c r="A17436" s="172"/>
    </row>
    <row r="17437" spans="1:1" s="173" customFormat="1" ht="12" hidden="1" customHeight="1">
      <c r="A17437" s="172"/>
    </row>
    <row r="17438" spans="1:1" s="173" customFormat="1" ht="12" hidden="1" customHeight="1">
      <c r="A17438" s="172"/>
    </row>
    <row r="17439" spans="1:1" s="173" customFormat="1" ht="12" hidden="1" customHeight="1">
      <c r="A17439" s="172"/>
    </row>
    <row r="17440" spans="1:1" s="173" customFormat="1" ht="12" hidden="1" customHeight="1">
      <c r="A17440" s="172"/>
    </row>
    <row r="17441" spans="1:1" s="173" customFormat="1" ht="12" hidden="1" customHeight="1">
      <c r="A17441" s="172"/>
    </row>
    <row r="17442" spans="1:1" s="173" customFormat="1" ht="12" hidden="1" customHeight="1">
      <c r="A17442" s="172"/>
    </row>
    <row r="17443" spans="1:1" s="173" customFormat="1" ht="12" hidden="1" customHeight="1">
      <c r="A17443" s="172"/>
    </row>
    <row r="17444" spans="1:1" s="173" customFormat="1" ht="12" hidden="1" customHeight="1">
      <c r="A17444" s="172"/>
    </row>
    <row r="17445" spans="1:1" s="173" customFormat="1" ht="12" hidden="1" customHeight="1">
      <c r="A17445" s="172"/>
    </row>
    <row r="17446" spans="1:1" s="173" customFormat="1" ht="12" hidden="1" customHeight="1">
      <c r="A17446" s="172"/>
    </row>
    <row r="17447" spans="1:1" s="173" customFormat="1" ht="12" hidden="1" customHeight="1">
      <c r="A17447" s="172"/>
    </row>
    <row r="17448" spans="1:1" s="173" customFormat="1" ht="12" hidden="1" customHeight="1">
      <c r="A17448" s="172"/>
    </row>
    <row r="17449" spans="1:1" s="173" customFormat="1" ht="12" hidden="1" customHeight="1">
      <c r="A17449" s="172"/>
    </row>
    <row r="17450" spans="1:1" s="173" customFormat="1" ht="12" hidden="1" customHeight="1">
      <c r="A17450" s="172"/>
    </row>
    <row r="17451" spans="1:1" s="173" customFormat="1" ht="12" hidden="1" customHeight="1">
      <c r="A17451" s="172"/>
    </row>
    <row r="17452" spans="1:1" s="173" customFormat="1" ht="12" hidden="1" customHeight="1">
      <c r="A17452" s="172"/>
    </row>
    <row r="17453" spans="1:1" s="173" customFormat="1" ht="12" hidden="1" customHeight="1">
      <c r="A17453" s="172"/>
    </row>
    <row r="17454" spans="1:1" s="173" customFormat="1" ht="12" hidden="1" customHeight="1">
      <c r="A17454" s="172"/>
    </row>
    <row r="17455" spans="1:1" s="173" customFormat="1" ht="12" hidden="1" customHeight="1">
      <c r="A17455" s="172"/>
    </row>
    <row r="17456" spans="1:1" s="173" customFormat="1" ht="12" hidden="1" customHeight="1">
      <c r="A17456" s="172"/>
    </row>
    <row r="17457" spans="1:1" s="173" customFormat="1" ht="12" hidden="1" customHeight="1">
      <c r="A17457" s="172"/>
    </row>
    <row r="17458" spans="1:1" s="173" customFormat="1" ht="12" hidden="1" customHeight="1">
      <c r="A17458" s="172"/>
    </row>
    <row r="17459" spans="1:1" s="173" customFormat="1" ht="12" hidden="1" customHeight="1">
      <c r="A17459" s="172"/>
    </row>
    <row r="17460" spans="1:1" s="173" customFormat="1" ht="12" hidden="1" customHeight="1">
      <c r="A17460" s="172"/>
    </row>
    <row r="17461" spans="1:1" s="173" customFormat="1" ht="12" hidden="1" customHeight="1">
      <c r="A17461" s="172"/>
    </row>
    <row r="17462" spans="1:1" s="173" customFormat="1" ht="12" hidden="1" customHeight="1">
      <c r="A17462" s="172"/>
    </row>
    <row r="17463" spans="1:1" s="173" customFormat="1" ht="12" hidden="1" customHeight="1">
      <c r="A17463" s="172"/>
    </row>
    <row r="17464" spans="1:1" s="173" customFormat="1" ht="12" hidden="1" customHeight="1">
      <c r="A17464" s="172"/>
    </row>
    <row r="17465" spans="1:1" s="173" customFormat="1" ht="12" hidden="1" customHeight="1">
      <c r="A17465" s="172"/>
    </row>
    <row r="17466" spans="1:1" s="173" customFormat="1" ht="12" hidden="1" customHeight="1">
      <c r="A17466" s="172"/>
    </row>
    <row r="17467" spans="1:1" s="173" customFormat="1" ht="12" hidden="1" customHeight="1">
      <c r="A17467" s="172"/>
    </row>
    <row r="17468" spans="1:1" s="173" customFormat="1" ht="12" hidden="1" customHeight="1">
      <c r="A17468" s="172"/>
    </row>
    <row r="17469" spans="1:1" s="173" customFormat="1" ht="12" hidden="1" customHeight="1">
      <c r="A17469" s="172"/>
    </row>
    <row r="17470" spans="1:1" s="173" customFormat="1" ht="12" hidden="1" customHeight="1">
      <c r="A17470" s="172"/>
    </row>
    <row r="17471" spans="1:1" s="173" customFormat="1" ht="12" hidden="1" customHeight="1">
      <c r="A17471" s="172"/>
    </row>
    <row r="17472" spans="1:1" s="173" customFormat="1" ht="12" hidden="1" customHeight="1">
      <c r="A17472" s="172"/>
    </row>
    <row r="17473" spans="1:1" s="173" customFormat="1" ht="12" hidden="1" customHeight="1">
      <c r="A17473" s="172"/>
    </row>
    <row r="17474" spans="1:1" s="173" customFormat="1" ht="12" hidden="1" customHeight="1">
      <c r="A17474" s="172"/>
    </row>
    <row r="17475" spans="1:1" s="173" customFormat="1" ht="12" hidden="1" customHeight="1">
      <c r="A17475" s="172"/>
    </row>
    <row r="17476" spans="1:1" s="173" customFormat="1" ht="12" hidden="1" customHeight="1">
      <c r="A17476" s="172"/>
    </row>
    <row r="17477" spans="1:1" s="173" customFormat="1" ht="12" hidden="1" customHeight="1">
      <c r="A17477" s="172"/>
    </row>
    <row r="17478" spans="1:1" s="173" customFormat="1" ht="12" hidden="1" customHeight="1">
      <c r="A17478" s="172"/>
    </row>
    <row r="17479" spans="1:1" s="173" customFormat="1" ht="12" hidden="1" customHeight="1">
      <c r="A17479" s="172"/>
    </row>
    <row r="17480" spans="1:1" s="173" customFormat="1" ht="12" hidden="1" customHeight="1">
      <c r="A17480" s="172"/>
    </row>
    <row r="17481" spans="1:1" s="173" customFormat="1" ht="12" hidden="1" customHeight="1">
      <c r="A17481" s="172"/>
    </row>
    <row r="17482" spans="1:1" s="173" customFormat="1" ht="12" hidden="1" customHeight="1">
      <c r="A17482" s="172"/>
    </row>
    <row r="17483" spans="1:1" s="173" customFormat="1" ht="12" hidden="1" customHeight="1">
      <c r="A17483" s="172"/>
    </row>
    <row r="17484" spans="1:1" s="173" customFormat="1" ht="12" hidden="1" customHeight="1">
      <c r="A17484" s="172"/>
    </row>
    <row r="17485" spans="1:1" s="173" customFormat="1" ht="12" hidden="1" customHeight="1">
      <c r="A17485" s="172"/>
    </row>
    <row r="17486" spans="1:1" s="173" customFormat="1" ht="12" hidden="1" customHeight="1">
      <c r="A17486" s="172"/>
    </row>
    <row r="17487" spans="1:1" s="173" customFormat="1" ht="12" hidden="1" customHeight="1">
      <c r="A17487" s="172"/>
    </row>
    <row r="17488" spans="1:1" s="173" customFormat="1" ht="12" hidden="1" customHeight="1">
      <c r="A17488" s="172"/>
    </row>
    <row r="17489" spans="1:1" s="173" customFormat="1" ht="12" hidden="1" customHeight="1">
      <c r="A17489" s="172"/>
    </row>
    <row r="17490" spans="1:1" s="173" customFormat="1" ht="12" hidden="1" customHeight="1">
      <c r="A17490" s="172"/>
    </row>
    <row r="17491" spans="1:1" s="173" customFormat="1" ht="12" hidden="1" customHeight="1">
      <c r="A17491" s="172"/>
    </row>
    <row r="17492" spans="1:1" s="173" customFormat="1" ht="12" hidden="1" customHeight="1">
      <c r="A17492" s="172"/>
    </row>
    <row r="17493" spans="1:1" s="173" customFormat="1" ht="12" hidden="1" customHeight="1">
      <c r="A17493" s="172"/>
    </row>
    <row r="17494" spans="1:1" s="173" customFormat="1" ht="12" hidden="1" customHeight="1">
      <c r="A17494" s="172"/>
    </row>
    <row r="17495" spans="1:1" s="173" customFormat="1" ht="12" hidden="1" customHeight="1">
      <c r="A17495" s="172"/>
    </row>
    <row r="17496" spans="1:1" s="173" customFormat="1" ht="12" hidden="1" customHeight="1">
      <c r="A17496" s="172"/>
    </row>
    <row r="17497" spans="1:1" s="173" customFormat="1" ht="12" hidden="1" customHeight="1">
      <c r="A17497" s="172"/>
    </row>
    <row r="17498" spans="1:1" s="173" customFormat="1" ht="12" hidden="1" customHeight="1">
      <c r="A17498" s="172"/>
    </row>
    <row r="17499" spans="1:1" s="173" customFormat="1" ht="12" hidden="1" customHeight="1">
      <c r="A17499" s="172"/>
    </row>
    <row r="17500" spans="1:1" s="173" customFormat="1" ht="12" hidden="1" customHeight="1">
      <c r="A17500" s="172"/>
    </row>
    <row r="17501" spans="1:1" s="173" customFormat="1" ht="12" hidden="1" customHeight="1">
      <c r="A17501" s="172"/>
    </row>
    <row r="17502" spans="1:1" s="173" customFormat="1" ht="12" hidden="1" customHeight="1">
      <c r="A17502" s="172"/>
    </row>
    <row r="17503" spans="1:1" s="173" customFormat="1" ht="12" hidden="1" customHeight="1">
      <c r="A17503" s="172"/>
    </row>
    <row r="17504" spans="1:1" s="173" customFormat="1" ht="12" hidden="1" customHeight="1">
      <c r="A17504" s="172"/>
    </row>
    <row r="17505" spans="1:1" s="173" customFormat="1" ht="12" hidden="1" customHeight="1">
      <c r="A17505" s="172"/>
    </row>
    <row r="17506" spans="1:1" s="173" customFormat="1" ht="12" hidden="1" customHeight="1">
      <c r="A17506" s="172"/>
    </row>
    <row r="17507" spans="1:1" s="173" customFormat="1" ht="12" hidden="1" customHeight="1">
      <c r="A17507" s="172"/>
    </row>
    <row r="17508" spans="1:1" s="173" customFormat="1" ht="12" hidden="1" customHeight="1">
      <c r="A17508" s="172"/>
    </row>
    <row r="17509" spans="1:1" s="173" customFormat="1" ht="12" hidden="1" customHeight="1">
      <c r="A17509" s="172"/>
    </row>
    <row r="17510" spans="1:1" s="173" customFormat="1" ht="12" hidden="1" customHeight="1">
      <c r="A17510" s="172"/>
    </row>
    <row r="17511" spans="1:1" s="173" customFormat="1" ht="12" hidden="1" customHeight="1">
      <c r="A17511" s="172"/>
    </row>
    <row r="17512" spans="1:1" s="173" customFormat="1" ht="12" hidden="1" customHeight="1">
      <c r="A17512" s="172"/>
    </row>
    <row r="17513" spans="1:1" s="173" customFormat="1" ht="12" hidden="1" customHeight="1">
      <c r="A17513" s="172"/>
    </row>
    <row r="17514" spans="1:1" s="173" customFormat="1" ht="12" hidden="1" customHeight="1">
      <c r="A17514" s="172"/>
    </row>
    <row r="17515" spans="1:1" s="173" customFormat="1" ht="12" hidden="1" customHeight="1">
      <c r="A17515" s="172"/>
    </row>
    <row r="17516" spans="1:1" s="173" customFormat="1" ht="12" hidden="1" customHeight="1">
      <c r="A17516" s="172"/>
    </row>
    <row r="17517" spans="1:1" s="173" customFormat="1" ht="12" hidden="1" customHeight="1">
      <c r="A17517" s="172"/>
    </row>
    <row r="17518" spans="1:1" s="173" customFormat="1" ht="12" hidden="1" customHeight="1">
      <c r="A17518" s="172"/>
    </row>
    <row r="17519" spans="1:1" s="173" customFormat="1" ht="12" hidden="1" customHeight="1">
      <c r="A17519" s="172"/>
    </row>
    <row r="17520" spans="1:1" s="173" customFormat="1" ht="12" hidden="1" customHeight="1">
      <c r="A17520" s="172"/>
    </row>
    <row r="17521" spans="1:1" s="173" customFormat="1" ht="12" hidden="1" customHeight="1">
      <c r="A17521" s="172"/>
    </row>
    <row r="17522" spans="1:1" s="173" customFormat="1" ht="12" hidden="1" customHeight="1">
      <c r="A17522" s="172"/>
    </row>
    <row r="17523" spans="1:1" s="173" customFormat="1" ht="12" hidden="1" customHeight="1">
      <c r="A17523" s="172"/>
    </row>
    <row r="17524" spans="1:1" s="173" customFormat="1" ht="12" hidden="1" customHeight="1">
      <c r="A17524" s="172"/>
    </row>
    <row r="17525" spans="1:1" s="173" customFormat="1" ht="12" hidden="1" customHeight="1">
      <c r="A17525" s="172"/>
    </row>
    <row r="17526" spans="1:1" s="173" customFormat="1" ht="12" hidden="1" customHeight="1">
      <c r="A17526" s="172"/>
    </row>
    <row r="17527" spans="1:1" s="173" customFormat="1" ht="12" hidden="1" customHeight="1">
      <c r="A17527" s="172"/>
    </row>
    <row r="17528" spans="1:1" s="173" customFormat="1" ht="12" hidden="1" customHeight="1">
      <c r="A17528" s="172"/>
    </row>
    <row r="17529" spans="1:1" s="173" customFormat="1" ht="12" hidden="1" customHeight="1">
      <c r="A17529" s="172"/>
    </row>
    <row r="17530" spans="1:1" s="173" customFormat="1" ht="12" hidden="1" customHeight="1">
      <c r="A17530" s="172"/>
    </row>
    <row r="17531" spans="1:1" s="173" customFormat="1" ht="12" hidden="1" customHeight="1">
      <c r="A17531" s="172"/>
    </row>
    <row r="17532" spans="1:1" s="173" customFormat="1" ht="12" hidden="1" customHeight="1">
      <c r="A17532" s="172"/>
    </row>
    <row r="17533" spans="1:1" s="173" customFormat="1" ht="12" hidden="1" customHeight="1">
      <c r="A17533" s="172"/>
    </row>
    <row r="17534" spans="1:1" s="173" customFormat="1" ht="12" hidden="1" customHeight="1">
      <c r="A17534" s="172"/>
    </row>
    <row r="17535" spans="1:1" s="173" customFormat="1" ht="12" hidden="1" customHeight="1">
      <c r="A17535" s="172"/>
    </row>
    <row r="17536" spans="1:1" s="173" customFormat="1" ht="12" hidden="1" customHeight="1">
      <c r="A17536" s="172"/>
    </row>
    <row r="17537" spans="1:1" s="173" customFormat="1" ht="12" hidden="1" customHeight="1">
      <c r="A17537" s="172"/>
    </row>
    <row r="17538" spans="1:1" s="173" customFormat="1" ht="12" hidden="1" customHeight="1">
      <c r="A17538" s="172"/>
    </row>
    <row r="17539" spans="1:1" s="173" customFormat="1" ht="12" hidden="1" customHeight="1">
      <c r="A17539" s="172"/>
    </row>
    <row r="17540" spans="1:1" s="173" customFormat="1" ht="12" hidden="1" customHeight="1">
      <c r="A17540" s="172"/>
    </row>
    <row r="17541" spans="1:1" s="173" customFormat="1" ht="12" hidden="1" customHeight="1">
      <c r="A17541" s="172"/>
    </row>
    <row r="17542" spans="1:1" s="173" customFormat="1" ht="12" hidden="1" customHeight="1">
      <c r="A17542" s="172"/>
    </row>
    <row r="17543" spans="1:1" s="173" customFormat="1" ht="12" hidden="1" customHeight="1">
      <c r="A17543" s="172"/>
    </row>
    <row r="17544" spans="1:1" s="173" customFormat="1" ht="12" hidden="1" customHeight="1">
      <c r="A17544" s="172"/>
    </row>
    <row r="17545" spans="1:1" s="173" customFormat="1" ht="12" hidden="1" customHeight="1">
      <c r="A17545" s="172"/>
    </row>
    <row r="17546" spans="1:1" s="173" customFormat="1" ht="12" hidden="1" customHeight="1">
      <c r="A17546" s="172"/>
    </row>
    <row r="17547" spans="1:1" s="173" customFormat="1" ht="12" hidden="1" customHeight="1">
      <c r="A17547" s="172"/>
    </row>
    <row r="17548" spans="1:1" s="173" customFormat="1" ht="12" hidden="1" customHeight="1">
      <c r="A17548" s="172"/>
    </row>
    <row r="17549" spans="1:1" s="173" customFormat="1" ht="12" hidden="1" customHeight="1">
      <c r="A17549" s="172"/>
    </row>
    <row r="17550" spans="1:1" s="173" customFormat="1" ht="12" hidden="1" customHeight="1">
      <c r="A17550" s="172"/>
    </row>
    <row r="17551" spans="1:1" s="173" customFormat="1" ht="12" hidden="1" customHeight="1">
      <c r="A17551" s="172"/>
    </row>
    <row r="17552" spans="1:1" s="173" customFormat="1" ht="12" hidden="1" customHeight="1">
      <c r="A17552" s="172"/>
    </row>
    <row r="17553" spans="1:1" s="173" customFormat="1" ht="12" hidden="1" customHeight="1">
      <c r="A17553" s="172"/>
    </row>
    <row r="17554" spans="1:1" s="173" customFormat="1" ht="12" hidden="1" customHeight="1">
      <c r="A17554" s="172"/>
    </row>
    <row r="17555" spans="1:1" s="173" customFormat="1" ht="12" hidden="1" customHeight="1">
      <c r="A17555" s="172"/>
    </row>
    <row r="17556" spans="1:1" s="173" customFormat="1" ht="12" hidden="1" customHeight="1">
      <c r="A17556" s="172"/>
    </row>
    <row r="17557" spans="1:1" s="173" customFormat="1" ht="12" hidden="1" customHeight="1">
      <c r="A17557" s="172"/>
    </row>
    <row r="17558" spans="1:1" s="173" customFormat="1" ht="12" hidden="1" customHeight="1">
      <c r="A17558" s="172"/>
    </row>
    <row r="17559" spans="1:1" s="173" customFormat="1" ht="12" hidden="1" customHeight="1">
      <c r="A17559" s="172"/>
    </row>
    <row r="17560" spans="1:1" s="173" customFormat="1" ht="12" hidden="1" customHeight="1">
      <c r="A17560" s="172"/>
    </row>
    <row r="17561" spans="1:1" s="173" customFormat="1" ht="12" hidden="1" customHeight="1">
      <c r="A17561" s="172"/>
    </row>
    <row r="17562" spans="1:1" s="173" customFormat="1" ht="12" hidden="1" customHeight="1">
      <c r="A17562" s="172"/>
    </row>
    <row r="17563" spans="1:1" s="173" customFormat="1" ht="12" hidden="1" customHeight="1">
      <c r="A17563" s="172"/>
    </row>
    <row r="17564" spans="1:1" s="173" customFormat="1" ht="12" hidden="1" customHeight="1">
      <c r="A17564" s="172"/>
    </row>
    <row r="17565" spans="1:1" s="173" customFormat="1" ht="12" hidden="1" customHeight="1">
      <c r="A17565" s="172"/>
    </row>
    <row r="17566" spans="1:1" s="173" customFormat="1" ht="12" hidden="1" customHeight="1">
      <c r="A17566" s="172"/>
    </row>
    <row r="17567" spans="1:1" s="173" customFormat="1" ht="12" hidden="1" customHeight="1">
      <c r="A17567" s="172"/>
    </row>
    <row r="17568" spans="1:1" s="173" customFormat="1" ht="12" hidden="1" customHeight="1">
      <c r="A17568" s="172"/>
    </row>
    <row r="17569" spans="1:1" s="173" customFormat="1" ht="12" hidden="1" customHeight="1">
      <c r="A17569" s="172"/>
    </row>
    <row r="17570" spans="1:1" s="173" customFormat="1" ht="12" hidden="1" customHeight="1">
      <c r="A17570" s="172"/>
    </row>
    <row r="17571" spans="1:1" s="173" customFormat="1" ht="12" hidden="1" customHeight="1">
      <c r="A17571" s="172"/>
    </row>
    <row r="17572" spans="1:1" s="173" customFormat="1" ht="12" hidden="1" customHeight="1">
      <c r="A17572" s="172"/>
    </row>
    <row r="17573" spans="1:1" s="173" customFormat="1" ht="12" hidden="1" customHeight="1">
      <c r="A17573" s="172"/>
    </row>
    <row r="17574" spans="1:1" s="173" customFormat="1" ht="12" hidden="1" customHeight="1">
      <c r="A17574" s="172"/>
    </row>
    <row r="17575" spans="1:1" s="173" customFormat="1" ht="12" hidden="1" customHeight="1">
      <c r="A17575" s="172"/>
    </row>
    <row r="17576" spans="1:1" s="173" customFormat="1" ht="12" hidden="1" customHeight="1">
      <c r="A17576" s="172"/>
    </row>
    <row r="17577" spans="1:1" s="173" customFormat="1" ht="12" hidden="1" customHeight="1">
      <c r="A17577" s="172"/>
    </row>
    <row r="17578" spans="1:1" s="173" customFormat="1" ht="12" hidden="1" customHeight="1">
      <c r="A17578" s="172"/>
    </row>
    <row r="17579" spans="1:1" s="173" customFormat="1" ht="12" hidden="1" customHeight="1">
      <c r="A17579" s="172"/>
    </row>
    <row r="17580" spans="1:1" s="173" customFormat="1" ht="12" hidden="1" customHeight="1">
      <c r="A17580" s="172"/>
    </row>
    <row r="17581" spans="1:1" s="173" customFormat="1" ht="12" hidden="1" customHeight="1">
      <c r="A17581" s="172"/>
    </row>
    <row r="17582" spans="1:1" s="173" customFormat="1" ht="12" hidden="1" customHeight="1">
      <c r="A17582" s="172"/>
    </row>
    <row r="17583" spans="1:1" s="173" customFormat="1" ht="12" hidden="1" customHeight="1">
      <c r="A17583" s="172"/>
    </row>
    <row r="17584" spans="1:1" s="173" customFormat="1" ht="12" hidden="1" customHeight="1">
      <c r="A17584" s="172"/>
    </row>
    <row r="17585" spans="1:1" s="173" customFormat="1" ht="12" hidden="1" customHeight="1">
      <c r="A17585" s="172"/>
    </row>
    <row r="17586" spans="1:1" s="173" customFormat="1" ht="12" hidden="1" customHeight="1">
      <c r="A17586" s="172"/>
    </row>
    <row r="17587" spans="1:1" s="173" customFormat="1" ht="12" hidden="1" customHeight="1">
      <c r="A17587" s="172"/>
    </row>
    <row r="17588" spans="1:1" s="173" customFormat="1" ht="12" hidden="1" customHeight="1">
      <c r="A17588" s="172"/>
    </row>
    <row r="17589" spans="1:1" s="173" customFormat="1" ht="12" hidden="1" customHeight="1">
      <c r="A17589" s="172"/>
    </row>
    <row r="17590" spans="1:1" s="173" customFormat="1" ht="12" hidden="1" customHeight="1">
      <c r="A17590" s="172"/>
    </row>
    <row r="17591" spans="1:1" s="173" customFormat="1" ht="12" hidden="1" customHeight="1">
      <c r="A17591" s="172"/>
    </row>
    <row r="17592" spans="1:1" s="173" customFormat="1" ht="12" hidden="1" customHeight="1">
      <c r="A17592" s="172"/>
    </row>
    <row r="17593" spans="1:1" s="173" customFormat="1" ht="12" hidden="1" customHeight="1">
      <c r="A17593" s="172"/>
    </row>
    <row r="17594" spans="1:1" s="173" customFormat="1" ht="12" hidden="1" customHeight="1">
      <c r="A17594" s="172"/>
    </row>
    <row r="17595" spans="1:1" s="173" customFormat="1" ht="12" hidden="1" customHeight="1">
      <c r="A17595" s="172"/>
    </row>
    <row r="17596" spans="1:1" s="173" customFormat="1" ht="12" hidden="1" customHeight="1">
      <c r="A17596" s="172"/>
    </row>
    <row r="17597" spans="1:1" s="173" customFormat="1" ht="12" hidden="1" customHeight="1">
      <c r="A17597" s="172"/>
    </row>
    <row r="17598" spans="1:1" s="173" customFormat="1" ht="12" hidden="1" customHeight="1">
      <c r="A17598" s="172"/>
    </row>
    <row r="17599" spans="1:1" s="173" customFormat="1" ht="12" hidden="1" customHeight="1">
      <c r="A17599" s="172"/>
    </row>
    <row r="17600" spans="1:1" s="173" customFormat="1" ht="12" hidden="1" customHeight="1">
      <c r="A17600" s="172"/>
    </row>
    <row r="17601" spans="1:1" s="173" customFormat="1" ht="12" hidden="1" customHeight="1">
      <c r="A17601" s="172"/>
    </row>
    <row r="17602" spans="1:1" s="173" customFormat="1" ht="12" hidden="1" customHeight="1">
      <c r="A17602" s="172"/>
    </row>
    <row r="17603" spans="1:1" s="173" customFormat="1" ht="12" hidden="1" customHeight="1">
      <c r="A17603" s="172"/>
    </row>
    <row r="17604" spans="1:1" s="173" customFormat="1" ht="12" hidden="1" customHeight="1">
      <c r="A17604" s="172"/>
    </row>
    <row r="17605" spans="1:1" s="173" customFormat="1" ht="12" hidden="1" customHeight="1">
      <c r="A17605" s="172"/>
    </row>
    <row r="17606" spans="1:1" s="173" customFormat="1" ht="12" hidden="1" customHeight="1">
      <c r="A17606" s="172"/>
    </row>
    <row r="17607" spans="1:1" s="173" customFormat="1" ht="12" hidden="1" customHeight="1">
      <c r="A17607" s="172"/>
    </row>
    <row r="17608" spans="1:1" s="173" customFormat="1" ht="12" hidden="1" customHeight="1">
      <c r="A17608" s="172"/>
    </row>
    <row r="17609" spans="1:1" s="173" customFormat="1" ht="12" hidden="1" customHeight="1">
      <c r="A17609" s="172"/>
    </row>
    <row r="17610" spans="1:1" s="173" customFormat="1" ht="12" hidden="1" customHeight="1">
      <c r="A17610" s="172"/>
    </row>
    <row r="17611" spans="1:1" s="173" customFormat="1" ht="12" hidden="1" customHeight="1">
      <c r="A17611" s="172"/>
    </row>
    <row r="17612" spans="1:1" s="173" customFormat="1" ht="12" hidden="1" customHeight="1">
      <c r="A17612" s="172"/>
    </row>
    <row r="17613" spans="1:1" s="173" customFormat="1" ht="12" hidden="1" customHeight="1">
      <c r="A17613" s="172"/>
    </row>
    <row r="17614" spans="1:1" s="173" customFormat="1" ht="12" hidden="1" customHeight="1">
      <c r="A17614" s="172"/>
    </row>
    <row r="17615" spans="1:1" s="173" customFormat="1" ht="12" hidden="1" customHeight="1">
      <c r="A17615" s="172"/>
    </row>
    <row r="17616" spans="1:1" s="173" customFormat="1" ht="12" hidden="1" customHeight="1">
      <c r="A17616" s="172"/>
    </row>
    <row r="17617" spans="1:1" s="173" customFormat="1" ht="12" hidden="1" customHeight="1">
      <c r="A17617" s="172"/>
    </row>
    <row r="17618" spans="1:1" s="173" customFormat="1" ht="12" hidden="1" customHeight="1">
      <c r="A17618" s="172"/>
    </row>
    <row r="17619" spans="1:1" s="173" customFormat="1" ht="12" hidden="1" customHeight="1">
      <c r="A17619" s="172"/>
    </row>
    <row r="17620" spans="1:1" s="173" customFormat="1" ht="12" hidden="1" customHeight="1">
      <c r="A17620" s="172"/>
    </row>
    <row r="17621" spans="1:1" s="173" customFormat="1" ht="12" hidden="1" customHeight="1">
      <c r="A17621" s="172"/>
    </row>
    <row r="17622" spans="1:1" s="173" customFormat="1" ht="12" hidden="1" customHeight="1">
      <c r="A17622" s="172"/>
    </row>
    <row r="17623" spans="1:1" s="173" customFormat="1" ht="12" hidden="1" customHeight="1">
      <c r="A17623" s="172"/>
    </row>
    <row r="17624" spans="1:1" s="173" customFormat="1" ht="12" hidden="1" customHeight="1">
      <c r="A17624" s="172"/>
    </row>
    <row r="17625" spans="1:1" s="173" customFormat="1" ht="12" hidden="1" customHeight="1">
      <c r="A17625" s="172"/>
    </row>
    <row r="17626" spans="1:1" s="173" customFormat="1" ht="12" hidden="1" customHeight="1">
      <c r="A17626" s="172"/>
    </row>
    <row r="17627" spans="1:1" s="173" customFormat="1" ht="12" hidden="1" customHeight="1">
      <c r="A17627" s="172"/>
    </row>
    <row r="17628" spans="1:1" s="173" customFormat="1" ht="12" hidden="1" customHeight="1">
      <c r="A17628" s="172"/>
    </row>
    <row r="17629" spans="1:1" s="173" customFormat="1" ht="12" hidden="1" customHeight="1">
      <c r="A17629" s="172"/>
    </row>
    <row r="17630" spans="1:1" s="173" customFormat="1" ht="12" hidden="1" customHeight="1">
      <c r="A17630" s="172"/>
    </row>
    <row r="17631" spans="1:1" s="173" customFormat="1" ht="12" hidden="1" customHeight="1">
      <c r="A17631" s="172"/>
    </row>
    <row r="17632" spans="1:1" s="173" customFormat="1" ht="12" hidden="1" customHeight="1">
      <c r="A17632" s="172"/>
    </row>
    <row r="17633" spans="1:1" s="173" customFormat="1" ht="12" hidden="1" customHeight="1">
      <c r="A17633" s="172"/>
    </row>
    <row r="17634" spans="1:1" s="173" customFormat="1" ht="12" hidden="1" customHeight="1">
      <c r="A17634" s="172"/>
    </row>
    <row r="17635" spans="1:1" s="173" customFormat="1" ht="12" hidden="1" customHeight="1">
      <c r="A17635" s="172"/>
    </row>
    <row r="17636" spans="1:1" s="173" customFormat="1" ht="12" hidden="1" customHeight="1">
      <c r="A17636" s="172"/>
    </row>
    <row r="17637" spans="1:1" s="173" customFormat="1" ht="12" hidden="1" customHeight="1">
      <c r="A17637" s="172"/>
    </row>
    <row r="17638" spans="1:1" s="173" customFormat="1" ht="12" hidden="1" customHeight="1">
      <c r="A17638" s="172"/>
    </row>
    <row r="17639" spans="1:1" s="173" customFormat="1" ht="12" hidden="1" customHeight="1">
      <c r="A17639" s="172"/>
    </row>
    <row r="17640" spans="1:1" s="173" customFormat="1" ht="12" hidden="1" customHeight="1">
      <c r="A17640" s="172"/>
    </row>
    <row r="17641" spans="1:1" s="173" customFormat="1" ht="12" hidden="1" customHeight="1">
      <c r="A17641" s="172"/>
    </row>
    <row r="17642" spans="1:1" s="173" customFormat="1" ht="12" hidden="1" customHeight="1">
      <c r="A17642" s="172"/>
    </row>
    <row r="17643" spans="1:1" s="173" customFormat="1" ht="12" hidden="1" customHeight="1">
      <c r="A17643" s="172"/>
    </row>
    <row r="17644" spans="1:1" s="173" customFormat="1" ht="12" hidden="1" customHeight="1">
      <c r="A17644" s="172"/>
    </row>
    <row r="17645" spans="1:1" s="173" customFormat="1" ht="12" hidden="1" customHeight="1">
      <c r="A17645" s="172"/>
    </row>
    <row r="17646" spans="1:1" s="173" customFormat="1" ht="12" hidden="1" customHeight="1">
      <c r="A17646" s="172"/>
    </row>
    <row r="17647" spans="1:1" s="173" customFormat="1" ht="12" hidden="1" customHeight="1">
      <c r="A17647" s="172"/>
    </row>
    <row r="17648" spans="1:1" s="173" customFormat="1" ht="12" hidden="1" customHeight="1">
      <c r="A17648" s="172"/>
    </row>
    <row r="17649" spans="1:1" s="173" customFormat="1" ht="12" hidden="1" customHeight="1">
      <c r="A17649" s="172"/>
    </row>
    <row r="17650" spans="1:1" s="173" customFormat="1" ht="12" hidden="1" customHeight="1">
      <c r="A17650" s="172"/>
    </row>
    <row r="17651" spans="1:1" s="173" customFormat="1" ht="12" hidden="1" customHeight="1">
      <c r="A17651" s="172"/>
    </row>
    <row r="17652" spans="1:1" s="173" customFormat="1" ht="12" hidden="1" customHeight="1">
      <c r="A17652" s="172"/>
    </row>
    <row r="17653" spans="1:1" s="173" customFormat="1" ht="12" hidden="1" customHeight="1">
      <c r="A17653" s="172"/>
    </row>
    <row r="17654" spans="1:1" s="173" customFormat="1" ht="12" hidden="1" customHeight="1">
      <c r="A17654" s="172"/>
    </row>
    <row r="17655" spans="1:1" s="173" customFormat="1" ht="12" hidden="1" customHeight="1">
      <c r="A17655" s="172"/>
    </row>
    <row r="17656" spans="1:1" s="173" customFormat="1" ht="12" hidden="1" customHeight="1">
      <c r="A17656" s="172"/>
    </row>
    <row r="17657" spans="1:1" s="173" customFormat="1" ht="12" hidden="1" customHeight="1">
      <c r="A17657" s="172"/>
    </row>
    <row r="17658" spans="1:1" s="173" customFormat="1" ht="12" hidden="1" customHeight="1">
      <c r="A17658" s="172"/>
    </row>
    <row r="17659" spans="1:1" s="173" customFormat="1" ht="12" hidden="1" customHeight="1">
      <c r="A17659" s="172"/>
    </row>
    <row r="17660" spans="1:1" s="173" customFormat="1" ht="12" hidden="1" customHeight="1">
      <c r="A17660" s="172"/>
    </row>
    <row r="17661" spans="1:1" s="173" customFormat="1" ht="12" hidden="1" customHeight="1">
      <c r="A17661" s="172"/>
    </row>
    <row r="17662" spans="1:1" s="173" customFormat="1" ht="12" hidden="1" customHeight="1">
      <c r="A17662" s="172"/>
    </row>
    <row r="17663" spans="1:1" s="173" customFormat="1" ht="12" hidden="1" customHeight="1">
      <c r="A17663" s="172"/>
    </row>
    <row r="17664" spans="1:1" s="173" customFormat="1" ht="12" hidden="1" customHeight="1">
      <c r="A17664" s="172"/>
    </row>
    <row r="17665" spans="1:1" s="173" customFormat="1" ht="12" hidden="1" customHeight="1">
      <c r="A17665" s="172"/>
    </row>
    <row r="17666" spans="1:1" s="173" customFormat="1" ht="12" hidden="1" customHeight="1">
      <c r="A17666" s="172"/>
    </row>
    <row r="17667" spans="1:1" s="173" customFormat="1" ht="12" hidden="1" customHeight="1">
      <c r="A17667" s="172"/>
    </row>
    <row r="17668" spans="1:1" s="173" customFormat="1" ht="12" hidden="1" customHeight="1">
      <c r="A17668" s="172"/>
    </row>
    <row r="17669" spans="1:1" s="173" customFormat="1" ht="12" hidden="1" customHeight="1">
      <c r="A17669" s="172"/>
    </row>
    <row r="17670" spans="1:1" s="173" customFormat="1" ht="12" hidden="1" customHeight="1">
      <c r="A17670" s="172"/>
    </row>
    <row r="17671" spans="1:1" s="173" customFormat="1" ht="12" hidden="1" customHeight="1">
      <c r="A17671" s="172"/>
    </row>
    <row r="17672" spans="1:1" s="173" customFormat="1" ht="12" hidden="1" customHeight="1">
      <c r="A17672" s="172"/>
    </row>
    <row r="17673" spans="1:1" s="173" customFormat="1" ht="12" hidden="1" customHeight="1">
      <c r="A17673" s="172"/>
    </row>
    <row r="17674" spans="1:1" s="173" customFormat="1" ht="12" hidden="1" customHeight="1">
      <c r="A17674" s="172"/>
    </row>
    <row r="17675" spans="1:1" s="173" customFormat="1" ht="12" hidden="1" customHeight="1">
      <c r="A17675" s="172"/>
    </row>
    <row r="17676" spans="1:1" s="173" customFormat="1" ht="12" hidden="1" customHeight="1">
      <c r="A17676" s="172"/>
    </row>
    <row r="17677" spans="1:1" s="173" customFormat="1" ht="12" hidden="1" customHeight="1">
      <c r="A17677" s="172"/>
    </row>
    <row r="17678" spans="1:1" s="173" customFormat="1" ht="12" hidden="1" customHeight="1">
      <c r="A17678" s="172"/>
    </row>
    <row r="17679" spans="1:1" s="173" customFormat="1" ht="12" hidden="1" customHeight="1">
      <c r="A17679" s="172"/>
    </row>
    <row r="17680" spans="1:1" s="173" customFormat="1" ht="12" hidden="1" customHeight="1">
      <c r="A17680" s="172"/>
    </row>
    <row r="17681" spans="1:1" s="173" customFormat="1" ht="12" hidden="1" customHeight="1">
      <c r="A17681" s="172"/>
    </row>
    <row r="17682" spans="1:1" s="173" customFormat="1" ht="12" hidden="1" customHeight="1">
      <c r="A17682" s="172"/>
    </row>
    <row r="17683" spans="1:1" s="173" customFormat="1" ht="12" hidden="1" customHeight="1">
      <c r="A17683" s="172"/>
    </row>
    <row r="17684" spans="1:1" s="173" customFormat="1" ht="12" hidden="1" customHeight="1">
      <c r="A17684" s="172"/>
    </row>
    <row r="17685" spans="1:1" s="173" customFormat="1" ht="12" hidden="1" customHeight="1">
      <c r="A17685" s="172"/>
    </row>
    <row r="17686" spans="1:1" s="173" customFormat="1" ht="12" hidden="1" customHeight="1">
      <c r="A17686" s="172"/>
    </row>
    <row r="17687" spans="1:1" s="173" customFormat="1" ht="12" hidden="1" customHeight="1">
      <c r="A17687" s="172"/>
    </row>
    <row r="17688" spans="1:1" s="173" customFormat="1" ht="12" hidden="1" customHeight="1">
      <c r="A17688" s="172"/>
    </row>
    <row r="17689" spans="1:1" s="173" customFormat="1" ht="12" hidden="1" customHeight="1">
      <c r="A17689" s="172"/>
    </row>
    <row r="17690" spans="1:1" s="173" customFormat="1" ht="12" hidden="1" customHeight="1">
      <c r="A17690" s="172"/>
    </row>
    <row r="17691" spans="1:1" s="173" customFormat="1" ht="12" hidden="1" customHeight="1">
      <c r="A17691" s="172"/>
    </row>
    <row r="17692" spans="1:1" s="173" customFormat="1" ht="12" hidden="1" customHeight="1">
      <c r="A17692" s="172"/>
    </row>
    <row r="17693" spans="1:1" s="173" customFormat="1" ht="12" hidden="1" customHeight="1">
      <c r="A17693" s="172"/>
    </row>
    <row r="17694" spans="1:1" s="173" customFormat="1" ht="12" hidden="1" customHeight="1">
      <c r="A17694" s="172"/>
    </row>
    <row r="17695" spans="1:1" s="173" customFormat="1" ht="12" hidden="1" customHeight="1">
      <c r="A17695" s="172"/>
    </row>
    <row r="17696" spans="1:1" s="173" customFormat="1" ht="12" hidden="1" customHeight="1">
      <c r="A17696" s="172"/>
    </row>
    <row r="17697" spans="1:1" s="173" customFormat="1" ht="12" hidden="1" customHeight="1">
      <c r="A17697" s="172"/>
    </row>
    <row r="17698" spans="1:1" s="173" customFormat="1" ht="12" hidden="1" customHeight="1">
      <c r="A17698" s="172"/>
    </row>
    <row r="17699" spans="1:1" s="173" customFormat="1" ht="12" hidden="1" customHeight="1">
      <c r="A17699" s="172"/>
    </row>
    <row r="17700" spans="1:1" s="173" customFormat="1" ht="12" hidden="1" customHeight="1">
      <c r="A17700" s="172"/>
    </row>
    <row r="17701" spans="1:1" s="173" customFormat="1" ht="12" hidden="1" customHeight="1">
      <c r="A17701" s="172"/>
    </row>
    <row r="17702" spans="1:1" s="173" customFormat="1" ht="12" hidden="1" customHeight="1">
      <c r="A17702" s="172"/>
    </row>
    <row r="17703" spans="1:1" s="173" customFormat="1" ht="12" hidden="1" customHeight="1">
      <c r="A17703" s="172"/>
    </row>
    <row r="17704" spans="1:1" s="173" customFormat="1" ht="12" hidden="1" customHeight="1">
      <c r="A17704" s="172"/>
    </row>
    <row r="17705" spans="1:1" s="173" customFormat="1" ht="12" hidden="1" customHeight="1">
      <c r="A17705" s="172"/>
    </row>
    <row r="17706" spans="1:1" s="173" customFormat="1" ht="12" hidden="1" customHeight="1">
      <c r="A17706" s="172"/>
    </row>
    <row r="17707" spans="1:1" s="173" customFormat="1" ht="12" hidden="1" customHeight="1">
      <c r="A17707" s="172"/>
    </row>
    <row r="17708" spans="1:1" s="173" customFormat="1" ht="12" hidden="1" customHeight="1">
      <c r="A17708" s="172"/>
    </row>
    <row r="17709" spans="1:1" s="173" customFormat="1" ht="12" hidden="1" customHeight="1">
      <c r="A17709" s="172"/>
    </row>
    <row r="17710" spans="1:1" s="173" customFormat="1" ht="12" hidden="1" customHeight="1">
      <c r="A17710" s="172"/>
    </row>
    <row r="17711" spans="1:1" s="173" customFormat="1" ht="12" hidden="1" customHeight="1">
      <c r="A17711" s="172"/>
    </row>
    <row r="17712" spans="1:1" s="173" customFormat="1" ht="12" hidden="1" customHeight="1">
      <c r="A17712" s="172"/>
    </row>
    <row r="17713" spans="1:1" s="173" customFormat="1" ht="12" hidden="1" customHeight="1">
      <c r="A17713" s="172"/>
    </row>
    <row r="17714" spans="1:1" s="173" customFormat="1" ht="12" hidden="1" customHeight="1">
      <c r="A17714" s="172"/>
    </row>
    <row r="17715" spans="1:1" s="173" customFormat="1" ht="12" hidden="1" customHeight="1">
      <c r="A17715" s="172"/>
    </row>
    <row r="17716" spans="1:1" s="173" customFormat="1" ht="12" hidden="1" customHeight="1">
      <c r="A17716" s="172"/>
    </row>
    <row r="17717" spans="1:1" s="173" customFormat="1" ht="12" hidden="1" customHeight="1">
      <c r="A17717" s="172"/>
    </row>
    <row r="17718" spans="1:1" s="173" customFormat="1" ht="12" hidden="1" customHeight="1">
      <c r="A17718" s="172"/>
    </row>
    <row r="17719" spans="1:1" s="173" customFormat="1" ht="12" hidden="1" customHeight="1">
      <c r="A17719" s="172"/>
    </row>
    <row r="17720" spans="1:1" s="173" customFormat="1" ht="12" hidden="1" customHeight="1">
      <c r="A17720" s="172"/>
    </row>
    <row r="17721" spans="1:1" s="173" customFormat="1" ht="12" hidden="1" customHeight="1">
      <c r="A17721" s="172"/>
    </row>
    <row r="17722" spans="1:1" s="173" customFormat="1" ht="12" hidden="1" customHeight="1">
      <c r="A17722" s="172"/>
    </row>
    <row r="17723" spans="1:1" s="173" customFormat="1" ht="12" hidden="1" customHeight="1">
      <c r="A17723" s="172"/>
    </row>
    <row r="17724" spans="1:1" s="173" customFormat="1" ht="12" hidden="1" customHeight="1">
      <c r="A17724" s="172"/>
    </row>
    <row r="17725" spans="1:1" s="173" customFormat="1" ht="12" hidden="1" customHeight="1">
      <c r="A17725" s="172"/>
    </row>
    <row r="17726" spans="1:1" s="173" customFormat="1" ht="12" hidden="1" customHeight="1">
      <c r="A17726" s="172"/>
    </row>
    <row r="17727" spans="1:1" s="173" customFormat="1" ht="12" hidden="1" customHeight="1">
      <c r="A17727" s="172"/>
    </row>
    <row r="17728" spans="1:1" s="173" customFormat="1" ht="12" hidden="1" customHeight="1">
      <c r="A17728" s="172"/>
    </row>
    <row r="17729" spans="1:1" s="173" customFormat="1" ht="12" hidden="1" customHeight="1">
      <c r="A17729" s="172"/>
    </row>
    <row r="17730" spans="1:1" s="173" customFormat="1" ht="12" hidden="1" customHeight="1">
      <c r="A17730" s="172"/>
    </row>
    <row r="17731" spans="1:1" s="173" customFormat="1" ht="12" hidden="1" customHeight="1">
      <c r="A17731" s="172"/>
    </row>
    <row r="17732" spans="1:1" s="173" customFormat="1" ht="12" hidden="1" customHeight="1">
      <c r="A17732" s="172"/>
    </row>
    <row r="17733" spans="1:1" s="173" customFormat="1" ht="12" hidden="1" customHeight="1">
      <c r="A17733" s="172"/>
    </row>
    <row r="17734" spans="1:1" s="173" customFormat="1" ht="12" hidden="1" customHeight="1">
      <c r="A17734" s="172"/>
    </row>
    <row r="17735" spans="1:1" s="173" customFormat="1" ht="12" hidden="1" customHeight="1">
      <c r="A17735" s="172"/>
    </row>
    <row r="17736" spans="1:1" s="173" customFormat="1" ht="12" hidden="1" customHeight="1">
      <c r="A17736" s="172"/>
    </row>
    <row r="17737" spans="1:1" s="173" customFormat="1" ht="12" hidden="1" customHeight="1">
      <c r="A17737" s="172"/>
    </row>
    <row r="17738" spans="1:1" s="173" customFormat="1" ht="12" hidden="1" customHeight="1">
      <c r="A17738" s="172"/>
    </row>
    <row r="17739" spans="1:1" s="173" customFormat="1" ht="12" hidden="1" customHeight="1">
      <c r="A17739" s="172"/>
    </row>
    <row r="17740" spans="1:1" s="173" customFormat="1" ht="12" hidden="1" customHeight="1">
      <c r="A17740" s="172"/>
    </row>
    <row r="17741" spans="1:1" s="173" customFormat="1" ht="12" hidden="1" customHeight="1">
      <c r="A17741" s="172"/>
    </row>
    <row r="17742" spans="1:1" s="173" customFormat="1" ht="12" hidden="1" customHeight="1">
      <c r="A17742" s="172"/>
    </row>
    <row r="17743" spans="1:1" s="173" customFormat="1" ht="12" hidden="1" customHeight="1">
      <c r="A17743" s="172"/>
    </row>
    <row r="17744" spans="1:1" s="173" customFormat="1" ht="12" hidden="1" customHeight="1">
      <c r="A17744" s="172"/>
    </row>
    <row r="17745" spans="1:1" s="173" customFormat="1" ht="12" hidden="1" customHeight="1">
      <c r="A17745" s="172"/>
    </row>
    <row r="17746" spans="1:1" s="173" customFormat="1" ht="12" hidden="1" customHeight="1">
      <c r="A17746" s="172"/>
    </row>
    <row r="17747" spans="1:1" s="173" customFormat="1" ht="12" hidden="1" customHeight="1">
      <c r="A17747" s="172"/>
    </row>
    <row r="17748" spans="1:1" s="173" customFormat="1" ht="12" hidden="1" customHeight="1">
      <c r="A17748" s="172"/>
    </row>
    <row r="17749" spans="1:1" s="173" customFormat="1" ht="12" hidden="1" customHeight="1">
      <c r="A17749" s="172"/>
    </row>
    <row r="17750" spans="1:1" s="173" customFormat="1" ht="12" hidden="1" customHeight="1">
      <c r="A17750" s="172"/>
    </row>
    <row r="17751" spans="1:1" s="173" customFormat="1" ht="12" hidden="1" customHeight="1">
      <c r="A17751" s="172"/>
    </row>
    <row r="17752" spans="1:1" s="173" customFormat="1" ht="12" hidden="1" customHeight="1">
      <c r="A17752" s="172"/>
    </row>
    <row r="17753" spans="1:1" s="173" customFormat="1" ht="12" hidden="1" customHeight="1">
      <c r="A17753" s="172"/>
    </row>
    <row r="17754" spans="1:1" s="173" customFormat="1" ht="12" hidden="1" customHeight="1">
      <c r="A17754" s="172"/>
    </row>
    <row r="17755" spans="1:1" s="173" customFormat="1" ht="12" hidden="1" customHeight="1">
      <c r="A17755" s="172"/>
    </row>
    <row r="17756" spans="1:1" s="173" customFormat="1" ht="12" hidden="1" customHeight="1">
      <c r="A17756" s="172"/>
    </row>
    <row r="17757" spans="1:1" s="173" customFormat="1" ht="12" hidden="1" customHeight="1">
      <c r="A17757" s="172"/>
    </row>
    <row r="17758" spans="1:1" s="173" customFormat="1" ht="12" hidden="1" customHeight="1">
      <c r="A17758" s="172"/>
    </row>
    <row r="17759" spans="1:1" s="173" customFormat="1" ht="12" hidden="1" customHeight="1">
      <c r="A17759" s="172"/>
    </row>
    <row r="17760" spans="1:1" s="173" customFormat="1" ht="12" hidden="1" customHeight="1">
      <c r="A17760" s="172"/>
    </row>
    <row r="17761" spans="1:1" s="173" customFormat="1" ht="12" hidden="1" customHeight="1">
      <c r="A17761" s="172"/>
    </row>
    <row r="17762" spans="1:1" s="173" customFormat="1" ht="12" hidden="1" customHeight="1">
      <c r="A17762" s="172"/>
    </row>
    <row r="17763" spans="1:1" s="173" customFormat="1" ht="12" hidden="1" customHeight="1">
      <c r="A17763" s="172"/>
    </row>
    <row r="17764" spans="1:1" s="173" customFormat="1" ht="12" hidden="1" customHeight="1">
      <c r="A17764" s="172"/>
    </row>
    <row r="17765" spans="1:1" s="173" customFormat="1" ht="12" hidden="1" customHeight="1">
      <c r="A17765" s="172"/>
    </row>
    <row r="17766" spans="1:1" s="173" customFormat="1" ht="12" hidden="1" customHeight="1">
      <c r="A17766" s="172"/>
    </row>
    <row r="17767" spans="1:1" s="173" customFormat="1" ht="12" hidden="1" customHeight="1">
      <c r="A17767" s="172"/>
    </row>
    <row r="17768" spans="1:1" s="173" customFormat="1" ht="12" hidden="1" customHeight="1">
      <c r="A17768" s="172"/>
    </row>
    <row r="17769" spans="1:1" s="173" customFormat="1" ht="12" hidden="1" customHeight="1">
      <c r="A17769" s="172"/>
    </row>
    <row r="17770" spans="1:1" s="173" customFormat="1" ht="12" hidden="1" customHeight="1">
      <c r="A17770" s="172"/>
    </row>
    <row r="17771" spans="1:1" s="173" customFormat="1" ht="12" hidden="1" customHeight="1">
      <c r="A17771" s="172"/>
    </row>
    <row r="17772" spans="1:1" s="173" customFormat="1" ht="12" hidden="1" customHeight="1">
      <c r="A17772" s="172"/>
    </row>
    <row r="17773" spans="1:1" s="173" customFormat="1" ht="12" hidden="1" customHeight="1">
      <c r="A17773" s="172"/>
    </row>
    <row r="17774" spans="1:1" s="173" customFormat="1" ht="12" hidden="1" customHeight="1">
      <c r="A17774" s="172"/>
    </row>
    <row r="17775" spans="1:1" s="173" customFormat="1" ht="12" hidden="1" customHeight="1">
      <c r="A17775" s="172"/>
    </row>
    <row r="17776" spans="1:1" s="173" customFormat="1" ht="12" hidden="1" customHeight="1">
      <c r="A17776" s="172"/>
    </row>
    <row r="17777" spans="1:1" s="173" customFormat="1" ht="12" hidden="1" customHeight="1">
      <c r="A17777" s="172"/>
    </row>
    <row r="17778" spans="1:1" s="173" customFormat="1" ht="12" hidden="1" customHeight="1">
      <c r="A17778" s="172"/>
    </row>
    <row r="17779" spans="1:1" s="173" customFormat="1" ht="12" hidden="1" customHeight="1">
      <c r="A17779" s="172"/>
    </row>
    <row r="17780" spans="1:1" s="173" customFormat="1" ht="12" hidden="1" customHeight="1">
      <c r="A17780" s="172"/>
    </row>
    <row r="17781" spans="1:1" s="173" customFormat="1" ht="12" hidden="1" customHeight="1">
      <c r="A17781" s="172"/>
    </row>
    <row r="17782" spans="1:1" s="173" customFormat="1" ht="12" hidden="1" customHeight="1">
      <c r="A17782" s="172"/>
    </row>
    <row r="17783" spans="1:1" s="173" customFormat="1" ht="12" hidden="1" customHeight="1">
      <c r="A17783" s="172"/>
    </row>
    <row r="17784" spans="1:1" s="173" customFormat="1" ht="12" hidden="1" customHeight="1">
      <c r="A17784" s="172"/>
    </row>
    <row r="17785" spans="1:1" s="173" customFormat="1" ht="12" hidden="1" customHeight="1">
      <c r="A17785" s="172"/>
    </row>
    <row r="17786" spans="1:1" s="173" customFormat="1" ht="12" hidden="1" customHeight="1">
      <c r="A17786" s="172"/>
    </row>
    <row r="17787" spans="1:1" s="173" customFormat="1" ht="12" hidden="1" customHeight="1">
      <c r="A17787" s="172"/>
    </row>
    <row r="17788" spans="1:1" s="173" customFormat="1" ht="12" hidden="1" customHeight="1">
      <c r="A17788" s="172"/>
    </row>
    <row r="17789" spans="1:1" s="173" customFormat="1" ht="12" hidden="1" customHeight="1">
      <c r="A17789" s="172"/>
    </row>
    <row r="17790" spans="1:1" s="173" customFormat="1" ht="12" hidden="1" customHeight="1">
      <c r="A17790" s="172"/>
    </row>
    <row r="17791" spans="1:1" s="173" customFormat="1" ht="12" hidden="1" customHeight="1">
      <c r="A17791" s="172"/>
    </row>
    <row r="17792" spans="1:1" s="173" customFormat="1" ht="12" hidden="1" customHeight="1">
      <c r="A17792" s="172"/>
    </row>
    <row r="17793" spans="1:1" s="173" customFormat="1" ht="12" hidden="1" customHeight="1">
      <c r="A17793" s="172"/>
    </row>
    <row r="17794" spans="1:1" s="173" customFormat="1" ht="12" hidden="1" customHeight="1">
      <c r="A17794" s="172"/>
    </row>
    <row r="17795" spans="1:1" s="173" customFormat="1" ht="12" hidden="1" customHeight="1">
      <c r="A17795" s="172"/>
    </row>
    <row r="17796" spans="1:1" s="173" customFormat="1" ht="12" hidden="1" customHeight="1">
      <c r="A17796" s="172"/>
    </row>
    <row r="17797" spans="1:1" s="173" customFormat="1" ht="12" hidden="1" customHeight="1">
      <c r="A17797" s="172"/>
    </row>
    <row r="17798" spans="1:1" s="173" customFormat="1" ht="12" hidden="1" customHeight="1">
      <c r="A17798" s="172"/>
    </row>
    <row r="17799" spans="1:1" s="173" customFormat="1" ht="12" hidden="1" customHeight="1">
      <c r="A17799" s="172"/>
    </row>
    <row r="17800" spans="1:1" s="173" customFormat="1" ht="12" hidden="1" customHeight="1">
      <c r="A17800" s="172"/>
    </row>
    <row r="17801" spans="1:1" s="173" customFormat="1" ht="12" hidden="1" customHeight="1">
      <c r="A17801" s="172"/>
    </row>
    <row r="17802" spans="1:1" s="173" customFormat="1" ht="12" hidden="1" customHeight="1">
      <c r="A17802" s="172"/>
    </row>
    <row r="17803" spans="1:1" s="173" customFormat="1" ht="12" hidden="1" customHeight="1">
      <c r="A17803" s="172"/>
    </row>
    <row r="17804" spans="1:1" s="173" customFormat="1" ht="12" hidden="1" customHeight="1">
      <c r="A17804" s="172"/>
    </row>
    <row r="17805" spans="1:1" s="173" customFormat="1" ht="12" hidden="1" customHeight="1">
      <c r="A17805" s="172"/>
    </row>
    <row r="17806" spans="1:1" s="173" customFormat="1" ht="12" hidden="1" customHeight="1">
      <c r="A17806" s="172"/>
    </row>
    <row r="17807" spans="1:1" s="173" customFormat="1" ht="12" hidden="1" customHeight="1">
      <c r="A17807" s="172"/>
    </row>
    <row r="17808" spans="1:1" s="173" customFormat="1" ht="12" hidden="1" customHeight="1">
      <c r="A17808" s="172"/>
    </row>
    <row r="17809" spans="1:1" s="173" customFormat="1" ht="12" hidden="1" customHeight="1">
      <c r="A17809" s="172"/>
    </row>
    <row r="17810" spans="1:1" s="173" customFormat="1" ht="12" hidden="1" customHeight="1">
      <c r="A17810" s="172"/>
    </row>
    <row r="17811" spans="1:1" s="173" customFormat="1" ht="12" hidden="1" customHeight="1">
      <c r="A17811" s="172"/>
    </row>
    <row r="17812" spans="1:1" s="173" customFormat="1" ht="12" hidden="1" customHeight="1">
      <c r="A17812" s="172"/>
    </row>
    <row r="17813" spans="1:1" s="173" customFormat="1" ht="12" hidden="1" customHeight="1">
      <c r="A17813" s="172"/>
    </row>
    <row r="17814" spans="1:1" s="173" customFormat="1" ht="12" hidden="1" customHeight="1">
      <c r="A17814" s="172"/>
    </row>
    <row r="17815" spans="1:1" s="173" customFormat="1" ht="12" hidden="1" customHeight="1">
      <c r="A17815" s="172"/>
    </row>
    <row r="17816" spans="1:1" s="173" customFormat="1" ht="12" hidden="1" customHeight="1">
      <c r="A17816" s="172"/>
    </row>
    <row r="17817" spans="1:1" s="173" customFormat="1" ht="12" hidden="1" customHeight="1">
      <c r="A17817" s="172"/>
    </row>
    <row r="17818" spans="1:1" s="173" customFormat="1" ht="12" hidden="1" customHeight="1">
      <c r="A17818" s="172"/>
    </row>
    <row r="17819" spans="1:1" s="173" customFormat="1" ht="12" hidden="1" customHeight="1">
      <c r="A17819" s="172"/>
    </row>
    <row r="17820" spans="1:1" s="173" customFormat="1" ht="12" hidden="1" customHeight="1">
      <c r="A17820" s="172"/>
    </row>
    <row r="17821" spans="1:1" s="173" customFormat="1" ht="12" hidden="1" customHeight="1">
      <c r="A17821" s="172"/>
    </row>
    <row r="17822" spans="1:1" s="173" customFormat="1" ht="12" hidden="1" customHeight="1">
      <c r="A17822" s="172"/>
    </row>
    <row r="17823" spans="1:1" s="173" customFormat="1" ht="12" hidden="1" customHeight="1">
      <c r="A17823" s="172"/>
    </row>
    <row r="17824" spans="1:1" s="173" customFormat="1" ht="12" hidden="1" customHeight="1">
      <c r="A17824" s="172"/>
    </row>
    <row r="17825" spans="1:1" s="173" customFormat="1" ht="12" hidden="1" customHeight="1">
      <c r="A17825" s="172"/>
    </row>
    <row r="17826" spans="1:1" s="173" customFormat="1" ht="12" hidden="1" customHeight="1">
      <c r="A17826" s="172"/>
    </row>
    <row r="17827" spans="1:1" s="173" customFormat="1" ht="12" hidden="1" customHeight="1">
      <c r="A17827" s="172"/>
    </row>
    <row r="17828" spans="1:1" s="173" customFormat="1" ht="12" hidden="1" customHeight="1">
      <c r="A17828" s="172"/>
    </row>
    <row r="17829" spans="1:1" s="173" customFormat="1" ht="12" hidden="1" customHeight="1">
      <c r="A17829" s="172"/>
    </row>
    <row r="17830" spans="1:1" s="173" customFormat="1" ht="12" hidden="1" customHeight="1">
      <c r="A17830" s="172"/>
    </row>
    <row r="17831" spans="1:1" s="173" customFormat="1" ht="12" hidden="1" customHeight="1">
      <c r="A17831" s="172"/>
    </row>
    <row r="17832" spans="1:1" s="173" customFormat="1" ht="12" hidden="1" customHeight="1">
      <c r="A17832" s="172"/>
    </row>
    <row r="17833" spans="1:1" s="173" customFormat="1" ht="12" hidden="1" customHeight="1">
      <c r="A17833" s="172"/>
    </row>
    <row r="17834" spans="1:1" s="173" customFormat="1" ht="12" hidden="1" customHeight="1">
      <c r="A17834" s="172"/>
    </row>
    <row r="17835" spans="1:1" s="173" customFormat="1" ht="12" hidden="1" customHeight="1">
      <c r="A17835" s="172"/>
    </row>
    <row r="17836" spans="1:1" s="173" customFormat="1" ht="12" hidden="1" customHeight="1">
      <c r="A17836" s="172"/>
    </row>
    <row r="17837" spans="1:1" s="173" customFormat="1" ht="12" hidden="1" customHeight="1">
      <c r="A17837" s="172"/>
    </row>
    <row r="17838" spans="1:1" s="173" customFormat="1" ht="12" hidden="1" customHeight="1">
      <c r="A17838" s="172"/>
    </row>
    <row r="17839" spans="1:1" s="173" customFormat="1" ht="12" hidden="1" customHeight="1">
      <c r="A17839" s="172"/>
    </row>
    <row r="17840" spans="1:1" s="173" customFormat="1" ht="12" hidden="1" customHeight="1">
      <c r="A17840" s="172"/>
    </row>
    <row r="17841" spans="1:1" s="173" customFormat="1" ht="12" hidden="1" customHeight="1">
      <c r="A17841" s="172"/>
    </row>
    <row r="17842" spans="1:1" s="173" customFormat="1" ht="12" hidden="1" customHeight="1">
      <c r="A17842" s="172"/>
    </row>
    <row r="17843" spans="1:1" s="173" customFormat="1" ht="12" hidden="1" customHeight="1">
      <c r="A17843" s="172"/>
    </row>
    <row r="17844" spans="1:1" s="173" customFormat="1" ht="12" hidden="1" customHeight="1">
      <c r="A17844" s="172"/>
    </row>
    <row r="17845" spans="1:1" s="173" customFormat="1" ht="12" hidden="1" customHeight="1">
      <c r="A17845" s="172"/>
    </row>
    <row r="17846" spans="1:1" s="173" customFormat="1" ht="12" hidden="1" customHeight="1">
      <c r="A17846" s="172"/>
    </row>
    <row r="17847" spans="1:1" s="173" customFormat="1" ht="12" hidden="1" customHeight="1">
      <c r="A17847" s="172"/>
    </row>
    <row r="17848" spans="1:1" s="173" customFormat="1" ht="12" hidden="1" customHeight="1">
      <c r="A17848" s="172"/>
    </row>
    <row r="17849" spans="1:1" s="173" customFormat="1" ht="12" hidden="1" customHeight="1">
      <c r="A17849" s="172"/>
    </row>
    <row r="17850" spans="1:1" s="173" customFormat="1" ht="12" hidden="1" customHeight="1">
      <c r="A17850" s="172"/>
    </row>
    <row r="17851" spans="1:1" s="173" customFormat="1" ht="12" hidden="1" customHeight="1">
      <c r="A17851" s="172"/>
    </row>
    <row r="17852" spans="1:1" s="173" customFormat="1" ht="12" hidden="1" customHeight="1">
      <c r="A17852" s="172"/>
    </row>
    <row r="17853" spans="1:1" s="173" customFormat="1" ht="12" hidden="1" customHeight="1">
      <c r="A17853" s="172"/>
    </row>
    <row r="17854" spans="1:1" s="173" customFormat="1" ht="12" hidden="1" customHeight="1">
      <c r="A17854" s="172"/>
    </row>
    <row r="17855" spans="1:1" s="173" customFormat="1" ht="12" hidden="1" customHeight="1">
      <c r="A17855" s="172"/>
    </row>
    <row r="17856" spans="1:1" s="173" customFormat="1" ht="12" hidden="1" customHeight="1">
      <c r="A17856" s="172"/>
    </row>
    <row r="17857" spans="1:1" s="173" customFormat="1" ht="12" hidden="1" customHeight="1">
      <c r="A17857" s="172"/>
    </row>
    <row r="17858" spans="1:1" s="173" customFormat="1" ht="12" hidden="1" customHeight="1">
      <c r="A17858" s="172"/>
    </row>
    <row r="17859" spans="1:1" s="173" customFormat="1" ht="12" hidden="1" customHeight="1">
      <c r="A17859" s="172"/>
    </row>
    <row r="17860" spans="1:1" s="173" customFormat="1" ht="12" hidden="1" customHeight="1">
      <c r="A17860" s="172"/>
    </row>
    <row r="17861" spans="1:1" s="173" customFormat="1" ht="12" hidden="1" customHeight="1">
      <c r="A17861" s="172"/>
    </row>
    <row r="17862" spans="1:1" s="173" customFormat="1" ht="12" hidden="1" customHeight="1">
      <c r="A17862" s="172"/>
    </row>
    <row r="17863" spans="1:1" s="173" customFormat="1" ht="12" hidden="1" customHeight="1">
      <c r="A17863" s="172"/>
    </row>
    <row r="17864" spans="1:1" s="173" customFormat="1" ht="12" hidden="1" customHeight="1">
      <c r="A17864" s="172"/>
    </row>
    <row r="17865" spans="1:1" s="173" customFormat="1" ht="12" hidden="1" customHeight="1">
      <c r="A17865" s="172"/>
    </row>
    <row r="17866" spans="1:1" s="173" customFormat="1" ht="12" hidden="1" customHeight="1">
      <c r="A17866" s="172"/>
    </row>
    <row r="17867" spans="1:1" s="173" customFormat="1" ht="12" hidden="1" customHeight="1">
      <c r="A17867" s="172"/>
    </row>
    <row r="17868" spans="1:1" s="173" customFormat="1" ht="12" hidden="1" customHeight="1">
      <c r="A17868" s="172"/>
    </row>
    <row r="17869" spans="1:1" s="173" customFormat="1" ht="12" hidden="1" customHeight="1">
      <c r="A17869" s="172"/>
    </row>
    <row r="17870" spans="1:1" s="173" customFormat="1" ht="12" hidden="1" customHeight="1">
      <c r="A17870" s="172"/>
    </row>
    <row r="17871" spans="1:1" s="173" customFormat="1" ht="12" hidden="1" customHeight="1">
      <c r="A17871" s="172"/>
    </row>
    <row r="17872" spans="1:1" s="173" customFormat="1" ht="12" hidden="1" customHeight="1">
      <c r="A17872" s="172"/>
    </row>
    <row r="17873" spans="1:1" s="173" customFormat="1" ht="12" hidden="1" customHeight="1">
      <c r="A17873" s="172"/>
    </row>
    <row r="17874" spans="1:1" s="173" customFormat="1" ht="12" hidden="1" customHeight="1">
      <c r="A17874" s="172"/>
    </row>
    <row r="17875" spans="1:1" s="173" customFormat="1" ht="12" hidden="1" customHeight="1">
      <c r="A17875" s="172"/>
    </row>
    <row r="17876" spans="1:1" s="173" customFormat="1" ht="12" hidden="1" customHeight="1">
      <c r="A17876" s="172"/>
    </row>
    <row r="17877" spans="1:1" s="173" customFormat="1" ht="12" hidden="1" customHeight="1">
      <c r="A17877" s="172"/>
    </row>
    <row r="17878" spans="1:1" s="173" customFormat="1" ht="12" hidden="1" customHeight="1">
      <c r="A17878" s="172"/>
    </row>
    <row r="17879" spans="1:1" s="173" customFormat="1" ht="12" hidden="1" customHeight="1">
      <c r="A17879" s="172"/>
    </row>
    <row r="17880" spans="1:1" s="173" customFormat="1" ht="12" hidden="1" customHeight="1">
      <c r="A17880" s="172"/>
    </row>
    <row r="17881" spans="1:1" s="173" customFormat="1" ht="12" hidden="1" customHeight="1">
      <c r="A17881" s="172"/>
    </row>
    <row r="17882" spans="1:1" s="173" customFormat="1" ht="12" hidden="1" customHeight="1">
      <c r="A17882" s="172"/>
    </row>
    <row r="17883" spans="1:1" s="173" customFormat="1" ht="12" hidden="1" customHeight="1">
      <c r="A17883" s="172"/>
    </row>
    <row r="17884" spans="1:1" s="173" customFormat="1" ht="12" hidden="1" customHeight="1">
      <c r="A17884" s="172"/>
    </row>
    <row r="17885" spans="1:1" s="173" customFormat="1" ht="12" hidden="1" customHeight="1">
      <c r="A17885" s="172"/>
    </row>
    <row r="17886" spans="1:1" s="173" customFormat="1" ht="12" hidden="1" customHeight="1">
      <c r="A17886" s="172"/>
    </row>
    <row r="17887" spans="1:1" s="173" customFormat="1" ht="12" hidden="1" customHeight="1">
      <c r="A17887" s="172"/>
    </row>
    <row r="17888" spans="1:1" s="173" customFormat="1" ht="12" hidden="1" customHeight="1">
      <c r="A17888" s="172"/>
    </row>
    <row r="17889" spans="1:1" s="173" customFormat="1" ht="12" hidden="1" customHeight="1">
      <c r="A17889" s="172"/>
    </row>
    <row r="17890" spans="1:1" s="173" customFormat="1" ht="12" hidden="1" customHeight="1">
      <c r="A17890" s="172"/>
    </row>
    <row r="17891" spans="1:1" s="173" customFormat="1" ht="12" hidden="1" customHeight="1">
      <c r="A17891" s="172"/>
    </row>
    <row r="17892" spans="1:1" s="173" customFormat="1" ht="12" hidden="1" customHeight="1">
      <c r="A17892" s="172"/>
    </row>
    <row r="17893" spans="1:1" s="173" customFormat="1" ht="12" hidden="1" customHeight="1">
      <c r="A17893" s="172"/>
    </row>
    <row r="17894" spans="1:1" s="173" customFormat="1" ht="12" hidden="1" customHeight="1">
      <c r="A17894" s="172"/>
    </row>
    <row r="17895" spans="1:1" s="173" customFormat="1" ht="12" hidden="1" customHeight="1">
      <c r="A17895" s="172"/>
    </row>
    <row r="17896" spans="1:1" s="173" customFormat="1" ht="12" hidden="1" customHeight="1">
      <c r="A17896" s="172"/>
    </row>
    <row r="17897" spans="1:1" s="173" customFormat="1" ht="12" hidden="1" customHeight="1">
      <c r="A17897" s="172"/>
    </row>
    <row r="17898" spans="1:1" s="173" customFormat="1" ht="12" hidden="1" customHeight="1">
      <c r="A17898" s="172"/>
    </row>
    <row r="17899" spans="1:1" s="173" customFormat="1" ht="12" hidden="1" customHeight="1">
      <c r="A17899" s="172"/>
    </row>
    <row r="17900" spans="1:1" s="173" customFormat="1" ht="12" hidden="1" customHeight="1">
      <c r="A17900" s="172"/>
    </row>
    <row r="17901" spans="1:1" s="173" customFormat="1" ht="12" hidden="1" customHeight="1">
      <c r="A17901" s="172"/>
    </row>
    <row r="17902" spans="1:1" s="173" customFormat="1" ht="12" hidden="1" customHeight="1">
      <c r="A17902" s="172"/>
    </row>
    <row r="17903" spans="1:1" s="173" customFormat="1" ht="12" hidden="1" customHeight="1">
      <c r="A17903" s="172"/>
    </row>
    <row r="17904" spans="1:1" s="173" customFormat="1" ht="12" hidden="1" customHeight="1">
      <c r="A17904" s="172"/>
    </row>
    <row r="17905" spans="1:1" s="173" customFormat="1" ht="12" hidden="1" customHeight="1">
      <c r="A17905" s="172"/>
    </row>
    <row r="17906" spans="1:1" s="173" customFormat="1" ht="12" hidden="1" customHeight="1">
      <c r="A17906" s="172"/>
    </row>
    <row r="17907" spans="1:1" s="173" customFormat="1" ht="12" hidden="1" customHeight="1">
      <c r="A17907" s="172"/>
    </row>
    <row r="17908" spans="1:1" s="173" customFormat="1" ht="12" hidden="1" customHeight="1">
      <c r="A17908" s="172"/>
    </row>
    <row r="17909" spans="1:1" s="173" customFormat="1" ht="12" hidden="1" customHeight="1">
      <c r="A17909" s="172"/>
    </row>
    <row r="17910" spans="1:1" s="173" customFormat="1" ht="12" hidden="1" customHeight="1">
      <c r="A17910" s="172"/>
    </row>
    <row r="17911" spans="1:1" s="173" customFormat="1" ht="12" hidden="1" customHeight="1">
      <c r="A17911" s="172"/>
    </row>
    <row r="17912" spans="1:1" s="173" customFormat="1" ht="12" hidden="1" customHeight="1">
      <c r="A17912" s="172"/>
    </row>
    <row r="17913" spans="1:1" s="173" customFormat="1" ht="12" hidden="1" customHeight="1">
      <c r="A17913" s="172"/>
    </row>
    <row r="17914" spans="1:1" s="173" customFormat="1" ht="12" hidden="1" customHeight="1">
      <c r="A17914" s="172"/>
    </row>
    <row r="17915" spans="1:1" s="173" customFormat="1" ht="12" hidden="1" customHeight="1">
      <c r="A17915" s="172"/>
    </row>
    <row r="17916" spans="1:1" s="173" customFormat="1" ht="12" hidden="1" customHeight="1">
      <c r="A17916" s="172"/>
    </row>
    <row r="17917" spans="1:1" s="173" customFormat="1" ht="12" hidden="1" customHeight="1">
      <c r="A17917" s="172"/>
    </row>
    <row r="17918" spans="1:1" s="173" customFormat="1" ht="12" hidden="1" customHeight="1">
      <c r="A17918" s="172"/>
    </row>
    <row r="17919" spans="1:1" s="173" customFormat="1" ht="12" hidden="1" customHeight="1">
      <c r="A17919" s="172"/>
    </row>
    <row r="17920" spans="1:1" s="173" customFormat="1" ht="12" hidden="1" customHeight="1">
      <c r="A17920" s="172"/>
    </row>
    <row r="17921" spans="1:1" s="173" customFormat="1" ht="12" hidden="1" customHeight="1">
      <c r="A17921" s="172"/>
    </row>
    <row r="17922" spans="1:1" s="173" customFormat="1" ht="12" hidden="1" customHeight="1">
      <c r="A17922" s="172"/>
    </row>
    <row r="17923" spans="1:1" s="173" customFormat="1" ht="12" hidden="1" customHeight="1">
      <c r="A17923" s="172"/>
    </row>
    <row r="17924" spans="1:1" s="173" customFormat="1" ht="12" hidden="1" customHeight="1">
      <c r="A17924" s="172"/>
    </row>
    <row r="17925" spans="1:1" s="173" customFormat="1" ht="12" hidden="1" customHeight="1">
      <c r="A17925" s="172"/>
    </row>
    <row r="17926" spans="1:1" s="173" customFormat="1" ht="12" hidden="1" customHeight="1">
      <c r="A17926" s="172"/>
    </row>
    <row r="17927" spans="1:1" s="173" customFormat="1" ht="12" hidden="1" customHeight="1">
      <c r="A17927" s="172"/>
    </row>
    <row r="17928" spans="1:1" s="173" customFormat="1" ht="12" hidden="1" customHeight="1">
      <c r="A17928" s="172"/>
    </row>
    <row r="17929" spans="1:1" s="173" customFormat="1" ht="12" hidden="1" customHeight="1">
      <c r="A17929" s="172"/>
    </row>
    <row r="17930" spans="1:1" s="173" customFormat="1" ht="12" hidden="1" customHeight="1">
      <c r="A17930" s="172"/>
    </row>
    <row r="17931" spans="1:1" s="173" customFormat="1" ht="12" hidden="1" customHeight="1">
      <c r="A17931" s="172"/>
    </row>
    <row r="17932" spans="1:1" s="173" customFormat="1" ht="12" hidden="1" customHeight="1">
      <c r="A17932" s="172"/>
    </row>
    <row r="17933" spans="1:1" s="173" customFormat="1" ht="12" hidden="1" customHeight="1">
      <c r="A17933" s="172"/>
    </row>
    <row r="17934" spans="1:1" s="173" customFormat="1" ht="12" hidden="1" customHeight="1">
      <c r="A17934" s="172"/>
    </row>
    <row r="17935" spans="1:1" s="173" customFormat="1" ht="12" hidden="1" customHeight="1">
      <c r="A17935" s="172"/>
    </row>
    <row r="17936" spans="1:1" s="173" customFormat="1" ht="12" hidden="1" customHeight="1">
      <c r="A17936" s="172"/>
    </row>
    <row r="17937" spans="1:1" s="173" customFormat="1" ht="12" hidden="1" customHeight="1">
      <c r="A17937" s="172"/>
    </row>
    <row r="17938" spans="1:1" s="173" customFormat="1" ht="12" hidden="1" customHeight="1">
      <c r="A17938" s="172"/>
    </row>
    <row r="17939" spans="1:1" s="173" customFormat="1" ht="12" hidden="1" customHeight="1">
      <c r="A17939" s="172"/>
    </row>
    <row r="17940" spans="1:1" s="173" customFormat="1" ht="12" hidden="1" customHeight="1">
      <c r="A17940" s="172"/>
    </row>
    <row r="17941" spans="1:1" s="173" customFormat="1" ht="12" hidden="1" customHeight="1">
      <c r="A17941" s="172"/>
    </row>
    <row r="17942" spans="1:1" s="173" customFormat="1" ht="12" hidden="1" customHeight="1">
      <c r="A17942" s="172"/>
    </row>
    <row r="17943" spans="1:1" s="173" customFormat="1" ht="12" hidden="1" customHeight="1">
      <c r="A17943" s="172"/>
    </row>
    <row r="17944" spans="1:1" s="173" customFormat="1" ht="12" hidden="1" customHeight="1">
      <c r="A17944" s="172"/>
    </row>
    <row r="17945" spans="1:1" s="173" customFormat="1" ht="12" hidden="1" customHeight="1">
      <c r="A17945" s="172"/>
    </row>
    <row r="17946" spans="1:1" s="173" customFormat="1" ht="12" hidden="1" customHeight="1">
      <c r="A17946" s="172"/>
    </row>
    <row r="17947" spans="1:1" s="173" customFormat="1" ht="12" hidden="1" customHeight="1">
      <c r="A17947" s="172"/>
    </row>
    <row r="17948" spans="1:1" s="173" customFormat="1" ht="12" hidden="1" customHeight="1">
      <c r="A17948" s="172"/>
    </row>
    <row r="17949" spans="1:1" s="173" customFormat="1" ht="12" hidden="1" customHeight="1">
      <c r="A17949" s="172"/>
    </row>
    <row r="17950" spans="1:1" s="173" customFormat="1" ht="12" hidden="1" customHeight="1">
      <c r="A17950" s="172"/>
    </row>
    <row r="17951" spans="1:1" s="173" customFormat="1" ht="12" hidden="1" customHeight="1">
      <c r="A17951" s="172"/>
    </row>
    <row r="17952" spans="1:1" s="173" customFormat="1" ht="12" hidden="1" customHeight="1">
      <c r="A17952" s="172"/>
    </row>
    <row r="17953" spans="1:1" s="173" customFormat="1" ht="12" hidden="1" customHeight="1">
      <c r="A17953" s="172"/>
    </row>
    <row r="17954" spans="1:1" s="173" customFormat="1" ht="12" hidden="1" customHeight="1">
      <c r="A17954" s="172"/>
    </row>
    <row r="17955" spans="1:1" s="173" customFormat="1" ht="12" hidden="1" customHeight="1">
      <c r="A17955" s="172"/>
    </row>
    <row r="17956" spans="1:1" s="173" customFormat="1" ht="12" hidden="1" customHeight="1">
      <c r="A17956" s="172"/>
    </row>
    <row r="17957" spans="1:1" s="173" customFormat="1" ht="12" hidden="1" customHeight="1">
      <c r="A17957" s="172"/>
    </row>
    <row r="17958" spans="1:1" s="173" customFormat="1" ht="12" hidden="1" customHeight="1">
      <c r="A17958" s="172"/>
    </row>
    <row r="17959" spans="1:1" s="173" customFormat="1" ht="12" hidden="1" customHeight="1">
      <c r="A17959" s="172"/>
    </row>
    <row r="17960" spans="1:1" s="173" customFormat="1" ht="12" hidden="1" customHeight="1">
      <c r="A17960" s="172"/>
    </row>
    <row r="17961" spans="1:1" s="173" customFormat="1" ht="12" hidden="1" customHeight="1">
      <c r="A17961" s="172"/>
    </row>
    <row r="17962" spans="1:1" s="173" customFormat="1" ht="12" hidden="1" customHeight="1">
      <c r="A17962" s="172"/>
    </row>
    <row r="17963" spans="1:1" s="173" customFormat="1" ht="12" hidden="1" customHeight="1">
      <c r="A17963" s="172"/>
    </row>
    <row r="17964" spans="1:1" s="173" customFormat="1" ht="12" hidden="1" customHeight="1">
      <c r="A17964" s="172"/>
    </row>
    <row r="17965" spans="1:1" s="173" customFormat="1" ht="12" hidden="1" customHeight="1">
      <c r="A17965" s="172"/>
    </row>
    <row r="17966" spans="1:1" s="173" customFormat="1" ht="12" hidden="1" customHeight="1">
      <c r="A17966" s="172"/>
    </row>
    <row r="17967" spans="1:1" s="173" customFormat="1" ht="12" hidden="1" customHeight="1">
      <c r="A17967" s="172"/>
    </row>
    <row r="17968" spans="1:1" s="173" customFormat="1" ht="12" hidden="1" customHeight="1">
      <c r="A17968" s="172"/>
    </row>
    <row r="17969" spans="1:1" s="173" customFormat="1" ht="12" hidden="1" customHeight="1">
      <c r="A17969" s="172"/>
    </row>
    <row r="17970" spans="1:1" s="173" customFormat="1" ht="12" hidden="1" customHeight="1">
      <c r="A17970" s="172"/>
    </row>
    <row r="17971" spans="1:1" s="173" customFormat="1" ht="12" hidden="1" customHeight="1">
      <c r="A17971" s="172"/>
    </row>
    <row r="17972" spans="1:1" s="173" customFormat="1" ht="12" hidden="1" customHeight="1">
      <c r="A17972" s="172"/>
    </row>
    <row r="17973" spans="1:1" s="173" customFormat="1" ht="12" hidden="1" customHeight="1">
      <c r="A17973" s="172"/>
    </row>
    <row r="17974" spans="1:1" s="173" customFormat="1" ht="12" hidden="1" customHeight="1">
      <c r="A17974" s="172"/>
    </row>
    <row r="17975" spans="1:1" s="173" customFormat="1" ht="12" hidden="1" customHeight="1">
      <c r="A17975" s="172"/>
    </row>
    <row r="17976" spans="1:1" s="173" customFormat="1" ht="12" hidden="1" customHeight="1">
      <c r="A17976" s="172"/>
    </row>
    <row r="17977" spans="1:1" s="173" customFormat="1" ht="12" hidden="1" customHeight="1">
      <c r="A17977" s="172"/>
    </row>
    <row r="17978" spans="1:1" s="173" customFormat="1" ht="12" hidden="1" customHeight="1">
      <c r="A17978" s="172"/>
    </row>
    <row r="17979" spans="1:1" s="173" customFormat="1" ht="12" hidden="1" customHeight="1">
      <c r="A17979" s="172"/>
    </row>
    <row r="17980" spans="1:1" s="173" customFormat="1" ht="12" hidden="1" customHeight="1">
      <c r="A17980" s="172"/>
    </row>
    <row r="17981" spans="1:1" s="173" customFormat="1" ht="12" hidden="1" customHeight="1">
      <c r="A17981" s="172"/>
    </row>
    <row r="17982" spans="1:1" s="173" customFormat="1" ht="12" hidden="1" customHeight="1">
      <c r="A17982" s="172"/>
    </row>
    <row r="17983" spans="1:1" s="173" customFormat="1" ht="12" hidden="1" customHeight="1">
      <c r="A17983" s="172"/>
    </row>
    <row r="17984" spans="1:1" s="173" customFormat="1" ht="12" hidden="1" customHeight="1">
      <c r="A17984" s="172"/>
    </row>
    <row r="17985" spans="1:1" s="173" customFormat="1" ht="12" hidden="1" customHeight="1">
      <c r="A17985" s="172"/>
    </row>
    <row r="17986" spans="1:1" s="173" customFormat="1" ht="12" hidden="1" customHeight="1">
      <c r="A17986" s="172"/>
    </row>
    <row r="17987" spans="1:1" s="173" customFormat="1" ht="12" hidden="1" customHeight="1">
      <c r="A17987" s="172"/>
    </row>
    <row r="17988" spans="1:1" s="173" customFormat="1" ht="12" hidden="1" customHeight="1">
      <c r="A17988" s="172"/>
    </row>
    <row r="17989" spans="1:1" s="173" customFormat="1" ht="12" hidden="1" customHeight="1">
      <c r="A17989" s="172"/>
    </row>
    <row r="17990" spans="1:1" s="173" customFormat="1" ht="12" hidden="1" customHeight="1">
      <c r="A17990" s="172"/>
    </row>
    <row r="17991" spans="1:1" s="173" customFormat="1" ht="12" hidden="1" customHeight="1">
      <c r="A17991" s="172"/>
    </row>
    <row r="17992" spans="1:1" s="173" customFormat="1" ht="12" hidden="1" customHeight="1">
      <c r="A17992" s="172"/>
    </row>
    <row r="17993" spans="1:1" s="173" customFormat="1" ht="12" hidden="1" customHeight="1">
      <c r="A17993" s="172"/>
    </row>
    <row r="17994" spans="1:1" s="173" customFormat="1" ht="12" hidden="1" customHeight="1">
      <c r="A17994" s="172"/>
    </row>
    <row r="17995" spans="1:1" s="173" customFormat="1" ht="12" hidden="1" customHeight="1">
      <c r="A17995" s="172"/>
    </row>
    <row r="17996" spans="1:1" s="173" customFormat="1" ht="12" hidden="1" customHeight="1">
      <c r="A17996" s="172"/>
    </row>
    <row r="17997" spans="1:1" s="173" customFormat="1" ht="12" hidden="1" customHeight="1">
      <c r="A17997" s="172"/>
    </row>
    <row r="17998" spans="1:1" s="173" customFormat="1" ht="12" hidden="1" customHeight="1">
      <c r="A17998" s="172"/>
    </row>
    <row r="17999" spans="1:1" s="173" customFormat="1" ht="12" hidden="1" customHeight="1">
      <c r="A17999" s="172"/>
    </row>
    <row r="18000" spans="1:1" s="173" customFormat="1" ht="12" hidden="1" customHeight="1">
      <c r="A18000" s="172"/>
    </row>
    <row r="18001" spans="1:1" s="173" customFormat="1" ht="12" hidden="1" customHeight="1">
      <c r="A18001" s="172"/>
    </row>
    <row r="18002" spans="1:1" s="173" customFormat="1" ht="12" hidden="1" customHeight="1">
      <c r="A18002" s="172"/>
    </row>
    <row r="18003" spans="1:1" s="173" customFormat="1" ht="12" hidden="1" customHeight="1">
      <c r="A18003" s="172"/>
    </row>
    <row r="18004" spans="1:1" s="173" customFormat="1" ht="12" hidden="1" customHeight="1">
      <c r="A18004" s="172"/>
    </row>
    <row r="18005" spans="1:1" s="173" customFormat="1" ht="12" hidden="1" customHeight="1">
      <c r="A18005" s="172"/>
    </row>
    <row r="18006" spans="1:1" s="173" customFormat="1" ht="12" hidden="1" customHeight="1">
      <c r="A18006" s="172"/>
    </row>
    <row r="18007" spans="1:1" s="173" customFormat="1" ht="12" hidden="1" customHeight="1">
      <c r="A18007" s="172"/>
    </row>
    <row r="18008" spans="1:1" s="173" customFormat="1" ht="12" hidden="1" customHeight="1">
      <c r="A18008" s="172"/>
    </row>
    <row r="18009" spans="1:1" s="173" customFormat="1" ht="12" hidden="1" customHeight="1">
      <c r="A18009" s="172"/>
    </row>
    <row r="18010" spans="1:1" s="173" customFormat="1" ht="12" hidden="1" customHeight="1">
      <c r="A18010" s="172"/>
    </row>
    <row r="18011" spans="1:1" s="173" customFormat="1" ht="12" hidden="1" customHeight="1">
      <c r="A18011" s="172"/>
    </row>
    <row r="18012" spans="1:1" s="173" customFormat="1" ht="12" hidden="1" customHeight="1">
      <c r="A18012" s="172"/>
    </row>
    <row r="18013" spans="1:1" s="173" customFormat="1" ht="12" hidden="1" customHeight="1">
      <c r="A18013" s="172"/>
    </row>
    <row r="18014" spans="1:1" s="173" customFormat="1" ht="12" hidden="1" customHeight="1">
      <c r="A18014" s="172"/>
    </row>
    <row r="18015" spans="1:1" s="173" customFormat="1" ht="12" hidden="1" customHeight="1">
      <c r="A18015" s="172"/>
    </row>
    <row r="18016" spans="1:1" s="173" customFormat="1" ht="12" hidden="1" customHeight="1">
      <c r="A18016" s="172"/>
    </row>
    <row r="18017" spans="1:1" s="173" customFormat="1" ht="12" hidden="1" customHeight="1">
      <c r="A18017" s="172"/>
    </row>
    <row r="18018" spans="1:1" s="173" customFormat="1" ht="12" hidden="1" customHeight="1">
      <c r="A18018" s="172"/>
    </row>
    <row r="18019" spans="1:1" s="173" customFormat="1" ht="12" hidden="1" customHeight="1">
      <c r="A18019" s="172"/>
    </row>
    <row r="18020" spans="1:1" s="173" customFormat="1" ht="12" hidden="1" customHeight="1">
      <c r="A18020" s="172"/>
    </row>
    <row r="18021" spans="1:1" s="173" customFormat="1" ht="12" hidden="1" customHeight="1">
      <c r="A18021" s="172"/>
    </row>
    <row r="18022" spans="1:1" s="173" customFormat="1" ht="12" hidden="1" customHeight="1">
      <c r="A18022" s="172"/>
    </row>
    <row r="18023" spans="1:1" s="173" customFormat="1" ht="12" hidden="1" customHeight="1">
      <c r="A18023" s="172"/>
    </row>
    <row r="18024" spans="1:1" s="173" customFormat="1" ht="12" hidden="1" customHeight="1">
      <c r="A18024" s="172"/>
    </row>
    <row r="18025" spans="1:1" s="173" customFormat="1" ht="12" hidden="1" customHeight="1">
      <c r="A18025" s="172"/>
    </row>
    <row r="18026" spans="1:1" s="173" customFormat="1" ht="12" hidden="1" customHeight="1">
      <c r="A18026" s="172"/>
    </row>
    <row r="18027" spans="1:1" s="173" customFormat="1" ht="12" hidden="1" customHeight="1">
      <c r="A18027" s="172"/>
    </row>
    <row r="18028" spans="1:1" s="173" customFormat="1" ht="12" hidden="1" customHeight="1">
      <c r="A18028" s="172"/>
    </row>
    <row r="18029" spans="1:1" s="173" customFormat="1" ht="12" hidden="1" customHeight="1">
      <c r="A18029" s="172"/>
    </row>
    <row r="18030" spans="1:1" s="173" customFormat="1" ht="12" hidden="1" customHeight="1">
      <c r="A18030" s="172"/>
    </row>
    <row r="18031" spans="1:1" s="173" customFormat="1" ht="12" hidden="1" customHeight="1">
      <c r="A18031" s="172"/>
    </row>
    <row r="18032" spans="1:1" s="173" customFormat="1" ht="12" hidden="1" customHeight="1">
      <c r="A18032" s="172"/>
    </row>
    <row r="18033" spans="1:1" s="173" customFormat="1" ht="12" hidden="1" customHeight="1">
      <c r="A18033" s="172"/>
    </row>
    <row r="18034" spans="1:1" s="173" customFormat="1" ht="12" hidden="1" customHeight="1">
      <c r="A18034" s="172"/>
    </row>
    <row r="18035" spans="1:1" s="173" customFormat="1" ht="12" hidden="1" customHeight="1">
      <c r="A18035" s="172"/>
    </row>
    <row r="18036" spans="1:1" s="173" customFormat="1" ht="12" hidden="1" customHeight="1">
      <c r="A18036" s="172"/>
    </row>
    <row r="18037" spans="1:1" s="173" customFormat="1" ht="12" hidden="1" customHeight="1">
      <c r="A18037" s="172"/>
    </row>
    <row r="18038" spans="1:1" s="173" customFormat="1" ht="12" hidden="1" customHeight="1">
      <c r="A18038" s="172"/>
    </row>
    <row r="18039" spans="1:1" s="173" customFormat="1" ht="12" hidden="1" customHeight="1">
      <c r="A18039" s="172"/>
    </row>
    <row r="18040" spans="1:1" s="173" customFormat="1" ht="12" hidden="1" customHeight="1">
      <c r="A18040" s="172"/>
    </row>
    <row r="18041" spans="1:1" s="173" customFormat="1" ht="12" hidden="1" customHeight="1">
      <c r="A18041" s="172"/>
    </row>
    <row r="18042" spans="1:1" s="173" customFormat="1" ht="12" hidden="1" customHeight="1">
      <c r="A18042" s="172"/>
    </row>
    <row r="18043" spans="1:1" s="173" customFormat="1" ht="12" hidden="1" customHeight="1">
      <c r="A18043" s="172"/>
    </row>
    <row r="18044" spans="1:1" s="173" customFormat="1" ht="12" hidden="1" customHeight="1">
      <c r="A18044" s="172"/>
    </row>
    <row r="18045" spans="1:1" s="173" customFormat="1" ht="12" hidden="1" customHeight="1">
      <c r="A18045" s="172"/>
    </row>
    <row r="18046" spans="1:1" s="173" customFormat="1" ht="12" hidden="1" customHeight="1">
      <c r="A18046" s="172"/>
    </row>
    <row r="18047" spans="1:1" s="173" customFormat="1" ht="12" hidden="1" customHeight="1">
      <c r="A18047" s="172"/>
    </row>
    <row r="18048" spans="1:1" s="173" customFormat="1" ht="12" hidden="1" customHeight="1">
      <c r="A18048" s="172"/>
    </row>
    <row r="18049" spans="1:1" s="173" customFormat="1" ht="12" hidden="1" customHeight="1">
      <c r="A18049" s="172"/>
    </row>
    <row r="18050" spans="1:1" s="173" customFormat="1" ht="12" hidden="1" customHeight="1">
      <c r="A18050" s="172"/>
    </row>
    <row r="18051" spans="1:1" s="173" customFormat="1" ht="12" hidden="1" customHeight="1">
      <c r="A18051" s="172"/>
    </row>
    <row r="18052" spans="1:1" s="173" customFormat="1" ht="12" hidden="1" customHeight="1">
      <c r="A18052" s="172"/>
    </row>
    <row r="18053" spans="1:1" s="173" customFormat="1" ht="12" hidden="1" customHeight="1">
      <c r="A18053" s="172"/>
    </row>
    <row r="18054" spans="1:1" s="173" customFormat="1" ht="12" hidden="1" customHeight="1">
      <c r="A18054" s="172"/>
    </row>
    <row r="18055" spans="1:1" s="173" customFormat="1" ht="12" hidden="1" customHeight="1">
      <c r="A18055" s="172"/>
    </row>
    <row r="18056" spans="1:1" s="173" customFormat="1" ht="12" hidden="1" customHeight="1">
      <c r="A18056" s="172"/>
    </row>
    <row r="18057" spans="1:1" s="173" customFormat="1" ht="12" hidden="1" customHeight="1">
      <c r="A18057" s="172"/>
    </row>
    <row r="18058" spans="1:1" s="173" customFormat="1" ht="12" hidden="1" customHeight="1">
      <c r="A18058" s="172"/>
    </row>
    <row r="18059" spans="1:1" s="173" customFormat="1" ht="12" hidden="1" customHeight="1">
      <c r="A18059" s="172"/>
    </row>
    <row r="18060" spans="1:1" s="173" customFormat="1" ht="12" hidden="1" customHeight="1">
      <c r="A18060" s="172"/>
    </row>
    <row r="18061" spans="1:1" s="173" customFormat="1" ht="12" hidden="1" customHeight="1">
      <c r="A18061" s="172"/>
    </row>
    <row r="18062" spans="1:1" s="173" customFormat="1" ht="12" hidden="1" customHeight="1">
      <c r="A18062" s="172"/>
    </row>
    <row r="18063" spans="1:1" s="173" customFormat="1" ht="12" hidden="1" customHeight="1">
      <c r="A18063" s="172"/>
    </row>
    <row r="18064" spans="1:1" s="173" customFormat="1" ht="12" hidden="1" customHeight="1">
      <c r="A18064" s="172"/>
    </row>
    <row r="18065" spans="1:1" s="173" customFormat="1" ht="12" hidden="1" customHeight="1">
      <c r="A18065" s="172"/>
    </row>
    <row r="18066" spans="1:1" s="173" customFormat="1" ht="12" hidden="1" customHeight="1">
      <c r="A18066" s="172"/>
    </row>
    <row r="18067" spans="1:1" s="173" customFormat="1" ht="12" hidden="1" customHeight="1">
      <c r="A18067" s="172"/>
    </row>
    <row r="18068" spans="1:1" s="173" customFormat="1" ht="12" hidden="1" customHeight="1">
      <c r="A18068" s="172"/>
    </row>
    <row r="18069" spans="1:1" s="173" customFormat="1" ht="12" hidden="1" customHeight="1">
      <c r="A18069" s="172"/>
    </row>
    <row r="18070" spans="1:1" s="173" customFormat="1" ht="12" hidden="1" customHeight="1">
      <c r="A18070" s="172"/>
    </row>
    <row r="18071" spans="1:1" s="173" customFormat="1" ht="12" hidden="1" customHeight="1">
      <c r="A18071" s="172"/>
    </row>
    <row r="18072" spans="1:1" s="173" customFormat="1" ht="12" hidden="1" customHeight="1">
      <c r="A18072" s="172"/>
    </row>
    <row r="18073" spans="1:1" s="173" customFormat="1" ht="12" hidden="1" customHeight="1">
      <c r="A18073" s="172"/>
    </row>
    <row r="18074" spans="1:1" s="173" customFormat="1" ht="12" hidden="1" customHeight="1">
      <c r="A18074" s="172"/>
    </row>
    <row r="18075" spans="1:1" s="173" customFormat="1" ht="12" hidden="1" customHeight="1">
      <c r="A18075" s="172"/>
    </row>
    <row r="18076" spans="1:1" s="173" customFormat="1" ht="12" hidden="1" customHeight="1">
      <c r="A18076" s="172"/>
    </row>
    <row r="18077" spans="1:1" s="173" customFormat="1" ht="12" hidden="1" customHeight="1">
      <c r="A18077" s="172"/>
    </row>
    <row r="18078" spans="1:1" s="173" customFormat="1" ht="12" hidden="1" customHeight="1">
      <c r="A18078" s="172"/>
    </row>
    <row r="18079" spans="1:1" s="173" customFormat="1" ht="12" hidden="1" customHeight="1">
      <c r="A18079" s="172"/>
    </row>
    <row r="18080" spans="1:1" s="173" customFormat="1" ht="12" hidden="1" customHeight="1">
      <c r="A18080" s="172"/>
    </row>
    <row r="18081" spans="1:1" s="173" customFormat="1" ht="12" hidden="1" customHeight="1">
      <c r="A18081" s="172"/>
    </row>
    <row r="18082" spans="1:1" s="173" customFormat="1" ht="12" hidden="1" customHeight="1">
      <c r="A18082" s="172"/>
    </row>
    <row r="18083" spans="1:1" s="173" customFormat="1" ht="12" hidden="1" customHeight="1">
      <c r="A18083" s="172"/>
    </row>
    <row r="18084" spans="1:1" s="173" customFormat="1" ht="12" hidden="1" customHeight="1">
      <c r="A18084" s="172"/>
    </row>
    <row r="18085" spans="1:1" s="173" customFormat="1" ht="12" hidden="1" customHeight="1">
      <c r="A18085" s="172"/>
    </row>
    <row r="18086" spans="1:1" s="173" customFormat="1" ht="12" hidden="1" customHeight="1">
      <c r="A18086" s="172"/>
    </row>
    <row r="18087" spans="1:1" s="173" customFormat="1" ht="12" hidden="1" customHeight="1">
      <c r="A18087" s="172"/>
    </row>
    <row r="18088" spans="1:1" s="173" customFormat="1" ht="12" hidden="1" customHeight="1">
      <c r="A18088" s="172"/>
    </row>
    <row r="18089" spans="1:1" s="173" customFormat="1" ht="12" hidden="1" customHeight="1">
      <c r="A18089" s="172"/>
    </row>
    <row r="18090" spans="1:1" s="173" customFormat="1" ht="12" hidden="1" customHeight="1">
      <c r="A18090" s="172"/>
    </row>
    <row r="18091" spans="1:1" s="173" customFormat="1" ht="12" hidden="1" customHeight="1">
      <c r="A18091" s="172"/>
    </row>
    <row r="18092" spans="1:1" s="173" customFormat="1" ht="12" hidden="1" customHeight="1">
      <c r="A18092" s="172"/>
    </row>
    <row r="18093" spans="1:1" s="173" customFormat="1" ht="12" hidden="1" customHeight="1">
      <c r="A18093" s="172"/>
    </row>
    <row r="18094" spans="1:1" s="173" customFormat="1" ht="12" hidden="1" customHeight="1">
      <c r="A18094" s="172"/>
    </row>
    <row r="18095" spans="1:1" s="173" customFormat="1" ht="12" hidden="1" customHeight="1">
      <c r="A18095" s="172"/>
    </row>
    <row r="18096" spans="1:1" s="173" customFormat="1" ht="12" hidden="1" customHeight="1">
      <c r="A18096" s="172"/>
    </row>
    <row r="18097" spans="1:1" s="173" customFormat="1" ht="12" hidden="1" customHeight="1">
      <c r="A18097" s="172"/>
    </row>
    <row r="18098" spans="1:1" s="173" customFormat="1" ht="12" hidden="1" customHeight="1">
      <c r="A18098" s="172"/>
    </row>
    <row r="18099" spans="1:1" s="173" customFormat="1" ht="12" hidden="1" customHeight="1">
      <c r="A18099" s="172"/>
    </row>
    <row r="18100" spans="1:1" s="173" customFormat="1" ht="12" hidden="1" customHeight="1">
      <c r="A18100" s="172"/>
    </row>
    <row r="18101" spans="1:1" s="173" customFormat="1" ht="12" hidden="1" customHeight="1">
      <c r="A18101" s="172"/>
    </row>
    <row r="18102" spans="1:1" s="173" customFormat="1" ht="12" hidden="1" customHeight="1">
      <c r="A18102" s="172"/>
    </row>
    <row r="18103" spans="1:1" s="173" customFormat="1" ht="12" hidden="1" customHeight="1">
      <c r="A18103" s="172"/>
    </row>
    <row r="18104" spans="1:1" s="173" customFormat="1" ht="12" hidden="1" customHeight="1">
      <c r="A18104" s="172"/>
    </row>
    <row r="18105" spans="1:1" s="173" customFormat="1" ht="12" hidden="1" customHeight="1">
      <c r="A18105" s="172"/>
    </row>
    <row r="18106" spans="1:1" s="173" customFormat="1" ht="12" hidden="1" customHeight="1">
      <c r="A18106" s="172"/>
    </row>
    <row r="18107" spans="1:1" s="173" customFormat="1" ht="12" hidden="1" customHeight="1">
      <c r="A18107" s="172"/>
    </row>
    <row r="18108" spans="1:1" s="173" customFormat="1" ht="12" hidden="1" customHeight="1">
      <c r="A18108" s="172"/>
    </row>
    <row r="18109" spans="1:1" s="173" customFormat="1" ht="12" hidden="1" customHeight="1">
      <c r="A18109" s="172"/>
    </row>
    <row r="18110" spans="1:1" s="173" customFormat="1" ht="12" hidden="1" customHeight="1">
      <c r="A18110" s="172"/>
    </row>
    <row r="18111" spans="1:1" s="173" customFormat="1" ht="12" hidden="1" customHeight="1">
      <c r="A18111" s="172"/>
    </row>
    <row r="18112" spans="1:1" s="173" customFormat="1" ht="12" hidden="1" customHeight="1">
      <c r="A18112" s="172"/>
    </row>
    <row r="18113" spans="1:1" s="173" customFormat="1" ht="12" hidden="1" customHeight="1">
      <c r="A18113" s="172"/>
    </row>
    <row r="18114" spans="1:1" s="173" customFormat="1" ht="12" hidden="1" customHeight="1">
      <c r="A18114" s="172"/>
    </row>
    <row r="18115" spans="1:1" s="173" customFormat="1" ht="12" hidden="1" customHeight="1">
      <c r="A18115" s="172"/>
    </row>
    <row r="18116" spans="1:1" s="173" customFormat="1" ht="12" hidden="1" customHeight="1">
      <c r="A18116" s="172"/>
    </row>
    <row r="18117" spans="1:1" s="173" customFormat="1" ht="12" hidden="1" customHeight="1">
      <c r="A18117" s="172"/>
    </row>
    <row r="18118" spans="1:1" s="173" customFormat="1" ht="12" hidden="1" customHeight="1">
      <c r="A18118" s="172"/>
    </row>
    <row r="18119" spans="1:1" s="173" customFormat="1" ht="12" hidden="1" customHeight="1">
      <c r="A18119" s="172"/>
    </row>
    <row r="18120" spans="1:1" s="173" customFormat="1" ht="12" hidden="1" customHeight="1">
      <c r="A18120" s="172"/>
    </row>
    <row r="18121" spans="1:1" s="173" customFormat="1" ht="12" hidden="1" customHeight="1">
      <c r="A18121" s="172"/>
    </row>
    <row r="18122" spans="1:1" s="173" customFormat="1" ht="12" hidden="1" customHeight="1">
      <c r="A18122" s="172"/>
    </row>
    <row r="18123" spans="1:1" s="173" customFormat="1" ht="12" hidden="1" customHeight="1">
      <c r="A18123" s="172"/>
    </row>
    <row r="18124" spans="1:1" s="173" customFormat="1" ht="12" hidden="1" customHeight="1">
      <c r="A18124" s="172"/>
    </row>
    <row r="18125" spans="1:1" s="173" customFormat="1" ht="12" hidden="1" customHeight="1">
      <c r="A18125" s="172"/>
    </row>
    <row r="18126" spans="1:1" s="173" customFormat="1" ht="12" hidden="1" customHeight="1">
      <c r="A18126" s="172"/>
    </row>
    <row r="18127" spans="1:1" s="173" customFormat="1" ht="12" hidden="1" customHeight="1">
      <c r="A18127" s="172"/>
    </row>
    <row r="18128" spans="1:1" s="173" customFormat="1" ht="12" hidden="1" customHeight="1">
      <c r="A18128" s="172"/>
    </row>
    <row r="18129" spans="1:1" s="173" customFormat="1" ht="12" hidden="1" customHeight="1">
      <c r="A18129" s="172"/>
    </row>
    <row r="18130" spans="1:1" s="173" customFormat="1" ht="12" hidden="1" customHeight="1">
      <c r="A18130" s="172"/>
    </row>
    <row r="18131" spans="1:1" s="173" customFormat="1" ht="12" hidden="1" customHeight="1">
      <c r="A18131" s="172"/>
    </row>
    <row r="18132" spans="1:1" s="173" customFormat="1" ht="12" hidden="1" customHeight="1">
      <c r="A18132" s="172"/>
    </row>
    <row r="18133" spans="1:1" s="173" customFormat="1" ht="12" hidden="1" customHeight="1">
      <c r="A18133" s="172"/>
    </row>
    <row r="18134" spans="1:1" s="173" customFormat="1" ht="12" hidden="1" customHeight="1">
      <c r="A18134" s="172"/>
    </row>
    <row r="18135" spans="1:1" s="173" customFormat="1" ht="12" hidden="1" customHeight="1">
      <c r="A18135" s="172"/>
    </row>
    <row r="18136" spans="1:1" s="173" customFormat="1" ht="12" hidden="1" customHeight="1">
      <c r="A18136" s="172"/>
    </row>
    <row r="18137" spans="1:1" s="173" customFormat="1" ht="12" hidden="1" customHeight="1">
      <c r="A18137" s="172"/>
    </row>
    <row r="18138" spans="1:1" s="173" customFormat="1" ht="12" hidden="1" customHeight="1">
      <c r="A18138" s="172"/>
    </row>
    <row r="18139" spans="1:1" s="173" customFormat="1" ht="12" hidden="1" customHeight="1">
      <c r="A18139" s="172"/>
    </row>
    <row r="18140" spans="1:1" s="173" customFormat="1" ht="12" hidden="1" customHeight="1">
      <c r="A18140" s="172"/>
    </row>
    <row r="18141" spans="1:1" s="173" customFormat="1" ht="12" hidden="1" customHeight="1">
      <c r="A18141" s="172"/>
    </row>
    <row r="18142" spans="1:1" s="173" customFormat="1" ht="12" hidden="1" customHeight="1">
      <c r="A18142" s="172"/>
    </row>
    <row r="18143" spans="1:1" s="173" customFormat="1" ht="12" hidden="1" customHeight="1">
      <c r="A18143" s="172"/>
    </row>
    <row r="18144" spans="1:1" s="173" customFormat="1" ht="12" hidden="1" customHeight="1">
      <c r="A18144" s="172"/>
    </row>
    <row r="18145" spans="1:1" s="173" customFormat="1" ht="12" hidden="1" customHeight="1">
      <c r="A18145" s="172"/>
    </row>
    <row r="18146" spans="1:1" s="173" customFormat="1" ht="12" hidden="1" customHeight="1">
      <c r="A18146" s="172"/>
    </row>
    <row r="18147" spans="1:1" s="173" customFormat="1" ht="12" hidden="1" customHeight="1">
      <c r="A18147" s="172"/>
    </row>
    <row r="18148" spans="1:1" s="173" customFormat="1" ht="12" hidden="1" customHeight="1">
      <c r="A18148" s="172"/>
    </row>
    <row r="18149" spans="1:1" s="173" customFormat="1" ht="12" hidden="1" customHeight="1">
      <c r="A18149" s="172"/>
    </row>
    <row r="18150" spans="1:1" s="173" customFormat="1" ht="12" hidden="1" customHeight="1">
      <c r="A18150" s="172"/>
    </row>
    <row r="18151" spans="1:1" s="173" customFormat="1" ht="12" hidden="1" customHeight="1">
      <c r="A18151" s="172"/>
    </row>
    <row r="18152" spans="1:1" s="173" customFormat="1" ht="12" hidden="1" customHeight="1">
      <c r="A18152" s="172"/>
    </row>
    <row r="18153" spans="1:1" s="173" customFormat="1" ht="12" hidden="1" customHeight="1">
      <c r="A18153" s="172"/>
    </row>
    <row r="18154" spans="1:1" s="173" customFormat="1" ht="12" hidden="1" customHeight="1">
      <c r="A18154" s="172"/>
    </row>
    <row r="18155" spans="1:1" s="173" customFormat="1" ht="12" hidden="1" customHeight="1">
      <c r="A18155" s="172"/>
    </row>
    <row r="18156" spans="1:1" s="173" customFormat="1" ht="12" hidden="1" customHeight="1">
      <c r="A18156" s="172"/>
    </row>
    <row r="18157" spans="1:1" s="173" customFormat="1" ht="12" hidden="1" customHeight="1">
      <c r="A18157" s="172"/>
    </row>
    <row r="18158" spans="1:1" s="173" customFormat="1" ht="12" hidden="1" customHeight="1">
      <c r="A18158" s="172"/>
    </row>
    <row r="18159" spans="1:1" s="173" customFormat="1" ht="12" hidden="1" customHeight="1">
      <c r="A18159" s="172"/>
    </row>
    <row r="18160" spans="1:1" s="173" customFormat="1" ht="12" hidden="1" customHeight="1">
      <c r="A18160" s="172"/>
    </row>
    <row r="18161" spans="1:1" s="173" customFormat="1" ht="12" hidden="1" customHeight="1">
      <c r="A18161" s="172"/>
    </row>
    <row r="18162" spans="1:1" s="173" customFormat="1" ht="12" hidden="1" customHeight="1">
      <c r="A18162" s="172"/>
    </row>
    <row r="18163" spans="1:1" s="173" customFormat="1" ht="12" hidden="1" customHeight="1">
      <c r="A18163" s="172"/>
    </row>
    <row r="18164" spans="1:1" s="173" customFormat="1" ht="12" hidden="1" customHeight="1">
      <c r="A18164" s="172"/>
    </row>
    <row r="18165" spans="1:1" s="173" customFormat="1" ht="12" hidden="1" customHeight="1">
      <c r="A18165" s="172"/>
    </row>
    <row r="18166" spans="1:1" s="173" customFormat="1" ht="12" hidden="1" customHeight="1">
      <c r="A18166" s="172"/>
    </row>
    <row r="18167" spans="1:1" s="173" customFormat="1" ht="12" hidden="1" customHeight="1">
      <c r="A18167" s="172"/>
    </row>
    <row r="18168" spans="1:1" s="173" customFormat="1" ht="12" hidden="1" customHeight="1">
      <c r="A18168" s="172"/>
    </row>
    <row r="18169" spans="1:1" s="173" customFormat="1" ht="12" hidden="1" customHeight="1">
      <c r="A18169" s="172"/>
    </row>
    <row r="18170" spans="1:1" s="173" customFormat="1" ht="12" hidden="1" customHeight="1">
      <c r="A18170" s="172"/>
    </row>
    <row r="18171" spans="1:1" s="173" customFormat="1" ht="12" hidden="1" customHeight="1">
      <c r="A18171" s="172"/>
    </row>
    <row r="18172" spans="1:1" s="173" customFormat="1" ht="12" hidden="1" customHeight="1">
      <c r="A18172" s="172"/>
    </row>
    <row r="18173" spans="1:1" s="173" customFormat="1" ht="12" hidden="1" customHeight="1">
      <c r="A18173" s="172"/>
    </row>
    <row r="18174" spans="1:1" s="173" customFormat="1" ht="12" hidden="1" customHeight="1">
      <c r="A18174" s="172"/>
    </row>
    <row r="18175" spans="1:1" s="173" customFormat="1" ht="12" hidden="1" customHeight="1">
      <c r="A18175" s="172"/>
    </row>
    <row r="18176" spans="1:1" s="173" customFormat="1" ht="12" hidden="1" customHeight="1">
      <c r="A18176" s="172"/>
    </row>
    <row r="18177" spans="1:1" s="173" customFormat="1" ht="12" hidden="1" customHeight="1">
      <c r="A18177" s="172"/>
    </row>
    <row r="18178" spans="1:1" s="173" customFormat="1" ht="12" hidden="1" customHeight="1">
      <c r="A18178" s="172"/>
    </row>
    <row r="18179" spans="1:1" s="173" customFormat="1" ht="12" hidden="1" customHeight="1">
      <c r="A18179" s="172"/>
    </row>
    <row r="18180" spans="1:1" s="173" customFormat="1" ht="12" hidden="1" customHeight="1">
      <c r="A18180" s="172"/>
    </row>
    <row r="18181" spans="1:1" s="173" customFormat="1" ht="12" hidden="1" customHeight="1">
      <c r="A18181" s="172"/>
    </row>
    <row r="18182" spans="1:1" s="173" customFormat="1" ht="12" hidden="1" customHeight="1">
      <c r="A18182" s="172"/>
    </row>
    <row r="18183" spans="1:1" s="173" customFormat="1" ht="12" hidden="1" customHeight="1">
      <c r="A18183" s="172"/>
    </row>
    <row r="18184" spans="1:1" s="173" customFormat="1" ht="12" hidden="1" customHeight="1">
      <c r="A18184" s="172"/>
    </row>
    <row r="18185" spans="1:1" s="173" customFormat="1" ht="12" hidden="1" customHeight="1">
      <c r="A18185" s="172"/>
    </row>
    <row r="18186" spans="1:1" s="173" customFormat="1" ht="12" hidden="1" customHeight="1">
      <c r="A18186" s="172"/>
    </row>
    <row r="18187" spans="1:1" s="173" customFormat="1" ht="12" hidden="1" customHeight="1">
      <c r="A18187" s="172"/>
    </row>
    <row r="18188" spans="1:1" s="173" customFormat="1" ht="12" hidden="1" customHeight="1">
      <c r="A18188" s="172"/>
    </row>
    <row r="18189" spans="1:1" s="173" customFormat="1" ht="12" hidden="1" customHeight="1">
      <c r="A18189" s="172"/>
    </row>
    <row r="18190" spans="1:1" s="173" customFormat="1" ht="12" hidden="1" customHeight="1">
      <c r="A18190" s="172"/>
    </row>
    <row r="18191" spans="1:1" s="173" customFormat="1" ht="12" hidden="1" customHeight="1">
      <c r="A18191" s="172"/>
    </row>
    <row r="18192" spans="1:1" s="173" customFormat="1" ht="12" hidden="1" customHeight="1">
      <c r="A18192" s="172"/>
    </row>
    <row r="18193" spans="1:1" s="173" customFormat="1" ht="12" hidden="1" customHeight="1">
      <c r="A18193" s="172"/>
    </row>
    <row r="18194" spans="1:1" s="173" customFormat="1" ht="12" hidden="1" customHeight="1">
      <c r="A18194" s="172"/>
    </row>
    <row r="18195" spans="1:1" s="173" customFormat="1" ht="12" hidden="1" customHeight="1">
      <c r="A18195" s="172"/>
    </row>
    <row r="18196" spans="1:1" s="173" customFormat="1" ht="12" hidden="1" customHeight="1">
      <c r="A18196" s="172"/>
    </row>
    <row r="18197" spans="1:1" s="173" customFormat="1" ht="12" hidden="1" customHeight="1">
      <c r="A18197" s="172"/>
    </row>
    <row r="18198" spans="1:1" s="173" customFormat="1" ht="12" hidden="1" customHeight="1">
      <c r="A18198" s="172"/>
    </row>
    <row r="18199" spans="1:1" s="173" customFormat="1" ht="12" hidden="1" customHeight="1">
      <c r="A18199" s="172"/>
    </row>
    <row r="18200" spans="1:1" s="173" customFormat="1" ht="12" hidden="1" customHeight="1">
      <c r="A18200" s="172"/>
    </row>
    <row r="18201" spans="1:1" s="173" customFormat="1" ht="12" hidden="1" customHeight="1">
      <c r="A18201" s="172"/>
    </row>
    <row r="18202" spans="1:1" s="173" customFormat="1" ht="12" hidden="1" customHeight="1">
      <c r="A18202" s="172"/>
    </row>
    <row r="18203" spans="1:1" s="173" customFormat="1" ht="12" hidden="1" customHeight="1">
      <c r="A18203" s="172"/>
    </row>
    <row r="18204" spans="1:1" s="173" customFormat="1" ht="12" hidden="1" customHeight="1">
      <c r="A18204" s="172"/>
    </row>
    <row r="18205" spans="1:1" s="173" customFormat="1" ht="12" hidden="1" customHeight="1">
      <c r="A18205" s="172"/>
    </row>
    <row r="18206" spans="1:1" s="173" customFormat="1" ht="12" hidden="1" customHeight="1">
      <c r="A18206" s="172"/>
    </row>
    <row r="18207" spans="1:1" s="173" customFormat="1" ht="12" hidden="1" customHeight="1">
      <c r="A18207" s="172"/>
    </row>
    <row r="18208" spans="1:1" s="173" customFormat="1" ht="12" hidden="1" customHeight="1">
      <c r="A18208" s="172"/>
    </row>
    <row r="18209" spans="1:1" s="173" customFormat="1" ht="12" hidden="1" customHeight="1">
      <c r="A18209" s="172"/>
    </row>
    <row r="18210" spans="1:1" s="173" customFormat="1" ht="12" hidden="1" customHeight="1">
      <c r="A18210" s="172"/>
    </row>
    <row r="18211" spans="1:1" s="173" customFormat="1" ht="12" hidden="1" customHeight="1">
      <c r="A18211" s="172"/>
    </row>
    <row r="18212" spans="1:1" s="173" customFormat="1" ht="12" hidden="1" customHeight="1">
      <c r="A18212" s="172"/>
    </row>
    <row r="18213" spans="1:1" s="173" customFormat="1" ht="12" hidden="1" customHeight="1">
      <c r="A18213" s="172"/>
    </row>
    <row r="18214" spans="1:1" s="173" customFormat="1" ht="12" hidden="1" customHeight="1">
      <c r="A18214" s="172"/>
    </row>
    <row r="18215" spans="1:1" s="173" customFormat="1" ht="12" hidden="1" customHeight="1">
      <c r="A18215" s="172"/>
    </row>
    <row r="18216" spans="1:1" s="173" customFormat="1" ht="12" hidden="1" customHeight="1">
      <c r="A18216" s="172"/>
    </row>
    <row r="18217" spans="1:1" s="173" customFormat="1" ht="12" hidden="1" customHeight="1">
      <c r="A18217" s="172"/>
    </row>
    <row r="18218" spans="1:1" s="173" customFormat="1" ht="12" hidden="1" customHeight="1">
      <c r="A18218" s="172"/>
    </row>
    <row r="18219" spans="1:1" s="173" customFormat="1" ht="12" hidden="1" customHeight="1">
      <c r="A18219" s="172"/>
    </row>
    <row r="18220" spans="1:1" s="173" customFormat="1" ht="12" hidden="1" customHeight="1">
      <c r="A18220" s="172"/>
    </row>
    <row r="18221" spans="1:1" s="173" customFormat="1" ht="12" hidden="1" customHeight="1">
      <c r="A18221" s="172"/>
    </row>
    <row r="18222" spans="1:1" s="173" customFormat="1" ht="12" hidden="1" customHeight="1">
      <c r="A18222" s="172"/>
    </row>
    <row r="18223" spans="1:1" s="173" customFormat="1" ht="12" hidden="1" customHeight="1">
      <c r="A18223" s="172"/>
    </row>
    <row r="18224" spans="1:1" s="173" customFormat="1" ht="12" hidden="1" customHeight="1">
      <c r="A18224" s="172"/>
    </row>
    <row r="18225" spans="1:1" s="173" customFormat="1" ht="12" hidden="1" customHeight="1">
      <c r="A18225" s="172"/>
    </row>
    <row r="18226" spans="1:1" s="173" customFormat="1" ht="12" hidden="1" customHeight="1">
      <c r="A18226" s="172"/>
    </row>
    <row r="18227" spans="1:1" s="173" customFormat="1" ht="12" hidden="1" customHeight="1">
      <c r="A18227" s="172"/>
    </row>
    <row r="18228" spans="1:1" s="173" customFormat="1" ht="12" hidden="1" customHeight="1">
      <c r="A18228" s="172"/>
    </row>
    <row r="18229" spans="1:1" s="173" customFormat="1" ht="12" hidden="1" customHeight="1">
      <c r="A18229" s="172"/>
    </row>
    <row r="18230" spans="1:1" s="173" customFormat="1" ht="12" hidden="1" customHeight="1">
      <c r="A18230" s="172"/>
    </row>
    <row r="18231" spans="1:1" s="173" customFormat="1" ht="12" hidden="1" customHeight="1">
      <c r="A18231" s="172"/>
    </row>
    <row r="18232" spans="1:1" s="173" customFormat="1" ht="12" hidden="1" customHeight="1">
      <c r="A18232" s="172"/>
    </row>
    <row r="18233" spans="1:1" s="173" customFormat="1" ht="12" hidden="1" customHeight="1">
      <c r="A18233" s="172"/>
    </row>
    <row r="18234" spans="1:1" s="173" customFormat="1" ht="12" hidden="1" customHeight="1">
      <c r="A18234" s="172"/>
    </row>
    <row r="18235" spans="1:1" s="173" customFormat="1" ht="12" hidden="1" customHeight="1">
      <c r="A18235" s="172"/>
    </row>
    <row r="18236" spans="1:1" s="173" customFormat="1" ht="12" hidden="1" customHeight="1">
      <c r="A18236" s="172"/>
    </row>
    <row r="18237" spans="1:1" s="173" customFormat="1" ht="12" hidden="1" customHeight="1">
      <c r="A18237" s="172"/>
    </row>
    <row r="18238" spans="1:1" s="173" customFormat="1" ht="12" hidden="1" customHeight="1">
      <c r="A18238" s="172"/>
    </row>
    <row r="18239" spans="1:1" s="173" customFormat="1" ht="12" hidden="1" customHeight="1">
      <c r="A18239" s="172"/>
    </row>
    <row r="18240" spans="1:1" s="173" customFormat="1" ht="12" hidden="1" customHeight="1">
      <c r="A18240" s="172"/>
    </row>
    <row r="18241" spans="1:1" s="173" customFormat="1" ht="12" hidden="1" customHeight="1">
      <c r="A18241" s="172"/>
    </row>
    <row r="18242" spans="1:1" s="173" customFormat="1" ht="12" hidden="1" customHeight="1">
      <c r="A18242" s="172"/>
    </row>
    <row r="18243" spans="1:1" s="173" customFormat="1" ht="12" hidden="1" customHeight="1">
      <c r="A18243" s="172"/>
    </row>
    <row r="18244" spans="1:1" s="173" customFormat="1" ht="12" hidden="1" customHeight="1">
      <c r="A18244" s="172"/>
    </row>
    <row r="18245" spans="1:1" s="173" customFormat="1" ht="12" hidden="1" customHeight="1">
      <c r="A18245" s="172"/>
    </row>
    <row r="18246" spans="1:1" s="173" customFormat="1" ht="12" hidden="1" customHeight="1">
      <c r="A18246" s="172"/>
    </row>
    <row r="18247" spans="1:1" s="173" customFormat="1" ht="12" hidden="1" customHeight="1">
      <c r="A18247" s="172"/>
    </row>
    <row r="18248" spans="1:1" s="173" customFormat="1" ht="12" hidden="1" customHeight="1">
      <c r="A18248" s="172"/>
    </row>
    <row r="18249" spans="1:1" s="173" customFormat="1" ht="12" hidden="1" customHeight="1">
      <c r="A18249" s="172"/>
    </row>
    <row r="18250" spans="1:1" s="173" customFormat="1" ht="12" hidden="1" customHeight="1">
      <c r="A18250" s="172"/>
    </row>
    <row r="18251" spans="1:1" s="173" customFormat="1" ht="12" hidden="1" customHeight="1">
      <c r="A18251" s="172"/>
    </row>
    <row r="18252" spans="1:1" s="173" customFormat="1" ht="12" hidden="1" customHeight="1">
      <c r="A18252" s="172"/>
    </row>
    <row r="18253" spans="1:1" s="173" customFormat="1" ht="12" hidden="1" customHeight="1">
      <c r="A18253" s="172"/>
    </row>
    <row r="18254" spans="1:1" s="173" customFormat="1" ht="12" hidden="1" customHeight="1">
      <c r="A18254" s="172"/>
    </row>
    <row r="18255" spans="1:1" s="173" customFormat="1" ht="12" hidden="1" customHeight="1">
      <c r="A18255" s="172"/>
    </row>
    <row r="18256" spans="1:1" s="173" customFormat="1" ht="12" hidden="1" customHeight="1">
      <c r="A18256" s="172"/>
    </row>
    <row r="18257" spans="1:1" s="173" customFormat="1" ht="12" hidden="1" customHeight="1">
      <c r="A18257" s="172"/>
    </row>
    <row r="18258" spans="1:1" s="173" customFormat="1" ht="12" hidden="1" customHeight="1">
      <c r="A18258" s="172"/>
    </row>
    <row r="18259" spans="1:1" s="173" customFormat="1" ht="12" hidden="1" customHeight="1">
      <c r="A18259" s="172"/>
    </row>
    <row r="18260" spans="1:1" s="173" customFormat="1" ht="12" hidden="1" customHeight="1">
      <c r="A18260" s="172"/>
    </row>
    <row r="18261" spans="1:1" s="173" customFormat="1" ht="12" hidden="1" customHeight="1">
      <c r="A18261" s="172"/>
    </row>
    <row r="18262" spans="1:1" s="173" customFormat="1" ht="12" hidden="1" customHeight="1">
      <c r="A18262" s="172"/>
    </row>
    <row r="18263" spans="1:1" s="173" customFormat="1" ht="12" hidden="1" customHeight="1">
      <c r="A18263" s="172"/>
    </row>
    <row r="18264" spans="1:1" s="173" customFormat="1" ht="12" hidden="1" customHeight="1">
      <c r="A18264" s="172"/>
    </row>
    <row r="18265" spans="1:1" s="173" customFormat="1" ht="12" hidden="1" customHeight="1">
      <c r="A18265" s="172"/>
    </row>
    <row r="18266" spans="1:1" s="173" customFormat="1" ht="12" hidden="1" customHeight="1">
      <c r="A18266" s="172"/>
    </row>
    <row r="18267" spans="1:1" s="173" customFormat="1" ht="12" hidden="1" customHeight="1">
      <c r="A18267" s="172"/>
    </row>
    <row r="18268" spans="1:1" s="173" customFormat="1" ht="12" hidden="1" customHeight="1">
      <c r="A18268" s="172"/>
    </row>
    <row r="18269" spans="1:1" s="173" customFormat="1" ht="12" hidden="1" customHeight="1">
      <c r="A18269" s="172"/>
    </row>
    <row r="18270" spans="1:1" s="173" customFormat="1" ht="12" hidden="1" customHeight="1">
      <c r="A18270" s="172"/>
    </row>
    <row r="18271" spans="1:1" s="173" customFormat="1" ht="12" hidden="1" customHeight="1">
      <c r="A18271" s="172"/>
    </row>
    <row r="18272" spans="1:1" s="173" customFormat="1" ht="12" hidden="1" customHeight="1">
      <c r="A18272" s="172"/>
    </row>
    <row r="18273" spans="1:1" s="173" customFormat="1" ht="12" hidden="1" customHeight="1">
      <c r="A18273" s="172"/>
    </row>
    <row r="18274" spans="1:1" s="173" customFormat="1" ht="12" hidden="1" customHeight="1">
      <c r="A18274" s="172"/>
    </row>
    <row r="18275" spans="1:1" s="173" customFormat="1" ht="12" hidden="1" customHeight="1">
      <c r="A18275" s="172"/>
    </row>
    <row r="18276" spans="1:1" s="173" customFormat="1" ht="12" hidden="1" customHeight="1">
      <c r="A18276" s="172"/>
    </row>
    <row r="18277" spans="1:1" s="173" customFormat="1" ht="12" hidden="1" customHeight="1">
      <c r="A18277" s="172"/>
    </row>
    <row r="18278" spans="1:1" s="173" customFormat="1" ht="12" hidden="1" customHeight="1">
      <c r="A18278" s="172"/>
    </row>
    <row r="18279" spans="1:1" s="173" customFormat="1" ht="12" hidden="1" customHeight="1">
      <c r="A18279" s="172"/>
    </row>
    <row r="18280" spans="1:1" s="173" customFormat="1" ht="12" hidden="1" customHeight="1">
      <c r="A18280" s="172"/>
    </row>
    <row r="18281" spans="1:1" s="173" customFormat="1" ht="12" hidden="1" customHeight="1">
      <c r="A18281" s="172"/>
    </row>
    <row r="18282" spans="1:1" s="173" customFormat="1" ht="12" hidden="1" customHeight="1">
      <c r="A18282" s="172"/>
    </row>
    <row r="18283" spans="1:1" s="173" customFormat="1" ht="12" hidden="1" customHeight="1">
      <c r="A18283" s="172"/>
    </row>
    <row r="18284" spans="1:1" s="173" customFormat="1" ht="12" hidden="1" customHeight="1">
      <c r="A18284" s="172"/>
    </row>
    <row r="18285" spans="1:1" s="173" customFormat="1" ht="12" hidden="1" customHeight="1">
      <c r="A18285" s="172"/>
    </row>
    <row r="18286" spans="1:1" s="173" customFormat="1" ht="12" hidden="1" customHeight="1">
      <c r="A18286" s="172"/>
    </row>
    <row r="18287" spans="1:1" s="173" customFormat="1" ht="12" hidden="1" customHeight="1">
      <c r="A18287" s="172"/>
    </row>
    <row r="18288" spans="1:1" s="173" customFormat="1" ht="12" hidden="1" customHeight="1">
      <c r="A18288" s="172"/>
    </row>
    <row r="18289" spans="1:1" s="173" customFormat="1" ht="12" hidden="1" customHeight="1">
      <c r="A18289" s="172"/>
    </row>
    <row r="18290" spans="1:1" s="173" customFormat="1" ht="12" hidden="1" customHeight="1">
      <c r="A18290" s="172"/>
    </row>
    <row r="18291" spans="1:1" s="173" customFormat="1" ht="12" hidden="1" customHeight="1">
      <c r="A18291" s="172"/>
    </row>
    <row r="18292" spans="1:1" s="173" customFormat="1" ht="12" hidden="1" customHeight="1">
      <c r="A18292" s="172"/>
    </row>
    <row r="18293" spans="1:1" s="173" customFormat="1" ht="12" hidden="1" customHeight="1">
      <c r="A18293" s="172"/>
    </row>
    <row r="18294" spans="1:1" s="173" customFormat="1" ht="12" hidden="1" customHeight="1">
      <c r="A18294" s="172"/>
    </row>
    <row r="18295" spans="1:1" s="173" customFormat="1" ht="12" hidden="1" customHeight="1">
      <c r="A18295" s="172"/>
    </row>
    <row r="18296" spans="1:1" s="173" customFormat="1" ht="12" hidden="1" customHeight="1">
      <c r="A18296" s="172"/>
    </row>
    <row r="18297" spans="1:1" s="173" customFormat="1" ht="12" hidden="1" customHeight="1">
      <c r="A18297" s="172"/>
    </row>
    <row r="18298" spans="1:1" s="173" customFormat="1" ht="12" hidden="1" customHeight="1">
      <c r="A18298" s="172"/>
    </row>
    <row r="18299" spans="1:1" s="173" customFormat="1" ht="12" hidden="1" customHeight="1">
      <c r="A18299" s="172"/>
    </row>
    <row r="18300" spans="1:1" s="173" customFormat="1" ht="12" hidden="1" customHeight="1">
      <c r="A18300" s="172"/>
    </row>
    <row r="18301" spans="1:1" s="173" customFormat="1" ht="12" hidden="1" customHeight="1">
      <c r="A18301" s="172"/>
    </row>
    <row r="18302" spans="1:1" s="173" customFormat="1" ht="12" hidden="1" customHeight="1">
      <c r="A18302" s="172"/>
    </row>
    <row r="18303" spans="1:1" s="173" customFormat="1" ht="12" hidden="1" customHeight="1">
      <c r="A18303" s="172"/>
    </row>
    <row r="18304" spans="1:1" s="173" customFormat="1" ht="12" hidden="1" customHeight="1">
      <c r="A18304" s="172"/>
    </row>
    <row r="18305" spans="1:1" s="173" customFormat="1" ht="12" hidden="1" customHeight="1">
      <c r="A18305" s="172"/>
    </row>
    <row r="18306" spans="1:1" s="173" customFormat="1" ht="12" hidden="1" customHeight="1">
      <c r="A18306" s="172"/>
    </row>
    <row r="18307" spans="1:1" s="173" customFormat="1" ht="12" hidden="1" customHeight="1">
      <c r="A18307" s="172"/>
    </row>
    <row r="18308" spans="1:1" s="173" customFormat="1" ht="12" hidden="1" customHeight="1">
      <c r="A18308" s="172"/>
    </row>
    <row r="18309" spans="1:1" s="173" customFormat="1" ht="12" hidden="1" customHeight="1">
      <c r="A18309" s="172"/>
    </row>
    <row r="18310" spans="1:1" s="173" customFormat="1" ht="12" hidden="1" customHeight="1">
      <c r="A18310" s="172"/>
    </row>
    <row r="18311" spans="1:1" s="173" customFormat="1" ht="12" hidden="1" customHeight="1">
      <c r="A18311" s="172"/>
    </row>
    <row r="18312" spans="1:1" s="173" customFormat="1" ht="12" hidden="1" customHeight="1">
      <c r="A18312" s="172"/>
    </row>
    <row r="18313" spans="1:1" s="173" customFormat="1" ht="12" hidden="1" customHeight="1">
      <c r="A18313" s="172"/>
    </row>
    <row r="18314" spans="1:1" s="173" customFormat="1" ht="12" hidden="1" customHeight="1">
      <c r="A18314" s="172"/>
    </row>
    <row r="18315" spans="1:1" s="173" customFormat="1" ht="12" hidden="1" customHeight="1">
      <c r="A18315" s="172"/>
    </row>
    <row r="18316" spans="1:1" s="173" customFormat="1" ht="12" hidden="1" customHeight="1">
      <c r="A18316" s="172"/>
    </row>
    <row r="18317" spans="1:1" s="173" customFormat="1" ht="12" hidden="1" customHeight="1">
      <c r="A18317" s="172"/>
    </row>
    <row r="18318" spans="1:1" s="173" customFormat="1" ht="12" hidden="1" customHeight="1">
      <c r="A18318" s="172"/>
    </row>
    <row r="18319" spans="1:1" s="173" customFormat="1" ht="12" hidden="1" customHeight="1">
      <c r="A18319" s="172"/>
    </row>
    <row r="18320" spans="1:1" s="173" customFormat="1" ht="12" hidden="1" customHeight="1">
      <c r="A18320" s="172"/>
    </row>
    <row r="18321" spans="1:1" s="173" customFormat="1" ht="12" hidden="1" customHeight="1">
      <c r="A18321" s="172"/>
    </row>
    <row r="18322" spans="1:1" s="173" customFormat="1" ht="12" hidden="1" customHeight="1">
      <c r="A18322" s="172"/>
    </row>
    <row r="18323" spans="1:1" s="173" customFormat="1" ht="12" hidden="1" customHeight="1">
      <c r="A18323" s="172"/>
    </row>
    <row r="18324" spans="1:1" s="173" customFormat="1" ht="12" hidden="1" customHeight="1">
      <c r="A18324" s="172"/>
    </row>
    <row r="18325" spans="1:1" s="173" customFormat="1" ht="12" hidden="1" customHeight="1">
      <c r="A18325" s="172"/>
    </row>
    <row r="18326" spans="1:1" s="173" customFormat="1" ht="12" hidden="1" customHeight="1">
      <c r="A18326" s="172"/>
    </row>
    <row r="18327" spans="1:1" s="173" customFormat="1" ht="12" hidden="1" customHeight="1">
      <c r="A18327" s="172"/>
    </row>
    <row r="18328" spans="1:1" s="173" customFormat="1" ht="12" hidden="1" customHeight="1">
      <c r="A18328" s="172"/>
    </row>
    <row r="18329" spans="1:1" s="173" customFormat="1" ht="12" hidden="1" customHeight="1">
      <c r="A18329" s="172"/>
    </row>
    <row r="18330" spans="1:1" s="173" customFormat="1" ht="12" hidden="1" customHeight="1">
      <c r="A18330" s="172"/>
    </row>
    <row r="18331" spans="1:1" s="173" customFormat="1" ht="12" hidden="1" customHeight="1">
      <c r="A18331" s="172"/>
    </row>
    <row r="18332" spans="1:1" s="173" customFormat="1" ht="12" hidden="1" customHeight="1">
      <c r="A18332" s="172"/>
    </row>
    <row r="18333" spans="1:1" s="173" customFormat="1" ht="12" hidden="1" customHeight="1">
      <c r="A18333" s="172"/>
    </row>
    <row r="18334" spans="1:1" s="173" customFormat="1" ht="12" hidden="1" customHeight="1">
      <c r="A18334" s="172"/>
    </row>
    <row r="18335" spans="1:1" s="173" customFormat="1" ht="12" hidden="1" customHeight="1">
      <c r="A18335" s="172"/>
    </row>
    <row r="18336" spans="1:1" s="173" customFormat="1" ht="12" hidden="1" customHeight="1">
      <c r="A18336" s="172"/>
    </row>
    <row r="18337" spans="1:1" s="173" customFormat="1" ht="12" hidden="1" customHeight="1">
      <c r="A18337" s="172"/>
    </row>
    <row r="18338" spans="1:1" s="173" customFormat="1" ht="12" hidden="1" customHeight="1">
      <c r="A18338" s="172"/>
    </row>
    <row r="18339" spans="1:1" s="173" customFormat="1" ht="12" hidden="1" customHeight="1">
      <c r="A18339" s="172"/>
    </row>
    <row r="18340" spans="1:1" s="173" customFormat="1" ht="12" hidden="1" customHeight="1">
      <c r="A18340" s="172"/>
    </row>
    <row r="18341" spans="1:1" s="173" customFormat="1" ht="12" hidden="1" customHeight="1">
      <c r="A18341" s="172"/>
    </row>
    <row r="18342" spans="1:1" s="173" customFormat="1" ht="12" hidden="1" customHeight="1">
      <c r="A18342" s="172"/>
    </row>
    <row r="18343" spans="1:1" s="173" customFormat="1" ht="12" hidden="1" customHeight="1">
      <c r="A18343" s="172"/>
    </row>
    <row r="18344" spans="1:1" s="173" customFormat="1" ht="12" hidden="1" customHeight="1">
      <c r="A18344" s="172"/>
    </row>
    <row r="18345" spans="1:1" s="173" customFormat="1" ht="12" hidden="1" customHeight="1">
      <c r="A18345" s="172"/>
    </row>
    <row r="18346" spans="1:1" s="173" customFormat="1" ht="12" hidden="1" customHeight="1">
      <c r="A18346" s="172"/>
    </row>
    <row r="18347" spans="1:1" s="173" customFormat="1" ht="12" hidden="1" customHeight="1">
      <c r="A18347" s="172"/>
    </row>
    <row r="18348" spans="1:1" s="173" customFormat="1" ht="12" hidden="1" customHeight="1">
      <c r="A18348" s="172"/>
    </row>
    <row r="18349" spans="1:1" s="173" customFormat="1" ht="12" hidden="1" customHeight="1">
      <c r="A18349" s="172"/>
    </row>
    <row r="18350" spans="1:1" s="173" customFormat="1" ht="12" hidden="1" customHeight="1">
      <c r="A18350" s="172"/>
    </row>
    <row r="18351" spans="1:1" s="173" customFormat="1" ht="12" hidden="1" customHeight="1">
      <c r="A18351" s="172"/>
    </row>
    <row r="18352" spans="1:1" s="173" customFormat="1" ht="12" hidden="1" customHeight="1">
      <c r="A18352" s="172"/>
    </row>
    <row r="18353" spans="1:1" s="173" customFormat="1" ht="12" hidden="1" customHeight="1">
      <c r="A18353" s="172"/>
    </row>
    <row r="18354" spans="1:1" s="173" customFormat="1" ht="12" hidden="1" customHeight="1">
      <c r="A18354" s="172"/>
    </row>
    <row r="18355" spans="1:1" s="173" customFormat="1" ht="12" hidden="1" customHeight="1">
      <c r="A18355" s="172"/>
    </row>
    <row r="18356" spans="1:1" s="173" customFormat="1" ht="12" hidden="1" customHeight="1">
      <c r="A18356" s="172"/>
    </row>
    <row r="18357" spans="1:1" s="173" customFormat="1" ht="12" hidden="1" customHeight="1">
      <c r="A18357" s="172"/>
    </row>
    <row r="18358" spans="1:1" s="173" customFormat="1" ht="12" hidden="1" customHeight="1">
      <c r="A18358" s="172"/>
    </row>
    <row r="18359" spans="1:1" s="173" customFormat="1" ht="12" hidden="1" customHeight="1">
      <c r="A18359" s="172"/>
    </row>
    <row r="18360" spans="1:1" s="173" customFormat="1" ht="12" hidden="1" customHeight="1">
      <c r="A18360" s="172"/>
    </row>
    <row r="18361" spans="1:1" s="173" customFormat="1" ht="12" hidden="1" customHeight="1">
      <c r="A18361" s="172"/>
    </row>
    <row r="18362" spans="1:1" s="173" customFormat="1" ht="12" hidden="1" customHeight="1">
      <c r="A18362" s="172"/>
    </row>
    <row r="18363" spans="1:1" s="173" customFormat="1" ht="12" hidden="1" customHeight="1">
      <c r="A18363" s="172"/>
    </row>
    <row r="18364" spans="1:1" s="173" customFormat="1" ht="12" hidden="1" customHeight="1">
      <c r="A18364" s="172"/>
    </row>
    <row r="18365" spans="1:1" s="173" customFormat="1" ht="12" hidden="1" customHeight="1">
      <c r="A18365" s="172"/>
    </row>
    <row r="18366" spans="1:1" s="173" customFormat="1" ht="12" hidden="1" customHeight="1">
      <c r="A18366" s="172"/>
    </row>
    <row r="18367" spans="1:1" s="173" customFormat="1" ht="12" hidden="1" customHeight="1">
      <c r="A18367" s="172"/>
    </row>
    <row r="18368" spans="1:1" s="173" customFormat="1" ht="12" hidden="1" customHeight="1">
      <c r="A18368" s="172"/>
    </row>
    <row r="18369" spans="1:1" s="173" customFormat="1" ht="12" hidden="1" customHeight="1">
      <c r="A18369" s="172"/>
    </row>
    <row r="18370" spans="1:1" s="173" customFormat="1" ht="12" hidden="1" customHeight="1">
      <c r="A18370" s="172"/>
    </row>
    <row r="18371" spans="1:1" s="173" customFormat="1" ht="12" hidden="1" customHeight="1">
      <c r="A18371" s="172"/>
    </row>
    <row r="18372" spans="1:1" s="173" customFormat="1" ht="12" hidden="1" customHeight="1">
      <c r="A18372" s="172"/>
    </row>
    <row r="18373" spans="1:1" s="173" customFormat="1" ht="12" hidden="1" customHeight="1">
      <c r="A18373" s="172"/>
    </row>
    <row r="18374" spans="1:1" s="173" customFormat="1" ht="12" hidden="1" customHeight="1">
      <c r="A18374" s="172"/>
    </row>
    <row r="18375" spans="1:1" s="173" customFormat="1" ht="12" hidden="1" customHeight="1">
      <c r="A18375" s="172"/>
    </row>
    <row r="18376" spans="1:1" s="173" customFormat="1" ht="12" hidden="1" customHeight="1">
      <c r="A18376" s="172"/>
    </row>
    <row r="18377" spans="1:1" s="173" customFormat="1" ht="12" hidden="1" customHeight="1">
      <c r="A18377" s="172"/>
    </row>
    <row r="18378" spans="1:1" s="173" customFormat="1" ht="12" hidden="1" customHeight="1">
      <c r="A18378" s="172"/>
    </row>
    <row r="18379" spans="1:1" s="173" customFormat="1" ht="12" hidden="1" customHeight="1">
      <c r="A18379" s="172"/>
    </row>
    <row r="18380" spans="1:1" s="173" customFormat="1" ht="12" hidden="1" customHeight="1">
      <c r="A18380" s="172"/>
    </row>
    <row r="18381" spans="1:1" s="173" customFormat="1" ht="12" hidden="1" customHeight="1">
      <c r="A18381" s="172"/>
    </row>
    <row r="18382" spans="1:1" s="173" customFormat="1" ht="12" hidden="1" customHeight="1">
      <c r="A18382" s="172"/>
    </row>
    <row r="18383" spans="1:1" s="173" customFormat="1" ht="12" hidden="1" customHeight="1">
      <c r="A18383" s="172"/>
    </row>
    <row r="18384" spans="1:1" s="173" customFormat="1" ht="12" hidden="1" customHeight="1">
      <c r="A18384" s="172"/>
    </row>
    <row r="18385" spans="1:1" s="173" customFormat="1" ht="12" hidden="1" customHeight="1">
      <c r="A18385" s="172"/>
    </row>
    <row r="18386" spans="1:1" s="173" customFormat="1" ht="12" hidden="1" customHeight="1">
      <c r="A18386" s="172"/>
    </row>
    <row r="18387" spans="1:1" s="173" customFormat="1" ht="12" hidden="1" customHeight="1">
      <c r="A18387" s="172"/>
    </row>
    <row r="18388" spans="1:1" s="173" customFormat="1" ht="12" hidden="1" customHeight="1">
      <c r="A18388" s="172"/>
    </row>
    <row r="18389" spans="1:1" s="173" customFormat="1" ht="12" hidden="1" customHeight="1">
      <c r="A18389" s="172"/>
    </row>
    <row r="18390" spans="1:1" s="173" customFormat="1" ht="12" hidden="1" customHeight="1">
      <c r="A18390" s="172"/>
    </row>
    <row r="18391" spans="1:1" s="173" customFormat="1" ht="12" hidden="1" customHeight="1">
      <c r="A18391" s="172"/>
    </row>
    <row r="18392" spans="1:1" s="173" customFormat="1" ht="12" hidden="1" customHeight="1">
      <c r="A18392" s="172"/>
    </row>
    <row r="18393" spans="1:1" s="173" customFormat="1" ht="12" hidden="1" customHeight="1">
      <c r="A18393" s="172"/>
    </row>
    <row r="18394" spans="1:1" s="173" customFormat="1" ht="12" hidden="1" customHeight="1">
      <c r="A18394" s="172"/>
    </row>
    <row r="18395" spans="1:1" s="173" customFormat="1" ht="12" hidden="1" customHeight="1">
      <c r="A18395" s="172"/>
    </row>
    <row r="18396" spans="1:1" s="173" customFormat="1" ht="12" hidden="1" customHeight="1">
      <c r="A18396" s="172"/>
    </row>
    <row r="18397" spans="1:1" s="173" customFormat="1" ht="12" hidden="1" customHeight="1">
      <c r="A18397" s="172"/>
    </row>
    <row r="18398" spans="1:1" s="173" customFormat="1" ht="12" hidden="1" customHeight="1">
      <c r="A18398" s="172"/>
    </row>
    <row r="18399" spans="1:1" s="173" customFormat="1" ht="12" hidden="1" customHeight="1">
      <c r="A18399" s="172"/>
    </row>
    <row r="18400" spans="1:1" s="173" customFormat="1" ht="12" hidden="1" customHeight="1">
      <c r="A18400" s="172"/>
    </row>
    <row r="18401" spans="1:1" s="173" customFormat="1" ht="12" hidden="1" customHeight="1">
      <c r="A18401" s="172"/>
    </row>
    <row r="18402" spans="1:1" s="173" customFormat="1" ht="12" hidden="1" customHeight="1">
      <c r="A18402" s="172"/>
    </row>
    <row r="18403" spans="1:1" s="173" customFormat="1" ht="12" hidden="1" customHeight="1">
      <c r="A18403" s="172"/>
    </row>
    <row r="18404" spans="1:1" s="173" customFormat="1" ht="12" hidden="1" customHeight="1">
      <c r="A18404" s="172"/>
    </row>
    <row r="18405" spans="1:1" s="173" customFormat="1" ht="12" hidden="1" customHeight="1">
      <c r="A18405" s="172"/>
    </row>
    <row r="18406" spans="1:1" s="173" customFormat="1" ht="12" hidden="1" customHeight="1">
      <c r="A18406" s="172"/>
    </row>
    <row r="18407" spans="1:1" s="173" customFormat="1" ht="12" hidden="1" customHeight="1">
      <c r="A18407" s="172"/>
    </row>
    <row r="18408" spans="1:1" s="173" customFormat="1" ht="12" hidden="1" customHeight="1">
      <c r="A18408" s="172"/>
    </row>
    <row r="18409" spans="1:1" s="173" customFormat="1" ht="12" hidden="1" customHeight="1">
      <c r="A18409" s="172"/>
    </row>
    <row r="18410" spans="1:1" s="173" customFormat="1" ht="12" hidden="1" customHeight="1">
      <c r="A18410" s="172"/>
    </row>
    <row r="18411" spans="1:1" s="173" customFormat="1" ht="12" hidden="1" customHeight="1">
      <c r="A18411" s="172"/>
    </row>
    <row r="18412" spans="1:1" s="173" customFormat="1" ht="12" hidden="1" customHeight="1">
      <c r="A18412" s="172"/>
    </row>
    <row r="18413" spans="1:1" s="173" customFormat="1" ht="12" hidden="1" customHeight="1">
      <c r="A18413" s="172"/>
    </row>
    <row r="18414" spans="1:1" s="173" customFormat="1" ht="12" hidden="1" customHeight="1">
      <c r="A18414" s="172"/>
    </row>
    <row r="18415" spans="1:1" s="173" customFormat="1" ht="12" hidden="1" customHeight="1">
      <c r="A18415" s="172"/>
    </row>
    <row r="18416" spans="1:1" s="173" customFormat="1" ht="12" hidden="1" customHeight="1">
      <c r="A18416" s="172"/>
    </row>
    <row r="18417" spans="1:1" s="173" customFormat="1" ht="12" hidden="1" customHeight="1">
      <c r="A18417" s="172"/>
    </row>
    <row r="18418" spans="1:1" s="173" customFormat="1" ht="12" hidden="1" customHeight="1">
      <c r="A18418" s="172"/>
    </row>
    <row r="18419" spans="1:1" s="173" customFormat="1" ht="12" hidden="1" customHeight="1">
      <c r="A18419" s="172"/>
    </row>
    <row r="18420" spans="1:1" s="173" customFormat="1" ht="12" hidden="1" customHeight="1">
      <c r="A18420" s="172"/>
    </row>
    <row r="18421" spans="1:1" s="173" customFormat="1" ht="12" hidden="1" customHeight="1">
      <c r="A18421" s="172"/>
    </row>
    <row r="18422" spans="1:1" s="173" customFormat="1" ht="12" hidden="1" customHeight="1">
      <c r="A18422" s="172"/>
    </row>
    <row r="18423" spans="1:1" s="173" customFormat="1" ht="12" hidden="1" customHeight="1">
      <c r="A18423" s="172"/>
    </row>
    <row r="18424" spans="1:1" s="173" customFormat="1" ht="12" hidden="1" customHeight="1">
      <c r="A18424" s="172"/>
    </row>
    <row r="18425" spans="1:1" s="173" customFormat="1" ht="12" hidden="1" customHeight="1">
      <c r="A18425" s="172"/>
    </row>
    <row r="18426" spans="1:1" s="173" customFormat="1" ht="12" hidden="1" customHeight="1">
      <c r="A18426" s="172"/>
    </row>
    <row r="18427" spans="1:1" s="173" customFormat="1" ht="12" hidden="1" customHeight="1">
      <c r="A18427" s="172"/>
    </row>
    <row r="18428" spans="1:1" s="173" customFormat="1" ht="12" hidden="1" customHeight="1">
      <c r="A18428" s="172"/>
    </row>
    <row r="18429" spans="1:1" s="173" customFormat="1" ht="12" hidden="1" customHeight="1">
      <c r="A18429" s="172"/>
    </row>
    <row r="18430" spans="1:1" s="173" customFormat="1" ht="12" hidden="1" customHeight="1">
      <c r="A18430" s="172"/>
    </row>
    <row r="18431" spans="1:1" s="173" customFormat="1" ht="12" hidden="1" customHeight="1">
      <c r="A18431" s="172"/>
    </row>
    <row r="18432" spans="1:1" s="173" customFormat="1" ht="12" hidden="1" customHeight="1">
      <c r="A18432" s="172"/>
    </row>
    <row r="18433" spans="1:1" s="173" customFormat="1" ht="12" hidden="1" customHeight="1">
      <c r="A18433" s="172"/>
    </row>
    <row r="18434" spans="1:1" s="173" customFormat="1" ht="12" hidden="1" customHeight="1">
      <c r="A18434" s="172"/>
    </row>
    <row r="18435" spans="1:1" s="173" customFormat="1" ht="12" hidden="1" customHeight="1">
      <c r="A18435" s="172"/>
    </row>
    <row r="18436" spans="1:1" s="173" customFormat="1" ht="12" hidden="1" customHeight="1">
      <c r="A18436" s="172"/>
    </row>
    <row r="18437" spans="1:1" s="173" customFormat="1" ht="12" hidden="1" customHeight="1">
      <c r="A18437" s="172"/>
    </row>
    <row r="18438" spans="1:1" s="173" customFormat="1" ht="12" hidden="1" customHeight="1">
      <c r="A18438" s="172"/>
    </row>
    <row r="18439" spans="1:1" s="173" customFormat="1" ht="12" hidden="1" customHeight="1">
      <c r="A18439" s="172"/>
    </row>
    <row r="18440" spans="1:1" s="173" customFormat="1" ht="12" hidden="1" customHeight="1">
      <c r="A18440" s="172"/>
    </row>
    <row r="18441" spans="1:1" s="173" customFormat="1" ht="12" hidden="1" customHeight="1">
      <c r="A18441" s="172"/>
    </row>
    <row r="18442" spans="1:1" s="173" customFormat="1" ht="12" hidden="1" customHeight="1">
      <c r="A18442" s="172"/>
    </row>
    <row r="18443" spans="1:1" s="173" customFormat="1" ht="12" hidden="1" customHeight="1">
      <c r="A18443" s="172"/>
    </row>
    <row r="18444" spans="1:1" s="173" customFormat="1" ht="12" hidden="1" customHeight="1">
      <c r="A18444" s="172"/>
    </row>
    <row r="18445" spans="1:1" s="173" customFormat="1" ht="12" hidden="1" customHeight="1">
      <c r="A18445" s="172"/>
    </row>
    <row r="18446" spans="1:1" s="173" customFormat="1" ht="12" hidden="1" customHeight="1">
      <c r="A18446" s="172"/>
    </row>
    <row r="18447" spans="1:1" s="173" customFormat="1" ht="12" hidden="1" customHeight="1">
      <c r="A18447" s="172"/>
    </row>
    <row r="18448" spans="1:1" s="173" customFormat="1" ht="12" hidden="1" customHeight="1">
      <c r="A18448" s="172"/>
    </row>
    <row r="18449" spans="1:1" s="173" customFormat="1" ht="12" hidden="1" customHeight="1">
      <c r="A18449" s="172"/>
    </row>
    <row r="18450" spans="1:1" s="173" customFormat="1" ht="12" hidden="1" customHeight="1">
      <c r="A18450" s="172"/>
    </row>
    <row r="18451" spans="1:1" s="173" customFormat="1" ht="12" hidden="1" customHeight="1">
      <c r="A18451" s="172"/>
    </row>
    <row r="18452" spans="1:1" s="173" customFormat="1" ht="12" hidden="1" customHeight="1">
      <c r="A18452" s="172"/>
    </row>
    <row r="18453" spans="1:1" s="173" customFormat="1" ht="12" hidden="1" customHeight="1">
      <c r="A18453" s="172"/>
    </row>
    <row r="18454" spans="1:1" s="173" customFormat="1" ht="12" hidden="1" customHeight="1">
      <c r="A18454" s="172"/>
    </row>
    <row r="18455" spans="1:1" s="173" customFormat="1" ht="12" hidden="1" customHeight="1">
      <c r="A18455" s="172"/>
    </row>
    <row r="18456" spans="1:1" s="173" customFormat="1" ht="12" hidden="1" customHeight="1">
      <c r="A18456" s="172"/>
    </row>
    <row r="18457" spans="1:1" s="173" customFormat="1" ht="12" hidden="1" customHeight="1">
      <c r="A18457" s="172"/>
    </row>
    <row r="18458" spans="1:1" s="173" customFormat="1" ht="12" hidden="1" customHeight="1">
      <c r="A18458" s="172"/>
    </row>
    <row r="18459" spans="1:1" s="173" customFormat="1" ht="12" hidden="1" customHeight="1">
      <c r="A18459" s="172"/>
    </row>
    <row r="18460" spans="1:1" s="173" customFormat="1" ht="12" hidden="1" customHeight="1">
      <c r="A18460" s="172"/>
    </row>
    <row r="18461" spans="1:1" s="173" customFormat="1" ht="12" hidden="1" customHeight="1">
      <c r="A18461" s="172"/>
    </row>
    <row r="18462" spans="1:1" s="173" customFormat="1" ht="12" hidden="1" customHeight="1">
      <c r="A18462" s="172"/>
    </row>
    <row r="18463" spans="1:1" s="173" customFormat="1" ht="12" hidden="1" customHeight="1">
      <c r="A18463" s="172"/>
    </row>
    <row r="18464" spans="1:1" s="173" customFormat="1" ht="12" hidden="1" customHeight="1">
      <c r="A18464" s="172"/>
    </row>
    <row r="18465" spans="1:1" s="173" customFormat="1" ht="12" hidden="1" customHeight="1">
      <c r="A18465" s="172"/>
    </row>
    <row r="18466" spans="1:1" s="173" customFormat="1" ht="12" hidden="1" customHeight="1">
      <c r="A18466" s="172"/>
    </row>
    <row r="18467" spans="1:1" s="173" customFormat="1" ht="12" hidden="1" customHeight="1">
      <c r="A18467" s="172"/>
    </row>
    <row r="18468" spans="1:1" s="173" customFormat="1" ht="12" hidden="1" customHeight="1">
      <c r="A18468" s="172"/>
    </row>
    <row r="18469" spans="1:1" s="173" customFormat="1" ht="12" hidden="1" customHeight="1">
      <c r="A18469" s="172"/>
    </row>
    <row r="18470" spans="1:1" s="173" customFormat="1" ht="12" hidden="1" customHeight="1">
      <c r="A18470" s="172"/>
    </row>
    <row r="18471" spans="1:1" s="173" customFormat="1" ht="12" hidden="1" customHeight="1">
      <c r="A18471" s="172"/>
    </row>
    <row r="18472" spans="1:1" s="173" customFormat="1" ht="12" hidden="1" customHeight="1">
      <c r="A18472" s="172"/>
    </row>
    <row r="18473" spans="1:1" s="173" customFormat="1" ht="12" hidden="1" customHeight="1">
      <c r="A18473" s="172"/>
    </row>
    <row r="18474" spans="1:1" s="173" customFormat="1" ht="12" hidden="1" customHeight="1">
      <c r="A18474" s="172"/>
    </row>
    <row r="18475" spans="1:1" s="173" customFormat="1" ht="12" hidden="1" customHeight="1">
      <c r="A18475" s="172"/>
    </row>
    <row r="18476" spans="1:1" s="173" customFormat="1" ht="12" hidden="1" customHeight="1">
      <c r="A18476" s="172"/>
    </row>
    <row r="18477" spans="1:1" s="173" customFormat="1" ht="12" hidden="1" customHeight="1">
      <c r="A18477" s="172"/>
    </row>
    <row r="18478" spans="1:1" s="173" customFormat="1" ht="12" hidden="1" customHeight="1">
      <c r="A18478" s="172"/>
    </row>
    <row r="18479" spans="1:1" s="173" customFormat="1" ht="12" hidden="1" customHeight="1">
      <c r="A18479" s="172"/>
    </row>
    <row r="18480" spans="1:1" s="173" customFormat="1" ht="12" hidden="1" customHeight="1">
      <c r="A18480" s="172"/>
    </row>
    <row r="18481" spans="1:1" s="173" customFormat="1" ht="12" hidden="1" customHeight="1">
      <c r="A18481" s="172"/>
    </row>
    <row r="18482" spans="1:1" s="173" customFormat="1" ht="12" hidden="1" customHeight="1">
      <c r="A18482" s="172"/>
    </row>
    <row r="18483" spans="1:1" s="173" customFormat="1" ht="12" hidden="1" customHeight="1">
      <c r="A18483" s="172"/>
    </row>
    <row r="18484" spans="1:1" s="173" customFormat="1" ht="12" hidden="1" customHeight="1">
      <c r="A18484" s="172"/>
    </row>
    <row r="18485" spans="1:1" s="173" customFormat="1" ht="12" hidden="1" customHeight="1">
      <c r="A18485" s="172"/>
    </row>
    <row r="18486" spans="1:1" s="173" customFormat="1" ht="12" hidden="1" customHeight="1">
      <c r="A18486" s="172"/>
    </row>
    <row r="18487" spans="1:1" s="173" customFormat="1" ht="12" hidden="1" customHeight="1">
      <c r="A18487" s="172"/>
    </row>
    <row r="18488" spans="1:1" s="173" customFormat="1" ht="12" hidden="1" customHeight="1">
      <c r="A18488" s="172"/>
    </row>
    <row r="18489" spans="1:1" s="173" customFormat="1" ht="12" hidden="1" customHeight="1">
      <c r="A18489" s="172"/>
    </row>
    <row r="18490" spans="1:1" s="173" customFormat="1" ht="12" hidden="1" customHeight="1">
      <c r="A18490" s="172"/>
    </row>
    <row r="18491" spans="1:1" s="173" customFormat="1" ht="12" hidden="1" customHeight="1">
      <c r="A18491" s="172"/>
    </row>
    <row r="18492" spans="1:1" s="173" customFormat="1" ht="12" hidden="1" customHeight="1">
      <c r="A18492" s="172"/>
    </row>
    <row r="18493" spans="1:1" s="173" customFormat="1" ht="12" hidden="1" customHeight="1">
      <c r="A18493" s="172"/>
    </row>
    <row r="18494" spans="1:1" s="173" customFormat="1" ht="12" hidden="1" customHeight="1">
      <c r="A18494" s="172"/>
    </row>
    <row r="18495" spans="1:1" s="173" customFormat="1" ht="12" hidden="1" customHeight="1">
      <c r="A18495" s="172"/>
    </row>
    <row r="18496" spans="1:1" s="173" customFormat="1" ht="12" hidden="1" customHeight="1">
      <c r="A18496" s="172"/>
    </row>
    <row r="18497" spans="1:1" s="173" customFormat="1" ht="12" hidden="1" customHeight="1">
      <c r="A18497" s="172"/>
    </row>
    <row r="18498" spans="1:1" s="173" customFormat="1" ht="12" hidden="1" customHeight="1">
      <c r="A18498" s="172"/>
    </row>
    <row r="18499" spans="1:1" s="173" customFormat="1" ht="12" hidden="1" customHeight="1">
      <c r="A18499" s="172"/>
    </row>
    <row r="18500" spans="1:1" s="173" customFormat="1" ht="12" hidden="1" customHeight="1">
      <c r="A18500" s="172"/>
    </row>
    <row r="18501" spans="1:1" s="173" customFormat="1" ht="12" hidden="1" customHeight="1">
      <c r="A18501" s="172"/>
    </row>
    <row r="18502" spans="1:1" s="173" customFormat="1" ht="12" hidden="1" customHeight="1">
      <c r="A18502" s="172"/>
    </row>
    <row r="18503" spans="1:1" s="173" customFormat="1" ht="12" hidden="1" customHeight="1">
      <c r="A18503" s="172"/>
    </row>
    <row r="18504" spans="1:1" s="173" customFormat="1" ht="12" hidden="1" customHeight="1">
      <c r="A18504" s="172"/>
    </row>
    <row r="18505" spans="1:1" s="173" customFormat="1" ht="12" hidden="1" customHeight="1">
      <c r="A18505" s="172"/>
    </row>
    <row r="18506" spans="1:1" s="173" customFormat="1" ht="12" hidden="1" customHeight="1">
      <c r="A18506" s="172"/>
    </row>
    <row r="18507" spans="1:1" s="173" customFormat="1" ht="12" hidden="1" customHeight="1">
      <c r="A18507" s="172"/>
    </row>
    <row r="18508" spans="1:1" s="173" customFormat="1" ht="12" hidden="1" customHeight="1">
      <c r="A18508" s="172"/>
    </row>
    <row r="18509" spans="1:1" s="173" customFormat="1" ht="12" hidden="1" customHeight="1">
      <c r="A18509" s="172"/>
    </row>
    <row r="18510" spans="1:1" s="173" customFormat="1" ht="12" hidden="1" customHeight="1">
      <c r="A18510" s="172"/>
    </row>
    <row r="18511" spans="1:1" s="173" customFormat="1" ht="12" hidden="1" customHeight="1">
      <c r="A18511" s="172"/>
    </row>
    <row r="18512" spans="1:1" s="173" customFormat="1" ht="12" hidden="1" customHeight="1">
      <c r="A18512" s="172"/>
    </row>
    <row r="18513" spans="1:1" s="173" customFormat="1" ht="12" hidden="1" customHeight="1">
      <c r="A18513" s="172"/>
    </row>
    <row r="18514" spans="1:1" s="173" customFormat="1" ht="12" hidden="1" customHeight="1">
      <c r="A18514" s="172"/>
    </row>
    <row r="18515" spans="1:1" s="173" customFormat="1" ht="12" hidden="1" customHeight="1">
      <c r="A18515" s="172"/>
    </row>
    <row r="18516" spans="1:1" s="173" customFormat="1" ht="12" hidden="1" customHeight="1">
      <c r="A18516" s="172"/>
    </row>
    <row r="18517" spans="1:1" s="173" customFormat="1" ht="12" hidden="1" customHeight="1">
      <c r="A18517" s="172"/>
    </row>
    <row r="18518" spans="1:1" s="173" customFormat="1" ht="12" hidden="1" customHeight="1">
      <c r="A18518" s="172"/>
    </row>
    <row r="18519" spans="1:1" s="173" customFormat="1" ht="12" hidden="1" customHeight="1">
      <c r="A18519" s="172"/>
    </row>
    <row r="18520" spans="1:1" s="173" customFormat="1" ht="12" hidden="1" customHeight="1">
      <c r="A18520" s="172"/>
    </row>
    <row r="18521" spans="1:1" s="173" customFormat="1" ht="12" hidden="1" customHeight="1">
      <c r="A18521" s="172"/>
    </row>
    <row r="18522" spans="1:1" s="173" customFormat="1" ht="12" hidden="1" customHeight="1">
      <c r="A18522" s="172"/>
    </row>
    <row r="18523" spans="1:1" s="173" customFormat="1" ht="12" hidden="1" customHeight="1">
      <c r="A18523" s="172"/>
    </row>
    <row r="18524" spans="1:1" s="173" customFormat="1" ht="12" hidden="1" customHeight="1">
      <c r="A18524" s="172"/>
    </row>
    <row r="18525" spans="1:1" s="173" customFormat="1" ht="12" hidden="1" customHeight="1">
      <c r="A18525" s="172"/>
    </row>
    <row r="18526" spans="1:1" s="173" customFormat="1" ht="12" hidden="1" customHeight="1">
      <c r="A18526" s="172"/>
    </row>
    <row r="18527" spans="1:1" s="173" customFormat="1" ht="12" hidden="1" customHeight="1">
      <c r="A18527" s="172"/>
    </row>
    <row r="18528" spans="1:1" s="173" customFormat="1" ht="12" hidden="1" customHeight="1">
      <c r="A18528" s="172"/>
    </row>
    <row r="18529" spans="1:1" s="173" customFormat="1" ht="12" hidden="1" customHeight="1">
      <c r="A18529" s="172"/>
    </row>
    <row r="18530" spans="1:1" s="173" customFormat="1" ht="12" hidden="1" customHeight="1">
      <c r="A18530" s="172"/>
    </row>
    <row r="18531" spans="1:1" s="173" customFormat="1" ht="12" hidden="1" customHeight="1">
      <c r="A18531" s="172"/>
    </row>
    <row r="18532" spans="1:1" s="173" customFormat="1" ht="12" hidden="1" customHeight="1">
      <c r="A18532" s="172"/>
    </row>
    <row r="18533" spans="1:1" s="173" customFormat="1" ht="12" hidden="1" customHeight="1">
      <c r="A18533" s="172"/>
    </row>
    <row r="18534" spans="1:1" s="173" customFormat="1" ht="12" hidden="1" customHeight="1">
      <c r="A18534" s="172"/>
    </row>
    <row r="18535" spans="1:1" s="173" customFormat="1" ht="12" hidden="1" customHeight="1">
      <c r="A18535" s="172"/>
    </row>
    <row r="18536" spans="1:1" s="173" customFormat="1" ht="12" hidden="1" customHeight="1">
      <c r="A18536" s="172"/>
    </row>
    <row r="18537" spans="1:1" s="173" customFormat="1" ht="12" hidden="1" customHeight="1">
      <c r="A18537" s="172"/>
    </row>
    <row r="18538" spans="1:1" s="173" customFormat="1" ht="12" hidden="1" customHeight="1">
      <c r="A18538" s="172"/>
    </row>
    <row r="18539" spans="1:1" s="173" customFormat="1" ht="12" hidden="1" customHeight="1">
      <c r="A18539" s="172"/>
    </row>
    <row r="18540" spans="1:1" s="173" customFormat="1" ht="12" hidden="1" customHeight="1">
      <c r="A18540" s="172"/>
    </row>
    <row r="18541" spans="1:1" s="173" customFormat="1" ht="12" hidden="1" customHeight="1">
      <c r="A18541" s="172"/>
    </row>
    <row r="18542" spans="1:1" s="173" customFormat="1" ht="12" hidden="1" customHeight="1">
      <c r="A18542" s="172"/>
    </row>
    <row r="18543" spans="1:1" s="173" customFormat="1" ht="12" hidden="1" customHeight="1">
      <c r="A18543" s="172"/>
    </row>
    <row r="18544" spans="1:1" s="173" customFormat="1" ht="12" hidden="1" customHeight="1">
      <c r="A18544" s="172"/>
    </row>
    <row r="18545" spans="1:1" s="173" customFormat="1" ht="12" hidden="1" customHeight="1">
      <c r="A18545" s="172"/>
    </row>
    <row r="18546" spans="1:1" s="173" customFormat="1" ht="12" hidden="1" customHeight="1">
      <c r="A18546" s="172"/>
    </row>
    <row r="18547" spans="1:1" s="173" customFormat="1" ht="12" hidden="1" customHeight="1">
      <c r="A18547" s="172"/>
    </row>
    <row r="18548" spans="1:1" s="173" customFormat="1" ht="12" hidden="1" customHeight="1">
      <c r="A18548" s="172"/>
    </row>
    <row r="18549" spans="1:1" s="173" customFormat="1" ht="12" hidden="1" customHeight="1">
      <c r="A18549" s="172"/>
    </row>
    <row r="18550" spans="1:1" s="173" customFormat="1" ht="12" hidden="1" customHeight="1">
      <c r="A18550" s="172"/>
    </row>
    <row r="18551" spans="1:1" s="173" customFormat="1" ht="12" hidden="1" customHeight="1">
      <c r="A18551" s="172"/>
    </row>
    <row r="18552" spans="1:1" s="173" customFormat="1" ht="12" hidden="1" customHeight="1">
      <c r="A18552" s="172"/>
    </row>
    <row r="18553" spans="1:1" s="173" customFormat="1" ht="12" hidden="1" customHeight="1">
      <c r="A18553" s="172"/>
    </row>
    <row r="18554" spans="1:1" s="173" customFormat="1" ht="12" hidden="1" customHeight="1">
      <c r="A18554" s="172"/>
    </row>
    <row r="18555" spans="1:1" s="173" customFormat="1" ht="12" hidden="1" customHeight="1">
      <c r="A18555" s="172"/>
    </row>
    <row r="18556" spans="1:1" s="173" customFormat="1" ht="12" hidden="1" customHeight="1">
      <c r="A18556" s="172"/>
    </row>
    <row r="18557" spans="1:1" s="173" customFormat="1" ht="12" hidden="1" customHeight="1">
      <c r="A18557" s="172"/>
    </row>
    <row r="18558" spans="1:1" s="173" customFormat="1" ht="12" hidden="1" customHeight="1">
      <c r="A18558" s="172"/>
    </row>
    <row r="18559" spans="1:1" s="173" customFormat="1" ht="12" hidden="1" customHeight="1">
      <c r="A18559" s="172"/>
    </row>
    <row r="18560" spans="1:1" s="173" customFormat="1" ht="12" hidden="1" customHeight="1">
      <c r="A18560" s="172"/>
    </row>
    <row r="18561" spans="1:1" s="173" customFormat="1" ht="12" hidden="1" customHeight="1">
      <c r="A18561" s="172"/>
    </row>
    <row r="18562" spans="1:1" s="173" customFormat="1" ht="12" hidden="1" customHeight="1">
      <c r="A18562" s="172"/>
    </row>
    <row r="18563" spans="1:1" s="173" customFormat="1" ht="12" hidden="1" customHeight="1">
      <c r="A18563" s="172"/>
    </row>
    <row r="18564" spans="1:1" s="173" customFormat="1" ht="12" hidden="1" customHeight="1">
      <c r="A18564" s="172"/>
    </row>
    <row r="18565" spans="1:1" s="173" customFormat="1" ht="12" hidden="1" customHeight="1">
      <c r="A18565" s="172"/>
    </row>
    <row r="18566" spans="1:1" s="173" customFormat="1" ht="12" hidden="1" customHeight="1">
      <c r="A18566" s="172"/>
    </row>
    <row r="18567" spans="1:1" s="173" customFormat="1" ht="12" hidden="1" customHeight="1">
      <c r="A18567" s="172"/>
    </row>
    <row r="18568" spans="1:1" s="173" customFormat="1" ht="12" hidden="1" customHeight="1">
      <c r="A18568" s="172"/>
    </row>
    <row r="18569" spans="1:1" s="173" customFormat="1" ht="12" hidden="1" customHeight="1">
      <c r="A18569" s="172"/>
    </row>
    <row r="18570" spans="1:1" s="173" customFormat="1" ht="12" hidden="1" customHeight="1">
      <c r="A18570" s="172"/>
    </row>
    <row r="18571" spans="1:1" s="173" customFormat="1" ht="12" hidden="1" customHeight="1">
      <c r="A18571" s="172"/>
    </row>
    <row r="18572" spans="1:1" s="173" customFormat="1" ht="12" hidden="1" customHeight="1">
      <c r="A18572" s="172"/>
    </row>
    <row r="18573" spans="1:1" s="173" customFormat="1" ht="12" hidden="1" customHeight="1">
      <c r="A18573" s="172"/>
    </row>
    <row r="18574" spans="1:1" s="173" customFormat="1" ht="12" hidden="1" customHeight="1">
      <c r="A18574" s="172"/>
    </row>
    <row r="18575" spans="1:1" s="173" customFormat="1" ht="12" hidden="1" customHeight="1">
      <c r="A18575" s="172"/>
    </row>
    <row r="18576" spans="1:1" s="173" customFormat="1" ht="12" hidden="1" customHeight="1">
      <c r="A18576" s="172"/>
    </row>
    <row r="18577" spans="1:1" s="173" customFormat="1" ht="12" hidden="1" customHeight="1">
      <c r="A18577" s="172"/>
    </row>
    <row r="18578" spans="1:1" s="173" customFormat="1" ht="12" hidden="1" customHeight="1">
      <c r="A18578" s="172"/>
    </row>
    <row r="18579" spans="1:1" s="173" customFormat="1" ht="12" hidden="1" customHeight="1">
      <c r="A18579" s="172"/>
    </row>
    <row r="18580" spans="1:1" s="173" customFormat="1" ht="12" hidden="1" customHeight="1">
      <c r="A18580" s="172"/>
    </row>
    <row r="18581" spans="1:1" s="173" customFormat="1" ht="12" hidden="1" customHeight="1">
      <c r="A18581" s="172"/>
    </row>
    <row r="18582" spans="1:1" s="173" customFormat="1" ht="12" hidden="1" customHeight="1">
      <c r="A18582" s="172"/>
    </row>
    <row r="18583" spans="1:1" s="173" customFormat="1" ht="12" hidden="1" customHeight="1">
      <c r="A18583" s="172"/>
    </row>
    <row r="18584" spans="1:1" s="173" customFormat="1" ht="12" hidden="1" customHeight="1">
      <c r="A18584" s="172"/>
    </row>
    <row r="18585" spans="1:1" s="173" customFormat="1" ht="12" hidden="1" customHeight="1">
      <c r="A18585" s="172"/>
    </row>
    <row r="18586" spans="1:1" s="173" customFormat="1" ht="12" hidden="1" customHeight="1">
      <c r="A18586" s="172"/>
    </row>
    <row r="18587" spans="1:1" s="173" customFormat="1" ht="12" hidden="1" customHeight="1">
      <c r="A18587" s="172"/>
    </row>
    <row r="18588" spans="1:1" s="173" customFormat="1" ht="12" hidden="1" customHeight="1">
      <c r="A18588" s="172"/>
    </row>
    <row r="18589" spans="1:1" s="173" customFormat="1" ht="12" hidden="1" customHeight="1">
      <c r="A18589" s="172"/>
    </row>
    <row r="18590" spans="1:1" s="173" customFormat="1" ht="12" hidden="1" customHeight="1">
      <c r="A18590" s="172"/>
    </row>
    <row r="18591" spans="1:1" s="173" customFormat="1" ht="12" hidden="1" customHeight="1">
      <c r="A18591" s="172"/>
    </row>
    <row r="18592" spans="1:1" s="173" customFormat="1" ht="12" hidden="1" customHeight="1">
      <c r="A18592" s="172"/>
    </row>
    <row r="18593" spans="1:1" s="173" customFormat="1" ht="12" hidden="1" customHeight="1">
      <c r="A18593" s="172"/>
    </row>
    <row r="18594" spans="1:1" s="173" customFormat="1" ht="12" hidden="1" customHeight="1">
      <c r="A18594" s="172"/>
    </row>
    <row r="18595" spans="1:1" s="173" customFormat="1" ht="12" hidden="1" customHeight="1">
      <c r="A18595" s="172"/>
    </row>
    <row r="18596" spans="1:1" s="173" customFormat="1" ht="12" hidden="1" customHeight="1">
      <c r="A18596" s="172"/>
    </row>
    <row r="18597" spans="1:1" s="173" customFormat="1" ht="12" hidden="1" customHeight="1">
      <c r="A18597" s="172"/>
    </row>
    <row r="18598" spans="1:1" s="173" customFormat="1" ht="12" hidden="1" customHeight="1">
      <c r="A18598" s="172"/>
    </row>
    <row r="18599" spans="1:1" s="173" customFormat="1" ht="12" hidden="1" customHeight="1">
      <c r="A18599" s="172"/>
    </row>
    <row r="18600" spans="1:1" s="173" customFormat="1" ht="12" hidden="1" customHeight="1">
      <c r="A18600" s="172"/>
    </row>
    <row r="18601" spans="1:1" s="173" customFormat="1" ht="12" hidden="1" customHeight="1">
      <c r="A18601" s="172"/>
    </row>
    <row r="18602" spans="1:1" s="173" customFormat="1" ht="12" hidden="1" customHeight="1">
      <c r="A18602" s="172"/>
    </row>
    <row r="18603" spans="1:1" s="173" customFormat="1" ht="12" hidden="1" customHeight="1">
      <c r="A18603" s="172"/>
    </row>
    <row r="18604" spans="1:1" s="173" customFormat="1" ht="12" hidden="1" customHeight="1">
      <c r="A18604" s="172"/>
    </row>
    <row r="18605" spans="1:1" s="173" customFormat="1" ht="12" hidden="1" customHeight="1">
      <c r="A18605" s="172"/>
    </row>
    <row r="18606" spans="1:1" s="173" customFormat="1" ht="12" hidden="1" customHeight="1">
      <c r="A18606" s="172"/>
    </row>
    <row r="18607" spans="1:1" s="173" customFormat="1" ht="12" hidden="1" customHeight="1">
      <c r="A18607" s="172"/>
    </row>
    <row r="18608" spans="1:1" s="173" customFormat="1" ht="12" hidden="1" customHeight="1">
      <c r="A18608" s="172"/>
    </row>
    <row r="18609" spans="1:1" s="173" customFormat="1" ht="12" hidden="1" customHeight="1">
      <c r="A18609" s="172"/>
    </row>
    <row r="18610" spans="1:1" s="173" customFormat="1" ht="12" hidden="1" customHeight="1">
      <c r="A18610" s="172"/>
    </row>
    <row r="18611" spans="1:1" s="173" customFormat="1" ht="12" hidden="1" customHeight="1">
      <c r="A18611" s="172"/>
    </row>
    <row r="18612" spans="1:1" s="173" customFormat="1" ht="12" hidden="1" customHeight="1">
      <c r="A18612" s="172"/>
    </row>
    <row r="18613" spans="1:1" s="173" customFormat="1" ht="12" hidden="1" customHeight="1">
      <c r="A18613" s="172"/>
    </row>
    <row r="18614" spans="1:1" s="173" customFormat="1" ht="12" hidden="1" customHeight="1">
      <c r="A18614" s="172"/>
    </row>
    <row r="18615" spans="1:1" s="173" customFormat="1" ht="12" hidden="1" customHeight="1">
      <c r="A18615" s="172"/>
    </row>
    <row r="18616" spans="1:1" s="173" customFormat="1" ht="12" hidden="1" customHeight="1">
      <c r="A18616" s="172"/>
    </row>
    <row r="18617" spans="1:1" s="173" customFormat="1" ht="12" hidden="1" customHeight="1">
      <c r="A18617" s="172"/>
    </row>
    <row r="18618" spans="1:1" s="173" customFormat="1" ht="12" hidden="1" customHeight="1">
      <c r="A18618" s="172"/>
    </row>
    <row r="18619" spans="1:1" s="173" customFormat="1" ht="12" hidden="1" customHeight="1">
      <c r="A18619" s="172"/>
    </row>
    <row r="18620" spans="1:1" s="173" customFormat="1" ht="12" hidden="1" customHeight="1">
      <c r="A18620" s="172"/>
    </row>
    <row r="18621" spans="1:1" s="173" customFormat="1" ht="12" hidden="1" customHeight="1">
      <c r="A18621" s="172"/>
    </row>
    <row r="18622" spans="1:1" s="173" customFormat="1" ht="12" hidden="1" customHeight="1">
      <c r="A18622" s="172"/>
    </row>
    <row r="18623" spans="1:1" s="173" customFormat="1" ht="12" hidden="1" customHeight="1">
      <c r="A18623" s="172"/>
    </row>
    <row r="18624" spans="1:1" s="173" customFormat="1" ht="12" hidden="1" customHeight="1">
      <c r="A18624" s="172"/>
    </row>
    <row r="18625" spans="1:1" s="173" customFormat="1" ht="12" hidden="1" customHeight="1">
      <c r="A18625" s="172"/>
    </row>
    <row r="18626" spans="1:1" s="173" customFormat="1" ht="12" hidden="1" customHeight="1">
      <c r="A18626" s="172"/>
    </row>
    <row r="18627" spans="1:1" s="173" customFormat="1" ht="12" hidden="1" customHeight="1">
      <c r="A18627" s="172"/>
    </row>
    <row r="18628" spans="1:1" s="173" customFormat="1" ht="12" hidden="1" customHeight="1">
      <c r="A18628" s="172"/>
    </row>
    <row r="18629" spans="1:1" s="173" customFormat="1" ht="12" hidden="1" customHeight="1">
      <c r="A18629" s="172"/>
    </row>
    <row r="18630" spans="1:1" s="173" customFormat="1" ht="12" hidden="1" customHeight="1">
      <c r="A18630" s="172"/>
    </row>
    <row r="18631" spans="1:1" s="173" customFormat="1" ht="12" hidden="1" customHeight="1">
      <c r="A18631" s="172"/>
    </row>
    <row r="18632" spans="1:1" s="173" customFormat="1" ht="12" hidden="1" customHeight="1">
      <c r="A18632" s="172"/>
    </row>
    <row r="18633" spans="1:1" s="173" customFormat="1" ht="12" hidden="1" customHeight="1">
      <c r="A18633" s="172"/>
    </row>
    <row r="18634" spans="1:1" s="173" customFormat="1" ht="12" hidden="1" customHeight="1">
      <c r="A18634" s="172"/>
    </row>
    <row r="18635" spans="1:1" s="173" customFormat="1" ht="12" hidden="1" customHeight="1">
      <c r="A18635" s="172"/>
    </row>
    <row r="18636" spans="1:1" s="173" customFormat="1" ht="12" hidden="1" customHeight="1">
      <c r="A18636" s="172"/>
    </row>
    <row r="18637" spans="1:1" s="173" customFormat="1" ht="12" hidden="1" customHeight="1">
      <c r="A18637" s="172"/>
    </row>
    <row r="18638" spans="1:1" s="173" customFormat="1" ht="12" hidden="1" customHeight="1">
      <c r="A18638" s="172"/>
    </row>
    <row r="18639" spans="1:1" s="173" customFormat="1" ht="12" hidden="1" customHeight="1">
      <c r="A18639" s="172"/>
    </row>
    <row r="18640" spans="1:1" s="173" customFormat="1" ht="12" hidden="1" customHeight="1">
      <c r="A18640" s="172"/>
    </row>
    <row r="18641" spans="1:1" s="173" customFormat="1" ht="12" hidden="1" customHeight="1">
      <c r="A18641" s="172"/>
    </row>
    <row r="18642" spans="1:1" s="173" customFormat="1" ht="12" hidden="1" customHeight="1">
      <c r="A18642" s="172"/>
    </row>
    <row r="18643" spans="1:1" s="173" customFormat="1" ht="12" hidden="1" customHeight="1">
      <c r="A18643" s="172"/>
    </row>
    <row r="18644" spans="1:1" s="173" customFormat="1" ht="12" hidden="1" customHeight="1">
      <c r="A18644" s="172"/>
    </row>
    <row r="18645" spans="1:1" s="173" customFormat="1" ht="12" hidden="1" customHeight="1">
      <c r="A18645" s="172"/>
    </row>
    <row r="18646" spans="1:1" s="173" customFormat="1" ht="12" hidden="1" customHeight="1">
      <c r="A18646" s="172"/>
    </row>
    <row r="18647" spans="1:1" s="173" customFormat="1" ht="12" hidden="1" customHeight="1">
      <c r="A18647" s="172"/>
    </row>
    <row r="18648" spans="1:1" s="173" customFormat="1" ht="12" hidden="1" customHeight="1">
      <c r="A18648" s="172"/>
    </row>
    <row r="18649" spans="1:1" s="173" customFormat="1" ht="12" hidden="1" customHeight="1">
      <c r="A18649" s="172"/>
    </row>
    <row r="18650" spans="1:1" s="173" customFormat="1" ht="12" hidden="1" customHeight="1">
      <c r="A18650" s="172"/>
    </row>
    <row r="18651" spans="1:1" s="173" customFormat="1" ht="12" hidden="1" customHeight="1">
      <c r="A18651" s="172"/>
    </row>
    <row r="18652" spans="1:1" s="173" customFormat="1" ht="12" hidden="1" customHeight="1">
      <c r="A18652" s="172"/>
    </row>
    <row r="18653" spans="1:1" s="173" customFormat="1" ht="12" hidden="1" customHeight="1">
      <c r="A18653" s="172"/>
    </row>
    <row r="18654" spans="1:1" s="173" customFormat="1" ht="12" hidden="1" customHeight="1">
      <c r="A18654" s="172"/>
    </row>
    <row r="18655" spans="1:1" s="173" customFormat="1" ht="12" hidden="1" customHeight="1">
      <c r="A18655" s="172"/>
    </row>
    <row r="18656" spans="1:1" s="173" customFormat="1" ht="12" hidden="1" customHeight="1">
      <c r="A18656" s="172"/>
    </row>
    <row r="18657" spans="1:1" s="173" customFormat="1" ht="12" hidden="1" customHeight="1">
      <c r="A18657" s="172"/>
    </row>
    <row r="18658" spans="1:1" s="173" customFormat="1" ht="12" hidden="1" customHeight="1">
      <c r="A18658" s="172"/>
    </row>
    <row r="18659" spans="1:1" s="173" customFormat="1" ht="12" hidden="1" customHeight="1">
      <c r="A18659" s="172"/>
    </row>
    <row r="18660" spans="1:1" s="173" customFormat="1" ht="12" hidden="1" customHeight="1">
      <c r="A18660" s="172"/>
    </row>
    <row r="18661" spans="1:1" s="173" customFormat="1" ht="12" hidden="1" customHeight="1">
      <c r="A18661" s="172"/>
    </row>
    <row r="18662" spans="1:1" s="173" customFormat="1" ht="12" hidden="1" customHeight="1">
      <c r="A18662" s="172"/>
    </row>
    <row r="18663" spans="1:1" s="173" customFormat="1" ht="12" hidden="1" customHeight="1">
      <c r="A18663" s="172"/>
    </row>
    <row r="18664" spans="1:1" s="173" customFormat="1" ht="12" hidden="1" customHeight="1">
      <c r="A18664" s="172"/>
    </row>
    <row r="18665" spans="1:1" s="173" customFormat="1" ht="12" hidden="1" customHeight="1">
      <c r="A18665" s="172"/>
    </row>
    <row r="18666" spans="1:1" s="173" customFormat="1" ht="12" hidden="1" customHeight="1">
      <c r="A18666" s="172"/>
    </row>
    <row r="18667" spans="1:1" s="173" customFormat="1" ht="12" hidden="1" customHeight="1">
      <c r="A18667" s="172"/>
    </row>
    <row r="18668" spans="1:1" s="173" customFormat="1" ht="12" hidden="1" customHeight="1">
      <c r="A18668" s="172"/>
    </row>
    <row r="18669" spans="1:1" s="173" customFormat="1" ht="12" hidden="1" customHeight="1">
      <c r="A18669" s="172"/>
    </row>
    <row r="18670" spans="1:1" s="173" customFormat="1" ht="12" hidden="1" customHeight="1">
      <c r="A18670" s="172"/>
    </row>
    <row r="18671" spans="1:1" s="173" customFormat="1" ht="12" hidden="1" customHeight="1">
      <c r="A18671" s="172"/>
    </row>
    <row r="18672" spans="1:1" s="173" customFormat="1" ht="12" hidden="1" customHeight="1">
      <c r="A18672" s="172"/>
    </row>
    <row r="18673" spans="1:1" s="173" customFormat="1" ht="12" hidden="1" customHeight="1">
      <c r="A18673" s="172"/>
    </row>
    <row r="18674" spans="1:1" s="173" customFormat="1" ht="12" hidden="1" customHeight="1">
      <c r="A18674" s="172"/>
    </row>
    <row r="18675" spans="1:1" s="173" customFormat="1" ht="12" hidden="1" customHeight="1">
      <c r="A18675" s="172"/>
    </row>
    <row r="18676" spans="1:1" s="173" customFormat="1" ht="12" hidden="1" customHeight="1">
      <c r="A18676" s="172"/>
    </row>
    <row r="18677" spans="1:1" s="173" customFormat="1" ht="12" hidden="1" customHeight="1">
      <c r="A18677" s="172"/>
    </row>
    <row r="18678" spans="1:1" s="173" customFormat="1" ht="12" hidden="1" customHeight="1">
      <c r="A18678" s="172"/>
    </row>
    <row r="18679" spans="1:1" s="173" customFormat="1" ht="12" hidden="1" customHeight="1">
      <c r="A18679" s="172"/>
    </row>
    <row r="18680" spans="1:1" s="173" customFormat="1" ht="12" hidden="1" customHeight="1">
      <c r="A18680" s="172"/>
    </row>
    <row r="18681" spans="1:1" s="173" customFormat="1" ht="12" hidden="1" customHeight="1">
      <c r="A18681" s="172"/>
    </row>
    <row r="18682" spans="1:1" s="173" customFormat="1" ht="12" hidden="1" customHeight="1">
      <c r="A18682" s="172"/>
    </row>
    <row r="18683" spans="1:1" s="173" customFormat="1" ht="12" hidden="1" customHeight="1">
      <c r="A18683" s="172"/>
    </row>
    <row r="18684" spans="1:1" s="173" customFormat="1" ht="12" hidden="1" customHeight="1">
      <c r="A18684" s="172"/>
    </row>
    <row r="18685" spans="1:1" s="173" customFormat="1" ht="12" hidden="1" customHeight="1">
      <c r="A18685" s="172"/>
    </row>
    <row r="18686" spans="1:1" s="173" customFormat="1" ht="12" hidden="1" customHeight="1">
      <c r="A18686" s="172"/>
    </row>
    <row r="18687" spans="1:1" s="173" customFormat="1" ht="12" hidden="1" customHeight="1">
      <c r="A18687" s="172"/>
    </row>
    <row r="18688" spans="1:1" s="173" customFormat="1" ht="12" hidden="1" customHeight="1">
      <c r="A18688" s="172"/>
    </row>
    <row r="18689" spans="1:1" s="173" customFormat="1" ht="12" hidden="1" customHeight="1">
      <c r="A18689" s="172"/>
    </row>
    <row r="18690" spans="1:1" s="173" customFormat="1" ht="12" hidden="1" customHeight="1">
      <c r="A18690" s="172"/>
    </row>
    <row r="18691" spans="1:1" s="173" customFormat="1" ht="12" hidden="1" customHeight="1">
      <c r="A18691" s="172"/>
    </row>
    <row r="18692" spans="1:1" s="173" customFormat="1" ht="12" hidden="1" customHeight="1">
      <c r="A18692" s="172"/>
    </row>
    <row r="18693" spans="1:1" s="173" customFormat="1" ht="12" hidden="1" customHeight="1">
      <c r="A18693" s="172"/>
    </row>
    <row r="18694" spans="1:1" s="173" customFormat="1" ht="12" hidden="1" customHeight="1">
      <c r="A18694" s="172"/>
    </row>
    <row r="18695" spans="1:1" s="173" customFormat="1" ht="12" hidden="1" customHeight="1">
      <c r="A18695" s="172"/>
    </row>
    <row r="18696" spans="1:1" s="173" customFormat="1" ht="12" hidden="1" customHeight="1">
      <c r="A18696" s="172"/>
    </row>
    <row r="18697" spans="1:1" s="173" customFormat="1" ht="12" hidden="1" customHeight="1">
      <c r="A18697" s="172"/>
    </row>
    <row r="18698" spans="1:1" s="173" customFormat="1" ht="12" hidden="1" customHeight="1">
      <c r="A18698" s="172"/>
    </row>
    <row r="18699" spans="1:1" s="173" customFormat="1" ht="12" hidden="1" customHeight="1">
      <c r="A18699" s="172"/>
    </row>
    <row r="18700" spans="1:1" s="173" customFormat="1" ht="12" hidden="1" customHeight="1">
      <c r="A18700" s="172"/>
    </row>
    <row r="18701" spans="1:1" s="173" customFormat="1" ht="12" hidden="1" customHeight="1">
      <c r="A18701" s="172"/>
    </row>
    <row r="18702" spans="1:1" s="173" customFormat="1" ht="12" hidden="1" customHeight="1">
      <c r="A18702" s="172"/>
    </row>
    <row r="18703" spans="1:1" s="173" customFormat="1" ht="12" hidden="1" customHeight="1">
      <c r="A18703" s="172"/>
    </row>
    <row r="18704" spans="1:1" s="173" customFormat="1" ht="12" hidden="1" customHeight="1">
      <c r="A18704" s="172"/>
    </row>
    <row r="18705" spans="1:1" s="173" customFormat="1" ht="12" hidden="1" customHeight="1">
      <c r="A18705" s="172"/>
    </row>
    <row r="18706" spans="1:1" s="173" customFormat="1" ht="12" hidden="1" customHeight="1">
      <c r="A18706" s="172"/>
    </row>
    <row r="18707" spans="1:1" s="173" customFormat="1" ht="12" hidden="1" customHeight="1">
      <c r="A18707" s="172"/>
    </row>
    <row r="18708" spans="1:1" s="173" customFormat="1" ht="12" hidden="1" customHeight="1">
      <c r="A18708" s="172"/>
    </row>
    <row r="18709" spans="1:1" s="173" customFormat="1" ht="12" hidden="1" customHeight="1">
      <c r="A18709" s="172"/>
    </row>
    <row r="18710" spans="1:1" s="173" customFormat="1" ht="12" hidden="1" customHeight="1">
      <c r="A18710" s="172"/>
    </row>
    <row r="18711" spans="1:1" s="173" customFormat="1" ht="12" hidden="1" customHeight="1">
      <c r="A18711" s="172"/>
    </row>
    <row r="18712" spans="1:1" s="173" customFormat="1" ht="12" hidden="1" customHeight="1">
      <c r="A18712" s="172"/>
    </row>
    <row r="18713" spans="1:1" s="173" customFormat="1" ht="12" hidden="1" customHeight="1">
      <c r="A18713" s="172"/>
    </row>
    <row r="18714" spans="1:1" s="173" customFormat="1" ht="12" hidden="1" customHeight="1">
      <c r="A18714" s="172"/>
    </row>
    <row r="18715" spans="1:1" s="173" customFormat="1" ht="12" hidden="1" customHeight="1">
      <c r="A18715" s="172"/>
    </row>
    <row r="18716" spans="1:1" s="173" customFormat="1" ht="12" hidden="1" customHeight="1">
      <c r="A18716" s="172"/>
    </row>
    <row r="18717" spans="1:1" s="173" customFormat="1" ht="12" hidden="1" customHeight="1">
      <c r="A18717" s="172"/>
    </row>
    <row r="18718" spans="1:1" s="173" customFormat="1" ht="12" hidden="1" customHeight="1">
      <c r="A18718" s="172"/>
    </row>
    <row r="18719" spans="1:1" s="173" customFormat="1" ht="12" hidden="1" customHeight="1">
      <c r="A18719" s="172"/>
    </row>
    <row r="18720" spans="1:1" s="173" customFormat="1" ht="12" hidden="1" customHeight="1">
      <c r="A18720" s="172"/>
    </row>
    <row r="18721" spans="1:1" s="173" customFormat="1" ht="12" hidden="1" customHeight="1">
      <c r="A18721" s="172"/>
    </row>
    <row r="18722" spans="1:1" s="173" customFormat="1" ht="12" hidden="1" customHeight="1">
      <c r="A18722" s="172"/>
    </row>
    <row r="18723" spans="1:1" s="173" customFormat="1" ht="12" hidden="1" customHeight="1">
      <c r="A18723" s="172"/>
    </row>
    <row r="18724" spans="1:1" s="173" customFormat="1" ht="12" hidden="1" customHeight="1">
      <c r="A18724" s="172"/>
    </row>
    <row r="18725" spans="1:1" s="173" customFormat="1" ht="12" hidden="1" customHeight="1">
      <c r="A18725" s="172"/>
    </row>
    <row r="18726" spans="1:1" s="173" customFormat="1" ht="12" hidden="1" customHeight="1">
      <c r="A18726" s="172"/>
    </row>
    <row r="18727" spans="1:1" s="173" customFormat="1" ht="12" hidden="1" customHeight="1">
      <c r="A18727" s="172"/>
    </row>
    <row r="18728" spans="1:1" s="173" customFormat="1" ht="12" hidden="1" customHeight="1">
      <c r="A18728" s="172"/>
    </row>
    <row r="18729" spans="1:1" s="173" customFormat="1" ht="12" hidden="1" customHeight="1">
      <c r="A18729" s="172"/>
    </row>
    <row r="18730" spans="1:1" s="173" customFormat="1" ht="12" hidden="1" customHeight="1">
      <c r="A18730" s="172"/>
    </row>
    <row r="18731" spans="1:1" s="173" customFormat="1" ht="12" hidden="1" customHeight="1">
      <c r="A18731" s="172"/>
    </row>
    <row r="18732" spans="1:1" s="173" customFormat="1" ht="12" hidden="1" customHeight="1">
      <c r="A18732" s="172"/>
    </row>
    <row r="18733" spans="1:1" s="173" customFormat="1" ht="12" hidden="1" customHeight="1">
      <c r="A18733" s="172"/>
    </row>
    <row r="18734" spans="1:1" s="173" customFormat="1" ht="12" hidden="1" customHeight="1">
      <c r="A18734" s="172"/>
    </row>
    <row r="18735" spans="1:1" s="173" customFormat="1" ht="12" hidden="1" customHeight="1">
      <c r="A18735" s="172"/>
    </row>
    <row r="18736" spans="1:1" s="173" customFormat="1" ht="12" hidden="1" customHeight="1">
      <c r="A18736" s="172"/>
    </row>
    <row r="18737" spans="1:1" s="173" customFormat="1" ht="12" hidden="1" customHeight="1">
      <c r="A18737" s="172"/>
    </row>
    <row r="18738" spans="1:1" s="173" customFormat="1" ht="12" hidden="1" customHeight="1">
      <c r="A18738" s="172"/>
    </row>
    <row r="18739" spans="1:1" s="173" customFormat="1" ht="12" hidden="1" customHeight="1">
      <c r="A18739" s="172"/>
    </row>
    <row r="18740" spans="1:1" s="173" customFormat="1" ht="12" hidden="1" customHeight="1">
      <c r="A18740" s="172"/>
    </row>
    <row r="18741" spans="1:1" s="173" customFormat="1" ht="12" hidden="1" customHeight="1">
      <c r="A18741" s="172"/>
    </row>
    <row r="18742" spans="1:1" s="173" customFormat="1" ht="12" hidden="1" customHeight="1">
      <c r="A18742" s="172"/>
    </row>
    <row r="18743" spans="1:1" s="173" customFormat="1" ht="12" hidden="1" customHeight="1">
      <c r="A18743" s="172"/>
    </row>
    <row r="18744" spans="1:1" s="173" customFormat="1" ht="12" hidden="1" customHeight="1">
      <c r="A18744" s="172"/>
    </row>
    <row r="18745" spans="1:1" s="173" customFormat="1" ht="12" hidden="1" customHeight="1">
      <c r="A18745" s="172"/>
    </row>
    <row r="18746" spans="1:1" s="173" customFormat="1" ht="12" hidden="1" customHeight="1">
      <c r="A18746" s="172"/>
    </row>
    <row r="18747" spans="1:1" s="173" customFormat="1" ht="12" hidden="1" customHeight="1">
      <c r="A18747" s="172"/>
    </row>
    <row r="18748" spans="1:1" s="173" customFormat="1" ht="12" hidden="1" customHeight="1">
      <c r="A18748" s="172"/>
    </row>
    <row r="18749" spans="1:1" s="173" customFormat="1" ht="12" hidden="1" customHeight="1">
      <c r="A18749" s="172"/>
    </row>
    <row r="18750" spans="1:1" s="173" customFormat="1" ht="12" hidden="1" customHeight="1">
      <c r="A18750" s="172"/>
    </row>
    <row r="18751" spans="1:1" s="173" customFormat="1" ht="12" hidden="1" customHeight="1">
      <c r="A18751" s="172"/>
    </row>
    <row r="18752" spans="1:1" s="173" customFormat="1" ht="12" hidden="1" customHeight="1">
      <c r="A18752" s="172"/>
    </row>
    <row r="18753" spans="1:1" s="173" customFormat="1" ht="12" hidden="1" customHeight="1">
      <c r="A18753" s="172"/>
    </row>
    <row r="18754" spans="1:1" s="173" customFormat="1" ht="12" hidden="1" customHeight="1">
      <c r="A18754" s="172"/>
    </row>
    <row r="18755" spans="1:1" s="173" customFormat="1" ht="12" hidden="1" customHeight="1">
      <c r="A18755" s="172"/>
    </row>
    <row r="18756" spans="1:1" s="173" customFormat="1" ht="12" hidden="1" customHeight="1">
      <c r="A18756" s="172"/>
    </row>
    <row r="18757" spans="1:1" s="173" customFormat="1" ht="12" hidden="1" customHeight="1">
      <c r="A18757" s="172"/>
    </row>
    <row r="18758" spans="1:1" s="173" customFormat="1" ht="12" hidden="1" customHeight="1">
      <c r="A18758" s="172"/>
    </row>
    <row r="18759" spans="1:1" s="173" customFormat="1" ht="12" hidden="1" customHeight="1">
      <c r="A18759" s="172"/>
    </row>
    <row r="18760" spans="1:1" s="173" customFormat="1" ht="12" hidden="1" customHeight="1">
      <c r="A18760" s="172"/>
    </row>
    <row r="18761" spans="1:1" s="173" customFormat="1" ht="12" hidden="1" customHeight="1">
      <c r="A18761" s="172"/>
    </row>
    <row r="18762" spans="1:1" s="173" customFormat="1" ht="12" hidden="1" customHeight="1">
      <c r="A18762" s="172"/>
    </row>
    <row r="18763" spans="1:1" s="173" customFormat="1" ht="12" hidden="1" customHeight="1">
      <c r="A18763" s="172"/>
    </row>
    <row r="18764" spans="1:1" s="173" customFormat="1" ht="12" hidden="1" customHeight="1">
      <c r="A18764" s="172"/>
    </row>
    <row r="18765" spans="1:1" s="173" customFormat="1" ht="12" hidden="1" customHeight="1">
      <c r="A18765" s="172"/>
    </row>
    <row r="18766" spans="1:1" s="173" customFormat="1" ht="12" hidden="1" customHeight="1">
      <c r="A18766" s="172"/>
    </row>
    <row r="18767" spans="1:1" s="173" customFormat="1" ht="12" hidden="1" customHeight="1">
      <c r="A18767" s="172"/>
    </row>
    <row r="18768" spans="1:1" s="173" customFormat="1" ht="12" hidden="1" customHeight="1">
      <c r="A18768" s="172"/>
    </row>
    <row r="18769" spans="1:1" s="173" customFormat="1" ht="12" hidden="1" customHeight="1">
      <c r="A18769" s="172"/>
    </row>
    <row r="18770" spans="1:1" s="173" customFormat="1" ht="12" hidden="1" customHeight="1">
      <c r="A18770" s="172"/>
    </row>
    <row r="18771" spans="1:1" s="173" customFormat="1" ht="12" hidden="1" customHeight="1">
      <c r="A18771" s="172"/>
    </row>
    <row r="18772" spans="1:1" s="173" customFormat="1" ht="12" hidden="1" customHeight="1">
      <c r="A18772" s="172"/>
    </row>
    <row r="18773" spans="1:1" s="173" customFormat="1" ht="12" hidden="1" customHeight="1">
      <c r="A18773" s="172"/>
    </row>
    <row r="18774" spans="1:1" s="173" customFormat="1" ht="12" hidden="1" customHeight="1">
      <c r="A18774" s="172"/>
    </row>
    <row r="18775" spans="1:1" s="173" customFormat="1" ht="12" hidden="1" customHeight="1">
      <c r="A18775" s="172"/>
    </row>
    <row r="18776" spans="1:1" s="173" customFormat="1" ht="12" hidden="1" customHeight="1">
      <c r="A18776" s="172"/>
    </row>
    <row r="18777" spans="1:1" s="173" customFormat="1" ht="12" hidden="1" customHeight="1">
      <c r="A18777" s="172"/>
    </row>
    <row r="18778" spans="1:1" s="173" customFormat="1" ht="12" hidden="1" customHeight="1">
      <c r="A18778" s="172"/>
    </row>
    <row r="18779" spans="1:1" s="173" customFormat="1" ht="12" hidden="1" customHeight="1">
      <c r="A18779" s="172"/>
    </row>
    <row r="18780" spans="1:1" s="173" customFormat="1" ht="12" hidden="1" customHeight="1">
      <c r="A18780" s="172"/>
    </row>
    <row r="18781" spans="1:1" s="173" customFormat="1" ht="12" hidden="1" customHeight="1">
      <c r="A18781" s="172"/>
    </row>
    <row r="18782" spans="1:1" s="173" customFormat="1" ht="12" hidden="1" customHeight="1">
      <c r="A18782" s="172"/>
    </row>
    <row r="18783" spans="1:1" s="173" customFormat="1" ht="12" hidden="1" customHeight="1">
      <c r="A18783" s="172"/>
    </row>
    <row r="18784" spans="1:1" s="173" customFormat="1" ht="12" hidden="1" customHeight="1">
      <c r="A18784" s="172"/>
    </row>
    <row r="18785" spans="1:1" s="173" customFormat="1" ht="12" hidden="1" customHeight="1">
      <c r="A18785" s="172"/>
    </row>
    <row r="18786" spans="1:1" s="173" customFormat="1" ht="12" hidden="1" customHeight="1">
      <c r="A18786" s="172"/>
    </row>
    <row r="18787" spans="1:1" s="173" customFormat="1" ht="12" hidden="1" customHeight="1">
      <c r="A18787" s="172"/>
    </row>
    <row r="18788" spans="1:1" s="173" customFormat="1" ht="12" hidden="1" customHeight="1">
      <c r="A18788" s="172"/>
    </row>
    <row r="18789" spans="1:1" s="173" customFormat="1" ht="12" hidden="1" customHeight="1">
      <c r="A18789" s="172"/>
    </row>
    <row r="18790" spans="1:1" s="173" customFormat="1" ht="12" hidden="1" customHeight="1">
      <c r="A18790" s="172"/>
    </row>
    <row r="18791" spans="1:1" s="173" customFormat="1" ht="12" hidden="1" customHeight="1">
      <c r="A18791" s="172"/>
    </row>
    <row r="18792" spans="1:1" s="173" customFormat="1" ht="12" hidden="1" customHeight="1">
      <c r="A18792" s="172"/>
    </row>
    <row r="18793" spans="1:1" s="173" customFormat="1" ht="12" hidden="1" customHeight="1">
      <c r="A18793" s="172"/>
    </row>
    <row r="18794" spans="1:1" s="173" customFormat="1" ht="12" hidden="1" customHeight="1">
      <c r="A18794" s="172"/>
    </row>
    <row r="18795" spans="1:1" s="173" customFormat="1" ht="12" hidden="1" customHeight="1">
      <c r="A18795" s="172"/>
    </row>
    <row r="18796" spans="1:1" s="173" customFormat="1" ht="12" hidden="1" customHeight="1">
      <c r="A18796" s="172"/>
    </row>
    <row r="18797" spans="1:1" s="173" customFormat="1" ht="12" hidden="1" customHeight="1">
      <c r="A18797" s="172"/>
    </row>
    <row r="18798" spans="1:1" s="173" customFormat="1" ht="12" hidden="1" customHeight="1">
      <c r="A18798" s="172"/>
    </row>
    <row r="18799" spans="1:1" s="173" customFormat="1" ht="12" hidden="1" customHeight="1">
      <c r="A18799" s="172"/>
    </row>
    <row r="18800" spans="1:1" s="173" customFormat="1" ht="12" hidden="1" customHeight="1">
      <c r="A18800" s="172"/>
    </row>
    <row r="18801" spans="1:1" s="173" customFormat="1" ht="12" hidden="1" customHeight="1">
      <c r="A18801" s="172"/>
    </row>
    <row r="18802" spans="1:1" s="173" customFormat="1" ht="12" hidden="1" customHeight="1">
      <c r="A18802" s="172"/>
    </row>
    <row r="18803" spans="1:1" s="173" customFormat="1" ht="12" hidden="1" customHeight="1">
      <c r="A18803" s="172"/>
    </row>
    <row r="18804" spans="1:1" s="173" customFormat="1" ht="12" hidden="1" customHeight="1">
      <c r="A18804" s="172"/>
    </row>
    <row r="18805" spans="1:1" s="173" customFormat="1" ht="12" hidden="1" customHeight="1">
      <c r="A18805" s="172"/>
    </row>
    <row r="18806" spans="1:1" s="173" customFormat="1" ht="12" hidden="1" customHeight="1">
      <c r="A18806" s="172"/>
    </row>
    <row r="18807" spans="1:1" s="173" customFormat="1" ht="12" hidden="1" customHeight="1">
      <c r="A18807" s="172"/>
    </row>
    <row r="18808" spans="1:1" s="173" customFormat="1" ht="12" hidden="1" customHeight="1">
      <c r="A18808" s="172"/>
    </row>
    <row r="18809" spans="1:1" s="173" customFormat="1" ht="12" hidden="1" customHeight="1">
      <c r="A18809" s="172"/>
    </row>
    <row r="18810" spans="1:1" s="173" customFormat="1" ht="12" hidden="1" customHeight="1">
      <c r="A18810" s="172"/>
    </row>
    <row r="18811" spans="1:1" s="173" customFormat="1" ht="12" hidden="1" customHeight="1">
      <c r="A18811" s="172"/>
    </row>
    <row r="18812" spans="1:1" s="173" customFormat="1" ht="12" hidden="1" customHeight="1">
      <c r="A18812" s="172"/>
    </row>
    <row r="18813" spans="1:1" s="173" customFormat="1" ht="12" hidden="1" customHeight="1">
      <c r="A18813" s="172"/>
    </row>
    <row r="18814" spans="1:1" s="173" customFormat="1" ht="12" hidden="1" customHeight="1">
      <c r="A18814" s="172"/>
    </row>
    <row r="18815" spans="1:1" s="173" customFormat="1" ht="12" hidden="1" customHeight="1">
      <c r="A18815" s="172"/>
    </row>
    <row r="18816" spans="1:1" s="173" customFormat="1" ht="12" hidden="1" customHeight="1">
      <c r="A18816" s="172"/>
    </row>
    <row r="18817" spans="1:1" s="173" customFormat="1" ht="12" hidden="1" customHeight="1">
      <c r="A18817" s="172"/>
    </row>
    <row r="18818" spans="1:1" s="173" customFormat="1" ht="12" hidden="1" customHeight="1">
      <c r="A18818" s="172"/>
    </row>
    <row r="18819" spans="1:1" s="173" customFormat="1" ht="12" hidden="1" customHeight="1">
      <c r="A18819" s="172"/>
    </row>
    <row r="18820" spans="1:1" s="173" customFormat="1" ht="12" hidden="1" customHeight="1">
      <c r="A18820" s="172"/>
    </row>
    <row r="18821" spans="1:1" s="173" customFormat="1" ht="12" hidden="1" customHeight="1">
      <c r="A18821" s="172"/>
    </row>
    <row r="18822" spans="1:1" s="173" customFormat="1" ht="12" hidden="1" customHeight="1">
      <c r="A18822" s="172"/>
    </row>
    <row r="18823" spans="1:1" s="173" customFormat="1" ht="12" hidden="1" customHeight="1">
      <c r="A18823" s="172"/>
    </row>
    <row r="18824" spans="1:1" s="173" customFormat="1" ht="12" hidden="1" customHeight="1">
      <c r="A18824" s="172"/>
    </row>
    <row r="18825" spans="1:1" s="173" customFormat="1" ht="12" hidden="1" customHeight="1">
      <c r="A18825" s="172"/>
    </row>
    <row r="18826" spans="1:1" s="173" customFormat="1" ht="12" hidden="1" customHeight="1">
      <c r="A18826" s="172"/>
    </row>
    <row r="18827" spans="1:1" s="173" customFormat="1" ht="12" hidden="1" customHeight="1">
      <c r="A18827" s="172"/>
    </row>
    <row r="18828" spans="1:1" s="173" customFormat="1" ht="12" hidden="1" customHeight="1">
      <c r="A18828" s="172"/>
    </row>
    <row r="18829" spans="1:1" s="173" customFormat="1" ht="12" hidden="1" customHeight="1">
      <c r="A18829" s="172"/>
    </row>
    <row r="18830" spans="1:1" s="173" customFormat="1" ht="12" hidden="1" customHeight="1">
      <c r="A18830" s="172"/>
    </row>
    <row r="18831" spans="1:1" s="173" customFormat="1" ht="12" hidden="1" customHeight="1">
      <c r="A18831" s="172"/>
    </row>
    <row r="18832" spans="1:1" s="173" customFormat="1" ht="12" hidden="1" customHeight="1">
      <c r="A18832" s="172"/>
    </row>
    <row r="18833" spans="1:1" s="173" customFormat="1" ht="12" hidden="1" customHeight="1">
      <c r="A18833" s="172"/>
    </row>
    <row r="18834" spans="1:1" s="173" customFormat="1" ht="12" hidden="1" customHeight="1">
      <c r="A18834" s="172"/>
    </row>
    <row r="18835" spans="1:1" s="173" customFormat="1" ht="12" hidden="1" customHeight="1">
      <c r="A18835" s="172"/>
    </row>
    <row r="18836" spans="1:1" s="173" customFormat="1" ht="12" hidden="1" customHeight="1">
      <c r="A18836" s="172"/>
    </row>
    <row r="18837" spans="1:1" s="173" customFormat="1" ht="12" hidden="1" customHeight="1">
      <c r="A18837" s="172"/>
    </row>
    <row r="18838" spans="1:1" s="173" customFormat="1" ht="12" hidden="1" customHeight="1">
      <c r="A18838" s="172"/>
    </row>
    <row r="18839" spans="1:1" s="173" customFormat="1" ht="12" hidden="1" customHeight="1">
      <c r="A18839" s="172"/>
    </row>
    <row r="18840" spans="1:1" s="173" customFormat="1" ht="12" hidden="1" customHeight="1">
      <c r="A18840" s="172"/>
    </row>
    <row r="18841" spans="1:1" s="173" customFormat="1" ht="12" hidden="1" customHeight="1">
      <c r="A18841" s="172"/>
    </row>
    <row r="18842" spans="1:1" s="173" customFormat="1" ht="12" hidden="1" customHeight="1">
      <c r="A18842" s="172"/>
    </row>
    <row r="18843" spans="1:1" s="173" customFormat="1" ht="12" hidden="1" customHeight="1">
      <c r="A18843" s="172"/>
    </row>
    <row r="18844" spans="1:1" s="173" customFormat="1" ht="12" hidden="1" customHeight="1">
      <c r="A18844" s="172"/>
    </row>
    <row r="18845" spans="1:1" s="173" customFormat="1" ht="12" hidden="1" customHeight="1">
      <c r="A18845" s="172"/>
    </row>
    <row r="18846" spans="1:1" s="173" customFormat="1" ht="12" hidden="1" customHeight="1">
      <c r="A18846" s="172"/>
    </row>
    <row r="18847" spans="1:1" s="173" customFormat="1" ht="12" hidden="1" customHeight="1">
      <c r="A18847" s="172"/>
    </row>
    <row r="18848" spans="1:1" s="173" customFormat="1" ht="12" hidden="1" customHeight="1">
      <c r="A18848" s="172"/>
    </row>
    <row r="18849" spans="1:1" s="173" customFormat="1" ht="12" hidden="1" customHeight="1">
      <c r="A18849" s="172"/>
    </row>
    <row r="18850" spans="1:1" s="173" customFormat="1" ht="12" hidden="1" customHeight="1">
      <c r="A18850" s="172"/>
    </row>
    <row r="18851" spans="1:1" s="173" customFormat="1" ht="12" hidden="1" customHeight="1">
      <c r="A18851" s="172"/>
    </row>
    <row r="18852" spans="1:1" s="173" customFormat="1" ht="12" hidden="1" customHeight="1">
      <c r="A18852" s="172"/>
    </row>
    <row r="18853" spans="1:1" s="173" customFormat="1" ht="12" hidden="1" customHeight="1">
      <c r="A18853" s="172"/>
    </row>
    <row r="18854" spans="1:1" s="173" customFormat="1" ht="12" hidden="1" customHeight="1">
      <c r="A18854" s="172"/>
    </row>
    <row r="18855" spans="1:1" s="173" customFormat="1" ht="12" hidden="1" customHeight="1">
      <c r="A18855" s="172"/>
    </row>
    <row r="18856" spans="1:1" s="173" customFormat="1" ht="12" hidden="1" customHeight="1">
      <c r="A18856" s="172"/>
    </row>
    <row r="18857" spans="1:1" s="173" customFormat="1" ht="12" hidden="1" customHeight="1">
      <c r="A18857" s="172"/>
    </row>
    <row r="18858" spans="1:1" s="173" customFormat="1" ht="12" hidden="1" customHeight="1">
      <c r="A18858" s="172"/>
    </row>
    <row r="18859" spans="1:1" s="173" customFormat="1" ht="12" hidden="1" customHeight="1">
      <c r="A18859" s="172"/>
    </row>
    <row r="18860" spans="1:1" s="173" customFormat="1" ht="12" hidden="1" customHeight="1">
      <c r="A18860" s="172"/>
    </row>
    <row r="18861" spans="1:1" s="173" customFormat="1" ht="12" hidden="1" customHeight="1">
      <c r="A18861" s="172"/>
    </row>
    <row r="18862" spans="1:1" s="173" customFormat="1" ht="12" hidden="1" customHeight="1">
      <c r="A18862" s="172"/>
    </row>
    <row r="18863" spans="1:1" s="173" customFormat="1" ht="12" hidden="1" customHeight="1">
      <c r="A18863" s="172"/>
    </row>
    <row r="18864" spans="1:1" s="173" customFormat="1" ht="12" hidden="1" customHeight="1">
      <c r="A18864" s="172"/>
    </row>
    <row r="18865" spans="1:1" s="173" customFormat="1" ht="12" hidden="1" customHeight="1">
      <c r="A18865" s="172"/>
    </row>
    <row r="18866" spans="1:1" s="173" customFormat="1" ht="12" hidden="1" customHeight="1">
      <c r="A18866" s="172"/>
    </row>
    <row r="18867" spans="1:1" s="173" customFormat="1" ht="12" hidden="1" customHeight="1">
      <c r="A18867" s="172"/>
    </row>
    <row r="18868" spans="1:1" s="173" customFormat="1" ht="12" hidden="1" customHeight="1">
      <c r="A18868" s="172"/>
    </row>
    <row r="18869" spans="1:1" s="173" customFormat="1" ht="12" hidden="1" customHeight="1">
      <c r="A18869" s="172"/>
    </row>
    <row r="18870" spans="1:1" s="173" customFormat="1" ht="12" hidden="1" customHeight="1">
      <c r="A18870" s="172"/>
    </row>
    <row r="18871" spans="1:1" s="173" customFormat="1" ht="12" hidden="1" customHeight="1">
      <c r="A18871" s="172"/>
    </row>
    <row r="18872" spans="1:1" s="173" customFormat="1" ht="12" hidden="1" customHeight="1">
      <c r="A18872" s="172"/>
    </row>
    <row r="18873" spans="1:1" s="173" customFormat="1" ht="12" hidden="1" customHeight="1">
      <c r="A18873" s="172"/>
    </row>
    <row r="18874" spans="1:1" s="173" customFormat="1" ht="12" hidden="1" customHeight="1">
      <c r="A18874" s="172"/>
    </row>
    <row r="18875" spans="1:1" s="173" customFormat="1" ht="12" hidden="1" customHeight="1">
      <c r="A18875" s="172"/>
    </row>
    <row r="18876" spans="1:1" s="173" customFormat="1" ht="12" hidden="1" customHeight="1">
      <c r="A18876" s="172"/>
    </row>
    <row r="18877" spans="1:1" s="173" customFormat="1" ht="12" hidden="1" customHeight="1">
      <c r="A18877" s="172"/>
    </row>
    <row r="18878" spans="1:1" s="173" customFormat="1" ht="12" hidden="1" customHeight="1">
      <c r="A18878" s="172"/>
    </row>
    <row r="18879" spans="1:1" s="173" customFormat="1" ht="12" hidden="1" customHeight="1">
      <c r="A18879" s="172"/>
    </row>
    <row r="18880" spans="1:1" s="173" customFormat="1" ht="12" hidden="1" customHeight="1">
      <c r="A18880" s="172"/>
    </row>
    <row r="18881" spans="1:1" s="173" customFormat="1" ht="12" hidden="1" customHeight="1">
      <c r="A18881" s="172"/>
    </row>
    <row r="18882" spans="1:1" s="173" customFormat="1" ht="12" hidden="1" customHeight="1">
      <c r="A18882" s="172"/>
    </row>
    <row r="18883" spans="1:1" s="173" customFormat="1" ht="12" hidden="1" customHeight="1">
      <c r="A18883" s="172"/>
    </row>
    <row r="18884" spans="1:1" s="173" customFormat="1" ht="12" hidden="1" customHeight="1">
      <c r="A18884" s="172"/>
    </row>
    <row r="18885" spans="1:1" s="173" customFormat="1" ht="12" hidden="1" customHeight="1">
      <c r="A18885" s="172"/>
    </row>
    <row r="18886" spans="1:1" s="173" customFormat="1" ht="12" hidden="1" customHeight="1">
      <c r="A18886" s="172"/>
    </row>
    <row r="18887" spans="1:1" s="173" customFormat="1" ht="12" hidden="1" customHeight="1">
      <c r="A18887" s="172"/>
    </row>
    <row r="18888" spans="1:1" s="173" customFormat="1" ht="12" hidden="1" customHeight="1">
      <c r="A18888" s="172"/>
    </row>
    <row r="18889" spans="1:1" s="173" customFormat="1" ht="12" hidden="1" customHeight="1">
      <c r="A18889" s="172"/>
    </row>
    <row r="18890" spans="1:1" s="173" customFormat="1" ht="12" hidden="1" customHeight="1">
      <c r="A18890" s="172"/>
    </row>
    <row r="18891" spans="1:1" s="173" customFormat="1" ht="12" hidden="1" customHeight="1">
      <c r="A18891" s="172"/>
    </row>
    <row r="18892" spans="1:1" s="173" customFormat="1" ht="12" hidden="1" customHeight="1">
      <c r="A18892" s="172"/>
    </row>
    <row r="18893" spans="1:1" s="173" customFormat="1" ht="12" hidden="1" customHeight="1">
      <c r="A18893" s="172"/>
    </row>
    <row r="18894" spans="1:1" s="173" customFormat="1" ht="12" hidden="1" customHeight="1">
      <c r="A18894" s="172"/>
    </row>
    <row r="18895" spans="1:1" s="173" customFormat="1" ht="12" hidden="1" customHeight="1">
      <c r="A18895" s="172"/>
    </row>
    <row r="18896" spans="1:1" s="173" customFormat="1" ht="12" hidden="1" customHeight="1">
      <c r="A18896" s="172"/>
    </row>
    <row r="18897" spans="1:1" s="173" customFormat="1" ht="12" hidden="1" customHeight="1">
      <c r="A18897" s="172"/>
    </row>
    <row r="18898" spans="1:1" s="173" customFormat="1" ht="12" hidden="1" customHeight="1">
      <c r="A18898" s="172"/>
    </row>
    <row r="18899" spans="1:1" s="173" customFormat="1" ht="12" hidden="1" customHeight="1">
      <c r="A18899" s="172"/>
    </row>
    <row r="18900" spans="1:1" s="173" customFormat="1" ht="12" hidden="1" customHeight="1">
      <c r="A18900" s="172"/>
    </row>
    <row r="18901" spans="1:1" s="173" customFormat="1" ht="12" hidden="1" customHeight="1">
      <c r="A18901" s="172"/>
    </row>
    <row r="18902" spans="1:1" s="173" customFormat="1" ht="12" hidden="1" customHeight="1">
      <c r="A18902" s="172"/>
    </row>
    <row r="18903" spans="1:1" s="173" customFormat="1" ht="12" hidden="1" customHeight="1">
      <c r="A18903" s="172"/>
    </row>
    <row r="18904" spans="1:1" s="173" customFormat="1" ht="12" hidden="1" customHeight="1">
      <c r="A18904" s="172"/>
    </row>
    <row r="18905" spans="1:1" s="173" customFormat="1" ht="12" hidden="1" customHeight="1">
      <c r="A18905" s="172"/>
    </row>
    <row r="18906" spans="1:1" s="173" customFormat="1" ht="12" hidden="1" customHeight="1">
      <c r="A18906" s="172"/>
    </row>
    <row r="18907" spans="1:1" s="173" customFormat="1" ht="12" hidden="1" customHeight="1">
      <c r="A18907" s="172"/>
    </row>
    <row r="18908" spans="1:1" s="173" customFormat="1" ht="12" hidden="1" customHeight="1">
      <c r="A18908" s="172"/>
    </row>
    <row r="18909" spans="1:1" s="173" customFormat="1" ht="12" hidden="1" customHeight="1">
      <c r="A18909" s="172"/>
    </row>
    <row r="18910" spans="1:1" s="173" customFormat="1" ht="12" hidden="1" customHeight="1">
      <c r="A18910" s="172"/>
    </row>
    <row r="18911" spans="1:1" s="173" customFormat="1" ht="12" hidden="1" customHeight="1">
      <c r="A18911" s="172"/>
    </row>
    <row r="18912" spans="1:1" s="173" customFormat="1" ht="12" hidden="1" customHeight="1">
      <c r="A18912" s="172"/>
    </row>
    <row r="18913" spans="1:1" s="173" customFormat="1" ht="12" hidden="1" customHeight="1">
      <c r="A18913" s="172"/>
    </row>
    <row r="18914" spans="1:1" s="173" customFormat="1" ht="12" hidden="1" customHeight="1">
      <c r="A18914" s="172"/>
    </row>
    <row r="18915" spans="1:1" s="173" customFormat="1" ht="12" hidden="1" customHeight="1">
      <c r="A18915" s="172"/>
    </row>
    <row r="18916" spans="1:1" s="173" customFormat="1" ht="12" hidden="1" customHeight="1">
      <c r="A18916" s="172"/>
    </row>
    <row r="18917" spans="1:1" s="173" customFormat="1" ht="12" hidden="1" customHeight="1">
      <c r="A18917" s="172"/>
    </row>
    <row r="18918" spans="1:1" s="173" customFormat="1" ht="12" hidden="1" customHeight="1">
      <c r="A18918" s="172"/>
    </row>
    <row r="18919" spans="1:1" s="173" customFormat="1" ht="12" hidden="1" customHeight="1">
      <c r="A18919" s="172"/>
    </row>
    <row r="18920" spans="1:1" s="173" customFormat="1" ht="12" hidden="1" customHeight="1">
      <c r="A18920" s="172"/>
    </row>
    <row r="18921" spans="1:1" s="173" customFormat="1" ht="12" hidden="1" customHeight="1">
      <c r="A18921" s="172"/>
    </row>
    <row r="18922" spans="1:1" s="173" customFormat="1" ht="12" hidden="1" customHeight="1">
      <c r="A18922" s="172"/>
    </row>
    <row r="18923" spans="1:1" s="173" customFormat="1" ht="12" hidden="1" customHeight="1">
      <c r="A18923" s="172"/>
    </row>
    <row r="18924" spans="1:1" s="173" customFormat="1" ht="12" hidden="1" customHeight="1">
      <c r="A18924" s="172"/>
    </row>
    <row r="18925" spans="1:1" s="173" customFormat="1" ht="12" hidden="1" customHeight="1">
      <c r="A18925" s="172"/>
    </row>
    <row r="18926" spans="1:1" s="173" customFormat="1" ht="12" hidden="1" customHeight="1">
      <c r="A18926" s="172"/>
    </row>
    <row r="18927" spans="1:1" s="173" customFormat="1" ht="12" hidden="1" customHeight="1">
      <c r="A18927" s="172"/>
    </row>
    <row r="18928" spans="1:1" s="173" customFormat="1" ht="12" hidden="1" customHeight="1">
      <c r="A18928" s="172"/>
    </row>
    <row r="18929" spans="1:1" s="173" customFormat="1" ht="12" hidden="1" customHeight="1">
      <c r="A18929" s="172"/>
    </row>
    <row r="18930" spans="1:1" s="173" customFormat="1" ht="12" hidden="1" customHeight="1">
      <c r="A18930" s="172"/>
    </row>
    <row r="18931" spans="1:1" s="173" customFormat="1" ht="12" hidden="1" customHeight="1">
      <c r="A18931" s="172"/>
    </row>
    <row r="18932" spans="1:1" s="173" customFormat="1" ht="12" hidden="1" customHeight="1">
      <c r="A18932" s="172"/>
    </row>
    <row r="18933" spans="1:1" s="173" customFormat="1" ht="12" hidden="1" customHeight="1">
      <c r="A18933" s="172"/>
    </row>
    <row r="18934" spans="1:1" s="173" customFormat="1" ht="12" hidden="1" customHeight="1">
      <c r="A18934" s="172"/>
    </row>
    <row r="18935" spans="1:1" s="173" customFormat="1" ht="12" hidden="1" customHeight="1">
      <c r="A18935" s="172"/>
    </row>
    <row r="18936" spans="1:1" s="173" customFormat="1" ht="12" hidden="1" customHeight="1">
      <c r="A18936" s="172"/>
    </row>
    <row r="18937" spans="1:1" s="173" customFormat="1" ht="12" hidden="1" customHeight="1">
      <c r="A18937" s="172"/>
    </row>
    <row r="18938" spans="1:1" s="173" customFormat="1" ht="12" hidden="1" customHeight="1">
      <c r="A18938" s="172"/>
    </row>
    <row r="18939" spans="1:1" s="173" customFormat="1" ht="12" hidden="1" customHeight="1">
      <c r="A18939" s="172"/>
    </row>
    <row r="18940" spans="1:1" s="173" customFormat="1" ht="12" hidden="1" customHeight="1">
      <c r="A18940" s="172"/>
    </row>
    <row r="18941" spans="1:1" s="173" customFormat="1" ht="12" hidden="1" customHeight="1">
      <c r="A18941" s="172"/>
    </row>
    <row r="18942" spans="1:1" s="173" customFormat="1" ht="12" hidden="1" customHeight="1">
      <c r="A18942" s="172"/>
    </row>
    <row r="18943" spans="1:1" s="173" customFormat="1" ht="12" hidden="1" customHeight="1">
      <c r="A18943" s="172"/>
    </row>
    <row r="18944" spans="1:1" s="173" customFormat="1" ht="12" hidden="1" customHeight="1">
      <c r="A18944" s="172"/>
    </row>
    <row r="18945" spans="1:1" s="173" customFormat="1" ht="12" hidden="1" customHeight="1">
      <c r="A18945" s="172"/>
    </row>
    <row r="18946" spans="1:1" s="173" customFormat="1" ht="12" hidden="1" customHeight="1">
      <c r="A18946" s="172"/>
    </row>
    <row r="18947" spans="1:1" s="173" customFormat="1" ht="12" hidden="1" customHeight="1">
      <c r="A18947" s="172"/>
    </row>
    <row r="18948" spans="1:1" s="173" customFormat="1" ht="12" hidden="1" customHeight="1">
      <c r="A18948" s="172"/>
    </row>
    <row r="18949" spans="1:1" s="173" customFormat="1" ht="12" hidden="1" customHeight="1">
      <c r="A18949" s="172"/>
    </row>
    <row r="18950" spans="1:1" s="173" customFormat="1" ht="12" hidden="1" customHeight="1">
      <c r="A18950" s="172"/>
    </row>
    <row r="18951" spans="1:1" s="173" customFormat="1" ht="12" hidden="1" customHeight="1">
      <c r="A18951" s="172"/>
    </row>
    <row r="18952" spans="1:1" s="173" customFormat="1" ht="12" hidden="1" customHeight="1">
      <c r="A18952" s="172"/>
    </row>
    <row r="18953" spans="1:1" s="173" customFormat="1" ht="12" hidden="1" customHeight="1">
      <c r="A18953" s="172"/>
    </row>
    <row r="18954" spans="1:1" s="173" customFormat="1" ht="12" hidden="1" customHeight="1">
      <c r="A18954" s="172"/>
    </row>
    <row r="18955" spans="1:1" s="173" customFormat="1" ht="12" hidden="1" customHeight="1">
      <c r="A18955" s="172"/>
    </row>
    <row r="18956" spans="1:1" s="173" customFormat="1" ht="12" hidden="1" customHeight="1">
      <c r="A18956" s="172"/>
    </row>
    <row r="18957" spans="1:1" s="173" customFormat="1" ht="12" hidden="1" customHeight="1">
      <c r="A18957" s="172"/>
    </row>
    <row r="18958" spans="1:1" s="173" customFormat="1" ht="12" hidden="1" customHeight="1">
      <c r="A18958" s="172"/>
    </row>
    <row r="18959" spans="1:1" s="173" customFormat="1" ht="12" hidden="1" customHeight="1">
      <c r="A18959" s="172"/>
    </row>
    <row r="18960" spans="1:1" s="173" customFormat="1" ht="12" hidden="1" customHeight="1">
      <c r="A18960" s="172"/>
    </row>
    <row r="18961" spans="1:1" s="173" customFormat="1" ht="12" hidden="1" customHeight="1">
      <c r="A18961" s="172"/>
    </row>
    <row r="18962" spans="1:1" s="173" customFormat="1" ht="12" hidden="1" customHeight="1">
      <c r="A18962" s="172"/>
    </row>
    <row r="18963" spans="1:1" s="173" customFormat="1" ht="12" hidden="1" customHeight="1">
      <c r="A18963" s="172"/>
    </row>
    <row r="18964" spans="1:1" s="173" customFormat="1" ht="12" hidden="1" customHeight="1">
      <c r="A18964" s="172"/>
    </row>
    <row r="18965" spans="1:1" s="173" customFormat="1" ht="12" hidden="1" customHeight="1">
      <c r="A18965" s="172"/>
    </row>
    <row r="18966" spans="1:1" s="173" customFormat="1" ht="12" hidden="1" customHeight="1">
      <c r="A18966" s="172"/>
    </row>
    <row r="18967" spans="1:1" s="173" customFormat="1" ht="12" hidden="1" customHeight="1">
      <c r="A18967" s="172"/>
    </row>
    <row r="18968" spans="1:1" s="173" customFormat="1" ht="12" hidden="1" customHeight="1">
      <c r="A18968" s="172"/>
    </row>
    <row r="18969" spans="1:1" s="173" customFormat="1" ht="12" hidden="1" customHeight="1">
      <c r="A18969" s="172"/>
    </row>
    <row r="18970" spans="1:1" s="173" customFormat="1" ht="12" hidden="1" customHeight="1">
      <c r="A18970" s="172"/>
    </row>
    <row r="18971" spans="1:1" s="173" customFormat="1" ht="12" hidden="1" customHeight="1">
      <c r="A18971" s="172"/>
    </row>
    <row r="18972" spans="1:1" s="173" customFormat="1" ht="12" hidden="1" customHeight="1">
      <c r="A18972" s="172"/>
    </row>
    <row r="18973" spans="1:1" s="173" customFormat="1" ht="12" hidden="1" customHeight="1">
      <c r="A18973" s="172"/>
    </row>
    <row r="18974" spans="1:1" s="173" customFormat="1" ht="12" hidden="1" customHeight="1">
      <c r="A18974" s="172"/>
    </row>
    <row r="18975" spans="1:1" s="173" customFormat="1" ht="12" hidden="1" customHeight="1">
      <c r="A18975" s="172"/>
    </row>
    <row r="18976" spans="1:1" s="173" customFormat="1" ht="12" hidden="1" customHeight="1">
      <c r="A18976" s="172"/>
    </row>
    <row r="18977" spans="1:1" s="173" customFormat="1" ht="12" hidden="1" customHeight="1">
      <c r="A18977" s="172"/>
    </row>
    <row r="18978" spans="1:1" s="173" customFormat="1" ht="12" hidden="1" customHeight="1">
      <c r="A18978" s="172"/>
    </row>
    <row r="18979" spans="1:1" s="173" customFormat="1" ht="12" hidden="1" customHeight="1">
      <c r="A18979" s="172"/>
    </row>
    <row r="18980" spans="1:1" s="173" customFormat="1" ht="12" hidden="1" customHeight="1">
      <c r="A18980" s="172"/>
    </row>
    <row r="18981" spans="1:1" s="173" customFormat="1" ht="12" hidden="1" customHeight="1">
      <c r="A18981" s="172"/>
    </row>
    <row r="18982" spans="1:1" s="173" customFormat="1" ht="12" hidden="1" customHeight="1">
      <c r="A18982" s="172"/>
    </row>
    <row r="18983" spans="1:1" s="173" customFormat="1" ht="12" hidden="1" customHeight="1">
      <c r="A18983" s="172"/>
    </row>
    <row r="18984" spans="1:1" s="173" customFormat="1" ht="12" hidden="1" customHeight="1">
      <c r="A18984" s="172"/>
    </row>
    <row r="18985" spans="1:1" s="173" customFormat="1" ht="12" hidden="1" customHeight="1">
      <c r="A18985" s="172"/>
    </row>
    <row r="18986" spans="1:1" s="173" customFormat="1" ht="12" hidden="1" customHeight="1">
      <c r="A18986" s="172"/>
    </row>
    <row r="18987" spans="1:1" s="173" customFormat="1" ht="12" hidden="1" customHeight="1">
      <c r="A18987" s="172"/>
    </row>
    <row r="18988" spans="1:1" s="173" customFormat="1" ht="12" hidden="1" customHeight="1">
      <c r="A18988" s="172"/>
    </row>
    <row r="18989" spans="1:1" s="173" customFormat="1" ht="12" hidden="1" customHeight="1">
      <c r="A18989" s="172"/>
    </row>
    <row r="18990" spans="1:1" s="173" customFormat="1" ht="12" hidden="1" customHeight="1">
      <c r="A18990" s="172"/>
    </row>
    <row r="18991" spans="1:1" s="173" customFormat="1" ht="12" hidden="1" customHeight="1">
      <c r="A18991" s="172"/>
    </row>
    <row r="18992" spans="1:1" s="173" customFormat="1" ht="12" hidden="1" customHeight="1">
      <c r="A18992" s="172"/>
    </row>
    <row r="18993" spans="1:1" s="173" customFormat="1" ht="12" hidden="1" customHeight="1">
      <c r="A18993" s="172"/>
    </row>
    <row r="18994" spans="1:1" s="173" customFormat="1" ht="12" hidden="1" customHeight="1">
      <c r="A18994" s="172"/>
    </row>
    <row r="18995" spans="1:1" s="173" customFormat="1" ht="12" hidden="1" customHeight="1">
      <c r="A18995" s="172"/>
    </row>
    <row r="18996" spans="1:1" s="173" customFormat="1" ht="12" hidden="1" customHeight="1">
      <c r="A18996" s="172"/>
    </row>
    <row r="18997" spans="1:1" s="173" customFormat="1" ht="12" hidden="1" customHeight="1">
      <c r="A18997" s="172"/>
    </row>
    <row r="18998" spans="1:1" s="173" customFormat="1" ht="12" hidden="1" customHeight="1">
      <c r="A18998" s="172"/>
    </row>
    <row r="18999" spans="1:1" s="173" customFormat="1" ht="12" hidden="1" customHeight="1">
      <c r="A18999" s="172"/>
    </row>
    <row r="19000" spans="1:1" s="173" customFormat="1" ht="12" hidden="1" customHeight="1">
      <c r="A19000" s="172"/>
    </row>
    <row r="19001" spans="1:1" s="173" customFormat="1" ht="12" hidden="1" customHeight="1">
      <c r="A19001" s="172"/>
    </row>
    <row r="19002" spans="1:1" s="173" customFormat="1" ht="12" hidden="1" customHeight="1">
      <c r="A19002" s="172"/>
    </row>
    <row r="19003" spans="1:1" s="173" customFormat="1" ht="12" hidden="1" customHeight="1">
      <c r="A19003" s="172"/>
    </row>
    <row r="19004" spans="1:1" s="173" customFormat="1" ht="12" hidden="1" customHeight="1">
      <c r="A19004" s="172"/>
    </row>
    <row r="19005" spans="1:1" s="173" customFormat="1" ht="12" hidden="1" customHeight="1">
      <c r="A19005" s="172"/>
    </row>
    <row r="19006" spans="1:1" s="173" customFormat="1" ht="12" hidden="1" customHeight="1">
      <c r="A19006" s="172"/>
    </row>
    <row r="19007" spans="1:1" s="173" customFormat="1" ht="12" hidden="1" customHeight="1">
      <c r="A19007" s="172"/>
    </row>
    <row r="19008" spans="1:1" s="173" customFormat="1" ht="12" hidden="1" customHeight="1">
      <c r="A19008" s="172"/>
    </row>
    <row r="19009" spans="1:1" s="173" customFormat="1" ht="12" hidden="1" customHeight="1">
      <c r="A19009" s="172"/>
    </row>
    <row r="19010" spans="1:1" s="173" customFormat="1" ht="12" hidden="1" customHeight="1">
      <c r="A19010" s="172"/>
    </row>
    <row r="19011" spans="1:1" s="173" customFormat="1" ht="12" hidden="1" customHeight="1">
      <c r="A19011" s="172"/>
    </row>
    <row r="19012" spans="1:1" s="173" customFormat="1" ht="12" hidden="1" customHeight="1">
      <c r="A19012" s="172"/>
    </row>
    <row r="19013" spans="1:1" s="173" customFormat="1" ht="12" hidden="1" customHeight="1">
      <c r="A19013" s="172"/>
    </row>
    <row r="19014" spans="1:1" s="173" customFormat="1" ht="12" hidden="1" customHeight="1">
      <c r="A19014" s="172"/>
    </row>
    <row r="19015" spans="1:1" s="173" customFormat="1" ht="12" hidden="1" customHeight="1">
      <c r="A19015" s="172"/>
    </row>
    <row r="19016" spans="1:1" s="173" customFormat="1" ht="12" hidden="1" customHeight="1">
      <c r="A19016" s="172"/>
    </row>
    <row r="19017" spans="1:1" s="173" customFormat="1" ht="12" hidden="1" customHeight="1">
      <c r="A19017" s="172"/>
    </row>
    <row r="19018" spans="1:1" s="173" customFormat="1" ht="12" hidden="1" customHeight="1">
      <c r="A19018" s="172"/>
    </row>
    <row r="19019" spans="1:1" s="173" customFormat="1" ht="12" hidden="1" customHeight="1">
      <c r="A19019" s="172"/>
    </row>
    <row r="19020" spans="1:1" s="173" customFormat="1" ht="12" hidden="1" customHeight="1">
      <c r="A19020" s="172"/>
    </row>
    <row r="19021" spans="1:1" s="173" customFormat="1" ht="12" hidden="1" customHeight="1">
      <c r="A19021" s="172"/>
    </row>
    <row r="19022" spans="1:1" s="173" customFormat="1" ht="12" hidden="1" customHeight="1">
      <c r="A19022" s="172"/>
    </row>
    <row r="19023" spans="1:1" s="173" customFormat="1" ht="12" hidden="1" customHeight="1">
      <c r="A19023" s="172"/>
    </row>
    <row r="19024" spans="1:1" s="173" customFormat="1" ht="12" hidden="1" customHeight="1">
      <c r="A19024" s="172"/>
    </row>
    <row r="19025" spans="1:1" s="173" customFormat="1" ht="12" hidden="1" customHeight="1">
      <c r="A19025" s="172"/>
    </row>
    <row r="19026" spans="1:1" s="173" customFormat="1" ht="12" hidden="1" customHeight="1">
      <c r="A19026" s="172"/>
    </row>
    <row r="19027" spans="1:1" s="173" customFormat="1" ht="12" hidden="1" customHeight="1">
      <c r="A19027" s="172"/>
    </row>
    <row r="19028" spans="1:1" s="173" customFormat="1" ht="12" hidden="1" customHeight="1">
      <c r="A19028" s="172"/>
    </row>
    <row r="19029" spans="1:1" s="173" customFormat="1" ht="12" hidden="1" customHeight="1">
      <c r="A19029" s="172"/>
    </row>
    <row r="19030" spans="1:1" s="173" customFormat="1" ht="12" hidden="1" customHeight="1">
      <c r="A19030" s="172"/>
    </row>
    <row r="19031" spans="1:1" s="173" customFormat="1" ht="12" hidden="1" customHeight="1">
      <c r="A19031" s="172"/>
    </row>
    <row r="19032" spans="1:1" s="173" customFormat="1" ht="12" hidden="1" customHeight="1">
      <c r="A19032" s="172"/>
    </row>
    <row r="19033" spans="1:1" s="173" customFormat="1" ht="12" hidden="1" customHeight="1">
      <c r="A19033" s="172"/>
    </row>
    <row r="19034" spans="1:1" s="173" customFormat="1" ht="12" hidden="1" customHeight="1">
      <c r="A19034" s="172"/>
    </row>
    <row r="19035" spans="1:1" s="173" customFormat="1" ht="12" hidden="1" customHeight="1">
      <c r="A19035" s="172"/>
    </row>
    <row r="19036" spans="1:1" s="173" customFormat="1" ht="12" hidden="1" customHeight="1">
      <c r="A19036" s="172"/>
    </row>
    <row r="19037" spans="1:1" s="173" customFormat="1" ht="12" hidden="1" customHeight="1">
      <c r="A19037" s="172"/>
    </row>
    <row r="19038" spans="1:1" s="173" customFormat="1" ht="12" hidden="1" customHeight="1">
      <c r="A19038" s="172"/>
    </row>
    <row r="19039" spans="1:1" s="173" customFormat="1" ht="12" hidden="1" customHeight="1">
      <c r="A19039" s="172"/>
    </row>
    <row r="19040" spans="1:1" s="173" customFormat="1" ht="12" hidden="1" customHeight="1">
      <c r="A19040" s="172"/>
    </row>
    <row r="19041" spans="1:1" s="173" customFormat="1" ht="12" hidden="1" customHeight="1">
      <c r="A19041" s="172"/>
    </row>
    <row r="19042" spans="1:1" s="173" customFormat="1" ht="12" hidden="1" customHeight="1">
      <c r="A19042" s="172"/>
    </row>
    <row r="19043" spans="1:1" s="173" customFormat="1" ht="12" hidden="1" customHeight="1">
      <c r="A19043" s="172"/>
    </row>
    <row r="19044" spans="1:1" s="173" customFormat="1" ht="12" hidden="1" customHeight="1">
      <c r="A19044" s="172"/>
    </row>
    <row r="19045" spans="1:1" s="173" customFormat="1" ht="12" hidden="1" customHeight="1">
      <c r="A19045" s="172"/>
    </row>
    <row r="19046" spans="1:1" s="173" customFormat="1" ht="12" hidden="1" customHeight="1">
      <c r="A19046" s="172"/>
    </row>
    <row r="19047" spans="1:1" s="173" customFormat="1" ht="12" hidden="1" customHeight="1">
      <c r="A19047" s="172"/>
    </row>
    <row r="19048" spans="1:1" s="173" customFormat="1" ht="12" hidden="1" customHeight="1">
      <c r="A19048" s="172"/>
    </row>
    <row r="19049" spans="1:1" s="173" customFormat="1" ht="12" hidden="1" customHeight="1">
      <c r="A19049" s="172"/>
    </row>
    <row r="19050" spans="1:1" s="173" customFormat="1" ht="12" hidden="1" customHeight="1">
      <c r="A19050" s="172"/>
    </row>
    <row r="19051" spans="1:1" s="173" customFormat="1" ht="12" hidden="1" customHeight="1">
      <c r="A19051" s="172"/>
    </row>
    <row r="19052" spans="1:1" s="173" customFormat="1" ht="12" hidden="1" customHeight="1">
      <c r="A19052" s="172"/>
    </row>
    <row r="19053" spans="1:1" s="173" customFormat="1" ht="12" hidden="1" customHeight="1">
      <c r="A19053" s="172"/>
    </row>
    <row r="19054" spans="1:1" s="173" customFormat="1" ht="12" hidden="1" customHeight="1">
      <c r="A19054" s="172"/>
    </row>
    <row r="19055" spans="1:1" s="173" customFormat="1" ht="12" hidden="1" customHeight="1">
      <c r="A19055" s="172"/>
    </row>
    <row r="19056" spans="1:1" s="173" customFormat="1" ht="12" hidden="1" customHeight="1">
      <c r="A19056" s="172"/>
    </row>
    <row r="19057" spans="1:1" s="173" customFormat="1" ht="12" hidden="1" customHeight="1">
      <c r="A19057" s="172"/>
    </row>
    <row r="19058" spans="1:1" s="173" customFormat="1" ht="12" hidden="1" customHeight="1">
      <c r="A19058" s="172"/>
    </row>
    <row r="19059" spans="1:1" s="173" customFormat="1" ht="12" hidden="1" customHeight="1">
      <c r="A19059" s="172"/>
    </row>
    <row r="19060" spans="1:1" s="173" customFormat="1" ht="12" hidden="1" customHeight="1">
      <c r="A19060" s="172"/>
    </row>
    <row r="19061" spans="1:1" s="173" customFormat="1" ht="12" hidden="1" customHeight="1">
      <c r="A19061" s="172"/>
    </row>
    <row r="19062" spans="1:1" s="173" customFormat="1" ht="12" hidden="1" customHeight="1">
      <c r="A19062" s="172"/>
    </row>
    <row r="19063" spans="1:1" s="173" customFormat="1" ht="12" hidden="1" customHeight="1">
      <c r="A19063" s="172"/>
    </row>
    <row r="19064" spans="1:1" s="173" customFormat="1" ht="12" hidden="1" customHeight="1">
      <c r="A19064" s="172"/>
    </row>
    <row r="19065" spans="1:1" s="173" customFormat="1" ht="12" hidden="1" customHeight="1">
      <c r="A19065" s="172"/>
    </row>
    <row r="19066" spans="1:1" s="173" customFormat="1" ht="12" hidden="1" customHeight="1">
      <c r="A19066" s="172"/>
    </row>
    <row r="19067" spans="1:1" s="173" customFormat="1" ht="12" hidden="1" customHeight="1">
      <c r="A19067" s="172"/>
    </row>
    <row r="19068" spans="1:1" s="173" customFormat="1" ht="12" hidden="1" customHeight="1">
      <c r="A19068" s="172"/>
    </row>
    <row r="19069" spans="1:1" s="173" customFormat="1" ht="12" hidden="1" customHeight="1">
      <c r="A19069" s="172"/>
    </row>
    <row r="19070" spans="1:1" s="173" customFormat="1" ht="12" hidden="1" customHeight="1">
      <c r="A19070" s="172"/>
    </row>
    <row r="19071" spans="1:1" s="173" customFormat="1" ht="12" hidden="1" customHeight="1">
      <c r="A19071" s="172"/>
    </row>
    <row r="19072" spans="1:1" s="173" customFormat="1" ht="12" hidden="1" customHeight="1">
      <c r="A19072" s="172"/>
    </row>
    <row r="19073" spans="1:1" s="173" customFormat="1" ht="12" hidden="1" customHeight="1">
      <c r="A19073" s="172"/>
    </row>
    <row r="19074" spans="1:1" s="173" customFormat="1" ht="12" hidden="1" customHeight="1">
      <c r="A19074" s="172"/>
    </row>
    <row r="19075" spans="1:1" s="173" customFormat="1" ht="12" hidden="1" customHeight="1">
      <c r="A19075" s="172"/>
    </row>
    <row r="19076" spans="1:1" s="173" customFormat="1" ht="12" hidden="1" customHeight="1">
      <c r="A19076" s="172"/>
    </row>
    <row r="19077" spans="1:1" s="173" customFormat="1" ht="12" hidden="1" customHeight="1">
      <c r="A19077" s="172"/>
    </row>
    <row r="19078" spans="1:1" s="173" customFormat="1" ht="12" hidden="1" customHeight="1">
      <c r="A19078" s="172"/>
    </row>
    <row r="19079" spans="1:1" s="173" customFormat="1" ht="12" hidden="1" customHeight="1">
      <c r="A19079" s="172"/>
    </row>
    <row r="19080" spans="1:1" s="173" customFormat="1" ht="12" hidden="1" customHeight="1">
      <c r="A19080" s="172"/>
    </row>
    <row r="19081" spans="1:1" s="173" customFormat="1" ht="12" hidden="1" customHeight="1">
      <c r="A19081" s="172"/>
    </row>
    <row r="19082" spans="1:1" s="173" customFormat="1" ht="12" hidden="1" customHeight="1">
      <c r="A19082" s="172"/>
    </row>
    <row r="19083" spans="1:1" s="173" customFormat="1" ht="12" hidden="1" customHeight="1">
      <c r="A19083" s="172"/>
    </row>
    <row r="19084" spans="1:1" s="173" customFormat="1" ht="12" hidden="1" customHeight="1">
      <c r="A19084" s="172"/>
    </row>
    <row r="19085" spans="1:1" s="173" customFormat="1" ht="12" hidden="1" customHeight="1">
      <c r="A19085" s="172"/>
    </row>
    <row r="19086" spans="1:1" s="173" customFormat="1" ht="12" hidden="1" customHeight="1">
      <c r="A19086" s="172"/>
    </row>
    <row r="19087" spans="1:1" s="173" customFormat="1" ht="12" hidden="1" customHeight="1">
      <c r="A19087" s="172"/>
    </row>
    <row r="19088" spans="1:1" s="173" customFormat="1" ht="12" hidden="1" customHeight="1">
      <c r="A19088" s="172"/>
    </row>
    <row r="19089" spans="1:1" s="173" customFormat="1" ht="12" hidden="1" customHeight="1">
      <c r="A19089" s="172"/>
    </row>
    <row r="19090" spans="1:1" s="173" customFormat="1" ht="12" hidden="1" customHeight="1">
      <c r="A19090" s="172"/>
    </row>
    <row r="19091" spans="1:1" s="173" customFormat="1" ht="12" hidden="1" customHeight="1">
      <c r="A19091" s="172"/>
    </row>
    <row r="19092" spans="1:1" s="173" customFormat="1" ht="12" hidden="1" customHeight="1">
      <c r="A19092" s="172"/>
    </row>
    <row r="19093" spans="1:1" s="173" customFormat="1" ht="12" hidden="1" customHeight="1">
      <c r="A19093" s="172"/>
    </row>
    <row r="19094" spans="1:1" s="173" customFormat="1" ht="12" hidden="1" customHeight="1">
      <c r="A19094" s="172"/>
    </row>
    <row r="19095" spans="1:1" s="173" customFormat="1" ht="12" hidden="1" customHeight="1">
      <c r="A19095" s="172"/>
    </row>
    <row r="19096" spans="1:1" s="173" customFormat="1" ht="12" hidden="1" customHeight="1">
      <c r="A19096" s="172"/>
    </row>
    <row r="19097" spans="1:1" s="173" customFormat="1" ht="12" hidden="1" customHeight="1">
      <c r="A19097" s="172"/>
    </row>
    <row r="19098" spans="1:1" s="173" customFormat="1" ht="12" hidden="1" customHeight="1">
      <c r="A19098" s="172"/>
    </row>
    <row r="19099" spans="1:1" s="173" customFormat="1" ht="12" hidden="1" customHeight="1">
      <c r="A19099" s="172"/>
    </row>
    <row r="19100" spans="1:1" s="173" customFormat="1" ht="12" hidden="1" customHeight="1">
      <c r="A19100" s="172"/>
    </row>
    <row r="19101" spans="1:1" s="173" customFormat="1" ht="12" hidden="1" customHeight="1">
      <c r="A19101" s="172"/>
    </row>
    <row r="19102" spans="1:1" s="173" customFormat="1" ht="12" hidden="1" customHeight="1">
      <c r="A19102" s="172"/>
    </row>
    <row r="19103" spans="1:1" s="173" customFormat="1" ht="12" hidden="1" customHeight="1">
      <c r="A19103" s="172"/>
    </row>
    <row r="19104" spans="1:1" s="173" customFormat="1" ht="12" hidden="1" customHeight="1">
      <c r="A19104" s="172"/>
    </row>
    <row r="19105" spans="1:1" s="173" customFormat="1" ht="12" hidden="1" customHeight="1">
      <c r="A19105" s="172"/>
    </row>
    <row r="19106" spans="1:1" s="173" customFormat="1" ht="12" hidden="1" customHeight="1">
      <c r="A19106" s="172"/>
    </row>
    <row r="19107" spans="1:1" s="173" customFormat="1" ht="12" hidden="1" customHeight="1">
      <c r="A19107" s="172"/>
    </row>
    <row r="19108" spans="1:1" s="173" customFormat="1" ht="12" hidden="1" customHeight="1">
      <c r="A19108" s="172"/>
    </row>
    <row r="19109" spans="1:1" s="173" customFormat="1" ht="12" hidden="1" customHeight="1">
      <c r="A19109" s="172"/>
    </row>
    <row r="19110" spans="1:1" s="173" customFormat="1" ht="12" hidden="1" customHeight="1">
      <c r="A19110" s="172"/>
    </row>
    <row r="19111" spans="1:1" s="173" customFormat="1" ht="12" hidden="1" customHeight="1">
      <c r="A19111" s="172"/>
    </row>
    <row r="19112" spans="1:1" s="173" customFormat="1" ht="12" hidden="1" customHeight="1">
      <c r="A19112" s="172"/>
    </row>
    <row r="19113" spans="1:1" s="173" customFormat="1" ht="12" hidden="1" customHeight="1">
      <c r="A19113" s="172"/>
    </row>
    <row r="19114" spans="1:1" s="173" customFormat="1" ht="12" hidden="1" customHeight="1">
      <c r="A19114" s="172"/>
    </row>
    <row r="19115" spans="1:1" s="173" customFormat="1" ht="12" hidden="1" customHeight="1">
      <c r="A19115" s="172"/>
    </row>
    <row r="19116" spans="1:1" s="173" customFormat="1" ht="12" hidden="1" customHeight="1">
      <c r="A19116" s="172"/>
    </row>
    <row r="19117" spans="1:1" s="173" customFormat="1" ht="12" hidden="1" customHeight="1">
      <c r="A19117" s="172"/>
    </row>
    <row r="19118" spans="1:1" s="173" customFormat="1" ht="12" hidden="1" customHeight="1">
      <c r="A19118" s="172"/>
    </row>
    <row r="19119" spans="1:1" s="173" customFormat="1" ht="12" hidden="1" customHeight="1">
      <c r="A19119" s="172"/>
    </row>
    <row r="19120" spans="1:1" s="173" customFormat="1" ht="12" hidden="1" customHeight="1">
      <c r="A19120" s="172"/>
    </row>
    <row r="19121" spans="1:1" s="173" customFormat="1" ht="12" hidden="1" customHeight="1">
      <c r="A19121" s="172"/>
    </row>
    <row r="19122" spans="1:1" s="173" customFormat="1" ht="12" hidden="1" customHeight="1">
      <c r="A19122" s="172"/>
    </row>
    <row r="19123" spans="1:1" s="173" customFormat="1" ht="12" hidden="1" customHeight="1">
      <c r="A19123" s="172"/>
    </row>
    <row r="19124" spans="1:1" s="173" customFormat="1" ht="12" hidden="1" customHeight="1">
      <c r="A19124" s="172"/>
    </row>
    <row r="19125" spans="1:1" s="173" customFormat="1" ht="12" hidden="1" customHeight="1">
      <c r="A19125" s="172"/>
    </row>
    <row r="19126" spans="1:1" s="173" customFormat="1" ht="12" hidden="1" customHeight="1">
      <c r="A19126" s="172"/>
    </row>
    <row r="19127" spans="1:1" s="173" customFormat="1" ht="12" hidden="1" customHeight="1">
      <c r="A19127" s="172"/>
    </row>
    <row r="19128" spans="1:1" s="173" customFormat="1" ht="12" hidden="1" customHeight="1">
      <c r="A19128" s="172"/>
    </row>
    <row r="19129" spans="1:1" s="173" customFormat="1" ht="12" hidden="1" customHeight="1">
      <c r="A19129" s="172"/>
    </row>
    <row r="19130" spans="1:1" s="173" customFormat="1" ht="12" hidden="1" customHeight="1">
      <c r="A19130" s="172"/>
    </row>
    <row r="19131" spans="1:1" s="173" customFormat="1" ht="12" hidden="1" customHeight="1">
      <c r="A19131" s="172"/>
    </row>
    <row r="19132" spans="1:1" s="173" customFormat="1" ht="12" hidden="1" customHeight="1">
      <c r="A19132" s="172"/>
    </row>
    <row r="19133" spans="1:1" s="173" customFormat="1" ht="12" hidden="1" customHeight="1">
      <c r="A19133" s="172"/>
    </row>
    <row r="19134" spans="1:1" s="173" customFormat="1" ht="12" hidden="1" customHeight="1">
      <c r="A19134" s="172"/>
    </row>
    <row r="19135" spans="1:1" s="173" customFormat="1" ht="12" hidden="1" customHeight="1">
      <c r="A19135" s="172"/>
    </row>
    <row r="19136" spans="1:1" s="173" customFormat="1" ht="12" hidden="1" customHeight="1">
      <c r="A19136" s="172"/>
    </row>
    <row r="19137" spans="1:1" s="173" customFormat="1" ht="12" hidden="1" customHeight="1">
      <c r="A19137" s="172"/>
    </row>
    <row r="19138" spans="1:1" s="173" customFormat="1" ht="12" hidden="1" customHeight="1">
      <c r="A19138" s="172"/>
    </row>
    <row r="19139" spans="1:1" s="173" customFormat="1" ht="12" hidden="1" customHeight="1">
      <c r="A19139" s="172"/>
    </row>
    <row r="19140" spans="1:1" s="173" customFormat="1" ht="12" hidden="1" customHeight="1">
      <c r="A19140" s="172"/>
    </row>
    <row r="19141" spans="1:1" s="173" customFormat="1" ht="12" hidden="1" customHeight="1">
      <c r="A19141" s="172"/>
    </row>
    <row r="19142" spans="1:1" s="173" customFormat="1" ht="12" hidden="1" customHeight="1">
      <c r="A19142" s="172"/>
    </row>
    <row r="19143" spans="1:1" s="173" customFormat="1" ht="12" hidden="1" customHeight="1">
      <c r="A19143" s="172"/>
    </row>
    <row r="19144" spans="1:1" s="173" customFormat="1" ht="12" hidden="1" customHeight="1">
      <c r="A19144" s="172"/>
    </row>
    <row r="19145" spans="1:1" s="173" customFormat="1" ht="12" hidden="1" customHeight="1">
      <c r="A19145" s="172"/>
    </row>
    <row r="19146" spans="1:1" s="173" customFormat="1" ht="12" hidden="1" customHeight="1">
      <c r="A19146" s="172"/>
    </row>
    <row r="19147" spans="1:1" s="173" customFormat="1" ht="12" hidden="1" customHeight="1">
      <c r="A19147" s="172"/>
    </row>
    <row r="19148" spans="1:1" s="173" customFormat="1" ht="12" hidden="1" customHeight="1">
      <c r="A19148" s="172"/>
    </row>
    <row r="19149" spans="1:1" s="173" customFormat="1" ht="12" hidden="1" customHeight="1">
      <c r="A19149" s="172"/>
    </row>
    <row r="19150" spans="1:1" s="173" customFormat="1" ht="12" hidden="1" customHeight="1">
      <c r="A19150" s="172"/>
    </row>
    <row r="19151" spans="1:1" s="173" customFormat="1" ht="12" hidden="1" customHeight="1">
      <c r="A19151" s="172"/>
    </row>
    <row r="19152" spans="1:1" s="173" customFormat="1" ht="12" hidden="1" customHeight="1">
      <c r="A19152" s="172"/>
    </row>
    <row r="19153" spans="1:1" s="173" customFormat="1" ht="12" hidden="1" customHeight="1">
      <c r="A19153" s="172"/>
    </row>
    <row r="19154" spans="1:1" s="173" customFormat="1" ht="12" hidden="1" customHeight="1">
      <c r="A19154" s="172"/>
    </row>
    <row r="19155" spans="1:1" s="173" customFormat="1" ht="12" hidden="1" customHeight="1">
      <c r="A19155" s="172"/>
    </row>
    <row r="19156" spans="1:1" s="173" customFormat="1" ht="12" hidden="1" customHeight="1">
      <c r="A19156" s="172"/>
    </row>
    <row r="19157" spans="1:1" s="173" customFormat="1" ht="12" hidden="1" customHeight="1">
      <c r="A19157" s="172"/>
    </row>
    <row r="19158" spans="1:1" s="173" customFormat="1" ht="12" hidden="1" customHeight="1">
      <c r="A19158" s="172"/>
    </row>
    <row r="19159" spans="1:1" s="173" customFormat="1" ht="12" hidden="1" customHeight="1">
      <c r="A19159" s="172"/>
    </row>
    <row r="19160" spans="1:1" s="173" customFormat="1" ht="12" hidden="1" customHeight="1">
      <c r="A19160" s="172"/>
    </row>
    <row r="19161" spans="1:1" s="173" customFormat="1" ht="12" hidden="1" customHeight="1">
      <c r="A19161" s="172"/>
    </row>
    <row r="19162" spans="1:1" s="173" customFormat="1" ht="12" hidden="1" customHeight="1">
      <c r="A19162" s="172"/>
    </row>
    <row r="19163" spans="1:1" s="173" customFormat="1" ht="12" hidden="1" customHeight="1">
      <c r="A19163" s="172"/>
    </row>
    <row r="19164" spans="1:1" s="173" customFormat="1" ht="12" hidden="1" customHeight="1">
      <c r="A19164" s="172"/>
    </row>
    <row r="19165" spans="1:1" s="173" customFormat="1" ht="12" hidden="1" customHeight="1">
      <c r="A19165" s="172"/>
    </row>
    <row r="19166" spans="1:1" s="173" customFormat="1" ht="12" hidden="1" customHeight="1">
      <c r="A19166" s="172"/>
    </row>
    <row r="19167" spans="1:1" s="173" customFormat="1" ht="12" hidden="1" customHeight="1">
      <c r="A19167" s="172"/>
    </row>
    <row r="19168" spans="1:1" s="173" customFormat="1" ht="12" hidden="1" customHeight="1">
      <c r="A19168" s="172"/>
    </row>
    <row r="19169" spans="1:1" s="173" customFormat="1" ht="12" hidden="1" customHeight="1">
      <c r="A19169" s="172"/>
    </row>
    <row r="19170" spans="1:1" s="173" customFormat="1" ht="12" hidden="1" customHeight="1">
      <c r="A19170" s="172"/>
    </row>
    <row r="19171" spans="1:1" s="173" customFormat="1" ht="12" hidden="1" customHeight="1">
      <c r="A19171" s="172"/>
    </row>
    <row r="19172" spans="1:1" s="173" customFormat="1" ht="12" hidden="1" customHeight="1">
      <c r="A19172" s="172"/>
    </row>
    <row r="19173" spans="1:1" s="173" customFormat="1" ht="12" hidden="1" customHeight="1">
      <c r="A19173" s="172"/>
    </row>
    <row r="19174" spans="1:1" s="173" customFormat="1" ht="12" hidden="1" customHeight="1">
      <c r="A19174" s="172"/>
    </row>
    <row r="19175" spans="1:1" s="173" customFormat="1" ht="12" hidden="1" customHeight="1">
      <c r="A19175" s="172"/>
    </row>
    <row r="19176" spans="1:1" s="173" customFormat="1" ht="12" hidden="1" customHeight="1">
      <c r="A19176" s="172"/>
    </row>
    <row r="19177" spans="1:1" s="173" customFormat="1" ht="12" hidden="1" customHeight="1">
      <c r="A19177" s="172"/>
    </row>
    <row r="19178" spans="1:1" s="173" customFormat="1" ht="12" hidden="1" customHeight="1">
      <c r="A19178" s="172"/>
    </row>
    <row r="19179" spans="1:1" s="173" customFormat="1" ht="12" hidden="1" customHeight="1">
      <c r="A19179" s="172"/>
    </row>
    <row r="19180" spans="1:1" s="173" customFormat="1" ht="12" hidden="1" customHeight="1">
      <c r="A19180" s="172"/>
    </row>
    <row r="19181" spans="1:1" s="173" customFormat="1" ht="12" hidden="1" customHeight="1">
      <c r="A19181" s="172"/>
    </row>
    <row r="19182" spans="1:1" s="173" customFormat="1" ht="12" hidden="1" customHeight="1">
      <c r="A19182" s="172"/>
    </row>
    <row r="19183" spans="1:1" s="173" customFormat="1" ht="12" hidden="1" customHeight="1">
      <c r="A19183" s="172"/>
    </row>
    <row r="19184" spans="1:1" s="173" customFormat="1" ht="12" hidden="1" customHeight="1">
      <c r="A19184" s="172"/>
    </row>
    <row r="19185" spans="1:1" s="173" customFormat="1" ht="12" hidden="1" customHeight="1">
      <c r="A19185" s="172"/>
    </row>
    <row r="19186" spans="1:1" s="173" customFormat="1" ht="12" hidden="1" customHeight="1">
      <c r="A19186" s="172"/>
    </row>
    <row r="19187" spans="1:1" s="173" customFormat="1" ht="12" hidden="1" customHeight="1">
      <c r="A19187" s="172"/>
    </row>
    <row r="19188" spans="1:1" s="173" customFormat="1" ht="12" hidden="1" customHeight="1">
      <c r="A19188" s="172"/>
    </row>
    <row r="19189" spans="1:1" s="173" customFormat="1" ht="12" hidden="1" customHeight="1">
      <c r="A19189" s="172"/>
    </row>
    <row r="19190" spans="1:1" s="173" customFormat="1" ht="12" hidden="1" customHeight="1">
      <c r="A19190" s="172"/>
    </row>
    <row r="19191" spans="1:1" s="173" customFormat="1" ht="12" hidden="1" customHeight="1">
      <c r="A19191" s="172"/>
    </row>
    <row r="19192" spans="1:1" s="173" customFormat="1" ht="12" hidden="1" customHeight="1">
      <c r="A19192" s="172"/>
    </row>
    <row r="19193" spans="1:1" s="173" customFormat="1" ht="12" hidden="1" customHeight="1">
      <c r="A19193" s="172"/>
    </row>
    <row r="19194" spans="1:1" s="173" customFormat="1" ht="12" hidden="1" customHeight="1">
      <c r="A19194" s="172"/>
    </row>
    <row r="19195" spans="1:1" s="173" customFormat="1" ht="12" hidden="1" customHeight="1">
      <c r="A19195" s="172"/>
    </row>
    <row r="19196" spans="1:1" s="173" customFormat="1" ht="12" hidden="1" customHeight="1">
      <c r="A19196" s="172"/>
    </row>
    <row r="19197" spans="1:1" s="173" customFormat="1" ht="12" hidden="1" customHeight="1">
      <c r="A19197" s="172"/>
    </row>
    <row r="19198" spans="1:1" s="173" customFormat="1" ht="12" hidden="1" customHeight="1">
      <c r="A19198" s="172"/>
    </row>
    <row r="19199" spans="1:1" s="173" customFormat="1" ht="12" hidden="1" customHeight="1">
      <c r="A19199" s="172"/>
    </row>
    <row r="19200" spans="1:1" s="173" customFormat="1" ht="12" hidden="1" customHeight="1">
      <c r="A19200" s="172"/>
    </row>
    <row r="19201" spans="1:1" s="173" customFormat="1" ht="12" hidden="1" customHeight="1">
      <c r="A19201" s="172"/>
    </row>
    <row r="19202" spans="1:1" s="173" customFormat="1" ht="12" hidden="1" customHeight="1">
      <c r="A19202" s="172"/>
    </row>
    <row r="19203" spans="1:1" s="173" customFormat="1" ht="12" hidden="1" customHeight="1">
      <c r="A19203" s="172"/>
    </row>
    <row r="19204" spans="1:1" s="173" customFormat="1" ht="12" hidden="1" customHeight="1">
      <c r="A19204" s="172"/>
    </row>
    <row r="19205" spans="1:1" s="173" customFormat="1" ht="12" hidden="1" customHeight="1">
      <c r="A19205" s="172"/>
    </row>
    <row r="19206" spans="1:1" s="173" customFormat="1" ht="12" hidden="1" customHeight="1">
      <c r="A19206" s="172"/>
    </row>
    <row r="19207" spans="1:1" s="173" customFormat="1" ht="12" hidden="1" customHeight="1">
      <c r="A19207" s="172"/>
    </row>
    <row r="19208" spans="1:1" s="173" customFormat="1" ht="12" hidden="1" customHeight="1">
      <c r="A19208" s="172"/>
    </row>
    <row r="19209" spans="1:1" s="173" customFormat="1" ht="12" hidden="1" customHeight="1">
      <c r="A19209" s="172"/>
    </row>
    <row r="19210" spans="1:1" s="173" customFormat="1" ht="12" hidden="1" customHeight="1">
      <c r="A19210" s="172"/>
    </row>
    <row r="19211" spans="1:1" s="173" customFormat="1" ht="12" hidden="1" customHeight="1">
      <c r="A19211" s="172"/>
    </row>
    <row r="19212" spans="1:1" s="173" customFormat="1" ht="12" hidden="1" customHeight="1">
      <c r="A19212" s="172"/>
    </row>
    <row r="19213" spans="1:1" s="173" customFormat="1" ht="12" hidden="1" customHeight="1">
      <c r="A19213" s="172"/>
    </row>
    <row r="19214" spans="1:1" s="173" customFormat="1" ht="12" hidden="1" customHeight="1">
      <c r="A19214" s="172"/>
    </row>
    <row r="19215" spans="1:1" s="173" customFormat="1" ht="12" hidden="1" customHeight="1">
      <c r="A19215" s="172"/>
    </row>
    <row r="19216" spans="1:1" s="173" customFormat="1" ht="12" hidden="1" customHeight="1">
      <c r="A19216" s="172"/>
    </row>
    <row r="19217" spans="1:1" s="173" customFormat="1" ht="12" hidden="1" customHeight="1">
      <c r="A19217" s="172"/>
    </row>
    <row r="19218" spans="1:1" s="173" customFormat="1" ht="12" hidden="1" customHeight="1">
      <c r="A19218" s="172"/>
    </row>
    <row r="19219" spans="1:1" s="173" customFormat="1" ht="12" hidden="1" customHeight="1">
      <c r="A19219" s="172"/>
    </row>
    <row r="19220" spans="1:1" s="173" customFormat="1" ht="12" hidden="1" customHeight="1">
      <c r="A19220" s="172"/>
    </row>
    <row r="19221" spans="1:1" s="173" customFormat="1" ht="12" hidden="1" customHeight="1">
      <c r="A19221" s="172"/>
    </row>
    <row r="19222" spans="1:1" s="173" customFormat="1" ht="12" hidden="1" customHeight="1">
      <c r="A19222" s="172"/>
    </row>
    <row r="19223" spans="1:1" s="173" customFormat="1" ht="12" hidden="1" customHeight="1">
      <c r="A19223" s="172"/>
    </row>
    <row r="19224" spans="1:1" s="173" customFormat="1" ht="12" hidden="1" customHeight="1">
      <c r="A19224" s="172"/>
    </row>
    <row r="19225" spans="1:1" s="173" customFormat="1" ht="12" hidden="1" customHeight="1">
      <c r="A19225" s="172"/>
    </row>
    <row r="19226" spans="1:1" s="173" customFormat="1" ht="12" hidden="1" customHeight="1">
      <c r="A19226" s="172"/>
    </row>
    <row r="19227" spans="1:1" s="173" customFormat="1" ht="12" hidden="1" customHeight="1">
      <c r="A19227" s="172"/>
    </row>
    <row r="19228" spans="1:1" s="173" customFormat="1" ht="12" hidden="1" customHeight="1">
      <c r="A19228" s="172"/>
    </row>
    <row r="19229" spans="1:1" s="173" customFormat="1" ht="12" hidden="1" customHeight="1">
      <c r="A19229" s="172"/>
    </row>
    <row r="19230" spans="1:1" s="173" customFormat="1" ht="12" hidden="1" customHeight="1">
      <c r="A19230" s="172"/>
    </row>
    <row r="19231" spans="1:1" s="173" customFormat="1" ht="12" hidden="1" customHeight="1">
      <c r="A19231" s="172"/>
    </row>
    <row r="19232" spans="1:1" s="173" customFormat="1" ht="12" hidden="1" customHeight="1">
      <c r="A19232" s="172"/>
    </row>
    <row r="19233" spans="1:1" s="173" customFormat="1" ht="12" hidden="1" customHeight="1">
      <c r="A19233" s="172"/>
    </row>
    <row r="19234" spans="1:1" s="173" customFormat="1" ht="12" hidden="1" customHeight="1">
      <c r="A19234" s="172"/>
    </row>
    <row r="19235" spans="1:1" s="173" customFormat="1" ht="12" hidden="1" customHeight="1">
      <c r="A19235" s="172"/>
    </row>
    <row r="19236" spans="1:1" s="173" customFormat="1" ht="12" hidden="1" customHeight="1">
      <c r="A19236" s="172"/>
    </row>
    <row r="19237" spans="1:1" s="173" customFormat="1" ht="12" hidden="1" customHeight="1">
      <c r="A19237" s="172"/>
    </row>
    <row r="19238" spans="1:1" s="173" customFormat="1" ht="12" hidden="1" customHeight="1">
      <c r="A19238" s="172"/>
    </row>
    <row r="19239" spans="1:1" s="173" customFormat="1" ht="12" hidden="1" customHeight="1">
      <c r="A19239" s="172"/>
    </row>
    <row r="19240" spans="1:1" s="173" customFormat="1" ht="12" hidden="1" customHeight="1">
      <c r="A19240" s="172"/>
    </row>
    <row r="19241" spans="1:1" s="173" customFormat="1" ht="12" hidden="1" customHeight="1">
      <c r="A19241" s="172"/>
    </row>
    <row r="19242" spans="1:1" s="173" customFormat="1" ht="12" hidden="1" customHeight="1">
      <c r="A19242" s="172"/>
    </row>
    <row r="19243" spans="1:1" s="173" customFormat="1" ht="12" hidden="1" customHeight="1">
      <c r="A19243" s="172"/>
    </row>
    <row r="19244" spans="1:1" s="173" customFormat="1" ht="12" hidden="1" customHeight="1">
      <c r="A19244" s="172"/>
    </row>
    <row r="19245" spans="1:1" s="173" customFormat="1" ht="12" hidden="1" customHeight="1">
      <c r="A19245" s="172"/>
    </row>
    <row r="19246" spans="1:1" s="173" customFormat="1" ht="12" hidden="1" customHeight="1">
      <c r="A19246" s="172"/>
    </row>
    <row r="19247" spans="1:1" s="173" customFormat="1" ht="12" hidden="1" customHeight="1">
      <c r="A19247" s="172"/>
    </row>
    <row r="19248" spans="1:1" s="173" customFormat="1" ht="12" hidden="1" customHeight="1">
      <c r="A19248" s="172"/>
    </row>
    <row r="19249" spans="1:1" s="173" customFormat="1" ht="12" hidden="1" customHeight="1">
      <c r="A19249" s="172"/>
    </row>
    <row r="19250" spans="1:1" s="173" customFormat="1" ht="12" hidden="1" customHeight="1">
      <c r="A19250" s="172"/>
    </row>
    <row r="19251" spans="1:1" s="173" customFormat="1" ht="12" hidden="1" customHeight="1">
      <c r="A19251" s="172"/>
    </row>
    <row r="19252" spans="1:1" s="173" customFormat="1" ht="12" hidden="1" customHeight="1">
      <c r="A19252" s="172"/>
    </row>
    <row r="19253" spans="1:1" s="173" customFormat="1" ht="12" hidden="1" customHeight="1">
      <c r="A19253" s="172"/>
    </row>
    <row r="19254" spans="1:1" s="173" customFormat="1" ht="12" hidden="1" customHeight="1">
      <c r="A19254" s="172"/>
    </row>
    <row r="19255" spans="1:1" s="173" customFormat="1" ht="12" hidden="1" customHeight="1">
      <c r="A19255" s="172"/>
    </row>
    <row r="19256" spans="1:1" s="173" customFormat="1" ht="12" hidden="1" customHeight="1">
      <c r="A19256" s="172"/>
    </row>
    <row r="19257" spans="1:1" s="173" customFormat="1" ht="12" hidden="1" customHeight="1">
      <c r="A19257" s="172"/>
    </row>
    <row r="19258" spans="1:1" s="173" customFormat="1" ht="12" hidden="1" customHeight="1">
      <c r="A19258" s="172"/>
    </row>
    <row r="19259" spans="1:1" s="173" customFormat="1" ht="12" hidden="1" customHeight="1">
      <c r="A19259" s="172"/>
    </row>
    <row r="19260" spans="1:1" s="173" customFormat="1" ht="12" hidden="1" customHeight="1">
      <c r="A19260" s="172"/>
    </row>
    <row r="19261" spans="1:1" s="173" customFormat="1" ht="12" hidden="1" customHeight="1">
      <c r="A19261" s="172"/>
    </row>
    <row r="19262" spans="1:1" s="173" customFormat="1" ht="12" hidden="1" customHeight="1">
      <c r="A19262" s="172"/>
    </row>
    <row r="19263" spans="1:1" s="173" customFormat="1" ht="12" hidden="1" customHeight="1">
      <c r="A19263" s="172"/>
    </row>
    <row r="19264" spans="1:1" s="173" customFormat="1" ht="12" hidden="1" customHeight="1">
      <c r="A19264" s="172"/>
    </row>
    <row r="19265" spans="1:1" s="173" customFormat="1" ht="12" hidden="1" customHeight="1">
      <c r="A19265" s="172"/>
    </row>
    <row r="19266" spans="1:1" s="173" customFormat="1" ht="12" hidden="1" customHeight="1">
      <c r="A19266" s="172"/>
    </row>
    <row r="19267" spans="1:1" s="173" customFormat="1" ht="12" hidden="1" customHeight="1">
      <c r="A19267" s="172"/>
    </row>
    <row r="19268" spans="1:1" s="173" customFormat="1" ht="12" hidden="1" customHeight="1">
      <c r="A19268" s="172"/>
    </row>
    <row r="19269" spans="1:1" s="173" customFormat="1" ht="12" hidden="1" customHeight="1">
      <c r="A19269" s="172"/>
    </row>
    <row r="19270" spans="1:1" s="173" customFormat="1" ht="12" hidden="1" customHeight="1">
      <c r="A19270" s="172"/>
    </row>
    <row r="19271" spans="1:1" s="173" customFormat="1" ht="12" hidden="1" customHeight="1">
      <c r="A19271" s="172"/>
    </row>
    <row r="19272" spans="1:1" s="173" customFormat="1" ht="12" hidden="1" customHeight="1">
      <c r="A19272" s="172"/>
    </row>
    <row r="19273" spans="1:1" s="173" customFormat="1" ht="12" hidden="1" customHeight="1">
      <c r="A19273" s="172"/>
    </row>
    <row r="19274" spans="1:1" s="173" customFormat="1" ht="12" hidden="1" customHeight="1">
      <c r="A19274" s="172"/>
    </row>
    <row r="19275" spans="1:1" s="173" customFormat="1" ht="12" hidden="1" customHeight="1">
      <c r="A19275" s="172"/>
    </row>
    <row r="19276" spans="1:1" s="173" customFormat="1" ht="12" hidden="1" customHeight="1">
      <c r="A19276" s="172"/>
    </row>
    <row r="19277" spans="1:1" s="173" customFormat="1" ht="12" hidden="1" customHeight="1">
      <c r="A19277" s="172"/>
    </row>
    <row r="19278" spans="1:1" s="173" customFormat="1" ht="12" hidden="1" customHeight="1">
      <c r="A19278" s="172"/>
    </row>
    <row r="19279" spans="1:1" s="173" customFormat="1" ht="12" hidden="1" customHeight="1">
      <c r="A19279" s="172"/>
    </row>
    <row r="19280" spans="1:1" s="173" customFormat="1" ht="12" hidden="1" customHeight="1">
      <c r="A19280" s="172"/>
    </row>
    <row r="19281" spans="1:1" s="173" customFormat="1" ht="12" hidden="1" customHeight="1">
      <c r="A19281" s="172"/>
    </row>
    <row r="19282" spans="1:1" s="173" customFormat="1" ht="12" hidden="1" customHeight="1">
      <c r="A19282" s="172"/>
    </row>
    <row r="19283" spans="1:1" s="173" customFormat="1" ht="12" hidden="1" customHeight="1">
      <c r="A19283" s="172"/>
    </row>
    <row r="19284" spans="1:1" s="173" customFormat="1" ht="12" hidden="1" customHeight="1">
      <c r="A19284" s="172"/>
    </row>
    <row r="19285" spans="1:1" s="173" customFormat="1" ht="12" hidden="1" customHeight="1">
      <c r="A19285" s="172"/>
    </row>
    <row r="19286" spans="1:1" s="173" customFormat="1" ht="12" hidden="1" customHeight="1">
      <c r="A19286" s="172"/>
    </row>
    <row r="19287" spans="1:1" s="173" customFormat="1" ht="12" hidden="1" customHeight="1">
      <c r="A19287" s="172"/>
    </row>
    <row r="19288" spans="1:1" s="173" customFormat="1" ht="12" hidden="1" customHeight="1">
      <c r="A19288" s="172"/>
    </row>
    <row r="19289" spans="1:1" s="173" customFormat="1" ht="12" hidden="1" customHeight="1">
      <c r="A19289" s="172"/>
    </row>
    <row r="19290" spans="1:1" s="173" customFormat="1" ht="12" hidden="1" customHeight="1">
      <c r="A19290" s="172"/>
    </row>
    <row r="19291" spans="1:1" s="173" customFormat="1" ht="12" hidden="1" customHeight="1">
      <c r="A19291" s="172"/>
    </row>
    <row r="19292" spans="1:1" s="173" customFormat="1" ht="12" hidden="1" customHeight="1">
      <c r="A19292" s="172"/>
    </row>
    <row r="19293" spans="1:1" s="173" customFormat="1" ht="12" hidden="1" customHeight="1">
      <c r="A19293" s="172"/>
    </row>
    <row r="19294" spans="1:1" s="173" customFormat="1" ht="12" hidden="1" customHeight="1">
      <c r="A19294" s="172"/>
    </row>
    <row r="19295" spans="1:1" s="173" customFormat="1" ht="12" hidden="1" customHeight="1">
      <c r="A19295" s="172"/>
    </row>
    <row r="19296" spans="1:1" s="173" customFormat="1" ht="12" hidden="1" customHeight="1">
      <c r="A19296" s="172"/>
    </row>
    <row r="19297" spans="1:1" s="173" customFormat="1" ht="12" hidden="1" customHeight="1">
      <c r="A19297" s="172"/>
    </row>
    <row r="19298" spans="1:1" s="173" customFormat="1" ht="12" hidden="1" customHeight="1">
      <c r="A19298" s="172"/>
    </row>
    <row r="19299" spans="1:1" s="173" customFormat="1" ht="12" hidden="1" customHeight="1">
      <c r="A19299" s="172"/>
    </row>
    <row r="19300" spans="1:1" s="173" customFormat="1" ht="12" hidden="1" customHeight="1">
      <c r="A19300" s="172"/>
    </row>
    <row r="19301" spans="1:1" s="173" customFormat="1" ht="12" hidden="1" customHeight="1">
      <c r="A19301" s="172"/>
    </row>
    <row r="19302" spans="1:1" s="173" customFormat="1" ht="12" hidden="1" customHeight="1">
      <c r="A19302" s="172"/>
    </row>
    <row r="19303" spans="1:1" s="173" customFormat="1" ht="12" hidden="1" customHeight="1">
      <c r="A19303" s="172"/>
    </row>
    <row r="19304" spans="1:1" s="173" customFormat="1" ht="12" hidden="1" customHeight="1">
      <c r="A19304" s="172"/>
    </row>
    <row r="19305" spans="1:1" s="173" customFormat="1" ht="12" hidden="1" customHeight="1">
      <c r="A19305" s="172"/>
    </row>
    <row r="19306" spans="1:1" s="173" customFormat="1" ht="12" hidden="1" customHeight="1">
      <c r="A19306" s="172"/>
    </row>
    <row r="19307" spans="1:1" s="173" customFormat="1" ht="12" hidden="1" customHeight="1">
      <c r="A19307" s="172"/>
    </row>
    <row r="19308" spans="1:1" s="173" customFormat="1" ht="12" hidden="1" customHeight="1">
      <c r="A19308" s="172"/>
    </row>
    <row r="19309" spans="1:1" s="173" customFormat="1" ht="12" hidden="1" customHeight="1">
      <c r="A19309" s="172"/>
    </row>
    <row r="19310" spans="1:1" s="173" customFormat="1" ht="12" hidden="1" customHeight="1">
      <c r="A19310" s="172"/>
    </row>
    <row r="19311" spans="1:1" s="173" customFormat="1" ht="12" hidden="1" customHeight="1">
      <c r="A19311" s="172"/>
    </row>
    <row r="19312" spans="1:1" s="173" customFormat="1" ht="12" hidden="1" customHeight="1">
      <c r="A19312" s="172"/>
    </row>
    <row r="19313" spans="1:1" s="173" customFormat="1" ht="12" hidden="1" customHeight="1">
      <c r="A19313" s="172"/>
    </row>
    <row r="19314" spans="1:1" s="173" customFormat="1" ht="12" hidden="1" customHeight="1">
      <c r="A19314" s="172"/>
    </row>
    <row r="19315" spans="1:1" s="173" customFormat="1" ht="12" hidden="1" customHeight="1">
      <c r="A19315" s="172"/>
    </row>
    <row r="19316" spans="1:1" s="173" customFormat="1" ht="12" hidden="1" customHeight="1">
      <c r="A19316" s="172"/>
    </row>
    <row r="19317" spans="1:1" s="173" customFormat="1" ht="12" hidden="1" customHeight="1">
      <c r="A19317" s="172"/>
    </row>
    <row r="19318" spans="1:1" s="173" customFormat="1" ht="12" hidden="1" customHeight="1">
      <c r="A19318" s="172"/>
    </row>
    <row r="19319" spans="1:1" s="173" customFormat="1" ht="12" hidden="1" customHeight="1">
      <c r="A19319" s="172"/>
    </row>
    <row r="19320" spans="1:1" s="173" customFormat="1" ht="12" hidden="1" customHeight="1">
      <c r="A19320" s="172"/>
    </row>
    <row r="19321" spans="1:1" s="173" customFormat="1" ht="12" hidden="1" customHeight="1">
      <c r="A19321" s="172"/>
    </row>
    <row r="19322" spans="1:1" s="173" customFormat="1" ht="12" hidden="1" customHeight="1">
      <c r="A19322" s="172"/>
    </row>
    <row r="19323" spans="1:1" s="173" customFormat="1" ht="12" hidden="1" customHeight="1">
      <c r="A19323" s="172"/>
    </row>
    <row r="19324" spans="1:1" s="173" customFormat="1" ht="12" hidden="1" customHeight="1">
      <c r="A19324" s="172"/>
    </row>
    <row r="19325" spans="1:1" s="173" customFormat="1" ht="12" hidden="1" customHeight="1">
      <c r="A19325" s="172"/>
    </row>
    <row r="19326" spans="1:1" s="173" customFormat="1" ht="12" hidden="1" customHeight="1">
      <c r="A19326" s="172"/>
    </row>
    <row r="19327" spans="1:1" s="173" customFormat="1" ht="12" hidden="1" customHeight="1">
      <c r="A19327" s="172"/>
    </row>
    <row r="19328" spans="1:1" s="173" customFormat="1" ht="12" hidden="1" customHeight="1">
      <c r="A19328" s="172"/>
    </row>
    <row r="19329" spans="1:1" s="173" customFormat="1" ht="12" hidden="1" customHeight="1">
      <c r="A19329" s="172"/>
    </row>
    <row r="19330" spans="1:1" s="173" customFormat="1" ht="12" hidden="1" customHeight="1">
      <c r="A19330" s="172"/>
    </row>
    <row r="19331" spans="1:1" s="173" customFormat="1" ht="12" hidden="1" customHeight="1">
      <c r="A19331" s="172"/>
    </row>
    <row r="19332" spans="1:1" s="173" customFormat="1" ht="12" hidden="1" customHeight="1">
      <c r="A19332" s="172"/>
    </row>
    <row r="19333" spans="1:1" s="173" customFormat="1" ht="12" hidden="1" customHeight="1">
      <c r="A19333" s="172"/>
    </row>
    <row r="19334" spans="1:1" s="173" customFormat="1" ht="12" hidden="1" customHeight="1">
      <c r="A19334" s="172"/>
    </row>
    <row r="19335" spans="1:1" s="173" customFormat="1" ht="12" hidden="1" customHeight="1">
      <c r="A19335" s="172"/>
    </row>
    <row r="19336" spans="1:1" s="173" customFormat="1" ht="12" hidden="1" customHeight="1">
      <c r="A19336" s="172"/>
    </row>
    <row r="19337" spans="1:1" s="173" customFormat="1" ht="12" hidden="1" customHeight="1">
      <c r="A19337" s="172"/>
    </row>
    <row r="19338" spans="1:1" s="173" customFormat="1" ht="12" hidden="1" customHeight="1">
      <c r="A19338" s="172"/>
    </row>
    <row r="19339" spans="1:1" s="173" customFormat="1" ht="12" hidden="1" customHeight="1">
      <c r="A19339" s="172"/>
    </row>
    <row r="19340" spans="1:1" s="173" customFormat="1" ht="12" hidden="1" customHeight="1">
      <c r="A19340" s="172"/>
    </row>
    <row r="19341" spans="1:1" s="173" customFormat="1" ht="12" hidden="1" customHeight="1">
      <c r="A19341" s="172"/>
    </row>
    <row r="19342" spans="1:1" s="173" customFormat="1" ht="12" hidden="1" customHeight="1">
      <c r="A19342" s="172"/>
    </row>
    <row r="19343" spans="1:1" s="173" customFormat="1" ht="12" hidden="1" customHeight="1">
      <c r="A19343" s="172"/>
    </row>
    <row r="19344" spans="1:1" s="173" customFormat="1" ht="12" hidden="1" customHeight="1">
      <c r="A19344" s="172"/>
    </row>
    <row r="19345" spans="1:1" s="173" customFormat="1" ht="12" hidden="1" customHeight="1">
      <c r="A19345" s="172"/>
    </row>
    <row r="19346" spans="1:1" s="173" customFormat="1" ht="12" hidden="1" customHeight="1">
      <c r="A19346" s="172"/>
    </row>
    <row r="19347" spans="1:1" s="173" customFormat="1" ht="12" hidden="1" customHeight="1">
      <c r="A19347" s="172"/>
    </row>
    <row r="19348" spans="1:1" s="173" customFormat="1" ht="12" hidden="1" customHeight="1">
      <c r="A19348" s="172"/>
    </row>
    <row r="19349" spans="1:1" s="173" customFormat="1" ht="12" hidden="1" customHeight="1">
      <c r="A19349" s="172"/>
    </row>
    <row r="19350" spans="1:1" s="173" customFormat="1" ht="12" hidden="1" customHeight="1">
      <c r="A19350" s="172"/>
    </row>
    <row r="19351" spans="1:1" s="173" customFormat="1" ht="12" hidden="1" customHeight="1">
      <c r="A19351" s="172"/>
    </row>
    <row r="19352" spans="1:1" s="173" customFormat="1" ht="12" hidden="1" customHeight="1">
      <c r="A19352" s="172"/>
    </row>
    <row r="19353" spans="1:1" s="173" customFormat="1" ht="12" hidden="1" customHeight="1">
      <c r="A19353" s="172"/>
    </row>
    <row r="19354" spans="1:1" s="173" customFormat="1" ht="12" hidden="1" customHeight="1">
      <c r="A19354" s="172"/>
    </row>
    <row r="19355" spans="1:1" s="173" customFormat="1" ht="12" hidden="1" customHeight="1">
      <c r="A19355" s="172"/>
    </row>
    <row r="19356" spans="1:1" s="173" customFormat="1" ht="12" hidden="1" customHeight="1">
      <c r="A19356" s="172"/>
    </row>
    <row r="19357" spans="1:1" s="173" customFormat="1" ht="12" hidden="1" customHeight="1">
      <c r="A19357" s="172"/>
    </row>
    <row r="19358" spans="1:1" s="173" customFormat="1" ht="12" hidden="1" customHeight="1">
      <c r="A19358" s="172"/>
    </row>
    <row r="19359" spans="1:1" s="173" customFormat="1" ht="12" hidden="1" customHeight="1">
      <c r="A19359" s="172"/>
    </row>
    <row r="19360" spans="1:1" s="173" customFormat="1" ht="12" hidden="1" customHeight="1">
      <c r="A19360" s="172"/>
    </row>
    <row r="19361" spans="1:1" s="173" customFormat="1" ht="12" hidden="1" customHeight="1">
      <c r="A19361" s="172"/>
    </row>
    <row r="19362" spans="1:1" s="173" customFormat="1" ht="12" hidden="1" customHeight="1">
      <c r="A19362" s="172"/>
    </row>
    <row r="19363" spans="1:1" s="173" customFormat="1" ht="12" hidden="1" customHeight="1">
      <c r="A19363" s="172"/>
    </row>
    <row r="19364" spans="1:1" s="173" customFormat="1" ht="12" hidden="1" customHeight="1">
      <c r="A19364" s="172"/>
    </row>
    <row r="19365" spans="1:1" s="173" customFormat="1" ht="12" hidden="1" customHeight="1">
      <c r="A19365" s="172"/>
    </row>
    <row r="19366" spans="1:1" s="173" customFormat="1" ht="12" hidden="1" customHeight="1">
      <c r="A19366" s="172"/>
    </row>
    <row r="19367" spans="1:1" s="173" customFormat="1" ht="12" hidden="1" customHeight="1">
      <c r="A19367" s="172"/>
    </row>
    <row r="19368" spans="1:1" s="173" customFormat="1" ht="12" hidden="1" customHeight="1">
      <c r="A19368" s="172"/>
    </row>
    <row r="19369" spans="1:1" s="173" customFormat="1" ht="12" hidden="1" customHeight="1">
      <c r="A19369" s="172"/>
    </row>
    <row r="19370" spans="1:1" s="173" customFormat="1" ht="12" hidden="1" customHeight="1">
      <c r="A19370" s="172"/>
    </row>
    <row r="19371" spans="1:1" s="173" customFormat="1" ht="12" hidden="1" customHeight="1">
      <c r="A19371" s="172"/>
    </row>
    <row r="19372" spans="1:1" s="173" customFormat="1" ht="12" hidden="1" customHeight="1">
      <c r="A19372" s="172"/>
    </row>
    <row r="19373" spans="1:1" s="173" customFormat="1" ht="12" hidden="1" customHeight="1">
      <c r="A19373" s="172"/>
    </row>
    <row r="19374" spans="1:1" s="173" customFormat="1" ht="12" hidden="1" customHeight="1">
      <c r="A19374" s="172"/>
    </row>
    <row r="19375" spans="1:1" s="173" customFormat="1" ht="12" hidden="1" customHeight="1">
      <c r="A19375" s="172"/>
    </row>
    <row r="19376" spans="1:1" s="173" customFormat="1" ht="12" hidden="1" customHeight="1">
      <c r="A19376" s="172"/>
    </row>
    <row r="19377" spans="1:1" s="173" customFormat="1" ht="12" hidden="1" customHeight="1">
      <c r="A19377" s="172"/>
    </row>
    <row r="19378" spans="1:1" s="173" customFormat="1" ht="12" hidden="1" customHeight="1">
      <c r="A19378" s="172"/>
    </row>
    <row r="19379" spans="1:1" s="173" customFormat="1" ht="12" hidden="1" customHeight="1">
      <c r="A19379" s="172"/>
    </row>
    <row r="19380" spans="1:1" s="173" customFormat="1" ht="12" hidden="1" customHeight="1">
      <c r="A19380" s="172"/>
    </row>
    <row r="19381" spans="1:1" s="173" customFormat="1" ht="12" hidden="1" customHeight="1">
      <c r="A19381" s="172"/>
    </row>
    <row r="19382" spans="1:1" s="173" customFormat="1" ht="12" hidden="1" customHeight="1">
      <c r="A19382" s="172"/>
    </row>
    <row r="19383" spans="1:1" s="173" customFormat="1" ht="12" hidden="1" customHeight="1">
      <c r="A19383" s="172"/>
    </row>
    <row r="19384" spans="1:1" s="173" customFormat="1" ht="12" hidden="1" customHeight="1">
      <c r="A19384" s="172"/>
    </row>
    <row r="19385" spans="1:1" s="173" customFormat="1" ht="12" hidden="1" customHeight="1">
      <c r="A19385" s="172"/>
    </row>
    <row r="19386" spans="1:1" s="173" customFormat="1" ht="12" hidden="1" customHeight="1">
      <c r="A19386" s="172"/>
    </row>
    <row r="19387" spans="1:1" s="173" customFormat="1" ht="12" hidden="1" customHeight="1">
      <c r="A19387" s="172"/>
    </row>
    <row r="19388" spans="1:1" s="173" customFormat="1" ht="12" hidden="1" customHeight="1">
      <c r="A19388" s="172"/>
    </row>
    <row r="19389" spans="1:1" s="173" customFormat="1" ht="12" hidden="1" customHeight="1">
      <c r="A19389" s="172"/>
    </row>
    <row r="19390" spans="1:1" s="173" customFormat="1" ht="12" hidden="1" customHeight="1">
      <c r="A19390" s="172"/>
    </row>
    <row r="19391" spans="1:1" s="173" customFormat="1" ht="12" hidden="1" customHeight="1">
      <c r="A19391" s="172"/>
    </row>
    <row r="19392" spans="1:1" s="173" customFormat="1" ht="12" hidden="1" customHeight="1">
      <c r="A19392" s="172"/>
    </row>
    <row r="19393" spans="1:1" s="173" customFormat="1" ht="12" hidden="1" customHeight="1">
      <c r="A19393" s="172"/>
    </row>
    <row r="19394" spans="1:1" s="173" customFormat="1" ht="12" hidden="1" customHeight="1">
      <c r="A19394" s="172"/>
    </row>
    <row r="19395" spans="1:1" s="173" customFormat="1" ht="12" hidden="1" customHeight="1">
      <c r="A19395" s="172"/>
    </row>
    <row r="19396" spans="1:1" s="173" customFormat="1" ht="12" hidden="1" customHeight="1">
      <c r="A19396" s="172"/>
    </row>
    <row r="19397" spans="1:1" s="173" customFormat="1" ht="12" hidden="1" customHeight="1">
      <c r="A19397" s="172"/>
    </row>
    <row r="19398" spans="1:1" s="173" customFormat="1" ht="12" hidden="1" customHeight="1">
      <c r="A19398" s="172"/>
    </row>
    <row r="19399" spans="1:1" s="173" customFormat="1" ht="12" hidden="1" customHeight="1">
      <c r="A19399" s="172"/>
    </row>
    <row r="19400" spans="1:1" s="173" customFormat="1" ht="12" hidden="1" customHeight="1">
      <c r="A19400" s="172"/>
    </row>
    <row r="19401" spans="1:1" s="173" customFormat="1" ht="12" hidden="1" customHeight="1">
      <c r="A19401" s="172"/>
    </row>
    <row r="19402" spans="1:1" s="173" customFormat="1" ht="12" hidden="1" customHeight="1">
      <c r="A19402" s="172"/>
    </row>
    <row r="19403" spans="1:1" s="173" customFormat="1" ht="12" hidden="1" customHeight="1">
      <c r="A19403" s="172"/>
    </row>
    <row r="19404" spans="1:1" s="173" customFormat="1" ht="12" hidden="1" customHeight="1">
      <c r="A19404" s="172"/>
    </row>
    <row r="19405" spans="1:1" s="173" customFormat="1" ht="12" hidden="1" customHeight="1">
      <c r="A19405" s="172"/>
    </row>
    <row r="19406" spans="1:1" s="173" customFormat="1" ht="12" hidden="1" customHeight="1">
      <c r="A19406" s="172"/>
    </row>
    <row r="19407" spans="1:1" s="173" customFormat="1" ht="12" hidden="1" customHeight="1">
      <c r="A19407" s="172"/>
    </row>
    <row r="19408" spans="1:1" s="173" customFormat="1" ht="12" hidden="1" customHeight="1">
      <c r="A19408" s="172"/>
    </row>
    <row r="19409" spans="1:1" s="173" customFormat="1" ht="12" hidden="1" customHeight="1">
      <c r="A19409" s="172"/>
    </row>
    <row r="19410" spans="1:1" s="173" customFormat="1" ht="12" hidden="1" customHeight="1">
      <c r="A19410" s="172"/>
    </row>
    <row r="19411" spans="1:1" s="173" customFormat="1" ht="12" hidden="1" customHeight="1">
      <c r="A19411" s="172"/>
    </row>
    <row r="19412" spans="1:1" s="173" customFormat="1" ht="12" hidden="1" customHeight="1">
      <c r="A19412" s="172"/>
    </row>
    <row r="19413" spans="1:1" s="173" customFormat="1" ht="12" hidden="1" customHeight="1">
      <c r="A19413" s="172"/>
    </row>
    <row r="19414" spans="1:1" s="173" customFormat="1" ht="12" hidden="1" customHeight="1">
      <c r="A19414" s="172"/>
    </row>
    <row r="19415" spans="1:1" s="173" customFormat="1" ht="12" hidden="1" customHeight="1">
      <c r="A19415" s="172"/>
    </row>
    <row r="19416" spans="1:1" s="173" customFormat="1" ht="12" hidden="1" customHeight="1">
      <c r="A19416" s="172"/>
    </row>
    <row r="19417" spans="1:1" s="173" customFormat="1" ht="12" hidden="1" customHeight="1">
      <c r="A19417" s="172"/>
    </row>
    <row r="19418" spans="1:1" s="173" customFormat="1" ht="12" hidden="1" customHeight="1">
      <c r="A19418" s="172"/>
    </row>
    <row r="19419" spans="1:1" s="173" customFormat="1" ht="12" hidden="1" customHeight="1">
      <c r="A19419" s="172"/>
    </row>
    <row r="19420" spans="1:1" s="173" customFormat="1" ht="12" hidden="1" customHeight="1">
      <c r="A19420" s="172"/>
    </row>
    <row r="19421" spans="1:1" s="173" customFormat="1" ht="12" hidden="1" customHeight="1">
      <c r="A19421" s="172"/>
    </row>
    <row r="19422" spans="1:1" s="173" customFormat="1" ht="12" hidden="1" customHeight="1">
      <c r="A19422" s="172"/>
    </row>
    <row r="19423" spans="1:1" s="173" customFormat="1" ht="12" hidden="1" customHeight="1">
      <c r="A19423" s="172"/>
    </row>
    <row r="19424" spans="1:1" s="173" customFormat="1" ht="12" hidden="1" customHeight="1">
      <c r="A19424" s="172"/>
    </row>
    <row r="19425" spans="1:1" s="173" customFormat="1" ht="12" hidden="1" customHeight="1">
      <c r="A19425" s="172"/>
    </row>
    <row r="19426" spans="1:1" s="173" customFormat="1" ht="12" hidden="1" customHeight="1">
      <c r="A19426" s="172"/>
    </row>
    <row r="19427" spans="1:1" s="173" customFormat="1" ht="12" hidden="1" customHeight="1">
      <c r="A19427" s="172"/>
    </row>
    <row r="19428" spans="1:1" s="173" customFormat="1" ht="12" hidden="1" customHeight="1">
      <c r="A19428" s="172"/>
    </row>
    <row r="19429" spans="1:1" s="173" customFormat="1" ht="12" hidden="1" customHeight="1">
      <c r="A19429" s="172"/>
    </row>
    <row r="19430" spans="1:1" s="173" customFormat="1" ht="12" hidden="1" customHeight="1">
      <c r="A19430" s="172"/>
    </row>
    <row r="19431" spans="1:1" s="173" customFormat="1" ht="12" hidden="1" customHeight="1">
      <c r="A19431" s="172"/>
    </row>
    <row r="19432" spans="1:1" s="173" customFormat="1" ht="12" hidden="1" customHeight="1">
      <c r="A19432" s="172"/>
    </row>
    <row r="19433" spans="1:1" s="173" customFormat="1" ht="12" hidden="1" customHeight="1">
      <c r="A19433" s="172"/>
    </row>
    <row r="19434" spans="1:1" s="173" customFormat="1" ht="12" hidden="1" customHeight="1">
      <c r="A19434" s="172"/>
    </row>
    <row r="19435" spans="1:1" s="173" customFormat="1" ht="12" hidden="1" customHeight="1">
      <c r="A19435" s="172"/>
    </row>
    <row r="19436" spans="1:1" s="173" customFormat="1" ht="12" hidden="1" customHeight="1">
      <c r="A19436" s="172"/>
    </row>
    <row r="19437" spans="1:1" s="173" customFormat="1" ht="12" hidden="1" customHeight="1">
      <c r="A19437" s="172"/>
    </row>
    <row r="19438" spans="1:1" s="173" customFormat="1" ht="12" hidden="1" customHeight="1">
      <c r="A19438" s="172"/>
    </row>
    <row r="19439" spans="1:1" s="173" customFormat="1" ht="12" hidden="1" customHeight="1">
      <c r="A19439" s="172"/>
    </row>
    <row r="19440" spans="1:1" s="173" customFormat="1" ht="12" hidden="1" customHeight="1">
      <c r="A19440" s="172"/>
    </row>
    <row r="19441" spans="1:1" s="173" customFormat="1" ht="12" hidden="1" customHeight="1">
      <c r="A19441" s="172"/>
    </row>
    <row r="19442" spans="1:1" s="173" customFormat="1" ht="12" hidden="1" customHeight="1">
      <c r="A19442" s="172"/>
    </row>
    <row r="19443" spans="1:1" s="173" customFormat="1" ht="12" hidden="1" customHeight="1">
      <c r="A19443" s="172"/>
    </row>
    <row r="19444" spans="1:1" s="173" customFormat="1" ht="12" hidden="1" customHeight="1">
      <c r="A19444" s="172"/>
    </row>
    <row r="19445" spans="1:1" s="173" customFormat="1" ht="12" hidden="1" customHeight="1">
      <c r="A19445" s="172"/>
    </row>
    <row r="19446" spans="1:1" s="173" customFormat="1" ht="12" hidden="1" customHeight="1">
      <c r="A19446" s="172"/>
    </row>
    <row r="19447" spans="1:1" s="173" customFormat="1" ht="12" hidden="1" customHeight="1">
      <c r="A19447" s="172"/>
    </row>
    <row r="19448" spans="1:1" s="173" customFormat="1" ht="12" hidden="1" customHeight="1">
      <c r="A19448" s="172"/>
    </row>
    <row r="19449" spans="1:1" s="173" customFormat="1" ht="12" hidden="1" customHeight="1">
      <c r="A19449" s="172"/>
    </row>
    <row r="19450" spans="1:1" s="173" customFormat="1" ht="12" hidden="1" customHeight="1">
      <c r="A19450" s="172"/>
    </row>
    <row r="19451" spans="1:1" s="173" customFormat="1" ht="12" hidden="1" customHeight="1">
      <c r="A19451" s="172"/>
    </row>
    <row r="19452" spans="1:1" s="173" customFormat="1" ht="12" hidden="1" customHeight="1">
      <c r="A19452" s="172"/>
    </row>
    <row r="19453" spans="1:1" s="173" customFormat="1" ht="12" hidden="1" customHeight="1">
      <c r="A19453" s="172"/>
    </row>
    <row r="19454" spans="1:1" s="173" customFormat="1" ht="12" hidden="1" customHeight="1">
      <c r="A19454" s="172"/>
    </row>
    <row r="19455" spans="1:1" s="173" customFormat="1" ht="12" hidden="1" customHeight="1">
      <c r="A19455" s="172"/>
    </row>
    <row r="19456" spans="1:1" s="173" customFormat="1" ht="12" hidden="1" customHeight="1">
      <c r="A19456" s="172"/>
    </row>
    <row r="19457" spans="1:1" s="173" customFormat="1" ht="12" hidden="1" customHeight="1">
      <c r="A19457" s="172"/>
    </row>
    <row r="19458" spans="1:1" s="173" customFormat="1" ht="12" hidden="1" customHeight="1">
      <c r="A19458" s="172"/>
    </row>
    <row r="19459" spans="1:1" s="173" customFormat="1" ht="12" hidden="1" customHeight="1">
      <c r="A19459" s="172"/>
    </row>
    <row r="19460" spans="1:1" s="173" customFormat="1" ht="12" hidden="1" customHeight="1">
      <c r="A19460" s="172"/>
    </row>
    <row r="19461" spans="1:1" s="173" customFormat="1" ht="12" hidden="1" customHeight="1">
      <c r="A19461" s="172"/>
    </row>
    <row r="19462" spans="1:1" s="173" customFormat="1" ht="12" hidden="1" customHeight="1">
      <c r="A19462" s="172"/>
    </row>
    <row r="19463" spans="1:1" s="173" customFormat="1" ht="12" hidden="1" customHeight="1">
      <c r="A19463" s="172"/>
    </row>
    <row r="19464" spans="1:1" s="173" customFormat="1" ht="12" hidden="1" customHeight="1">
      <c r="A19464" s="172"/>
    </row>
    <row r="19465" spans="1:1" s="173" customFormat="1" ht="12" hidden="1" customHeight="1">
      <c r="A19465" s="172"/>
    </row>
    <row r="19466" spans="1:1" s="173" customFormat="1" ht="12" hidden="1" customHeight="1">
      <c r="A19466" s="172"/>
    </row>
    <row r="19467" spans="1:1" s="173" customFormat="1" ht="12" hidden="1" customHeight="1">
      <c r="A19467" s="172"/>
    </row>
    <row r="19468" spans="1:1" s="173" customFormat="1" ht="12" hidden="1" customHeight="1">
      <c r="A19468" s="172"/>
    </row>
    <row r="19469" spans="1:1" s="173" customFormat="1" ht="12" hidden="1" customHeight="1">
      <c r="A19469" s="172"/>
    </row>
    <row r="19470" spans="1:1" s="173" customFormat="1" ht="12" hidden="1" customHeight="1">
      <c r="A19470" s="172"/>
    </row>
    <row r="19471" spans="1:1" s="173" customFormat="1" ht="12" hidden="1" customHeight="1">
      <c r="A19471" s="172"/>
    </row>
    <row r="19472" spans="1:1" s="173" customFormat="1" ht="12" hidden="1" customHeight="1">
      <c r="A19472" s="172"/>
    </row>
    <row r="19473" spans="1:1" s="173" customFormat="1" ht="12" hidden="1" customHeight="1">
      <c r="A19473" s="172"/>
    </row>
    <row r="19474" spans="1:1" s="173" customFormat="1" ht="12" hidden="1" customHeight="1">
      <c r="A19474" s="172"/>
    </row>
    <row r="19475" spans="1:1" s="173" customFormat="1" ht="12" hidden="1" customHeight="1">
      <c r="A19475" s="172"/>
    </row>
    <row r="19476" spans="1:1" s="173" customFormat="1" ht="12" hidden="1" customHeight="1">
      <c r="A19476" s="172"/>
    </row>
    <row r="19477" spans="1:1" s="173" customFormat="1" ht="12" hidden="1" customHeight="1">
      <c r="A19477" s="172"/>
    </row>
    <row r="19478" spans="1:1" s="173" customFormat="1" ht="12" hidden="1" customHeight="1">
      <c r="A19478" s="172"/>
    </row>
    <row r="19479" spans="1:1" s="173" customFormat="1" ht="12" hidden="1" customHeight="1">
      <c r="A19479" s="172"/>
    </row>
    <row r="19480" spans="1:1" s="173" customFormat="1" ht="12" hidden="1" customHeight="1">
      <c r="A19480" s="172"/>
    </row>
    <row r="19481" spans="1:1" s="173" customFormat="1" ht="12" hidden="1" customHeight="1">
      <c r="A19481" s="172"/>
    </row>
    <row r="19482" spans="1:1" s="173" customFormat="1" ht="12" hidden="1" customHeight="1">
      <c r="A19482" s="172"/>
    </row>
    <row r="19483" spans="1:1" s="173" customFormat="1" ht="12" hidden="1" customHeight="1">
      <c r="A19483" s="172"/>
    </row>
    <row r="19484" spans="1:1" s="173" customFormat="1" ht="12" hidden="1" customHeight="1">
      <c r="A19484" s="172"/>
    </row>
    <row r="19485" spans="1:1" s="173" customFormat="1" ht="12" hidden="1" customHeight="1">
      <c r="A19485" s="172"/>
    </row>
    <row r="19486" spans="1:1" s="173" customFormat="1" ht="12" hidden="1" customHeight="1">
      <c r="A19486" s="172"/>
    </row>
    <row r="19487" spans="1:1" s="173" customFormat="1" ht="12" hidden="1" customHeight="1">
      <c r="A19487" s="172"/>
    </row>
    <row r="19488" spans="1:1" s="173" customFormat="1" ht="12" hidden="1" customHeight="1">
      <c r="A19488" s="172"/>
    </row>
    <row r="19489" spans="1:1" s="173" customFormat="1" ht="12" hidden="1" customHeight="1">
      <c r="A19489" s="172"/>
    </row>
    <row r="19490" spans="1:1" s="173" customFormat="1" ht="12" hidden="1" customHeight="1">
      <c r="A19490" s="172"/>
    </row>
    <row r="19491" spans="1:1" s="173" customFormat="1" ht="12" hidden="1" customHeight="1">
      <c r="A19491" s="172"/>
    </row>
    <row r="19492" spans="1:1" s="173" customFormat="1" ht="12" hidden="1" customHeight="1">
      <c r="A19492" s="172"/>
    </row>
    <row r="19493" spans="1:1" s="173" customFormat="1" ht="12" hidden="1" customHeight="1">
      <c r="A19493" s="172"/>
    </row>
    <row r="19494" spans="1:1" s="173" customFormat="1" ht="12" hidden="1" customHeight="1">
      <c r="A19494" s="172"/>
    </row>
    <row r="19495" spans="1:1" s="173" customFormat="1" ht="12" hidden="1" customHeight="1">
      <c r="A19495" s="172"/>
    </row>
    <row r="19496" spans="1:1" s="173" customFormat="1" ht="12" hidden="1" customHeight="1">
      <c r="A19496" s="172"/>
    </row>
    <row r="19497" spans="1:1" s="173" customFormat="1" ht="12" hidden="1" customHeight="1">
      <c r="A19497" s="172"/>
    </row>
    <row r="19498" spans="1:1" s="173" customFormat="1" ht="12" hidden="1" customHeight="1">
      <c r="A19498" s="172"/>
    </row>
    <row r="19499" spans="1:1" s="173" customFormat="1" ht="12" hidden="1" customHeight="1">
      <c r="A19499" s="172"/>
    </row>
    <row r="19500" spans="1:1" s="173" customFormat="1" ht="12" hidden="1" customHeight="1">
      <c r="A19500" s="172"/>
    </row>
    <row r="19501" spans="1:1" s="173" customFormat="1" ht="12" hidden="1" customHeight="1">
      <c r="A19501" s="172"/>
    </row>
    <row r="19502" spans="1:1" s="173" customFormat="1" ht="12" hidden="1" customHeight="1">
      <c r="A19502" s="172"/>
    </row>
    <row r="19503" spans="1:1" s="173" customFormat="1" ht="12" hidden="1" customHeight="1">
      <c r="A19503" s="172"/>
    </row>
    <row r="19504" spans="1:1" s="173" customFormat="1" ht="12" hidden="1" customHeight="1">
      <c r="A19504" s="172"/>
    </row>
    <row r="19505" spans="1:1" s="173" customFormat="1" ht="12" hidden="1" customHeight="1">
      <c r="A19505" s="172"/>
    </row>
    <row r="19506" spans="1:1" s="173" customFormat="1" ht="12" hidden="1" customHeight="1">
      <c r="A19506" s="172"/>
    </row>
    <row r="19507" spans="1:1" s="173" customFormat="1" ht="12" hidden="1" customHeight="1">
      <c r="A19507" s="172"/>
    </row>
    <row r="19508" spans="1:1" s="173" customFormat="1" ht="12" hidden="1" customHeight="1">
      <c r="A19508" s="172"/>
    </row>
    <row r="19509" spans="1:1" s="173" customFormat="1" ht="12" hidden="1" customHeight="1">
      <c r="A19509" s="172"/>
    </row>
    <row r="19510" spans="1:1" s="173" customFormat="1" ht="12" hidden="1" customHeight="1">
      <c r="A19510" s="172"/>
    </row>
    <row r="19511" spans="1:1" s="173" customFormat="1" ht="12" hidden="1" customHeight="1">
      <c r="A19511" s="172"/>
    </row>
    <row r="19512" spans="1:1" s="173" customFormat="1" ht="12" hidden="1" customHeight="1">
      <c r="A19512" s="172"/>
    </row>
    <row r="19513" spans="1:1" s="173" customFormat="1" ht="12" hidden="1" customHeight="1">
      <c r="A19513" s="172"/>
    </row>
    <row r="19514" spans="1:1" s="173" customFormat="1" ht="12" hidden="1" customHeight="1">
      <c r="A19514" s="172"/>
    </row>
    <row r="19515" spans="1:1" s="173" customFormat="1" ht="12" hidden="1" customHeight="1">
      <c r="A19515" s="172"/>
    </row>
    <row r="19516" spans="1:1" s="173" customFormat="1" ht="12" hidden="1" customHeight="1">
      <c r="A19516" s="172"/>
    </row>
    <row r="19517" spans="1:1" s="173" customFormat="1" ht="12" hidden="1" customHeight="1">
      <c r="A19517" s="172"/>
    </row>
    <row r="19518" spans="1:1" s="173" customFormat="1" ht="12" hidden="1" customHeight="1">
      <c r="A19518" s="172"/>
    </row>
    <row r="19519" spans="1:1" s="173" customFormat="1" ht="12" hidden="1" customHeight="1">
      <c r="A19519" s="172"/>
    </row>
    <row r="19520" spans="1:1" s="173" customFormat="1" ht="12" hidden="1" customHeight="1">
      <c r="A19520" s="172"/>
    </row>
    <row r="19521" spans="1:1" s="173" customFormat="1" ht="12" hidden="1" customHeight="1">
      <c r="A19521" s="172"/>
    </row>
    <row r="19522" spans="1:1" s="173" customFormat="1" ht="12" hidden="1" customHeight="1">
      <c r="A19522" s="172"/>
    </row>
    <row r="19523" spans="1:1" s="173" customFormat="1" ht="12" hidden="1" customHeight="1">
      <c r="A19523" s="172"/>
    </row>
    <row r="19524" spans="1:1" s="173" customFormat="1" ht="12" hidden="1" customHeight="1">
      <c r="A19524" s="172"/>
    </row>
    <row r="19525" spans="1:1" s="173" customFormat="1" ht="12" hidden="1" customHeight="1">
      <c r="A19525" s="172"/>
    </row>
    <row r="19526" spans="1:1" s="173" customFormat="1" ht="12" hidden="1" customHeight="1">
      <c r="A19526" s="172"/>
    </row>
    <row r="19527" spans="1:1" s="173" customFormat="1" ht="12" hidden="1" customHeight="1">
      <c r="A19527" s="172"/>
    </row>
    <row r="19528" spans="1:1" s="173" customFormat="1" ht="12" hidden="1" customHeight="1">
      <c r="A19528" s="172"/>
    </row>
    <row r="19529" spans="1:1" s="173" customFormat="1" ht="12" hidden="1" customHeight="1">
      <c r="A19529" s="172"/>
    </row>
    <row r="19530" spans="1:1" s="173" customFormat="1" ht="12" hidden="1" customHeight="1">
      <c r="A19530" s="172"/>
    </row>
    <row r="19531" spans="1:1" s="173" customFormat="1" ht="12" hidden="1" customHeight="1">
      <c r="A19531" s="172"/>
    </row>
    <row r="19532" spans="1:1" s="173" customFormat="1" ht="12" hidden="1" customHeight="1">
      <c r="A19532" s="172"/>
    </row>
    <row r="19533" spans="1:1" s="173" customFormat="1" ht="12" hidden="1" customHeight="1">
      <c r="A19533" s="172"/>
    </row>
    <row r="19534" spans="1:1" s="173" customFormat="1" ht="12" hidden="1" customHeight="1">
      <c r="A19534" s="172"/>
    </row>
    <row r="19535" spans="1:1" s="173" customFormat="1" ht="12" hidden="1" customHeight="1">
      <c r="A19535" s="172"/>
    </row>
    <row r="19536" spans="1:1" s="173" customFormat="1" ht="12" hidden="1" customHeight="1">
      <c r="A19536" s="172"/>
    </row>
    <row r="19537" spans="1:1" s="173" customFormat="1" ht="12" hidden="1" customHeight="1">
      <c r="A19537" s="172"/>
    </row>
    <row r="19538" spans="1:1" s="173" customFormat="1" ht="12" hidden="1" customHeight="1">
      <c r="A19538" s="172"/>
    </row>
    <row r="19539" spans="1:1" s="173" customFormat="1" ht="12" hidden="1" customHeight="1">
      <c r="A19539" s="172"/>
    </row>
    <row r="19540" spans="1:1" s="173" customFormat="1" ht="12" hidden="1" customHeight="1">
      <c r="A19540" s="172"/>
    </row>
    <row r="19541" spans="1:1" s="173" customFormat="1" ht="12" hidden="1" customHeight="1">
      <c r="A19541" s="172"/>
    </row>
    <row r="19542" spans="1:1" s="173" customFormat="1" ht="12" hidden="1" customHeight="1">
      <c r="A19542" s="172"/>
    </row>
    <row r="19543" spans="1:1" s="173" customFormat="1" ht="12" hidden="1" customHeight="1">
      <c r="A19543" s="172"/>
    </row>
    <row r="19544" spans="1:1" s="173" customFormat="1" ht="12" hidden="1" customHeight="1">
      <c r="A19544" s="172"/>
    </row>
    <row r="19545" spans="1:1" s="173" customFormat="1" ht="12" hidden="1" customHeight="1">
      <c r="A19545" s="172"/>
    </row>
    <row r="19546" spans="1:1" s="173" customFormat="1" ht="12" hidden="1" customHeight="1">
      <c r="A19546" s="172"/>
    </row>
    <row r="19547" spans="1:1" s="173" customFormat="1" ht="12" hidden="1" customHeight="1">
      <c r="A19547" s="172"/>
    </row>
    <row r="19548" spans="1:1" s="173" customFormat="1" ht="12" hidden="1" customHeight="1">
      <c r="A19548" s="172"/>
    </row>
    <row r="19549" spans="1:1" s="173" customFormat="1" ht="12" hidden="1" customHeight="1">
      <c r="A19549" s="172"/>
    </row>
    <row r="19550" spans="1:1" s="173" customFormat="1" ht="12" hidden="1" customHeight="1">
      <c r="A19550" s="172"/>
    </row>
    <row r="19551" spans="1:1" s="173" customFormat="1" ht="12" hidden="1" customHeight="1">
      <c r="A19551" s="172"/>
    </row>
    <row r="19552" spans="1:1" s="173" customFormat="1" ht="12" hidden="1" customHeight="1">
      <c r="A19552" s="172"/>
    </row>
    <row r="19553" spans="1:1" s="173" customFormat="1" ht="12" hidden="1" customHeight="1">
      <c r="A19553" s="172"/>
    </row>
    <row r="19554" spans="1:1" s="173" customFormat="1" ht="12" hidden="1" customHeight="1">
      <c r="A19554" s="172"/>
    </row>
    <row r="19555" spans="1:1" s="173" customFormat="1" ht="12" hidden="1" customHeight="1">
      <c r="A19555" s="172"/>
    </row>
    <row r="19556" spans="1:1" s="173" customFormat="1" ht="12" hidden="1" customHeight="1">
      <c r="A19556" s="172"/>
    </row>
    <row r="19557" spans="1:1" s="173" customFormat="1" ht="12" hidden="1" customHeight="1">
      <c r="A19557" s="172"/>
    </row>
    <row r="19558" spans="1:1" s="173" customFormat="1" ht="12" hidden="1" customHeight="1">
      <c r="A19558" s="172"/>
    </row>
    <row r="19559" spans="1:1" s="173" customFormat="1" ht="12" hidden="1" customHeight="1">
      <c r="A19559" s="172"/>
    </row>
    <row r="19560" spans="1:1" s="173" customFormat="1" ht="12" hidden="1" customHeight="1">
      <c r="A19560" s="172"/>
    </row>
    <row r="19561" spans="1:1" s="173" customFormat="1" ht="12" hidden="1" customHeight="1">
      <c r="A19561" s="172"/>
    </row>
    <row r="19562" spans="1:1" s="173" customFormat="1" ht="12" hidden="1" customHeight="1">
      <c r="A19562" s="172"/>
    </row>
    <row r="19563" spans="1:1" s="173" customFormat="1" ht="12" hidden="1" customHeight="1">
      <c r="A19563" s="172"/>
    </row>
    <row r="19564" spans="1:1" s="173" customFormat="1" ht="12" hidden="1" customHeight="1">
      <c r="A19564" s="172"/>
    </row>
    <row r="19565" spans="1:1" s="173" customFormat="1" ht="12" hidden="1" customHeight="1">
      <c r="A19565" s="172"/>
    </row>
    <row r="19566" spans="1:1" s="173" customFormat="1" ht="12" hidden="1" customHeight="1">
      <c r="A19566" s="172"/>
    </row>
    <row r="19567" spans="1:1" s="173" customFormat="1" ht="12" hidden="1" customHeight="1">
      <c r="A19567" s="172"/>
    </row>
    <row r="19568" spans="1:1" s="173" customFormat="1" ht="12" hidden="1" customHeight="1">
      <c r="A19568" s="172"/>
    </row>
    <row r="19569" spans="1:1" s="173" customFormat="1" ht="12" hidden="1" customHeight="1">
      <c r="A19569" s="172"/>
    </row>
    <row r="19570" spans="1:1" s="173" customFormat="1" ht="12" hidden="1" customHeight="1">
      <c r="A19570" s="172"/>
    </row>
    <row r="19571" spans="1:1" s="173" customFormat="1" ht="12" hidden="1" customHeight="1">
      <c r="A19571" s="172"/>
    </row>
    <row r="19572" spans="1:1" s="173" customFormat="1" ht="12" hidden="1" customHeight="1">
      <c r="A19572" s="172"/>
    </row>
    <row r="19573" spans="1:1" s="173" customFormat="1" ht="12" hidden="1" customHeight="1">
      <c r="A19573" s="172"/>
    </row>
    <row r="19574" spans="1:1" s="173" customFormat="1" ht="12" hidden="1" customHeight="1">
      <c r="A19574" s="172"/>
    </row>
    <row r="19575" spans="1:1" s="173" customFormat="1" ht="12" hidden="1" customHeight="1">
      <c r="A19575" s="172"/>
    </row>
    <row r="19576" spans="1:1" s="173" customFormat="1" ht="12" hidden="1" customHeight="1">
      <c r="A19576" s="172"/>
    </row>
    <row r="19577" spans="1:1" s="173" customFormat="1" ht="12" hidden="1" customHeight="1">
      <c r="A19577" s="172"/>
    </row>
    <row r="19578" spans="1:1" s="173" customFormat="1" ht="12" hidden="1" customHeight="1">
      <c r="A19578" s="172"/>
    </row>
    <row r="19579" spans="1:1" s="173" customFormat="1" ht="12" hidden="1" customHeight="1">
      <c r="A19579" s="172"/>
    </row>
    <row r="19580" spans="1:1" s="173" customFormat="1" ht="12" hidden="1" customHeight="1">
      <c r="A19580" s="172"/>
    </row>
    <row r="19581" spans="1:1" s="173" customFormat="1" ht="12" hidden="1" customHeight="1">
      <c r="A19581" s="172"/>
    </row>
    <row r="19582" spans="1:1" s="173" customFormat="1" ht="12" hidden="1" customHeight="1">
      <c r="A19582" s="172"/>
    </row>
    <row r="19583" spans="1:1" s="173" customFormat="1" ht="12" hidden="1" customHeight="1">
      <c r="A19583" s="172"/>
    </row>
    <row r="19584" spans="1:1" s="173" customFormat="1" ht="12" hidden="1" customHeight="1">
      <c r="A19584" s="172"/>
    </row>
    <row r="19585" spans="1:1" s="173" customFormat="1" ht="12" hidden="1" customHeight="1">
      <c r="A19585" s="172"/>
    </row>
    <row r="19586" spans="1:1" s="173" customFormat="1" ht="12" hidden="1" customHeight="1">
      <c r="A19586" s="172"/>
    </row>
    <row r="19587" spans="1:1" s="173" customFormat="1" ht="12" hidden="1" customHeight="1">
      <c r="A19587" s="172"/>
    </row>
    <row r="19588" spans="1:1" s="173" customFormat="1" ht="12" hidden="1" customHeight="1">
      <c r="A19588" s="172"/>
    </row>
    <row r="19589" spans="1:1" s="173" customFormat="1" ht="12" hidden="1" customHeight="1">
      <c r="A19589" s="172"/>
    </row>
    <row r="19590" spans="1:1" s="173" customFormat="1" ht="12" hidden="1" customHeight="1">
      <c r="A19590" s="172"/>
    </row>
    <row r="19591" spans="1:1" s="173" customFormat="1" ht="12" hidden="1" customHeight="1">
      <c r="A19591" s="172"/>
    </row>
    <row r="19592" spans="1:1" s="173" customFormat="1" ht="12" hidden="1" customHeight="1">
      <c r="A19592" s="172"/>
    </row>
    <row r="19593" spans="1:1" s="173" customFormat="1" ht="12" hidden="1" customHeight="1">
      <c r="A19593" s="172"/>
    </row>
    <row r="19594" spans="1:1" s="173" customFormat="1" ht="12" hidden="1" customHeight="1">
      <c r="A19594" s="172"/>
    </row>
    <row r="19595" spans="1:1" s="173" customFormat="1" ht="12" hidden="1" customHeight="1">
      <c r="A19595" s="172"/>
    </row>
    <row r="19596" spans="1:1" s="173" customFormat="1" ht="12" hidden="1" customHeight="1">
      <c r="A19596" s="172"/>
    </row>
    <row r="19597" spans="1:1" s="173" customFormat="1" ht="12" hidden="1" customHeight="1">
      <c r="A19597" s="172"/>
    </row>
    <row r="19598" spans="1:1" s="173" customFormat="1" ht="12" hidden="1" customHeight="1">
      <c r="A19598" s="172"/>
    </row>
    <row r="19599" spans="1:1" s="173" customFormat="1" ht="12" hidden="1" customHeight="1">
      <c r="A19599" s="172"/>
    </row>
    <row r="19600" spans="1:1" s="173" customFormat="1" ht="12" hidden="1" customHeight="1">
      <c r="A19600" s="172"/>
    </row>
    <row r="19601" spans="1:1" s="173" customFormat="1" ht="12" hidden="1" customHeight="1">
      <c r="A19601" s="172"/>
    </row>
    <row r="19602" spans="1:1" s="173" customFormat="1" ht="12" hidden="1" customHeight="1">
      <c r="A19602" s="172"/>
    </row>
    <row r="19603" spans="1:1" s="173" customFormat="1" ht="12" hidden="1" customHeight="1">
      <c r="A19603" s="172"/>
    </row>
    <row r="19604" spans="1:1" s="173" customFormat="1" ht="12" hidden="1" customHeight="1">
      <c r="A19604" s="172"/>
    </row>
    <row r="19605" spans="1:1" s="173" customFormat="1" ht="12" hidden="1" customHeight="1">
      <c r="A19605" s="172"/>
    </row>
    <row r="19606" spans="1:1" s="173" customFormat="1" ht="12" hidden="1" customHeight="1">
      <c r="A19606" s="172"/>
    </row>
    <row r="19607" spans="1:1" s="173" customFormat="1" ht="12" hidden="1" customHeight="1">
      <c r="A19607" s="172"/>
    </row>
    <row r="19608" spans="1:1" s="173" customFormat="1" ht="12" hidden="1" customHeight="1">
      <c r="A19608" s="172"/>
    </row>
    <row r="19609" spans="1:1" s="173" customFormat="1" ht="12" hidden="1" customHeight="1">
      <c r="A19609" s="172"/>
    </row>
    <row r="19610" spans="1:1" s="173" customFormat="1" ht="12" hidden="1" customHeight="1">
      <c r="A19610" s="172"/>
    </row>
    <row r="19611" spans="1:1" s="173" customFormat="1" ht="12" hidden="1" customHeight="1">
      <c r="A19611" s="172"/>
    </row>
    <row r="19612" spans="1:1" s="173" customFormat="1" ht="12" hidden="1" customHeight="1">
      <c r="A19612" s="172"/>
    </row>
    <row r="19613" spans="1:1" s="173" customFormat="1" ht="12" hidden="1" customHeight="1">
      <c r="A19613" s="172"/>
    </row>
    <row r="19614" spans="1:1" s="173" customFormat="1" ht="12" hidden="1" customHeight="1">
      <c r="A19614" s="172"/>
    </row>
    <row r="19615" spans="1:1" s="173" customFormat="1" ht="12" hidden="1" customHeight="1">
      <c r="A19615" s="172"/>
    </row>
    <row r="19616" spans="1:1" s="173" customFormat="1" ht="12" hidden="1" customHeight="1">
      <c r="A19616" s="172"/>
    </row>
    <row r="19617" spans="1:1" s="173" customFormat="1" ht="12" hidden="1" customHeight="1">
      <c r="A19617" s="172"/>
    </row>
    <row r="19618" spans="1:1" s="173" customFormat="1" ht="12" hidden="1" customHeight="1">
      <c r="A19618" s="172"/>
    </row>
    <row r="19619" spans="1:1" s="173" customFormat="1" ht="12" hidden="1" customHeight="1">
      <c r="A19619" s="172"/>
    </row>
    <row r="19620" spans="1:1" s="173" customFormat="1" ht="12" hidden="1" customHeight="1">
      <c r="A19620" s="172"/>
    </row>
    <row r="19621" spans="1:1" s="173" customFormat="1" ht="12" hidden="1" customHeight="1">
      <c r="A19621" s="172"/>
    </row>
    <row r="19622" spans="1:1" s="173" customFormat="1" ht="12" hidden="1" customHeight="1">
      <c r="A19622" s="172"/>
    </row>
    <row r="19623" spans="1:1" s="173" customFormat="1" ht="12" hidden="1" customHeight="1">
      <c r="A19623" s="172"/>
    </row>
    <row r="19624" spans="1:1" s="173" customFormat="1" ht="12" hidden="1" customHeight="1">
      <c r="A19624" s="172"/>
    </row>
    <row r="19625" spans="1:1" s="173" customFormat="1" ht="12" hidden="1" customHeight="1">
      <c r="A19625" s="172"/>
    </row>
    <row r="19626" spans="1:1" s="173" customFormat="1" ht="12" hidden="1" customHeight="1">
      <c r="A19626" s="172"/>
    </row>
    <row r="19627" spans="1:1" s="173" customFormat="1" ht="12" hidden="1" customHeight="1">
      <c r="A19627" s="172"/>
    </row>
    <row r="19628" spans="1:1" s="173" customFormat="1" ht="12" hidden="1" customHeight="1">
      <c r="A19628" s="172"/>
    </row>
    <row r="19629" spans="1:1" s="173" customFormat="1" ht="12" hidden="1" customHeight="1">
      <c r="A19629" s="172"/>
    </row>
    <row r="19630" spans="1:1" s="173" customFormat="1" ht="12" hidden="1" customHeight="1">
      <c r="A19630" s="172"/>
    </row>
    <row r="19631" spans="1:1" s="173" customFormat="1" ht="12" hidden="1" customHeight="1">
      <c r="A19631" s="172"/>
    </row>
    <row r="19632" spans="1:1" s="173" customFormat="1" ht="12" hidden="1" customHeight="1">
      <c r="A19632" s="172"/>
    </row>
    <row r="19633" spans="1:1" s="173" customFormat="1" ht="12" hidden="1" customHeight="1">
      <c r="A19633" s="172"/>
    </row>
    <row r="19634" spans="1:1" s="173" customFormat="1" ht="12" hidden="1" customHeight="1">
      <c r="A19634" s="172"/>
    </row>
    <row r="19635" spans="1:1" s="173" customFormat="1" ht="12" hidden="1" customHeight="1">
      <c r="A19635" s="172"/>
    </row>
    <row r="19636" spans="1:1" s="173" customFormat="1" ht="12" hidden="1" customHeight="1">
      <c r="A19636" s="172"/>
    </row>
    <row r="19637" spans="1:1" s="173" customFormat="1" ht="12" hidden="1" customHeight="1">
      <c r="A19637" s="172"/>
    </row>
    <row r="19638" spans="1:1" s="173" customFormat="1" ht="12" hidden="1" customHeight="1">
      <c r="A19638" s="172"/>
    </row>
    <row r="19639" spans="1:1" s="173" customFormat="1" ht="12" hidden="1" customHeight="1">
      <c r="A19639" s="172"/>
    </row>
    <row r="19640" spans="1:1" s="173" customFormat="1" ht="12" hidden="1" customHeight="1">
      <c r="A19640" s="172"/>
    </row>
    <row r="19641" spans="1:1" s="173" customFormat="1" ht="12" hidden="1" customHeight="1">
      <c r="A19641" s="172"/>
    </row>
    <row r="19642" spans="1:1" s="173" customFormat="1" ht="12" hidden="1" customHeight="1">
      <c r="A19642" s="172"/>
    </row>
    <row r="19643" spans="1:1" s="173" customFormat="1" ht="12" hidden="1" customHeight="1">
      <c r="A19643" s="172"/>
    </row>
    <row r="19644" spans="1:1" s="173" customFormat="1" ht="12" hidden="1" customHeight="1">
      <c r="A19644" s="172"/>
    </row>
    <row r="19645" spans="1:1" s="173" customFormat="1" ht="12" hidden="1" customHeight="1">
      <c r="A19645" s="172"/>
    </row>
    <row r="19646" spans="1:1" s="173" customFormat="1" ht="12" hidden="1" customHeight="1">
      <c r="A19646" s="172"/>
    </row>
    <row r="19647" spans="1:1" s="173" customFormat="1" ht="12" hidden="1" customHeight="1">
      <c r="A19647" s="172"/>
    </row>
    <row r="19648" spans="1:1" s="173" customFormat="1" ht="12" hidden="1" customHeight="1">
      <c r="A19648" s="172"/>
    </row>
    <row r="19649" spans="1:1" s="173" customFormat="1" ht="12" hidden="1" customHeight="1">
      <c r="A19649" s="172"/>
    </row>
    <row r="19650" spans="1:1" s="173" customFormat="1" ht="12" hidden="1" customHeight="1">
      <c r="A19650" s="172"/>
    </row>
    <row r="19651" spans="1:1" s="173" customFormat="1" ht="12" hidden="1" customHeight="1">
      <c r="A19651" s="172"/>
    </row>
    <row r="19652" spans="1:1" s="173" customFormat="1" ht="12" hidden="1" customHeight="1">
      <c r="A19652" s="172"/>
    </row>
    <row r="19653" spans="1:1" s="173" customFormat="1" ht="12" hidden="1" customHeight="1">
      <c r="A19653" s="172"/>
    </row>
    <row r="19654" spans="1:1" s="173" customFormat="1" ht="12" hidden="1" customHeight="1">
      <c r="A19654" s="172"/>
    </row>
    <row r="19655" spans="1:1" s="173" customFormat="1" ht="12" hidden="1" customHeight="1">
      <c r="A19655" s="172"/>
    </row>
    <row r="19656" spans="1:1" s="173" customFormat="1" ht="12" hidden="1" customHeight="1">
      <c r="A19656" s="172"/>
    </row>
    <row r="19657" spans="1:1" s="173" customFormat="1" ht="12" hidden="1" customHeight="1">
      <c r="A19657" s="172"/>
    </row>
    <row r="19658" spans="1:1" s="173" customFormat="1" ht="12" hidden="1" customHeight="1">
      <c r="A19658" s="172"/>
    </row>
    <row r="19659" spans="1:1" s="173" customFormat="1" ht="12" hidden="1" customHeight="1">
      <c r="A19659" s="172"/>
    </row>
    <row r="19660" spans="1:1" s="173" customFormat="1" ht="12" hidden="1" customHeight="1">
      <c r="A19660" s="172"/>
    </row>
    <row r="19661" spans="1:1" s="173" customFormat="1" ht="12" hidden="1" customHeight="1">
      <c r="A19661" s="172"/>
    </row>
    <row r="19662" spans="1:1" s="173" customFormat="1" ht="12" hidden="1" customHeight="1">
      <c r="A19662" s="172"/>
    </row>
    <row r="19663" spans="1:1" s="173" customFormat="1" ht="12" hidden="1" customHeight="1">
      <c r="A19663" s="172"/>
    </row>
    <row r="19664" spans="1:1" s="173" customFormat="1" ht="12" hidden="1" customHeight="1">
      <c r="A19664" s="172"/>
    </row>
    <row r="19665" spans="1:1" s="173" customFormat="1" ht="12" hidden="1" customHeight="1">
      <c r="A19665" s="172"/>
    </row>
    <row r="19666" spans="1:1" s="173" customFormat="1" ht="12" hidden="1" customHeight="1">
      <c r="A19666" s="172"/>
    </row>
    <row r="19667" spans="1:1" s="173" customFormat="1" ht="12" hidden="1" customHeight="1">
      <c r="A19667" s="172"/>
    </row>
    <row r="19668" spans="1:1" s="173" customFormat="1" ht="12" hidden="1" customHeight="1">
      <c r="A19668" s="172"/>
    </row>
    <row r="19669" spans="1:1" s="173" customFormat="1" ht="12" hidden="1" customHeight="1">
      <c r="A19669" s="172"/>
    </row>
    <row r="19670" spans="1:1" s="173" customFormat="1" ht="12" hidden="1" customHeight="1">
      <c r="A19670" s="172"/>
    </row>
    <row r="19671" spans="1:1" s="173" customFormat="1" ht="12" hidden="1" customHeight="1">
      <c r="A19671" s="172"/>
    </row>
    <row r="19672" spans="1:1" s="173" customFormat="1" ht="12" hidden="1" customHeight="1">
      <c r="A19672" s="172"/>
    </row>
    <row r="19673" spans="1:1" s="173" customFormat="1" ht="12" hidden="1" customHeight="1">
      <c r="A19673" s="172"/>
    </row>
    <row r="19674" spans="1:1" s="173" customFormat="1" ht="12" hidden="1" customHeight="1">
      <c r="A19674" s="172"/>
    </row>
    <row r="19675" spans="1:1" s="173" customFormat="1" ht="12" hidden="1" customHeight="1">
      <c r="A19675" s="172"/>
    </row>
    <row r="19676" spans="1:1" s="173" customFormat="1" ht="12" hidden="1" customHeight="1">
      <c r="A19676" s="172"/>
    </row>
    <row r="19677" spans="1:1" s="173" customFormat="1" ht="12" hidden="1" customHeight="1">
      <c r="A19677" s="172"/>
    </row>
    <row r="19678" spans="1:1" s="173" customFormat="1" ht="12" hidden="1" customHeight="1">
      <c r="A19678" s="172"/>
    </row>
    <row r="19679" spans="1:1" s="173" customFormat="1" ht="12" hidden="1" customHeight="1">
      <c r="A19679" s="172"/>
    </row>
    <row r="19680" spans="1:1" s="173" customFormat="1" ht="12" hidden="1" customHeight="1">
      <c r="A19680" s="172"/>
    </row>
    <row r="19681" spans="1:1" s="173" customFormat="1" ht="12" hidden="1" customHeight="1">
      <c r="A19681" s="172"/>
    </row>
    <row r="19682" spans="1:1" s="173" customFormat="1" ht="12" hidden="1" customHeight="1">
      <c r="A19682" s="172"/>
    </row>
    <row r="19683" spans="1:1" s="173" customFormat="1" ht="12" hidden="1" customHeight="1">
      <c r="A19683" s="172"/>
    </row>
    <row r="19684" spans="1:1" s="173" customFormat="1" ht="12" hidden="1" customHeight="1">
      <c r="A19684" s="172"/>
    </row>
    <row r="19685" spans="1:1" s="173" customFormat="1" ht="12" hidden="1" customHeight="1">
      <c r="A19685" s="172"/>
    </row>
    <row r="19686" spans="1:1" s="173" customFormat="1" ht="12" hidden="1" customHeight="1">
      <c r="A19686" s="172"/>
    </row>
    <row r="19687" spans="1:1" s="173" customFormat="1" ht="12" hidden="1" customHeight="1">
      <c r="A19687" s="172"/>
    </row>
    <row r="19688" spans="1:1" s="173" customFormat="1" ht="12" hidden="1" customHeight="1">
      <c r="A19688" s="172"/>
    </row>
    <row r="19689" spans="1:1" s="173" customFormat="1" ht="12" hidden="1" customHeight="1">
      <c r="A19689" s="172"/>
    </row>
    <row r="19690" spans="1:1" s="173" customFormat="1" ht="12" hidden="1" customHeight="1">
      <c r="A19690" s="172"/>
    </row>
    <row r="19691" spans="1:1" s="173" customFormat="1" ht="12" hidden="1" customHeight="1">
      <c r="A19691" s="172"/>
    </row>
    <row r="19692" spans="1:1" s="173" customFormat="1" ht="12" hidden="1" customHeight="1">
      <c r="A19692" s="172"/>
    </row>
    <row r="19693" spans="1:1" s="173" customFormat="1" ht="12" hidden="1" customHeight="1">
      <c r="A19693" s="172"/>
    </row>
    <row r="19694" spans="1:1" s="173" customFormat="1" ht="12" hidden="1" customHeight="1">
      <c r="A19694" s="172"/>
    </row>
    <row r="19695" spans="1:1" s="173" customFormat="1" ht="12" hidden="1" customHeight="1">
      <c r="A19695" s="172"/>
    </row>
    <row r="19696" spans="1:1" s="173" customFormat="1" ht="12" hidden="1" customHeight="1">
      <c r="A19696" s="172"/>
    </row>
    <row r="19697" spans="1:1" s="173" customFormat="1" ht="12" hidden="1" customHeight="1">
      <c r="A19697" s="172"/>
    </row>
    <row r="19698" spans="1:1" s="173" customFormat="1" ht="12" hidden="1" customHeight="1">
      <c r="A19698" s="172"/>
    </row>
    <row r="19699" spans="1:1" s="173" customFormat="1" ht="12" hidden="1" customHeight="1">
      <c r="A19699" s="172"/>
    </row>
    <row r="19700" spans="1:1" s="173" customFormat="1" ht="12" hidden="1" customHeight="1">
      <c r="A19700" s="172"/>
    </row>
    <row r="19701" spans="1:1" s="173" customFormat="1" ht="12" hidden="1" customHeight="1">
      <c r="A19701" s="172"/>
    </row>
    <row r="19702" spans="1:1" s="173" customFormat="1" ht="12" hidden="1" customHeight="1">
      <c r="A19702" s="172"/>
    </row>
    <row r="19703" spans="1:1" s="173" customFormat="1" ht="12" hidden="1" customHeight="1">
      <c r="A19703" s="172"/>
    </row>
    <row r="19704" spans="1:1" s="173" customFormat="1" ht="12" hidden="1" customHeight="1">
      <c r="A19704" s="172"/>
    </row>
    <row r="19705" spans="1:1" s="173" customFormat="1" ht="12" hidden="1" customHeight="1">
      <c r="A19705" s="172"/>
    </row>
    <row r="19706" spans="1:1" s="173" customFormat="1" ht="12" hidden="1" customHeight="1">
      <c r="A19706" s="172"/>
    </row>
    <row r="19707" spans="1:1" s="173" customFormat="1" ht="12" hidden="1" customHeight="1">
      <c r="A19707" s="172"/>
    </row>
    <row r="19708" spans="1:1" s="173" customFormat="1" ht="12" hidden="1" customHeight="1">
      <c r="A19708" s="172"/>
    </row>
    <row r="19709" spans="1:1" s="173" customFormat="1" ht="12" hidden="1" customHeight="1">
      <c r="A19709" s="172"/>
    </row>
    <row r="19710" spans="1:1" s="173" customFormat="1" ht="12" hidden="1" customHeight="1">
      <c r="A19710" s="172"/>
    </row>
    <row r="19711" spans="1:1" s="173" customFormat="1" ht="12" hidden="1" customHeight="1">
      <c r="A19711" s="172"/>
    </row>
    <row r="19712" spans="1:1" s="173" customFormat="1" ht="12" hidden="1" customHeight="1">
      <c r="A19712" s="172"/>
    </row>
    <row r="19713" spans="1:1" s="173" customFormat="1" ht="12" hidden="1" customHeight="1">
      <c r="A19713" s="172"/>
    </row>
    <row r="19714" spans="1:1" s="173" customFormat="1" ht="12" hidden="1" customHeight="1">
      <c r="A19714" s="172"/>
    </row>
    <row r="19715" spans="1:1" s="173" customFormat="1" ht="12" hidden="1" customHeight="1">
      <c r="A19715" s="172"/>
    </row>
    <row r="19716" spans="1:1" s="173" customFormat="1" ht="12" hidden="1" customHeight="1">
      <c r="A19716" s="172"/>
    </row>
    <row r="19717" spans="1:1" s="173" customFormat="1" ht="12" hidden="1" customHeight="1">
      <c r="A19717" s="172"/>
    </row>
    <row r="19718" spans="1:1" s="173" customFormat="1" ht="12" hidden="1" customHeight="1">
      <c r="A19718" s="172"/>
    </row>
    <row r="19719" spans="1:1" s="173" customFormat="1" ht="12" hidden="1" customHeight="1">
      <c r="A19719" s="172"/>
    </row>
    <row r="19720" spans="1:1" s="173" customFormat="1" ht="12" hidden="1" customHeight="1">
      <c r="A19720" s="172"/>
    </row>
    <row r="19721" spans="1:1" s="173" customFormat="1" ht="12" hidden="1" customHeight="1">
      <c r="A19721" s="172"/>
    </row>
    <row r="19722" spans="1:1" s="173" customFormat="1" ht="12" hidden="1" customHeight="1">
      <c r="A19722" s="172"/>
    </row>
    <row r="19723" spans="1:1" s="173" customFormat="1" ht="12" hidden="1" customHeight="1">
      <c r="A19723" s="172"/>
    </row>
    <row r="19724" spans="1:1" s="173" customFormat="1" ht="12" hidden="1" customHeight="1">
      <c r="A19724" s="172"/>
    </row>
    <row r="19725" spans="1:1" s="173" customFormat="1" ht="12" hidden="1" customHeight="1">
      <c r="A19725" s="172"/>
    </row>
    <row r="19726" spans="1:1" s="173" customFormat="1" ht="12" hidden="1" customHeight="1">
      <c r="A19726" s="172"/>
    </row>
    <row r="19727" spans="1:1" s="173" customFormat="1" ht="12" hidden="1" customHeight="1">
      <c r="A19727" s="172"/>
    </row>
    <row r="19728" spans="1:1" s="173" customFormat="1" ht="12" hidden="1" customHeight="1">
      <c r="A19728" s="172"/>
    </row>
    <row r="19729" spans="1:1" s="173" customFormat="1" ht="12" hidden="1" customHeight="1">
      <c r="A19729" s="172"/>
    </row>
    <row r="19730" spans="1:1" s="173" customFormat="1" ht="12" hidden="1" customHeight="1">
      <c r="A19730" s="172"/>
    </row>
    <row r="19731" spans="1:1" s="173" customFormat="1" ht="12" hidden="1" customHeight="1">
      <c r="A19731" s="172"/>
    </row>
    <row r="19732" spans="1:1" s="173" customFormat="1" ht="12" hidden="1" customHeight="1">
      <c r="A19732" s="172"/>
    </row>
    <row r="19733" spans="1:1" s="173" customFormat="1" ht="12" hidden="1" customHeight="1">
      <c r="A19733" s="172"/>
    </row>
    <row r="19734" spans="1:1" s="173" customFormat="1" ht="12" hidden="1" customHeight="1">
      <c r="A19734" s="172"/>
    </row>
    <row r="19735" spans="1:1" s="173" customFormat="1" ht="12" hidden="1" customHeight="1">
      <c r="A19735" s="172"/>
    </row>
    <row r="19736" spans="1:1" s="173" customFormat="1" ht="12" hidden="1" customHeight="1">
      <c r="A19736" s="172"/>
    </row>
    <row r="19737" spans="1:1" s="173" customFormat="1" ht="12" hidden="1" customHeight="1">
      <c r="A19737" s="172"/>
    </row>
    <row r="19738" spans="1:1" s="173" customFormat="1" ht="12" hidden="1" customHeight="1">
      <c r="A19738" s="172"/>
    </row>
    <row r="19739" spans="1:1" s="173" customFormat="1" ht="12" hidden="1" customHeight="1">
      <c r="A19739" s="172"/>
    </row>
    <row r="19740" spans="1:1" s="173" customFormat="1" ht="12" hidden="1" customHeight="1">
      <c r="A19740" s="172"/>
    </row>
    <row r="19741" spans="1:1" s="173" customFormat="1" ht="12" hidden="1" customHeight="1">
      <c r="A19741" s="172"/>
    </row>
    <row r="19742" spans="1:1" s="173" customFormat="1" ht="12" hidden="1" customHeight="1">
      <c r="A19742" s="172"/>
    </row>
    <row r="19743" spans="1:1" s="173" customFormat="1" ht="12" hidden="1" customHeight="1">
      <c r="A19743" s="172"/>
    </row>
    <row r="19744" spans="1:1" s="173" customFormat="1" ht="12" hidden="1" customHeight="1">
      <c r="A19744" s="172"/>
    </row>
    <row r="19745" spans="1:1" s="173" customFormat="1" ht="12" hidden="1" customHeight="1">
      <c r="A19745" s="172"/>
    </row>
    <row r="19746" spans="1:1" s="173" customFormat="1" ht="12" hidden="1" customHeight="1">
      <c r="A19746" s="172"/>
    </row>
    <row r="19747" spans="1:1" s="173" customFormat="1" ht="12" hidden="1" customHeight="1">
      <c r="A19747" s="172"/>
    </row>
    <row r="19748" spans="1:1" s="173" customFormat="1" ht="12" hidden="1" customHeight="1">
      <c r="A19748" s="172"/>
    </row>
    <row r="19749" spans="1:1" s="173" customFormat="1" ht="12" hidden="1" customHeight="1">
      <c r="A19749" s="172"/>
    </row>
    <row r="19750" spans="1:1" s="173" customFormat="1" ht="12" hidden="1" customHeight="1">
      <c r="A19750" s="172"/>
    </row>
    <row r="19751" spans="1:1" s="173" customFormat="1" ht="12" hidden="1" customHeight="1">
      <c r="A19751" s="172"/>
    </row>
    <row r="19752" spans="1:1" s="173" customFormat="1" ht="12" hidden="1" customHeight="1">
      <c r="A19752" s="172"/>
    </row>
    <row r="19753" spans="1:1" s="173" customFormat="1" ht="12" hidden="1" customHeight="1">
      <c r="A19753" s="172"/>
    </row>
    <row r="19754" spans="1:1" s="173" customFormat="1" ht="12" hidden="1" customHeight="1">
      <c r="A19754" s="172"/>
    </row>
    <row r="19755" spans="1:1" s="173" customFormat="1" ht="12" hidden="1" customHeight="1">
      <c r="A19755" s="172"/>
    </row>
    <row r="19756" spans="1:1" s="173" customFormat="1" ht="12" hidden="1" customHeight="1">
      <c r="A19756" s="172"/>
    </row>
    <row r="19757" spans="1:1" s="173" customFormat="1" ht="12" hidden="1" customHeight="1">
      <c r="A19757" s="172"/>
    </row>
    <row r="19758" spans="1:1" s="173" customFormat="1" ht="12" hidden="1" customHeight="1">
      <c r="A19758" s="172"/>
    </row>
    <row r="19759" spans="1:1" s="173" customFormat="1" ht="12" hidden="1" customHeight="1">
      <c r="A19759" s="172"/>
    </row>
    <row r="19760" spans="1:1" s="173" customFormat="1" ht="12" hidden="1" customHeight="1">
      <c r="A19760" s="172"/>
    </row>
    <row r="19761" spans="1:1" s="173" customFormat="1" ht="12" hidden="1" customHeight="1">
      <c r="A19761" s="172"/>
    </row>
    <row r="19762" spans="1:1" s="173" customFormat="1" ht="12" hidden="1" customHeight="1">
      <c r="A19762" s="172"/>
    </row>
    <row r="19763" spans="1:1" s="173" customFormat="1" ht="12" hidden="1" customHeight="1">
      <c r="A19763" s="172"/>
    </row>
    <row r="19764" spans="1:1" s="173" customFormat="1" ht="12" hidden="1" customHeight="1">
      <c r="A19764" s="172"/>
    </row>
    <row r="19765" spans="1:1" s="173" customFormat="1" ht="12" hidden="1" customHeight="1">
      <c r="A19765" s="172"/>
    </row>
    <row r="19766" spans="1:1" s="173" customFormat="1" ht="12" hidden="1" customHeight="1">
      <c r="A19766" s="172"/>
    </row>
    <row r="19767" spans="1:1" s="173" customFormat="1" ht="12" hidden="1" customHeight="1">
      <c r="A19767" s="172"/>
    </row>
    <row r="19768" spans="1:1" s="173" customFormat="1" ht="12" hidden="1" customHeight="1">
      <c r="A19768" s="172"/>
    </row>
    <row r="19769" spans="1:1" s="173" customFormat="1" ht="12" hidden="1" customHeight="1">
      <c r="A19769" s="172"/>
    </row>
    <row r="19770" spans="1:1" s="173" customFormat="1" ht="12" hidden="1" customHeight="1">
      <c r="A19770" s="172"/>
    </row>
    <row r="19771" spans="1:1" s="173" customFormat="1" ht="12" hidden="1" customHeight="1">
      <c r="A19771" s="172"/>
    </row>
    <row r="19772" spans="1:1" s="173" customFormat="1" ht="12" hidden="1" customHeight="1">
      <c r="A19772" s="172"/>
    </row>
    <row r="19773" spans="1:1" s="173" customFormat="1" ht="12" hidden="1" customHeight="1">
      <c r="A19773" s="172"/>
    </row>
    <row r="19774" spans="1:1" s="173" customFormat="1" ht="12" hidden="1" customHeight="1">
      <c r="A19774" s="172"/>
    </row>
    <row r="19775" spans="1:1" s="173" customFormat="1" ht="12" hidden="1" customHeight="1">
      <c r="A19775" s="172"/>
    </row>
    <row r="19776" spans="1:1" s="173" customFormat="1" ht="12" hidden="1" customHeight="1">
      <c r="A19776" s="172"/>
    </row>
    <row r="19777" spans="1:1" s="173" customFormat="1" ht="12" hidden="1" customHeight="1">
      <c r="A19777" s="172"/>
    </row>
    <row r="19778" spans="1:1" s="173" customFormat="1" ht="12" hidden="1" customHeight="1">
      <c r="A19778" s="172"/>
    </row>
    <row r="19779" spans="1:1" s="173" customFormat="1" ht="12" hidden="1" customHeight="1">
      <c r="A19779" s="172"/>
    </row>
    <row r="19780" spans="1:1" s="173" customFormat="1" ht="12" hidden="1" customHeight="1">
      <c r="A19780" s="172"/>
    </row>
    <row r="19781" spans="1:1" s="173" customFormat="1" ht="12" hidden="1" customHeight="1">
      <c r="A19781" s="172"/>
    </row>
    <row r="19782" spans="1:1" s="173" customFormat="1" ht="12" hidden="1" customHeight="1">
      <c r="A19782" s="172"/>
    </row>
    <row r="19783" spans="1:1" s="173" customFormat="1" ht="12" hidden="1" customHeight="1">
      <c r="A19783" s="172"/>
    </row>
    <row r="19784" spans="1:1" s="173" customFormat="1" ht="12" hidden="1" customHeight="1">
      <c r="A19784" s="172"/>
    </row>
    <row r="19785" spans="1:1" s="173" customFormat="1" ht="12" hidden="1" customHeight="1">
      <c r="A19785" s="172"/>
    </row>
    <row r="19786" spans="1:1" s="173" customFormat="1" ht="12" hidden="1" customHeight="1">
      <c r="A19786" s="172"/>
    </row>
    <row r="19787" spans="1:1" s="173" customFormat="1" ht="12" hidden="1" customHeight="1">
      <c r="A19787" s="172"/>
    </row>
    <row r="19788" spans="1:1" s="173" customFormat="1" ht="12" hidden="1" customHeight="1">
      <c r="A19788" s="172"/>
    </row>
    <row r="19789" spans="1:1" s="173" customFormat="1" ht="12" hidden="1" customHeight="1">
      <c r="A19789" s="172"/>
    </row>
    <row r="19790" spans="1:1" s="173" customFormat="1" ht="12" hidden="1" customHeight="1">
      <c r="A19790" s="172"/>
    </row>
    <row r="19791" spans="1:1" s="173" customFormat="1" ht="12" hidden="1" customHeight="1">
      <c r="A19791" s="172"/>
    </row>
    <row r="19792" spans="1:1" s="173" customFormat="1" ht="12" hidden="1" customHeight="1">
      <c r="A19792" s="172"/>
    </row>
    <row r="19793" spans="1:1" s="173" customFormat="1" ht="12" hidden="1" customHeight="1">
      <c r="A19793" s="172"/>
    </row>
    <row r="19794" spans="1:1" s="173" customFormat="1" ht="12" hidden="1" customHeight="1">
      <c r="A19794" s="172"/>
    </row>
    <row r="19795" spans="1:1" s="173" customFormat="1" ht="12" hidden="1" customHeight="1">
      <c r="A19795" s="172"/>
    </row>
    <row r="19796" spans="1:1" s="173" customFormat="1" ht="12" hidden="1" customHeight="1">
      <c r="A19796" s="172"/>
    </row>
    <row r="19797" spans="1:1" s="173" customFormat="1" ht="12" hidden="1" customHeight="1">
      <c r="A19797" s="172"/>
    </row>
    <row r="19798" spans="1:1" s="173" customFormat="1" ht="12" hidden="1" customHeight="1">
      <c r="A19798" s="172"/>
    </row>
    <row r="19799" spans="1:1" s="173" customFormat="1" ht="12" hidden="1" customHeight="1">
      <c r="A19799" s="172"/>
    </row>
    <row r="19800" spans="1:1" s="173" customFormat="1" ht="12" hidden="1" customHeight="1">
      <c r="A19800" s="172"/>
    </row>
    <row r="19801" spans="1:1" s="173" customFormat="1" ht="12" hidden="1" customHeight="1">
      <c r="A19801" s="172"/>
    </row>
    <row r="19802" spans="1:1" s="173" customFormat="1" ht="12" hidden="1" customHeight="1">
      <c r="A19802" s="172"/>
    </row>
    <row r="19803" spans="1:1" s="173" customFormat="1" ht="12" hidden="1" customHeight="1">
      <c r="A19803" s="172"/>
    </row>
    <row r="19804" spans="1:1" s="173" customFormat="1" ht="12" hidden="1" customHeight="1">
      <c r="A19804" s="172"/>
    </row>
    <row r="19805" spans="1:1" s="173" customFormat="1" ht="12" hidden="1" customHeight="1">
      <c r="A19805" s="172"/>
    </row>
    <row r="19806" spans="1:1" s="173" customFormat="1" ht="12" hidden="1" customHeight="1">
      <c r="A19806" s="172"/>
    </row>
    <row r="19807" spans="1:1" s="173" customFormat="1" ht="12" hidden="1" customHeight="1">
      <c r="A19807" s="172"/>
    </row>
    <row r="19808" spans="1:1" s="173" customFormat="1" ht="12" hidden="1" customHeight="1">
      <c r="A19808" s="172"/>
    </row>
    <row r="19809" spans="1:1" s="173" customFormat="1" ht="12" hidden="1" customHeight="1">
      <c r="A19809" s="172"/>
    </row>
    <row r="19810" spans="1:1" s="173" customFormat="1" ht="12" hidden="1" customHeight="1">
      <c r="A19810" s="172"/>
    </row>
    <row r="19811" spans="1:1" s="173" customFormat="1" ht="12" hidden="1" customHeight="1">
      <c r="A19811" s="172"/>
    </row>
    <row r="19812" spans="1:1" s="173" customFormat="1" ht="12" hidden="1" customHeight="1">
      <c r="A19812" s="172"/>
    </row>
    <row r="19813" spans="1:1" s="173" customFormat="1" ht="12" hidden="1" customHeight="1">
      <c r="A19813" s="172"/>
    </row>
    <row r="19814" spans="1:1" s="173" customFormat="1" ht="12" hidden="1" customHeight="1">
      <c r="A19814" s="172"/>
    </row>
    <row r="19815" spans="1:1" s="173" customFormat="1" ht="12" hidden="1" customHeight="1">
      <c r="A19815" s="172"/>
    </row>
    <row r="19816" spans="1:1" s="173" customFormat="1" ht="12" hidden="1" customHeight="1">
      <c r="A19816" s="172"/>
    </row>
    <row r="19817" spans="1:1" s="173" customFormat="1" ht="12" hidden="1" customHeight="1">
      <c r="A19817" s="172"/>
    </row>
    <row r="19818" spans="1:1" s="173" customFormat="1" ht="12" hidden="1" customHeight="1">
      <c r="A19818" s="172"/>
    </row>
    <row r="19819" spans="1:1" s="173" customFormat="1" ht="12" hidden="1" customHeight="1">
      <c r="A19819" s="172"/>
    </row>
    <row r="19820" spans="1:1" s="173" customFormat="1" ht="12" hidden="1" customHeight="1">
      <c r="A19820" s="172"/>
    </row>
    <row r="19821" spans="1:1" s="173" customFormat="1" ht="12" hidden="1" customHeight="1">
      <c r="A19821" s="172"/>
    </row>
    <row r="19822" spans="1:1" s="173" customFormat="1" ht="12" hidden="1" customHeight="1">
      <c r="A19822" s="172"/>
    </row>
    <row r="19823" spans="1:1" s="173" customFormat="1" ht="12" hidden="1" customHeight="1">
      <c r="A19823" s="172"/>
    </row>
    <row r="19824" spans="1:1" s="173" customFormat="1" ht="12" hidden="1" customHeight="1">
      <c r="A19824" s="172"/>
    </row>
    <row r="19825" spans="1:1" s="173" customFormat="1" ht="12" hidden="1" customHeight="1">
      <c r="A19825" s="172"/>
    </row>
    <row r="19826" spans="1:1" s="173" customFormat="1" ht="12" hidden="1" customHeight="1">
      <c r="A19826" s="172"/>
    </row>
    <row r="19827" spans="1:1" s="173" customFormat="1" ht="12" hidden="1" customHeight="1">
      <c r="A19827" s="172"/>
    </row>
    <row r="19828" spans="1:1" s="173" customFormat="1" ht="12" hidden="1" customHeight="1">
      <c r="A19828" s="172"/>
    </row>
    <row r="19829" spans="1:1" s="173" customFormat="1" ht="12" hidden="1" customHeight="1">
      <c r="A19829" s="172"/>
    </row>
    <row r="19830" spans="1:1" s="173" customFormat="1" ht="12" hidden="1" customHeight="1">
      <c r="A19830" s="172"/>
    </row>
    <row r="19831" spans="1:1" s="173" customFormat="1" ht="12" hidden="1" customHeight="1">
      <c r="A19831" s="172"/>
    </row>
    <row r="19832" spans="1:1" s="173" customFormat="1" ht="12" hidden="1" customHeight="1">
      <c r="A19832" s="172"/>
    </row>
    <row r="19833" spans="1:1" s="173" customFormat="1" ht="12" hidden="1" customHeight="1">
      <c r="A19833" s="172"/>
    </row>
    <row r="19834" spans="1:1" s="173" customFormat="1" ht="12" hidden="1" customHeight="1">
      <c r="A19834" s="172"/>
    </row>
    <row r="19835" spans="1:1" s="173" customFormat="1" ht="12" hidden="1" customHeight="1">
      <c r="A19835" s="172"/>
    </row>
    <row r="19836" spans="1:1" s="173" customFormat="1" ht="12" hidden="1" customHeight="1">
      <c r="A19836" s="172"/>
    </row>
    <row r="19837" spans="1:1" s="173" customFormat="1" ht="12" hidden="1" customHeight="1">
      <c r="A19837" s="172"/>
    </row>
    <row r="19838" spans="1:1" s="173" customFormat="1" ht="12" hidden="1" customHeight="1">
      <c r="A19838" s="172"/>
    </row>
    <row r="19839" spans="1:1" s="173" customFormat="1" ht="12" hidden="1" customHeight="1">
      <c r="A19839" s="172"/>
    </row>
    <row r="19840" spans="1:1" s="173" customFormat="1" ht="12" hidden="1" customHeight="1">
      <c r="A19840" s="172"/>
    </row>
    <row r="19841" spans="1:1" s="173" customFormat="1" ht="12" hidden="1" customHeight="1">
      <c r="A19841" s="172"/>
    </row>
    <row r="19842" spans="1:1" s="173" customFormat="1" ht="12" hidden="1" customHeight="1">
      <c r="A19842" s="172"/>
    </row>
    <row r="19843" spans="1:1" s="173" customFormat="1" ht="12" hidden="1" customHeight="1">
      <c r="A19843" s="172"/>
    </row>
    <row r="19844" spans="1:1" s="173" customFormat="1" ht="12" hidden="1" customHeight="1">
      <c r="A19844" s="172"/>
    </row>
    <row r="19845" spans="1:1" s="173" customFormat="1" ht="12" hidden="1" customHeight="1">
      <c r="A19845" s="172"/>
    </row>
    <row r="19846" spans="1:1" s="173" customFormat="1" ht="12" hidden="1" customHeight="1">
      <c r="A19846" s="172"/>
    </row>
    <row r="19847" spans="1:1" s="173" customFormat="1" ht="12" hidden="1" customHeight="1">
      <c r="A19847" s="172"/>
    </row>
    <row r="19848" spans="1:1" s="173" customFormat="1" ht="12" hidden="1" customHeight="1">
      <c r="A19848" s="172"/>
    </row>
    <row r="19849" spans="1:1" s="173" customFormat="1" ht="12" hidden="1" customHeight="1">
      <c r="A19849" s="172"/>
    </row>
    <row r="19850" spans="1:1" s="173" customFormat="1" ht="12" hidden="1" customHeight="1">
      <c r="A19850" s="172"/>
    </row>
    <row r="19851" spans="1:1" s="173" customFormat="1" ht="12" hidden="1" customHeight="1">
      <c r="A19851" s="172"/>
    </row>
    <row r="19852" spans="1:1" s="173" customFormat="1" ht="12" hidden="1" customHeight="1">
      <c r="A19852" s="172"/>
    </row>
    <row r="19853" spans="1:1" s="173" customFormat="1" ht="12" hidden="1" customHeight="1">
      <c r="A19853" s="172"/>
    </row>
    <row r="19854" spans="1:1" s="173" customFormat="1" ht="12" hidden="1" customHeight="1">
      <c r="A19854" s="172"/>
    </row>
    <row r="19855" spans="1:1" s="173" customFormat="1" ht="12" hidden="1" customHeight="1">
      <c r="A19855" s="172"/>
    </row>
    <row r="19856" spans="1:1" s="173" customFormat="1" ht="12" hidden="1" customHeight="1">
      <c r="A19856" s="172"/>
    </row>
    <row r="19857" spans="1:1" s="173" customFormat="1" ht="12" hidden="1" customHeight="1">
      <c r="A19857" s="172"/>
    </row>
    <row r="19858" spans="1:1" s="173" customFormat="1" ht="12" hidden="1" customHeight="1">
      <c r="A19858" s="172"/>
    </row>
    <row r="19859" spans="1:1" s="173" customFormat="1" ht="12" hidden="1" customHeight="1">
      <c r="A19859" s="172"/>
    </row>
    <row r="19860" spans="1:1" s="173" customFormat="1" ht="12" hidden="1" customHeight="1">
      <c r="A19860" s="172"/>
    </row>
    <row r="19861" spans="1:1" s="173" customFormat="1" ht="12" hidden="1" customHeight="1">
      <c r="A19861" s="172"/>
    </row>
    <row r="19862" spans="1:1" s="173" customFormat="1" ht="12" hidden="1" customHeight="1">
      <c r="A19862" s="172"/>
    </row>
    <row r="19863" spans="1:1" s="173" customFormat="1" ht="12" hidden="1" customHeight="1">
      <c r="A19863" s="172"/>
    </row>
    <row r="19864" spans="1:1" s="173" customFormat="1" ht="12" hidden="1" customHeight="1">
      <c r="A19864" s="172"/>
    </row>
    <row r="19865" spans="1:1" s="173" customFormat="1" ht="12" hidden="1" customHeight="1">
      <c r="A19865" s="172"/>
    </row>
    <row r="19866" spans="1:1" s="173" customFormat="1" ht="12" hidden="1" customHeight="1">
      <c r="A19866" s="172"/>
    </row>
    <row r="19867" spans="1:1" s="173" customFormat="1" ht="12" hidden="1" customHeight="1">
      <c r="A19867" s="172"/>
    </row>
    <row r="19868" spans="1:1" s="173" customFormat="1" ht="12" hidden="1" customHeight="1">
      <c r="A19868" s="172"/>
    </row>
    <row r="19869" spans="1:1" s="173" customFormat="1" ht="12" hidden="1" customHeight="1">
      <c r="A19869" s="172"/>
    </row>
    <row r="19870" spans="1:1" s="173" customFormat="1" ht="12" hidden="1" customHeight="1">
      <c r="A19870" s="172"/>
    </row>
    <row r="19871" spans="1:1" s="173" customFormat="1" ht="12" hidden="1" customHeight="1">
      <c r="A19871" s="172"/>
    </row>
    <row r="19872" spans="1:1" s="173" customFormat="1" ht="12" hidden="1" customHeight="1">
      <c r="A19872" s="172"/>
    </row>
    <row r="19873" spans="1:1" s="173" customFormat="1" ht="12" hidden="1" customHeight="1">
      <c r="A19873" s="172"/>
    </row>
    <row r="19874" spans="1:1" s="173" customFormat="1" ht="12" hidden="1" customHeight="1">
      <c r="A19874" s="172"/>
    </row>
    <row r="19875" spans="1:1" s="173" customFormat="1" ht="12" hidden="1" customHeight="1">
      <c r="A19875" s="172"/>
    </row>
    <row r="19876" spans="1:1" s="173" customFormat="1" ht="12" hidden="1" customHeight="1">
      <c r="A19876" s="172"/>
    </row>
    <row r="19877" spans="1:1" s="173" customFormat="1" ht="12" hidden="1" customHeight="1">
      <c r="A19877" s="172"/>
    </row>
    <row r="19878" spans="1:1" s="173" customFormat="1" ht="12" hidden="1" customHeight="1">
      <c r="A19878" s="172"/>
    </row>
    <row r="19879" spans="1:1" s="173" customFormat="1" ht="12" hidden="1" customHeight="1">
      <c r="A19879" s="172"/>
    </row>
    <row r="19880" spans="1:1" s="173" customFormat="1" ht="12" hidden="1" customHeight="1">
      <c r="A19880" s="172"/>
    </row>
    <row r="19881" spans="1:1" s="173" customFormat="1" ht="12" hidden="1" customHeight="1">
      <c r="A19881" s="172"/>
    </row>
    <row r="19882" spans="1:1" s="173" customFormat="1" ht="12" hidden="1" customHeight="1">
      <c r="A19882" s="172"/>
    </row>
    <row r="19883" spans="1:1" s="173" customFormat="1" ht="12" hidden="1" customHeight="1">
      <c r="A19883" s="172"/>
    </row>
    <row r="19884" spans="1:1" s="173" customFormat="1" ht="12" hidden="1" customHeight="1">
      <c r="A19884" s="172"/>
    </row>
    <row r="19885" spans="1:1" s="173" customFormat="1" ht="12" hidden="1" customHeight="1">
      <c r="A19885" s="172"/>
    </row>
    <row r="19886" spans="1:1" s="173" customFormat="1" ht="12" hidden="1" customHeight="1">
      <c r="A19886" s="172"/>
    </row>
    <row r="19887" spans="1:1" s="173" customFormat="1" ht="12" hidden="1" customHeight="1">
      <c r="A19887" s="172"/>
    </row>
    <row r="19888" spans="1:1" s="173" customFormat="1" ht="12" hidden="1" customHeight="1">
      <c r="A19888" s="172"/>
    </row>
    <row r="19889" spans="1:1" s="173" customFormat="1" ht="12" hidden="1" customHeight="1">
      <c r="A19889" s="172"/>
    </row>
    <row r="19890" spans="1:1" s="173" customFormat="1" ht="12" hidden="1" customHeight="1">
      <c r="A19890" s="172"/>
    </row>
    <row r="19891" spans="1:1" s="173" customFormat="1" ht="12" hidden="1" customHeight="1">
      <c r="A19891" s="172"/>
    </row>
    <row r="19892" spans="1:1" s="173" customFormat="1" ht="12" hidden="1" customHeight="1">
      <c r="A19892" s="172"/>
    </row>
    <row r="19893" spans="1:1" s="173" customFormat="1" ht="12" hidden="1" customHeight="1">
      <c r="A19893" s="172"/>
    </row>
    <row r="19894" spans="1:1" s="173" customFormat="1" ht="12" hidden="1" customHeight="1">
      <c r="A19894" s="172"/>
    </row>
    <row r="19895" spans="1:1" s="173" customFormat="1" ht="12" hidden="1" customHeight="1">
      <c r="A19895" s="172"/>
    </row>
    <row r="19896" spans="1:1" s="173" customFormat="1" ht="12" hidden="1" customHeight="1">
      <c r="A19896" s="172"/>
    </row>
    <row r="19897" spans="1:1" s="173" customFormat="1" ht="12" hidden="1" customHeight="1">
      <c r="A19897" s="172"/>
    </row>
    <row r="19898" spans="1:1" s="173" customFormat="1" ht="12" hidden="1" customHeight="1">
      <c r="A19898" s="172"/>
    </row>
    <row r="19899" spans="1:1" s="173" customFormat="1" ht="12" hidden="1" customHeight="1">
      <c r="A19899" s="172"/>
    </row>
    <row r="19900" spans="1:1" s="173" customFormat="1" ht="12" hidden="1" customHeight="1">
      <c r="A19900" s="172"/>
    </row>
    <row r="19901" spans="1:1" s="173" customFormat="1" ht="12" hidden="1" customHeight="1">
      <c r="A19901" s="172"/>
    </row>
    <row r="19902" spans="1:1" s="173" customFormat="1" ht="12" hidden="1" customHeight="1">
      <c r="A19902" s="172"/>
    </row>
    <row r="19903" spans="1:1" s="173" customFormat="1" ht="12" hidden="1" customHeight="1">
      <c r="A19903" s="172"/>
    </row>
    <row r="19904" spans="1:1" s="173" customFormat="1" ht="12" hidden="1" customHeight="1">
      <c r="A19904" s="172"/>
    </row>
    <row r="19905" spans="1:185" s="173" customFormat="1" ht="12" hidden="1" customHeight="1">
      <c r="A19905" s="172"/>
    </row>
    <row r="19906" spans="1:185" s="173" customFormat="1" ht="12" hidden="1" customHeight="1">
      <c r="A19906" s="172"/>
    </row>
    <row r="19907" spans="1:185" s="173" customFormat="1" ht="12" hidden="1" customHeight="1">
      <c r="A19907" s="172"/>
    </row>
    <row r="19908" spans="1:185" s="173" customFormat="1" ht="12" hidden="1" customHeight="1">
      <c r="A19908" s="172"/>
    </row>
    <row r="19909" spans="1:185" s="173" customFormat="1" ht="12" hidden="1" customHeight="1">
      <c r="A19909" s="172"/>
    </row>
    <row r="19910" spans="1:185" s="173" customFormat="1" ht="12" hidden="1" customHeight="1">
      <c r="A19910" s="172"/>
    </row>
    <row r="19911" spans="1:185" s="173" customFormat="1" ht="12" hidden="1" customHeight="1">
      <c r="A19911" s="172"/>
    </row>
    <row r="19912" spans="1:185" s="173" customFormat="1" ht="12" hidden="1" customHeight="1">
      <c r="A19912" s="172"/>
    </row>
    <row r="19913" spans="1:185" s="173" customFormat="1" ht="12" hidden="1" customHeight="1">
      <c r="A19913" s="172"/>
    </row>
    <row r="19914" spans="1:185" ht="13" hidden="1">
      <c r="A19914" s="172"/>
      <c r="B19914" s="173"/>
      <c r="C19914" s="173"/>
      <c r="D19914" s="173"/>
      <c r="E19914" s="173"/>
      <c r="F19914" s="173"/>
      <c r="G19914" s="173"/>
      <c r="H19914" s="173"/>
      <c r="I19914" s="173"/>
      <c r="J19914" s="173"/>
      <c r="K19914" s="173"/>
      <c r="L19914" s="173"/>
      <c r="M19914" s="173"/>
      <c r="N19914" s="173"/>
      <c r="O19914" s="173"/>
      <c r="P19914" s="173"/>
      <c r="Q19914" s="173"/>
      <c r="R19914" s="173"/>
      <c r="S19914" s="173"/>
      <c r="T19914" s="173"/>
      <c r="U19914" s="173"/>
      <c r="V19914" s="173"/>
      <c r="W19914" s="173"/>
      <c r="X19914" s="173"/>
      <c r="Y19914" s="173"/>
      <c r="Z19914" s="173"/>
      <c r="AA19914" s="173"/>
      <c r="AB19914" s="173"/>
      <c r="AC19914" s="173"/>
      <c r="AD19914" s="173"/>
      <c r="AE19914" s="173"/>
      <c r="AF19914" s="173"/>
      <c r="AG19914" s="173"/>
      <c r="AH19914" s="173"/>
      <c r="AI19914" s="173"/>
      <c r="AJ19914" s="173"/>
      <c r="AK19914" s="173"/>
      <c r="AL19914" s="173"/>
      <c r="AM19914" s="173"/>
      <c r="AN19914" s="173"/>
      <c r="AO19914" s="173"/>
      <c r="AP19914" s="173"/>
      <c r="AQ19914" s="173"/>
      <c r="AR19914" s="173"/>
      <c r="AS19914" s="173"/>
      <c r="AT19914" s="173"/>
      <c r="AU19914" s="173"/>
      <c r="AV19914" s="173"/>
      <c r="AW19914" s="173"/>
      <c r="AX19914" s="173"/>
      <c r="AY19914" s="173"/>
      <c r="AZ19914" s="173"/>
      <c r="BA19914" s="173"/>
      <c r="BB19914" s="173"/>
      <c r="BC19914" s="173"/>
      <c r="BD19914" s="173"/>
      <c r="BE19914" s="173"/>
      <c r="BF19914" s="173"/>
      <c r="BG19914" s="173"/>
      <c r="BH19914" s="173"/>
      <c r="BI19914" s="173"/>
      <c r="BJ19914" s="173"/>
      <c r="BK19914" s="173"/>
      <c r="BL19914" s="173"/>
      <c r="BM19914" s="173"/>
      <c r="BN19914" s="173"/>
      <c r="BO19914" s="173"/>
      <c r="BP19914" s="173"/>
      <c r="BQ19914" s="173"/>
      <c r="BR19914" s="173"/>
      <c r="BS19914" s="173"/>
      <c r="BT19914" s="173"/>
      <c r="BU19914" s="173"/>
      <c r="BV19914" s="173"/>
      <c r="BW19914" s="173"/>
      <c r="BX19914" s="173"/>
      <c r="BY19914" s="173"/>
      <c r="BZ19914" s="173"/>
      <c r="CA19914" s="173"/>
      <c r="CB19914" s="173"/>
      <c r="CC19914" s="173"/>
      <c r="CD19914" s="173"/>
      <c r="CE19914" s="173"/>
      <c r="CF19914" s="173"/>
      <c r="CG19914" s="173"/>
      <c r="CH19914" s="173"/>
      <c r="CI19914" s="173"/>
      <c r="CJ19914" s="173"/>
      <c r="CK19914" s="173"/>
      <c r="CL19914" s="173"/>
      <c r="CM19914" s="173"/>
      <c r="CN19914" s="173"/>
      <c r="CO19914" s="173"/>
      <c r="CP19914" s="173"/>
      <c r="CQ19914" s="173"/>
      <c r="CR19914" s="173"/>
      <c r="CS19914" s="173"/>
      <c r="CT19914" s="173"/>
      <c r="CU19914" s="173"/>
      <c r="CV19914" s="173"/>
      <c r="CW19914" s="173"/>
      <c r="CX19914" s="173"/>
      <c r="CY19914" s="173"/>
      <c r="CZ19914" s="173"/>
      <c r="DA19914" s="173"/>
      <c r="DB19914" s="173"/>
      <c r="DC19914" s="173"/>
      <c r="DD19914" s="173"/>
      <c r="DE19914" s="173"/>
      <c r="DF19914" s="173"/>
      <c r="DG19914" s="173"/>
      <c r="DH19914" s="173"/>
      <c r="DI19914" s="173"/>
      <c r="DJ19914" s="173"/>
      <c r="DK19914" s="173"/>
      <c r="DL19914" s="173"/>
      <c r="DM19914" s="173"/>
      <c r="DN19914" s="173"/>
      <c r="DO19914" s="173"/>
      <c r="DP19914" s="173"/>
      <c r="DQ19914" s="173"/>
      <c r="DR19914" s="173"/>
      <c r="DS19914" s="173"/>
      <c r="DT19914" s="173"/>
      <c r="DU19914" s="173"/>
      <c r="DV19914" s="173"/>
      <c r="DW19914" s="173"/>
      <c r="DX19914" s="173"/>
      <c r="DY19914" s="173"/>
      <c r="DZ19914" s="173"/>
      <c r="EA19914" s="173"/>
      <c r="EB19914" s="173"/>
      <c r="EC19914" s="173"/>
      <c r="ED19914" s="173"/>
      <c r="EE19914" s="173"/>
      <c r="EF19914" s="173"/>
      <c r="EG19914" s="173"/>
      <c r="EH19914" s="173"/>
      <c r="EI19914" s="173"/>
      <c r="EJ19914" s="173"/>
      <c r="EK19914" s="173"/>
      <c r="EL19914" s="173"/>
      <c r="EM19914" s="173"/>
      <c r="EN19914" s="173"/>
      <c r="EO19914" s="173"/>
      <c r="EP19914" s="173"/>
      <c r="EQ19914" s="173"/>
      <c r="ER19914" s="173"/>
      <c r="ES19914" s="173"/>
      <c r="ET19914" s="173"/>
      <c r="EU19914" s="173"/>
      <c r="EV19914" s="173"/>
      <c r="EW19914" s="173"/>
      <c r="EX19914" s="173"/>
      <c r="EY19914" s="173"/>
      <c r="EZ19914" s="173"/>
      <c r="FA19914" s="173"/>
      <c r="FB19914" s="173"/>
      <c r="FC19914" s="173"/>
      <c r="FD19914" s="173"/>
      <c r="FE19914" s="173"/>
      <c r="FF19914" s="173"/>
      <c r="FG19914" s="173"/>
      <c r="FH19914" s="173"/>
      <c r="FI19914" s="173"/>
      <c r="FJ19914" s="173"/>
      <c r="FK19914" s="173"/>
      <c r="FL19914" s="173"/>
      <c r="FM19914" s="173"/>
      <c r="FN19914" s="173"/>
      <c r="FO19914" s="173"/>
      <c r="FP19914" s="173"/>
      <c r="FQ19914" s="173"/>
      <c r="FR19914" s="173"/>
      <c r="FS19914" s="173"/>
      <c r="FT19914" s="173"/>
      <c r="FU19914" s="173"/>
      <c r="FV19914" s="173"/>
      <c r="FW19914" s="173"/>
      <c r="FX19914" s="173"/>
      <c r="FY19914" s="173"/>
      <c r="FZ19914" s="173"/>
      <c r="GA19914" s="173"/>
      <c r="GB19914" s="173"/>
      <c r="GC19914" s="173"/>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5" zeroHeight="1"/>
  <cols>
    <col min="1" max="1" width="3.7265625" style="5" customWidth="1"/>
    <col min="2" max="2" width="13.7265625" style="5" customWidth="1"/>
    <col min="3" max="3" width="2.7265625" style="5" customWidth="1"/>
    <col min="4" max="5" width="3.7265625" style="3" customWidth="1"/>
    <col min="6" max="6" width="65.7265625" style="3" customWidth="1"/>
    <col min="7" max="7" width="1.7265625" style="3" customWidth="1"/>
    <col min="8" max="8" width="3.7265625" hidden="1" customWidth="1"/>
    <col min="9" max="9" width="14" hidden="1" customWidth="1"/>
    <col min="10" max="16384" width="8.81640625" hidden="1"/>
  </cols>
  <sheetData>
    <row r="1" spans="1:9">
      <c r="A1" s="1148"/>
      <c r="B1" s="1148"/>
      <c r="C1" s="1148"/>
      <c r="D1" s="2"/>
      <c r="E1" s="2"/>
      <c r="F1" s="2"/>
      <c r="G1" s="2"/>
    </row>
    <row r="2" spans="1:9" ht="13">
      <c r="A2" s="1255" t="s">
        <v>292</v>
      </c>
      <c r="B2" s="1255"/>
      <c r="C2" s="1230"/>
      <c r="D2" s="1230"/>
      <c r="E2" s="1230"/>
      <c r="F2" s="1230"/>
      <c r="G2" s="1230"/>
    </row>
    <row r="3" spans="1:9" s="97" customFormat="1" ht="13">
      <c r="A3" s="1255" t="s">
        <v>293</v>
      </c>
      <c r="B3" s="1255"/>
      <c r="C3" s="1230"/>
      <c r="D3" s="1230"/>
      <c r="E3" s="1230"/>
      <c r="F3" s="1230"/>
      <c r="G3" s="1230"/>
      <c r="I3" t="s">
        <v>294</v>
      </c>
    </row>
    <row r="4" spans="1:9">
      <c r="A4" s="1148"/>
      <c r="B4" s="1148"/>
      <c r="C4" s="1148"/>
      <c r="D4" s="2"/>
      <c r="E4" s="2"/>
      <c r="F4" s="2"/>
      <c r="G4" s="2"/>
      <c r="I4" s="2" t="s">
        <v>295</v>
      </c>
    </row>
    <row r="5" spans="1:9" ht="13">
      <c r="A5" s="1257" t="s">
        <v>296</v>
      </c>
      <c r="B5" s="1257"/>
      <c r="C5" s="1230"/>
      <c r="D5" s="1230"/>
      <c r="E5" s="1230"/>
      <c r="F5" s="1230"/>
      <c r="G5" s="1230"/>
      <c r="I5" s="2" t="s">
        <v>297</v>
      </c>
    </row>
    <row r="6" spans="1:9" ht="13">
      <c r="A6" s="1257" t="s">
        <v>298</v>
      </c>
      <c r="B6" s="1257"/>
      <c r="C6" s="1230"/>
      <c r="D6" s="1230"/>
      <c r="E6" s="1230"/>
      <c r="F6" s="1230"/>
      <c r="G6" s="1230"/>
      <c r="I6" t="s">
        <v>299</v>
      </c>
    </row>
    <row r="7" spans="1:9" ht="12" customHeight="1">
      <c r="A7" s="1148"/>
      <c r="B7" s="1148"/>
      <c r="C7" s="1148"/>
      <c r="D7" s="2"/>
      <c r="E7" s="2"/>
      <c r="F7" s="2"/>
      <c r="G7" s="2"/>
    </row>
    <row r="8" spans="1:9" ht="13">
      <c r="A8" s="1255" t="s">
        <v>300</v>
      </c>
      <c r="B8" s="1255"/>
      <c r="C8" s="1256"/>
      <c r="D8" s="1256"/>
      <c r="E8" s="1256"/>
      <c r="F8" s="1256"/>
      <c r="G8" s="1256"/>
    </row>
    <row r="9" spans="1:9" ht="13">
      <c r="A9" s="1255" t="s">
        <v>301</v>
      </c>
      <c r="B9" s="1255"/>
      <c r="C9" s="1256"/>
      <c r="D9" s="1256"/>
      <c r="E9" s="1256"/>
      <c r="F9" s="1256"/>
      <c r="G9" s="1256"/>
    </row>
    <row r="10" spans="1:9" ht="13">
      <c r="A10" s="1117"/>
      <c r="B10" s="1117"/>
      <c r="C10" s="1125"/>
      <c r="D10" s="1125"/>
      <c r="E10" s="1125"/>
      <c r="F10" s="1125"/>
      <c r="G10" s="2"/>
    </row>
    <row r="11" spans="1:9" ht="13">
      <c r="A11" s="1237" t="s">
        <v>302</v>
      </c>
      <c r="B11" s="1237"/>
      <c r="C11" s="1237"/>
      <c r="D11" s="1237"/>
      <c r="E11" s="1237"/>
      <c r="F11" s="1237"/>
      <c r="G11" s="1237"/>
    </row>
    <row r="12" spans="1:9" ht="13">
      <c r="A12" s="1125"/>
      <c r="B12" s="1125"/>
      <c r="C12" s="1148"/>
      <c r="D12" s="2"/>
      <c r="E12" s="1"/>
      <c r="F12" s="2"/>
      <c r="G12" s="2"/>
    </row>
    <row r="13" spans="1:9" ht="13.4" customHeight="1">
      <c r="A13" s="1148"/>
      <c r="B13" s="1148"/>
      <c r="C13" s="1125"/>
      <c r="D13" s="1268" t="s">
        <v>303</v>
      </c>
      <c r="E13" s="1268"/>
      <c r="F13" s="1268"/>
      <c r="G13" s="2"/>
    </row>
    <row r="14" spans="1:9" ht="13">
      <c r="A14" s="1148"/>
      <c r="B14" s="1148"/>
      <c r="C14" s="1125"/>
      <c r="D14" s="1268"/>
      <c r="E14" s="1268"/>
      <c r="F14" s="1268"/>
      <c r="G14" s="2"/>
    </row>
    <row r="15" spans="1:9" ht="13">
      <c r="A15" s="98"/>
      <c r="B15" s="98"/>
      <c r="C15" s="98"/>
      <c r="D15" s="1233" t="s">
        <v>304</v>
      </c>
      <c r="E15" s="1233"/>
      <c r="F15" s="1233"/>
      <c r="G15" s="2"/>
    </row>
    <row r="16" spans="1:9" ht="13">
      <c r="A16" s="98"/>
      <c r="B16" s="98"/>
      <c r="C16" s="98"/>
      <c r="D16" s="118"/>
      <c r="E16" s="2"/>
      <c r="F16" s="2"/>
      <c r="G16" s="2"/>
    </row>
    <row r="17" spans="1:6" ht="13">
      <c r="A17" s="99"/>
      <c r="B17" s="1029" t="s">
        <v>294</v>
      </c>
      <c r="C17" s="98"/>
      <c r="D17" s="1222" t="s">
        <v>305</v>
      </c>
      <c r="E17" s="1222"/>
      <c r="F17" s="1222"/>
    </row>
    <row r="18" spans="1:6" ht="13">
      <c r="A18" s="98"/>
      <c r="B18" s="98"/>
      <c r="C18" s="98"/>
      <c r="D18" s="1222"/>
      <c r="E18" s="1222"/>
      <c r="F18" s="1222"/>
    </row>
    <row r="19" spans="1:6" ht="13">
      <c r="A19" s="98"/>
      <c r="B19" s="98"/>
      <c r="C19" s="98"/>
      <c r="D19" s="1222"/>
      <c r="E19" s="1222"/>
      <c r="F19" s="1222"/>
    </row>
    <row r="20" spans="1:6" ht="13">
      <c r="A20" s="98"/>
      <c r="B20" s="98"/>
      <c r="C20" s="98"/>
      <c r="D20" s="2"/>
      <c r="E20" s="2"/>
      <c r="F20" s="2"/>
    </row>
    <row r="21" spans="1:6" ht="13">
      <c r="A21" s="99"/>
      <c r="B21" s="1029" t="s">
        <v>294</v>
      </c>
      <c r="C21" s="1148"/>
      <c r="D21" s="1253" t="s">
        <v>306</v>
      </c>
      <c r="E21" s="1253"/>
      <c r="F21" s="1253"/>
    </row>
    <row r="22" spans="1:6" ht="13">
      <c r="A22" s="99"/>
      <c r="B22" s="99"/>
      <c r="C22" s="1148"/>
      <c r="D22" s="68"/>
      <c r="E22" s="2"/>
      <c r="F22" s="2"/>
    </row>
    <row r="23" spans="1:6" ht="13">
      <c r="A23" s="99"/>
      <c r="B23" s="1029" t="s">
        <v>294</v>
      </c>
      <c r="C23" s="1148"/>
      <c r="D23" s="1222" t="s">
        <v>307</v>
      </c>
      <c r="E23" s="1222"/>
      <c r="F23" s="1222"/>
    </row>
    <row r="24" spans="1:6" ht="13">
      <c r="A24" s="99"/>
      <c r="B24" s="99"/>
      <c r="C24" s="1148"/>
      <c r="D24" s="1222"/>
      <c r="E24" s="1222"/>
      <c r="F24" s="1222"/>
    </row>
    <row r="25" spans="1:6">
      <c r="A25" s="1148"/>
      <c r="B25" s="1148"/>
      <c r="C25" s="1148"/>
      <c r="D25" s="2"/>
      <c r="E25" s="2"/>
      <c r="F25" s="2"/>
    </row>
    <row r="26" spans="1:6" ht="13">
      <c r="A26" s="99"/>
      <c r="B26" s="1029" t="s">
        <v>294</v>
      </c>
      <c r="C26" s="1148"/>
      <c r="D26" s="1222" t="s">
        <v>308</v>
      </c>
      <c r="E26" s="1222"/>
      <c r="F26" s="1222"/>
    </row>
    <row r="27" spans="1:6">
      <c r="A27" s="1148"/>
      <c r="B27" s="1148"/>
      <c r="C27" s="1148"/>
      <c r="D27" s="1222"/>
      <c r="E27" s="1222"/>
      <c r="F27" s="1222"/>
    </row>
    <row r="28" spans="1:6">
      <c r="A28" s="1148"/>
      <c r="B28" s="1148"/>
      <c r="C28" s="1148"/>
      <c r="D28" s="1222"/>
      <c r="E28" s="1222"/>
      <c r="F28" s="1222"/>
    </row>
    <row r="29" spans="1:6">
      <c r="A29" s="1148"/>
      <c r="B29" s="1148"/>
      <c r="C29" s="1148"/>
      <c r="D29" s="1222"/>
      <c r="E29" s="1222"/>
      <c r="F29" s="1222"/>
    </row>
    <row r="30" spans="1:6">
      <c r="A30" s="1148"/>
      <c r="B30" s="1148"/>
      <c r="C30" s="1148"/>
      <c r="D30" s="1222"/>
      <c r="E30" s="1222"/>
      <c r="F30" s="1222"/>
    </row>
    <row r="31" spans="1:6">
      <c r="A31" s="1148"/>
      <c r="B31" s="1148"/>
      <c r="C31" s="1148"/>
      <c r="D31" s="120"/>
      <c r="E31" s="2"/>
      <c r="F31" s="2"/>
    </row>
    <row r="32" spans="1:6">
      <c r="A32" s="1148"/>
      <c r="B32" s="1029" t="s">
        <v>294</v>
      </c>
      <c r="C32" s="1148"/>
      <c r="D32" s="1222" t="s">
        <v>309</v>
      </c>
      <c r="E32" s="1222"/>
      <c r="F32" s="1222"/>
    </row>
    <row r="33" spans="1:6">
      <c r="A33" s="1148"/>
      <c r="B33" s="1148"/>
      <c r="C33" s="1148"/>
      <c r="D33" s="1222"/>
      <c r="E33" s="1222"/>
      <c r="F33" s="1222"/>
    </row>
    <row r="34" spans="1:6" ht="13">
      <c r="A34" s="99"/>
      <c r="B34" s="99"/>
      <c r="C34" s="1148"/>
      <c r="D34" s="120"/>
      <c r="E34" s="2"/>
      <c r="F34" s="2"/>
    </row>
    <row r="35" spans="1:6" ht="14.5" customHeight="1">
      <c r="A35" s="99"/>
      <c r="B35" s="1029" t="s">
        <v>294</v>
      </c>
      <c r="C35" s="1148"/>
      <c r="D35" s="1222" t="s">
        <v>310</v>
      </c>
      <c r="E35" s="1222"/>
      <c r="F35" s="1222"/>
    </row>
    <row r="36" spans="1:6" ht="13">
      <c r="A36" s="99"/>
      <c r="B36" s="99"/>
      <c r="C36" s="1148"/>
      <c r="D36" s="1222"/>
      <c r="E36" s="1222"/>
      <c r="F36" s="1222"/>
    </row>
    <row r="37" spans="1:6" ht="13">
      <c r="A37" s="99"/>
      <c r="B37" s="99"/>
      <c r="C37" s="1148"/>
      <c r="D37" s="1222"/>
      <c r="E37" s="1222"/>
      <c r="F37" s="1222"/>
    </row>
    <row r="38" spans="1:6" ht="13">
      <c r="A38" s="99"/>
      <c r="B38" s="99"/>
      <c r="C38" s="1148"/>
      <c r="D38"/>
      <c r="E38" s="2"/>
      <c r="F38" s="2"/>
    </row>
    <row r="39" spans="1:6" ht="13">
      <c r="A39" s="99"/>
      <c r="B39" s="1029" t="s">
        <v>294</v>
      </c>
      <c r="C39" s="1148"/>
      <c r="D39" s="1222" t="s">
        <v>311</v>
      </c>
      <c r="E39" s="1222"/>
      <c r="F39" s="1222"/>
    </row>
    <row r="40" spans="1:6" ht="13">
      <c r="A40" s="99"/>
      <c r="B40" s="99"/>
      <c r="C40" s="1148"/>
      <c r="D40" s="1222"/>
      <c r="E40" s="1222"/>
      <c r="F40" s="1222"/>
    </row>
    <row r="41" spans="1:6" ht="13">
      <c r="A41" s="99"/>
      <c r="B41" s="99"/>
      <c r="C41" s="1148"/>
      <c r="D41" s="1222"/>
      <c r="E41" s="1222"/>
      <c r="F41" s="1222"/>
    </row>
    <row r="42" spans="1:6" ht="13">
      <c r="A42" s="99"/>
      <c r="B42" s="99"/>
      <c r="C42" s="1148"/>
      <c r="D42" s="1222"/>
      <c r="E42" s="1222"/>
      <c r="F42" s="1222"/>
    </row>
    <row r="43" spans="1:6" ht="13">
      <c r="A43" s="99"/>
      <c r="B43" s="99"/>
      <c r="C43" s="1148"/>
      <c r="D43" s="1222"/>
      <c r="E43" s="1222"/>
      <c r="F43" s="1222"/>
    </row>
    <row r="44" spans="1:6" ht="13">
      <c r="A44" s="99"/>
      <c r="B44" s="99"/>
      <c r="C44" s="1148"/>
      <c r="D44" s="1109"/>
      <c r="E44" s="1109"/>
      <c r="F44" s="1109"/>
    </row>
    <row r="45" spans="1:6" ht="13">
      <c r="A45" s="99"/>
      <c r="B45" s="1029" t="s">
        <v>294</v>
      </c>
      <c r="C45" s="1148"/>
      <c r="D45" s="1222" t="s">
        <v>312</v>
      </c>
      <c r="E45" s="1222"/>
      <c r="F45" s="1222"/>
    </row>
    <row r="46" spans="1:6" ht="13">
      <c r="A46" s="99"/>
      <c r="B46" s="99"/>
      <c r="C46" s="1148"/>
      <c r="D46" s="1222"/>
      <c r="E46" s="1222"/>
      <c r="F46" s="1222"/>
    </row>
    <row r="47" spans="1:6" ht="13">
      <c r="A47" s="99"/>
      <c r="B47" s="99"/>
      <c r="C47" s="1148"/>
      <c r="D47" s="1222"/>
      <c r="E47" s="1222"/>
      <c r="F47" s="1222"/>
    </row>
    <row r="48" spans="1:6" ht="23.25" customHeight="1">
      <c r="A48" s="99"/>
      <c r="B48" s="99"/>
      <c r="C48" s="1148"/>
      <c r="D48" s="1222"/>
      <c r="E48" s="1222"/>
      <c r="F48" s="1222"/>
    </row>
    <row r="49" spans="1:7" ht="13">
      <c r="A49" s="99"/>
      <c r="B49" s="99"/>
      <c r="C49" s="1148"/>
      <c r="D49" s="68"/>
      <c r="E49" s="2"/>
      <c r="F49" s="2"/>
      <c r="G49" s="2"/>
    </row>
    <row r="50" spans="1:7" ht="14.5" customHeight="1">
      <c r="A50" s="99"/>
      <c r="B50" s="1029" t="s">
        <v>294</v>
      </c>
      <c r="C50" s="1148"/>
      <c r="D50" s="1222" t="s">
        <v>313</v>
      </c>
      <c r="E50" s="1222"/>
      <c r="F50" s="1222"/>
      <c r="G50" s="2"/>
    </row>
    <row r="51" spans="1:7" ht="13">
      <c r="A51" s="99"/>
      <c r="B51" s="99"/>
      <c r="C51" s="1148"/>
      <c r="D51" s="1222"/>
      <c r="E51" s="1222"/>
      <c r="F51" s="1222"/>
      <c r="G51" s="2"/>
    </row>
    <row r="52" spans="1:7" ht="13">
      <c r="A52" s="99"/>
      <c r="B52" s="99"/>
      <c r="C52" s="1148"/>
      <c r="D52" s="1222"/>
      <c r="E52" s="1222"/>
      <c r="F52" s="1222"/>
      <c r="G52" s="2"/>
    </row>
    <row r="53" spans="1:7" ht="13">
      <c r="A53" s="99"/>
      <c r="B53" s="99"/>
      <c r="C53" s="1148"/>
      <c r="D53" s="2"/>
      <c r="E53" s="2"/>
      <c r="F53" s="2"/>
      <c r="G53" s="2"/>
    </row>
    <row r="54" spans="1:7" ht="13">
      <c r="A54" s="99"/>
      <c r="B54" s="1029" t="s">
        <v>294</v>
      </c>
      <c r="C54" s="1148"/>
      <c r="D54" s="1222" t="s">
        <v>314</v>
      </c>
      <c r="E54" s="1222"/>
      <c r="F54" s="1222"/>
      <c r="G54" s="2"/>
    </row>
    <row r="55" spans="1:7" ht="13">
      <c r="A55" s="99"/>
      <c r="B55" s="99"/>
      <c r="C55" s="1148"/>
      <c r="D55" s="1222"/>
      <c r="E55" s="1222"/>
      <c r="F55" s="1222"/>
      <c r="G55" s="2"/>
    </row>
    <row r="56" spans="1:7">
      <c r="A56" s="1148"/>
      <c r="B56" s="1148"/>
      <c r="C56" s="1148"/>
      <c r="D56" s="120"/>
      <c r="E56" s="2"/>
      <c r="F56" s="2"/>
      <c r="G56" s="2"/>
    </row>
    <row r="57" spans="1:7" ht="13">
      <c r="A57" s="99"/>
      <c r="B57" s="1029" t="s">
        <v>294</v>
      </c>
      <c r="C57" s="1148"/>
      <c r="D57" s="1222" t="s">
        <v>315</v>
      </c>
      <c r="E57" s="1222"/>
      <c r="F57" s="1222"/>
      <c r="G57" s="2"/>
    </row>
    <row r="58" spans="1:7">
      <c r="A58" s="1148"/>
      <c r="B58" s="1148"/>
      <c r="C58" s="1148"/>
      <c r="D58" s="1222"/>
      <c r="E58" s="1222"/>
      <c r="F58" s="1222"/>
      <c r="G58" s="2"/>
    </row>
    <row r="59" spans="1:7">
      <c r="A59" s="1148"/>
      <c r="B59" s="1148"/>
      <c r="C59" s="1148"/>
      <c r="D59" s="1222"/>
      <c r="E59" s="1222"/>
      <c r="F59" s="1222"/>
      <c r="G59" s="2"/>
    </row>
    <row r="60" spans="1:7">
      <c r="A60" s="1148"/>
      <c r="B60" s="1148"/>
      <c r="C60" s="1148"/>
      <c r="D60" s="2"/>
      <c r="E60" s="2"/>
      <c r="F60" s="2"/>
      <c r="G60" s="2"/>
    </row>
    <row r="61" spans="1:7" ht="13">
      <c r="A61" s="99"/>
      <c r="B61" s="1029" t="s">
        <v>294</v>
      </c>
      <c r="C61" s="1148"/>
      <c r="D61" s="1222" t="s">
        <v>316</v>
      </c>
      <c r="E61" s="1222"/>
      <c r="F61" s="1222"/>
      <c r="G61" s="2"/>
    </row>
    <row r="62" spans="1:7">
      <c r="A62" s="1148"/>
      <c r="B62" s="1148"/>
      <c r="C62" s="1148"/>
      <c r="D62" s="1222"/>
      <c r="E62" s="1222"/>
      <c r="F62" s="1222"/>
      <c r="G62" s="2"/>
    </row>
    <row r="63" spans="1:7">
      <c r="A63" s="1148"/>
      <c r="B63" s="1148"/>
      <c r="C63" s="1148"/>
      <c r="D63" s="2"/>
      <c r="E63" s="2"/>
      <c r="F63" s="2"/>
      <c r="G63" s="2"/>
    </row>
    <row r="64" spans="1:7" ht="13">
      <c r="A64" s="99"/>
      <c r="B64" s="1029" t="s">
        <v>294</v>
      </c>
      <c r="C64" s="1148"/>
      <c r="D64" s="1222" t="s">
        <v>317</v>
      </c>
      <c r="E64" s="1222"/>
      <c r="F64" s="1222"/>
      <c r="G64" s="2"/>
    </row>
    <row r="65" spans="1:7">
      <c r="A65" s="1148"/>
      <c r="B65" s="1148"/>
      <c r="C65" s="1148"/>
      <c r="D65" s="1222"/>
      <c r="E65" s="1222"/>
      <c r="F65" s="1222"/>
      <c r="G65" s="2"/>
    </row>
    <row r="66" spans="1:7">
      <c r="A66" s="1148"/>
      <c r="B66" s="1148"/>
      <c r="C66" s="1148"/>
      <c r="D66" s="1222"/>
      <c r="E66" s="1222"/>
      <c r="F66" s="1222"/>
      <c r="G66" s="2"/>
    </row>
    <row r="67" spans="1:7">
      <c r="A67" s="1148"/>
      <c r="B67" s="1148"/>
      <c r="C67" s="1148"/>
      <c r="D67"/>
      <c r="E67" s="2"/>
      <c r="F67" s="2"/>
      <c r="G67" s="2"/>
    </row>
    <row r="68" spans="1:7" ht="13">
      <c r="A68" s="99"/>
      <c r="B68" s="1029" t="s">
        <v>294</v>
      </c>
      <c r="C68" s="1148"/>
      <c r="D68" s="1222" t="s">
        <v>318</v>
      </c>
      <c r="E68" s="1222"/>
      <c r="F68" s="1222"/>
      <c r="G68" s="2"/>
    </row>
    <row r="69" spans="1:7">
      <c r="A69" s="1148"/>
      <c r="B69" s="1148"/>
      <c r="C69" s="1148"/>
      <c r="D69" s="1222"/>
      <c r="E69" s="1222"/>
      <c r="F69" s="1222"/>
      <c r="G69" s="2"/>
    </row>
    <row r="70" spans="1:7" ht="13">
      <c r="A70" s="99"/>
      <c r="B70" s="99"/>
      <c r="C70" s="1148"/>
      <c r="D70" s="68"/>
      <c r="E70" s="2"/>
      <c r="F70" s="2"/>
      <c r="G70" s="2"/>
    </row>
    <row r="71" spans="1:7" ht="13">
      <c r="A71" s="1237" t="s">
        <v>319</v>
      </c>
      <c r="B71" s="1237"/>
      <c r="C71" s="1237"/>
      <c r="D71" s="1237"/>
      <c r="E71" s="1237"/>
      <c r="F71" s="1237"/>
      <c r="G71" s="1237"/>
    </row>
    <row r="72" spans="1:7">
      <c r="A72" s="1148"/>
      <c r="B72" s="1148"/>
      <c r="C72" s="1148"/>
      <c r="D72" s="2"/>
      <c r="E72" s="2"/>
      <c r="F72" s="2"/>
      <c r="G72" s="2"/>
    </row>
    <row r="73" spans="1:7" ht="13">
      <c r="A73" s="1148"/>
      <c r="B73" s="1148"/>
      <c r="C73" s="359"/>
      <c r="D73" s="1254" t="s">
        <v>320</v>
      </c>
      <c r="E73" s="1254"/>
      <c r="F73" s="1254"/>
      <c r="G73" s="2"/>
    </row>
    <row r="74" spans="1:7">
      <c r="A74" s="68"/>
      <c r="B74" s="68"/>
      <c r="C74" s="1148"/>
      <c r="D74" s="1222" t="s">
        <v>321</v>
      </c>
      <c r="E74" s="1222"/>
      <c r="F74" s="1222"/>
      <c r="G74" s="2"/>
    </row>
    <row r="75" spans="1:7">
      <c r="A75" s="68"/>
      <c r="B75" s="68"/>
      <c r="C75" s="1148"/>
      <c r="D75" s="2"/>
      <c r="E75" s="2"/>
      <c r="F75" s="2"/>
      <c r="G75" s="2"/>
    </row>
    <row r="76" spans="1:7" ht="13">
      <c r="A76" s="99"/>
      <c r="B76" s="1029" t="s">
        <v>294</v>
      </c>
      <c r="C76" s="1148"/>
      <c r="D76" s="1222" t="s">
        <v>322</v>
      </c>
      <c r="E76" s="1222"/>
      <c r="F76" s="1222"/>
      <c r="G76" s="2"/>
    </row>
    <row r="77" spans="1:7" ht="13">
      <c r="A77" s="99"/>
      <c r="B77" s="99"/>
      <c r="C77" s="1148"/>
      <c r="D77" s="1222"/>
      <c r="E77" s="1222"/>
      <c r="F77" s="1222"/>
      <c r="G77" s="2"/>
    </row>
    <row r="78" spans="1:7" ht="13">
      <c r="A78" s="99"/>
      <c r="B78" s="99"/>
      <c r="C78" s="1148"/>
      <c r="D78" s="1222"/>
      <c r="E78" s="1222"/>
      <c r="F78" s="1222"/>
      <c r="G78" s="2"/>
    </row>
    <row r="79" spans="1:7" ht="13">
      <c r="A79" s="99"/>
      <c r="B79" s="99"/>
      <c r="C79" s="1148"/>
      <c r="D79" s="1222"/>
      <c r="E79" s="1222"/>
      <c r="F79" s="1222"/>
      <c r="G79" s="2"/>
    </row>
    <row r="80" spans="1:7" ht="13">
      <c r="A80" s="99"/>
      <c r="B80" s="99"/>
      <c r="C80" s="1148"/>
      <c r="D80" s="1222"/>
      <c r="E80" s="1222"/>
      <c r="F80" s="1222"/>
      <c r="G80" s="2"/>
    </row>
    <row r="81" spans="1:6" ht="13">
      <c r="A81" s="99"/>
      <c r="B81" s="99"/>
      <c r="C81" s="1148"/>
      <c r="D81" s="1222"/>
      <c r="E81" s="1222"/>
      <c r="F81" s="1222"/>
    </row>
    <row r="82" spans="1:6" ht="13">
      <c r="A82" s="99"/>
      <c r="B82" s="99"/>
      <c r="C82" s="1148"/>
      <c r="D82" s="1109"/>
      <c r="E82" s="1109"/>
      <c r="F82" s="1109"/>
    </row>
    <row r="83" spans="1:6" ht="14.5" customHeight="1">
      <c r="A83" s="99"/>
      <c r="B83" s="1029" t="s">
        <v>294</v>
      </c>
      <c r="C83" s="1148"/>
      <c r="D83" s="1231" t="s">
        <v>323</v>
      </c>
      <c r="E83" s="1231"/>
      <c r="F83" s="1231"/>
    </row>
    <row r="84" spans="1:6" ht="13">
      <c r="A84" s="99"/>
      <c r="B84" s="99"/>
      <c r="C84" s="1148"/>
      <c r="D84" s="1231"/>
      <c r="E84" s="1231"/>
      <c r="F84" s="1231"/>
    </row>
    <row r="85" spans="1:6" ht="13">
      <c r="A85" s="99"/>
      <c r="B85" s="99"/>
      <c r="C85" s="1148"/>
      <c r="D85" s="1231"/>
      <c r="E85" s="1231"/>
      <c r="F85" s="1231"/>
    </row>
    <row r="86" spans="1:6" ht="13">
      <c r="A86" s="99"/>
      <c r="B86" s="99"/>
      <c r="C86" s="1148"/>
      <c r="D86" s="1231"/>
      <c r="E86" s="1231"/>
      <c r="F86" s="1231"/>
    </row>
    <row r="87" spans="1:6" ht="13">
      <c r="A87" s="99"/>
      <c r="B87" s="99"/>
      <c r="C87" s="1148"/>
      <c r="D87" s="1231"/>
      <c r="E87" s="1231"/>
      <c r="F87" s="1231"/>
    </row>
    <row r="88" spans="1:6" ht="13">
      <c r="A88" s="99"/>
      <c r="B88" s="99"/>
      <c r="C88" s="1148"/>
      <c r="D88" s="1231"/>
      <c r="E88" s="1231"/>
      <c r="F88" s="1231"/>
    </row>
    <row r="89" spans="1:6" ht="13">
      <c r="A89" s="99"/>
      <c r="B89" s="99"/>
      <c r="C89" s="1148"/>
      <c r="D89" s="1231"/>
      <c r="E89" s="1231"/>
      <c r="F89" s="1231"/>
    </row>
    <row r="90" spans="1:6" ht="13">
      <c r="A90" s="99"/>
      <c r="B90" s="99"/>
      <c r="C90" s="1148"/>
      <c r="D90" s="1231"/>
      <c r="E90" s="1231"/>
      <c r="F90" s="1231"/>
    </row>
    <row r="91" spans="1:6" ht="13">
      <c r="A91" s="99"/>
      <c r="B91" s="99"/>
      <c r="C91" s="1148"/>
      <c r="D91" s="1231"/>
      <c r="E91" s="1231"/>
      <c r="F91" s="1231"/>
    </row>
    <row r="92" spans="1:6" ht="13">
      <c r="A92" s="99"/>
      <c r="B92" s="99"/>
      <c r="C92" s="1148"/>
      <c r="D92" s="1231"/>
      <c r="E92" s="1231"/>
      <c r="F92" s="1231"/>
    </row>
    <row r="93" spans="1:6" ht="13">
      <c r="A93" s="99"/>
      <c r="B93" s="99"/>
      <c r="C93" s="1148"/>
      <c r="D93" s="1231"/>
      <c r="E93" s="1231"/>
      <c r="F93" s="1231"/>
    </row>
    <row r="94" spans="1:6" ht="13">
      <c r="A94" s="99"/>
      <c r="B94" s="99"/>
      <c r="C94" s="1148"/>
      <c r="D94" s="1231"/>
      <c r="E94" s="1231"/>
      <c r="F94" s="1231"/>
    </row>
    <row r="95" spans="1:6" ht="13">
      <c r="A95" s="99"/>
      <c r="B95" s="99"/>
      <c r="C95" s="1148"/>
      <c r="D95" s="1231"/>
      <c r="E95" s="1231"/>
      <c r="F95" s="1231"/>
    </row>
    <row r="96" spans="1:6" ht="13">
      <c r="A96" s="99"/>
      <c r="B96" s="99"/>
      <c r="C96" s="1148"/>
      <c r="D96" s="1231"/>
      <c r="E96" s="1231"/>
      <c r="F96" s="1231"/>
    </row>
    <row r="97" spans="1:11" ht="13">
      <c r="A97" s="99"/>
      <c r="B97" s="1029" t="s">
        <v>294</v>
      </c>
      <c r="C97" s="1148"/>
      <c r="D97" s="1222" t="s">
        <v>324</v>
      </c>
      <c r="E97" s="1222"/>
      <c r="F97" s="1222"/>
      <c r="G97" s="2"/>
    </row>
    <row r="98" spans="1:11" ht="13">
      <c r="A98" s="99"/>
      <c r="B98" s="99"/>
      <c r="C98" s="1148"/>
      <c r="D98" s="1222"/>
      <c r="E98" s="1222"/>
      <c r="F98" s="1222"/>
      <c r="G98" s="2"/>
    </row>
    <row r="99" spans="1:11" ht="13">
      <c r="A99" s="99"/>
      <c r="B99" s="99"/>
      <c r="C99" s="1148"/>
      <c r="D99" s="1222"/>
      <c r="E99" s="1222"/>
      <c r="F99" s="1222"/>
      <c r="G99" s="2"/>
    </row>
    <row r="100" spans="1:11" ht="13">
      <c r="A100" s="99"/>
      <c r="B100" s="99"/>
      <c r="C100" s="1148"/>
      <c r="D100" s="1222"/>
      <c r="E100" s="1222"/>
      <c r="F100" s="1222"/>
      <c r="G100" s="2"/>
    </row>
    <row r="101" spans="1:11" ht="13">
      <c r="A101" s="99"/>
      <c r="B101" s="99"/>
      <c r="C101" s="1148"/>
      <c r="D101" s="1222"/>
      <c r="E101" s="1222"/>
      <c r="F101" s="1222"/>
      <c r="G101" s="2"/>
    </row>
    <row r="102" spans="1:11" ht="13">
      <c r="A102" s="99"/>
      <c r="B102" s="99"/>
      <c r="C102" s="1148"/>
      <c r="D102" s="1222"/>
      <c r="E102" s="1222"/>
      <c r="F102" s="1222"/>
      <c r="G102" s="2"/>
    </row>
    <row r="103" spans="1:11" ht="13">
      <c r="A103" s="99"/>
      <c r="B103" s="99"/>
      <c r="C103" s="1148"/>
      <c r="D103" s="1222"/>
      <c r="E103" s="1222"/>
      <c r="F103" s="1222"/>
      <c r="G103" s="2"/>
    </row>
    <row r="104" spans="1:11" ht="13">
      <c r="A104" s="99"/>
      <c r="B104" s="99"/>
      <c r="C104" s="1148"/>
      <c r="D104" s="1222"/>
      <c r="E104" s="1222"/>
      <c r="F104" s="1222"/>
      <c r="G104" s="2"/>
    </row>
    <row r="105" spans="1:11" ht="13">
      <c r="A105" s="99"/>
      <c r="B105" s="99"/>
      <c r="C105" s="1148"/>
      <c r="D105" s="1109"/>
      <c r="E105" s="1109"/>
      <c r="F105" s="1109"/>
      <c r="G105" s="2"/>
    </row>
    <row r="106" spans="1:11" ht="13">
      <c r="A106" s="99"/>
      <c r="B106" s="1029" t="s">
        <v>294</v>
      </c>
      <c r="C106" s="806"/>
      <c r="D106" s="1258" t="s">
        <v>325</v>
      </c>
      <c r="E106" s="1258"/>
      <c r="F106" s="1258"/>
      <c r="G106" s="805"/>
      <c r="H106" s="101"/>
      <c r="I106" s="101"/>
      <c r="J106" s="101"/>
      <c r="K106" s="101"/>
    </row>
    <row r="107" spans="1:11" ht="13">
      <c r="A107" s="99"/>
      <c r="B107" s="99"/>
      <c r="C107" s="806"/>
      <c r="D107" s="1258"/>
      <c r="E107" s="1258"/>
      <c r="F107" s="1258"/>
      <c r="G107" s="805"/>
      <c r="H107" s="101"/>
      <c r="I107" s="101"/>
      <c r="J107" s="101"/>
      <c r="K107" s="101"/>
    </row>
    <row r="108" spans="1:11" ht="13">
      <c r="A108" s="99"/>
      <c r="B108" s="99"/>
      <c r="C108" s="806"/>
      <c r="D108" s="1258"/>
      <c r="E108" s="1258"/>
      <c r="F108" s="1258"/>
      <c r="G108" s="805"/>
      <c r="H108" s="101"/>
      <c r="I108" s="101"/>
      <c r="J108" s="101"/>
      <c r="K108" s="101"/>
    </row>
    <row r="109" spans="1:11" ht="13">
      <c r="A109" s="99"/>
      <c r="B109" s="99"/>
      <c r="C109" s="806"/>
      <c r="D109" s="1258"/>
      <c r="E109" s="1258"/>
      <c r="F109" s="1258"/>
      <c r="G109" s="805"/>
      <c r="H109" s="101"/>
      <c r="I109" s="101"/>
      <c r="J109" s="101"/>
      <c r="K109" s="101"/>
    </row>
    <row r="110" spans="1:11" ht="13">
      <c r="A110" s="99"/>
      <c r="B110" s="99"/>
      <c r="C110" s="806"/>
      <c r="D110" s="1258"/>
      <c r="E110" s="1258"/>
      <c r="F110" s="1258"/>
      <c r="G110" s="805"/>
      <c r="H110" s="101"/>
      <c r="I110" s="101"/>
      <c r="J110" s="101"/>
      <c r="K110" s="101"/>
    </row>
    <row r="111" spans="1:11">
      <c r="A111" s="1148"/>
      <c r="B111" s="1148"/>
      <c r="C111"/>
      <c r="D111" s="1258"/>
      <c r="E111" s="1258"/>
      <c r="F111" s="1258"/>
      <c r="G111"/>
    </row>
    <row r="112" spans="1:11">
      <c r="A112" s="1148"/>
      <c r="B112" s="1148"/>
      <c r="C112"/>
      <c r="D112" s="1258"/>
      <c r="E112" s="1258"/>
      <c r="F112" s="1258"/>
      <c r="G112"/>
    </row>
    <row r="113" spans="1:7">
      <c r="A113" s="1148"/>
      <c r="B113" s="1148"/>
      <c r="C113"/>
      <c r="D113" s="202"/>
      <c r="E113"/>
      <c r="F113"/>
      <c r="G113"/>
    </row>
    <row r="114" spans="1:7" ht="13">
      <c r="A114" s="99"/>
      <c r="B114" s="1029" t="s">
        <v>294</v>
      </c>
      <c r="C114"/>
      <c r="D114" s="1259" t="s">
        <v>326</v>
      </c>
      <c r="E114" s="1259"/>
      <c r="F114" s="1259"/>
      <c r="G114"/>
    </row>
    <row r="115" spans="1:7" ht="13">
      <c r="A115" s="99"/>
      <c r="B115" s="99"/>
      <c r="C115"/>
      <c r="D115" s="1259"/>
      <c r="E115" s="1259"/>
      <c r="F115" s="1259"/>
      <c r="G115"/>
    </row>
    <row r="116" spans="1:7">
      <c r="A116" s="1148"/>
      <c r="B116" s="1148"/>
      <c r="C116" s="1148"/>
      <c r="D116" s="2"/>
      <c r="E116" s="2"/>
      <c r="F116" s="2"/>
      <c r="G116" s="2"/>
    </row>
    <row r="117" spans="1:7" ht="13">
      <c r="A117" s="99"/>
      <c r="B117" s="1029" t="s">
        <v>294</v>
      </c>
      <c r="C117" s="1148"/>
      <c r="D117" s="1222" t="s">
        <v>327</v>
      </c>
      <c r="E117" s="1222"/>
      <c r="F117" s="1222"/>
      <c r="G117" s="2"/>
    </row>
    <row r="118" spans="1:7">
      <c r="A118" s="1148"/>
      <c r="B118" s="1148"/>
      <c r="C118" s="1148"/>
      <c r="D118" s="1222"/>
      <c r="E118" s="1222"/>
      <c r="F118" s="1222"/>
      <c r="G118" s="2"/>
    </row>
    <row r="119" spans="1:7">
      <c r="A119" s="1148"/>
      <c r="B119" s="1148"/>
      <c r="C119" s="1148"/>
      <c r="D119" s="1222"/>
      <c r="E119" s="1222"/>
      <c r="F119" s="1222"/>
      <c r="G119" s="2"/>
    </row>
    <row r="120" spans="1:7">
      <c r="A120" s="1148"/>
      <c r="B120" s="1148"/>
      <c r="C120" s="1148"/>
      <c r="D120" s="1222"/>
      <c r="E120" s="1222"/>
      <c r="F120" s="1222"/>
      <c r="G120" s="2"/>
    </row>
    <row r="121" spans="1:7">
      <c r="A121" s="1148"/>
      <c r="B121" s="1148"/>
      <c r="C121" s="1148"/>
      <c r="D121" s="1222"/>
      <c r="E121" s="1222"/>
      <c r="F121" s="1222"/>
      <c r="G121" s="2"/>
    </row>
    <row r="122" spans="1:7">
      <c r="A122" s="1148"/>
      <c r="B122" s="1148"/>
      <c r="C122" s="1148"/>
      <c r="D122" s="2"/>
      <c r="E122" s="2"/>
      <c r="F122" s="2"/>
      <c r="G122" s="2"/>
    </row>
    <row r="123" spans="1:7" ht="13">
      <c r="A123" s="99"/>
      <c r="B123" s="1029" t="s">
        <v>294</v>
      </c>
      <c r="C123" s="1148"/>
      <c r="D123" s="1222" t="s">
        <v>328</v>
      </c>
      <c r="E123" s="1222"/>
      <c r="F123" s="1222"/>
      <c r="G123" s="2"/>
    </row>
    <row r="124" spans="1:7" s="109" customFormat="1" ht="13.75" customHeight="1">
      <c r="A124" s="1039"/>
      <c r="B124" s="1039"/>
      <c r="C124" s="1039"/>
      <c r="D124" s="1222"/>
      <c r="E124" s="1222"/>
      <c r="F124" s="1222"/>
      <c r="G124" s="396"/>
    </row>
    <row r="125" spans="1:7" ht="13.75" customHeight="1">
      <c r="A125" s="1148"/>
      <c r="B125" s="1148"/>
      <c r="C125" s="1148"/>
      <c r="D125" s="1222"/>
      <c r="E125" s="1222"/>
      <c r="F125" s="1222"/>
      <c r="G125" s="2"/>
    </row>
    <row r="126" spans="1:7" ht="13.75" customHeight="1">
      <c r="A126" s="1148"/>
      <c r="B126" s="1148"/>
      <c r="C126" s="1148"/>
      <c r="D126" s="1222"/>
      <c r="E126" s="1222"/>
      <c r="F126" s="1222"/>
      <c r="G126" s="2"/>
    </row>
    <row r="127" spans="1:7" ht="13.75" customHeight="1">
      <c r="A127" s="1148"/>
      <c r="B127" s="1148"/>
      <c r="C127" s="1148"/>
      <c r="D127" s="1222"/>
      <c r="E127" s="1222"/>
      <c r="F127" s="1222"/>
      <c r="G127" s="2"/>
    </row>
    <row r="128" spans="1:7" ht="13.75" customHeight="1">
      <c r="A128" s="150"/>
      <c r="B128" s="150"/>
      <c r="C128" s="1148"/>
      <c r="D128" s="1222"/>
      <c r="E128" s="1222"/>
      <c r="F128" s="1222"/>
      <c r="G128" s="2"/>
    </row>
    <row r="129" spans="2:6" ht="13.75" customHeight="1">
      <c r="B129" s="1148"/>
      <c r="C129" s="1148"/>
      <c r="D129" s="1222"/>
      <c r="E129" s="1222"/>
      <c r="F129" s="1222"/>
    </row>
    <row r="130" spans="2:6" ht="13.75" customHeight="1">
      <c r="B130" s="1148"/>
      <c r="C130" s="1148"/>
      <c r="D130" s="1222"/>
      <c r="E130" s="1222"/>
      <c r="F130" s="1222"/>
    </row>
    <row r="131" spans="2:6" ht="13.75" customHeight="1">
      <c r="B131" s="1148"/>
      <c r="C131" s="1148"/>
      <c r="D131" s="1222"/>
      <c r="E131" s="1222"/>
      <c r="F131" s="1222"/>
    </row>
    <row r="132" spans="2:6" ht="13.75" customHeight="1">
      <c r="B132" s="1148"/>
      <c r="C132" s="1148"/>
      <c r="D132" s="1222"/>
      <c r="E132" s="1222"/>
      <c r="F132" s="1222"/>
    </row>
    <row r="133" spans="2:6" ht="13.75" customHeight="1">
      <c r="B133" s="1148"/>
      <c r="C133" s="1148"/>
      <c r="D133" s="1222"/>
      <c r="E133" s="1222"/>
      <c r="F133" s="1222"/>
    </row>
    <row r="134" spans="2:6" ht="13.75" customHeight="1">
      <c r="B134" s="1148"/>
      <c r="C134" s="1148"/>
      <c r="D134" s="1222"/>
      <c r="E134" s="1222"/>
      <c r="F134" s="1222"/>
    </row>
    <row r="135" spans="2:6" ht="13.75" customHeight="1">
      <c r="B135" s="1148"/>
      <c r="C135" s="1148"/>
      <c r="D135" s="118"/>
      <c r="E135" s="68"/>
      <c r="F135" s="68"/>
    </row>
    <row r="136" spans="2:6" ht="13.75" customHeight="1">
      <c r="B136" s="1029" t="s">
        <v>294</v>
      </c>
      <c r="C136" s="1148"/>
      <c r="D136" s="1222" t="s">
        <v>329</v>
      </c>
      <c r="E136" s="1222"/>
      <c r="F136" s="1222"/>
    </row>
    <row r="137" spans="2:6" ht="13.75" customHeight="1">
      <c r="B137" s="1148"/>
      <c r="C137" s="1148"/>
      <c r="D137" s="1222"/>
      <c r="E137" s="1222"/>
      <c r="F137" s="1222"/>
    </row>
    <row r="138" spans="2:6" ht="13.75" customHeight="1">
      <c r="B138" s="1148"/>
      <c r="C138" s="1148"/>
      <c r="D138" s="1222"/>
      <c r="E138" s="1222"/>
      <c r="F138" s="1222"/>
    </row>
    <row r="139" spans="2:6" ht="13.75" customHeight="1">
      <c r="B139" s="1148"/>
      <c r="C139" s="1148"/>
      <c r="D139" s="1222"/>
      <c r="E139" s="1222"/>
      <c r="F139" s="1222"/>
    </row>
    <row r="140" spans="2:6" ht="13.75" customHeight="1">
      <c r="B140" s="1148"/>
      <c r="C140" s="1148"/>
      <c r="D140" s="1222"/>
      <c r="E140" s="1222"/>
      <c r="F140" s="1222"/>
    </row>
    <row r="141" spans="2:6" ht="13.75" customHeight="1">
      <c r="B141" s="1148"/>
      <c r="C141" s="1148"/>
      <c r="D141" s="1222"/>
      <c r="E141" s="1222"/>
      <c r="F141" s="1222"/>
    </row>
    <row r="142" spans="2:6" ht="13.75" customHeight="1">
      <c r="B142" s="1148"/>
      <c r="C142" s="1148"/>
      <c r="D142" s="1222"/>
      <c r="E142" s="1222"/>
      <c r="F142" s="1222"/>
    </row>
    <row r="143" spans="2:6" ht="13.75" customHeight="1">
      <c r="B143" s="1148"/>
      <c r="C143" s="1148"/>
      <c r="D143" s="1222"/>
      <c r="E143" s="1222"/>
      <c r="F143" s="1222"/>
    </row>
    <row r="144" spans="2:6" ht="13.75" customHeight="1">
      <c r="B144" s="1148"/>
      <c r="C144" s="1148"/>
      <c r="D144" s="1222"/>
      <c r="E144" s="1222"/>
      <c r="F144" s="1222"/>
    </row>
    <row r="145" spans="1:7" ht="13.75" customHeight="1">
      <c r="A145" s="1148"/>
      <c r="B145" s="1148"/>
      <c r="C145" s="1148"/>
      <c r="D145" s="1222"/>
      <c r="E145" s="1222"/>
      <c r="F145" s="1222"/>
      <c r="G145" s="2"/>
    </row>
    <row r="146" spans="1:7" ht="13.75" customHeight="1">
      <c r="A146" s="1148"/>
      <c r="B146" s="1148"/>
      <c r="C146" s="1148"/>
      <c r="D146" s="1222"/>
      <c r="E146" s="1222"/>
      <c r="F146" s="1222"/>
      <c r="G146" s="2"/>
    </row>
    <row r="147" spans="1:7" ht="13.75" customHeight="1">
      <c r="A147" s="1148"/>
      <c r="B147" s="1148"/>
      <c r="C147" s="1148"/>
      <c r="D147" s="1222"/>
      <c r="E147" s="1222"/>
      <c r="F147" s="1222"/>
      <c r="G147" s="2"/>
    </row>
    <row r="148" spans="1:7" ht="13.75" customHeight="1">
      <c r="A148" s="1148"/>
      <c r="B148" s="1148"/>
      <c r="C148" s="1148"/>
      <c r="D148" s="1222"/>
      <c r="E148" s="1222"/>
      <c r="F148" s="1222"/>
      <c r="G148" s="2"/>
    </row>
    <row r="149" spans="1:7" ht="13.75" customHeight="1">
      <c r="A149" s="1148"/>
      <c r="B149" s="1148"/>
      <c r="C149" s="1148"/>
      <c r="D149" s="1222"/>
      <c r="E149" s="1222"/>
      <c r="F149" s="1222"/>
      <c r="G149" s="2"/>
    </row>
    <row r="150" spans="1:7" ht="13.75" customHeight="1">
      <c r="A150" s="1148"/>
      <c r="B150" s="1148"/>
      <c r="C150" s="1148"/>
      <c r="D150" s="1222"/>
      <c r="E150" s="1222"/>
      <c r="F150" s="1222"/>
      <c r="G150" s="2"/>
    </row>
    <row r="151" spans="1:7" ht="13.75" customHeight="1">
      <c r="A151" s="1148"/>
      <c r="B151" s="1148"/>
      <c r="C151" s="1148"/>
      <c r="D151" s="1222"/>
      <c r="E151" s="1222"/>
      <c r="F151" s="1222"/>
      <c r="G151" s="2"/>
    </row>
    <row r="152" spans="1:7" ht="13.75" customHeight="1">
      <c r="A152" s="1148"/>
      <c r="B152" s="1148"/>
      <c r="C152" s="1148"/>
      <c r="D152" s="1222"/>
      <c r="E152" s="1222"/>
      <c r="F152" s="1222"/>
      <c r="G152" s="2"/>
    </row>
    <row r="153" spans="1:7" ht="13.75" customHeight="1">
      <c r="A153" s="1148"/>
      <c r="B153" s="1148"/>
      <c r="C153" s="1148"/>
      <c r="D153" s="1222"/>
      <c r="E153" s="1222"/>
      <c r="F153" s="1222"/>
      <c r="G153" s="2"/>
    </row>
    <row r="154" spans="1:7" ht="13.75" customHeight="1">
      <c r="A154" s="1148"/>
      <c r="B154" s="1148"/>
      <c r="C154" s="1148"/>
      <c r="D154" s="1222"/>
      <c r="E154" s="1222"/>
      <c r="F154" s="1222"/>
      <c r="G154" s="2"/>
    </row>
    <row r="155" spans="1:7" ht="13.75" customHeight="1">
      <c r="A155" s="1148"/>
      <c r="B155" s="1148"/>
      <c r="C155" s="1148"/>
      <c r="D155" s="118"/>
      <c r="E155" s="68"/>
      <c r="F155" s="68"/>
      <c r="G155" s="2"/>
    </row>
    <row r="156" spans="1:7" ht="13.75" customHeight="1">
      <c r="A156" s="150"/>
      <c r="B156" s="1029" t="s">
        <v>294</v>
      </c>
      <c r="C156" s="118"/>
      <c r="D156" s="1231" t="s">
        <v>330</v>
      </c>
      <c r="E156" s="1231"/>
      <c r="F156" s="1231"/>
      <c r="G156" s="118"/>
    </row>
    <row r="157" spans="1:7" ht="13.75" customHeight="1">
      <c r="A157" s="150"/>
      <c r="B157" s="150"/>
      <c r="C157" s="118"/>
      <c r="D157" s="1231"/>
      <c r="E157" s="1231"/>
      <c r="F157" s="1231"/>
      <c r="G157" s="118"/>
    </row>
    <row r="158" spans="1:7" ht="13.75" customHeight="1">
      <c r="A158" s="150"/>
      <c r="B158" s="150"/>
      <c r="C158" s="118"/>
      <c r="D158" s="118"/>
      <c r="E158" s="118"/>
      <c r="F158" s="118"/>
      <c r="G158" s="118"/>
    </row>
    <row r="159" spans="1:7" ht="13.75" customHeight="1">
      <c r="A159" s="150"/>
      <c r="B159" s="1029" t="s">
        <v>294</v>
      </c>
      <c r="C159" s="118"/>
      <c r="D159" s="1231" t="s">
        <v>331</v>
      </c>
      <c r="E159" s="1231"/>
      <c r="F159" s="1231"/>
      <c r="G159" s="118"/>
    </row>
    <row r="160" spans="1:7" ht="13.75" customHeight="1">
      <c r="A160" s="150"/>
      <c r="B160" s="150"/>
      <c r="C160" s="118"/>
      <c r="D160" s="1231"/>
      <c r="E160" s="1231"/>
      <c r="F160" s="1231"/>
      <c r="G160" s="118"/>
    </row>
    <row r="161" spans="1:7" ht="13.75" customHeight="1">
      <c r="A161" s="150"/>
      <c r="B161" s="150"/>
      <c r="C161" s="118"/>
      <c r="D161" s="1231"/>
      <c r="E161" s="1231"/>
      <c r="F161" s="1231"/>
      <c r="G161" s="118"/>
    </row>
    <row r="162" spans="1:7" ht="13.75" customHeight="1">
      <c r="A162" s="150"/>
      <c r="B162" s="150"/>
      <c r="C162" s="118"/>
      <c r="D162" s="1231"/>
      <c r="E162" s="1231"/>
      <c r="F162" s="1231"/>
      <c r="G162" s="118"/>
    </row>
    <row r="163" spans="1:7" ht="13.75" customHeight="1">
      <c r="A163" s="1148"/>
      <c r="B163" s="1148"/>
      <c r="C163" s="1148"/>
      <c r="D163" s="68"/>
      <c r="E163" s="68"/>
      <c r="F163" s="68"/>
      <c r="G163" s="2"/>
    </row>
    <row r="164" spans="1:7" ht="13.75" customHeight="1">
      <c r="A164" s="1148"/>
      <c r="B164" s="1029" t="s">
        <v>294</v>
      </c>
      <c r="C164" s="1148"/>
      <c r="D164" s="1236" t="s">
        <v>332</v>
      </c>
      <c r="E164" s="1236"/>
      <c r="F164" s="1236"/>
      <c r="G164" s="2"/>
    </row>
    <row r="165" spans="1:7" ht="13.75" customHeight="1">
      <c r="A165" s="1148"/>
      <c r="B165" s="1148"/>
      <c r="C165" s="1148"/>
      <c r="D165" s="1236"/>
      <c r="E165" s="1236"/>
      <c r="F165" s="1236"/>
      <c r="G165" s="2"/>
    </row>
    <row r="166" spans="1:7" ht="13.75" customHeight="1">
      <c r="A166" s="1148"/>
      <c r="B166" s="1148"/>
      <c r="C166" s="1148"/>
      <c r="D166" s="1236"/>
      <c r="E166" s="1236"/>
      <c r="F166" s="1236"/>
      <c r="G166" s="2"/>
    </row>
    <row r="167" spans="1:7" ht="13.75" customHeight="1">
      <c r="A167" s="1127"/>
      <c r="B167" s="1127"/>
      <c r="C167" s="1148"/>
      <c r="D167" s="2"/>
      <c r="E167" s="68"/>
      <c r="F167" s="68"/>
      <c r="G167" s="2"/>
    </row>
    <row r="168" spans="1:7" ht="13">
      <c r="A168" s="1237" t="s">
        <v>333</v>
      </c>
      <c r="B168" s="1237"/>
      <c r="C168" s="1237"/>
      <c r="D168" s="1237"/>
      <c r="E168" s="1237"/>
      <c r="F168" s="1237"/>
      <c r="G168" s="1237"/>
    </row>
    <row r="169" spans="1:7" ht="12" customHeight="1">
      <c r="A169" s="1148"/>
      <c r="B169" s="1148"/>
      <c r="C169" s="1148"/>
      <c r="D169" s="68"/>
      <c r="E169" s="68"/>
      <c r="F169" s="68"/>
      <c r="G169" s="2"/>
    </row>
    <row r="170" spans="1:7">
      <c r="A170" s="1148"/>
      <c r="B170" s="1253" t="s">
        <v>334</v>
      </c>
      <c r="C170" s="1253"/>
      <c r="D170" s="1253"/>
      <c r="E170" s="1253"/>
      <c r="F170" s="1253"/>
      <c r="G170" s="2"/>
    </row>
    <row r="171" spans="1:7" ht="12" customHeight="1">
      <c r="A171" s="1125"/>
      <c r="B171" s="1125"/>
      <c r="C171" s="1125"/>
      <c r="D171" s="2"/>
      <c r="E171" s="2"/>
      <c r="F171" s="2"/>
      <c r="G171" s="2"/>
    </row>
    <row r="172" spans="1:7" ht="13">
      <c r="A172" s="1237" t="s">
        <v>335</v>
      </c>
      <c r="B172" s="1237"/>
      <c r="C172" s="1237"/>
      <c r="D172" s="1237"/>
      <c r="E172" s="1237"/>
      <c r="F172" s="1237"/>
      <c r="G172" s="1237"/>
    </row>
    <row r="173" spans="1:7" ht="12" customHeight="1">
      <c r="A173" s="1"/>
      <c r="B173" s="1"/>
      <c r="C173" s="1148"/>
      <c r="D173" s="2"/>
      <c r="E173" s="1"/>
      <c r="F173" s="2"/>
      <c r="G173" s="2"/>
    </row>
    <row r="174" spans="1:7" ht="13.4" customHeight="1">
      <c r="A174" s="1"/>
      <c r="B174" s="1"/>
      <c r="C174" s="1148"/>
      <c r="D174" s="1250" t="s">
        <v>336</v>
      </c>
      <c r="E174" s="1250"/>
      <c r="F174" s="1250"/>
      <c r="G174" s="2"/>
    </row>
    <row r="175" spans="1:7" ht="13">
      <c r="A175" s="1"/>
      <c r="B175" s="1"/>
      <c r="C175" s="1148"/>
      <c r="D175" s="1250"/>
      <c r="E175" s="1250"/>
      <c r="F175" s="1250"/>
      <c r="G175" s="2"/>
    </row>
    <row r="176" spans="1:7" ht="13">
      <c r="A176" s="1"/>
      <c r="B176" s="1"/>
      <c r="C176" s="1148"/>
      <c r="D176" s="1251" t="s">
        <v>337</v>
      </c>
      <c r="E176" s="1251"/>
      <c r="F176" s="1251"/>
      <c r="G176" s="2"/>
    </row>
    <row r="177" spans="1:7" ht="12" customHeight="1">
      <c r="A177" s="1"/>
      <c r="B177" s="1"/>
      <c r="C177" s="1148"/>
      <c r="D177" s="2"/>
      <c r="E177" s="1"/>
      <c r="F177" s="2"/>
      <c r="G177" s="2"/>
    </row>
    <row r="178" spans="1:7" ht="13">
      <c r="A178" s="99"/>
      <c r="B178" s="1029" t="s">
        <v>294</v>
      </c>
      <c r="C178" s="1148"/>
      <c r="D178" s="1248" t="s">
        <v>338</v>
      </c>
      <c r="E178" s="1248"/>
      <c r="F178" s="1248"/>
      <c r="G178" s="2"/>
    </row>
    <row r="179" spans="1:7" ht="13">
      <c r="A179" s="99"/>
      <c r="B179" s="99"/>
      <c r="C179" s="1148"/>
      <c r="D179" s="1248"/>
      <c r="E179" s="1248"/>
      <c r="F179" s="1248"/>
      <c r="G179" s="2"/>
    </row>
    <row r="180" spans="1:7" ht="13">
      <c r="A180" s="99"/>
      <c r="B180" s="99"/>
      <c r="C180" s="1148"/>
      <c r="D180" s="1248"/>
      <c r="E180" s="1248"/>
      <c r="F180" s="1248"/>
      <c r="G180" s="2"/>
    </row>
    <row r="181" spans="1:7">
      <c r="A181" s="1148"/>
      <c r="B181" s="1148"/>
      <c r="C181" s="1148"/>
      <c r="D181" s="1248"/>
      <c r="E181" s="1248"/>
      <c r="F181" s="1248"/>
      <c r="G181" s="2"/>
    </row>
    <row r="182" spans="1:7">
      <c r="A182" s="1148"/>
      <c r="B182" s="1148"/>
      <c r="C182" s="1148"/>
      <c r="D182" s="120"/>
      <c r="E182" s="2"/>
      <c r="F182" s="2"/>
      <c r="G182" s="2"/>
    </row>
    <row r="183" spans="1:7">
      <c r="A183" s="1148"/>
      <c r="B183" s="1148"/>
      <c r="C183" s="1148"/>
      <c r="D183" s="1252" t="s">
        <v>339</v>
      </c>
      <c r="E183" s="1252"/>
      <c r="F183" s="1252"/>
      <c r="G183" s="2"/>
    </row>
    <row r="184" spans="1:7">
      <c r="A184" s="1148"/>
      <c r="B184" s="1148"/>
      <c r="C184" s="1148"/>
      <c r="D184" s="1252"/>
      <c r="E184" s="1252"/>
      <c r="F184" s="1252"/>
      <c r="G184" s="2"/>
    </row>
    <row r="185" spans="1:7">
      <c r="A185" s="1148"/>
      <c r="B185" s="1148"/>
      <c r="C185" s="1148"/>
      <c r="D185" s="1123"/>
      <c r="E185" s="1123"/>
      <c r="F185" s="1123"/>
      <c r="G185" s="2"/>
    </row>
    <row r="186" spans="1:7" ht="13">
      <c r="A186" s="99"/>
      <c r="B186" s="1029" t="s">
        <v>294</v>
      </c>
      <c r="C186" s="1148"/>
      <c r="D186" s="1222" t="s">
        <v>340</v>
      </c>
      <c r="E186" s="1222"/>
      <c r="F186" s="1222"/>
      <c r="G186" s="2"/>
    </row>
    <row r="187" spans="1:7" ht="14.5" customHeight="1">
      <c r="A187" s="99"/>
      <c r="B187"/>
      <c r="C187" s="1148"/>
      <c r="D187" s="1222"/>
      <c r="E187" s="1222"/>
      <c r="F187" s="1222"/>
      <c r="G187" s="2"/>
    </row>
    <row r="188" spans="1:7" ht="13">
      <c r="A188" s="99"/>
      <c r="B188" s="1148"/>
      <c r="C188" s="1148"/>
      <c r="D188" s="1222"/>
      <c r="E188" s="1222"/>
      <c r="F188" s="1222"/>
      <c r="G188" s="2"/>
    </row>
    <row r="189" spans="1:7" ht="13">
      <c r="A189" s="99"/>
      <c r="B189" s="1148"/>
      <c r="C189" s="1148"/>
      <c r="D189" s="1222"/>
      <c r="E189" s="1222"/>
      <c r="F189" s="1222"/>
      <c r="G189" s="2"/>
    </row>
    <row r="190" spans="1:7">
      <c r="A190" s="1148"/>
      <c r="B190" s="1148"/>
      <c r="C190" s="1148"/>
      <c r="D190" s="1123"/>
      <c r="E190" s="1123"/>
      <c r="F190" s="1123"/>
      <c r="G190" s="2"/>
    </row>
    <row r="191" spans="1:7" ht="13">
      <c r="A191" s="1237" t="s">
        <v>341</v>
      </c>
      <c r="B191" s="1237"/>
      <c r="C191" s="1237"/>
      <c r="D191" s="1237"/>
      <c r="E191" s="1237"/>
      <c r="F191" s="1237"/>
      <c r="G191" s="1237"/>
    </row>
    <row r="192" spans="1:7" ht="12" customHeight="1">
      <c r="A192" s="1148"/>
      <c r="B192" s="1148"/>
      <c r="C192" s="1148"/>
      <c r="D192" s="68"/>
      <c r="E192" s="68"/>
      <c r="F192" s="68"/>
      <c r="G192" s="2"/>
    </row>
    <row r="193" spans="1:6" ht="13">
      <c r="A193" s="1148"/>
      <c r="B193" s="1148"/>
      <c r="C193" s="359"/>
      <c r="D193" s="1238" t="s">
        <v>342</v>
      </c>
      <c r="E193" s="1238"/>
      <c r="F193" s="1238"/>
    </row>
    <row r="194" spans="1:6" ht="13">
      <c r="A194" s="1125"/>
      <c r="B194" s="1125"/>
      <c r="C194" s="1125"/>
      <c r="D194" s="1233" t="s">
        <v>343</v>
      </c>
      <c r="E194" s="1233"/>
      <c r="F194" s="1233"/>
    </row>
    <row r="195" spans="1:6" ht="12" customHeight="1">
      <c r="A195" s="1127"/>
      <c r="B195" s="1127"/>
      <c r="C195" s="1127"/>
      <c r="D195" s="2"/>
      <c r="E195" s="2"/>
      <c r="F195" s="2"/>
    </row>
    <row r="196" spans="1:6" ht="13.4" customHeight="1">
      <c r="A196" s="1127"/>
      <c r="B196" s="1148"/>
      <c r="C196" s="1127"/>
      <c r="D196" s="1238" t="s">
        <v>344</v>
      </c>
      <c r="E196" s="1238"/>
      <c r="F196" s="1238"/>
    </row>
    <row r="197" spans="1:6" ht="13">
      <c r="A197" s="99"/>
      <c r="B197" s="1029" t="s">
        <v>294</v>
      </c>
      <c r="C197" s="1148"/>
      <c r="D197" s="1222" t="s">
        <v>345</v>
      </c>
      <c r="E197" s="1222"/>
      <c r="F197" s="1222"/>
    </row>
    <row r="198" spans="1:6" ht="13">
      <c r="A198" s="99"/>
      <c r="B198" s="99"/>
      <c r="C198" s="1148"/>
      <c r="D198" s="1222"/>
      <c r="E198" s="1222"/>
      <c r="F198" s="1222"/>
    </row>
    <row r="199" spans="1:6">
      <c r="A199" s="1148"/>
      <c r="B199" s="1148"/>
      <c r="C199" s="1148"/>
      <c r="D199" s="2"/>
      <c r="E199" s="2"/>
      <c r="F199" s="2"/>
    </row>
    <row r="200" spans="1:6" ht="13">
      <c r="A200" s="99"/>
      <c r="B200" s="1029" t="s">
        <v>294</v>
      </c>
      <c r="C200" s="1148"/>
      <c r="D200" s="1222" t="s">
        <v>346</v>
      </c>
      <c r="E200" s="1222"/>
      <c r="F200" s="1222"/>
    </row>
    <row r="201" spans="1:6" ht="13">
      <c r="A201" s="99"/>
      <c r="B201" s="99"/>
      <c r="C201" s="1148"/>
      <c r="D201" s="1222"/>
      <c r="E201" s="1222"/>
      <c r="F201" s="1222"/>
    </row>
    <row r="202" spans="1:6" ht="13">
      <c r="A202" s="99"/>
      <c r="B202" s="99"/>
      <c r="C202" s="1148"/>
      <c r="D202" s="1222"/>
      <c r="E202" s="1222"/>
      <c r="F202" s="1222"/>
    </row>
    <row r="203" spans="1:6" ht="5.25" customHeight="1">
      <c r="A203" s="99"/>
      <c r="B203" s="99"/>
      <c r="C203" s="1148"/>
      <c r="D203" s="68"/>
      <c r="E203" s="68"/>
      <c r="F203" s="68"/>
    </row>
    <row r="204" spans="1:6" ht="13">
      <c r="A204" s="99"/>
      <c r="B204" s="99"/>
      <c r="C204" s="1148"/>
      <c r="D204" s="1222" t="s">
        <v>347</v>
      </c>
      <c r="E204" s="1222"/>
      <c r="F204" s="1222"/>
    </row>
    <row r="205" spans="1:6" ht="13">
      <c r="A205" s="99"/>
      <c r="B205" s="99"/>
      <c r="C205" s="1148"/>
      <c r="D205" s="1222"/>
      <c r="E205" s="1222"/>
      <c r="F205" s="1222"/>
    </row>
    <row r="206" spans="1:6" ht="13">
      <c r="A206" s="99"/>
      <c r="B206" s="99"/>
      <c r="C206" s="1148"/>
      <c r="D206" s="1222"/>
      <c r="E206" s="1222"/>
      <c r="F206" s="1222"/>
    </row>
    <row r="207" spans="1:6" ht="13">
      <c r="A207" s="99"/>
      <c r="B207" s="99"/>
      <c r="C207" s="1148"/>
      <c r="D207" s="1222"/>
      <c r="E207" s="1222"/>
      <c r="F207" s="1222"/>
    </row>
    <row r="208" spans="1:6" ht="13">
      <c r="A208" s="99"/>
      <c r="B208" s="99"/>
      <c r="C208" s="1148"/>
      <c r="D208" s="1222"/>
      <c r="E208" s="1222"/>
      <c r="F208" s="1222"/>
    </row>
    <row r="209" spans="1:7" ht="13">
      <c r="A209" s="99"/>
      <c r="B209" s="99"/>
      <c r="C209" s="1148"/>
      <c r="D209" s="68"/>
      <c r="E209" s="68"/>
      <c r="F209" s="68"/>
      <c r="G209" s="2"/>
    </row>
    <row r="210" spans="1:7" ht="13">
      <c r="A210" s="99"/>
      <c r="B210" s="1029" t="s">
        <v>294</v>
      </c>
      <c r="C210" s="1148"/>
      <c r="D210" s="1222" t="s">
        <v>348</v>
      </c>
      <c r="E210" s="1222"/>
      <c r="F210" s="1222"/>
      <c r="G210" s="2"/>
    </row>
    <row r="211" spans="1:7" ht="13">
      <c r="A211" s="99"/>
      <c r="B211" s="99"/>
      <c r="C211" s="1148"/>
      <c r="D211" s="1222"/>
      <c r="E211" s="1222"/>
      <c r="F211" s="1222"/>
      <c r="G211" s="2"/>
    </row>
    <row r="212" spans="1:7" ht="13">
      <c r="A212" s="99"/>
      <c r="B212" s="99"/>
      <c r="C212" s="1148"/>
      <c r="D212" s="1253" t="s">
        <v>349</v>
      </c>
      <c r="E212" s="1253"/>
      <c r="F212" s="1253"/>
      <c r="G212" s="2"/>
    </row>
    <row r="213" spans="1:7" ht="13">
      <c r="A213" s="99"/>
      <c r="B213" s="99"/>
      <c r="C213" s="1148"/>
      <c r="D213" s="68"/>
      <c r="E213" s="68"/>
      <c r="F213" s="68"/>
      <c r="G213" s="2"/>
    </row>
    <row r="214" spans="1:7" ht="14.5" customHeight="1">
      <c r="A214" s="99"/>
      <c r="B214" s="1029" t="s">
        <v>294</v>
      </c>
      <c r="C214" s="1148"/>
      <c r="D214" s="1222" t="s">
        <v>350</v>
      </c>
      <c r="E214" s="1222"/>
      <c r="F214" s="1222"/>
      <c r="G214" s="2"/>
    </row>
    <row r="215" spans="1:7" ht="13">
      <c r="A215" s="99"/>
      <c r="B215" s="99"/>
      <c r="C215" s="1148"/>
      <c r="D215" s="1222"/>
      <c r="E215" s="1222"/>
      <c r="F215" s="1222"/>
      <c r="G215" s="2"/>
    </row>
    <row r="216" spans="1:7" ht="13">
      <c r="A216" s="99"/>
      <c r="B216" s="99"/>
      <c r="C216" s="1148"/>
      <c r="D216" s="1222"/>
      <c r="E216" s="1222"/>
      <c r="F216" s="1222"/>
      <c r="G216" s="2"/>
    </row>
    <row r="217" spans="1:7" ht="13">
      <c r="A217" s="99"/>
      <c r="B217" s="99"/>
      <c r="C217" s="1148"/>
      <c r="D217" s="1222"/>
      <c r="E217" s="1222"/>
      <c r="F217" s="1222"/>
      <c r="G217" s="2"/>
    </row>
    <row r="218" spans="1:7" ht="13">
      <c r="A218" s="99"/>
      <c r="B218" s="99"/>
      <c r="C218" s="1148"/>
      <c r="D218" s="1222"/>
      <c r="E218" s="1222"/>
      <c r="F218" s="1222"/>
      <c r="G218" s="2"/>
    </row>
    <row r="219" spans="1:7">
      <c r="A219" s="1148"/>
      <c r="B219" s="1148"/>
      <c r="C219" s="1148"/>
      <c r="D219" s="68"/>
      <c r="E219" s="68"/>
      <c r="F219" s="68"/>
      <c r="G219" s="2"/>
    </row>
    <row r="220" spans="1:7" ht="13">
      <c r="A220" s="99"/>
      <c r="B220" s="1029" t="s">
        <v>294</v>
      </c>
      <c r="C220" s="1148"/>
      <c r="D220" s="1222" t="s">
        <v>351</v>
      </c>
      <c r="E220" s="1222"/>
      <c r="F220" s="1222"/>
      <c r="G220" s="2"/>
    </row>
    <row r="221" spans="1:7" ht="13">
      <c r="A221" s="99"/>
      <c r="B221" s="99"/>
      <c r="C221" s="1148"/>
      <c r="D221" s="1222"/>
      <c r="E221" s="1222"/>
      <c r="F221" s="1222"/>
      <c r="G221" s="2"/>
    </row>
    <row r="222" spans="1:7">
      <c r="A222" s="1148"/>
      <c r="B222" s="1148"/>
      <c r="C222" s="1148"/>
      <c r="D222" s="1040"/>
      <c r="E222" s="2"/>
      <c r="F222" s="2"/>
      <c r="G222" s="2"/>
    </row>
    <row r="223" spans="1:7" ht="13">
      <c r="A223" s="1237" t="s">
        <v>352</v>
      </c>
      <c r="B223" s="1237"/>
      <c r="C223" s="1237"/>
      <c r="D223" s="1237"/>
      <c r="E223" s="1237"/>
      <c r="F223" s="1237"/>
      <c r="G223" s="1237"/>
    </row>
    <row r="224" spans="1:7">
      <c r="A224" s="1148"/>
      <c r="B224" s="1148"/>
      <c r="C224" s="1148"/>
      <c r="D224" s="1040"/>
      <c r="E224" s="2"/>
      <c r="F224" s="2"/>
      <c r="G224" s="2"/>
    </row>
    <row r="225" spans="1:6" ht="13">
      <c r="A225" s="1148"/>
      <c r="B225" s="1148"/>
      <c r="C225" s="359"/>
      <c r="D225" s="1238" t="s">
        <v>353</v>
      </c>
      <c r="E225" s="1238"/>
      <c r="F225" s="1238"/>
    </row>
    <row r="226" spans="1:6" ht="13">
      <c r="A226" s="1125"/>
      <c r="B226" s="1125"/>
      <c r="C226" s="1125"/>
      <c r="D226" s="68"/>
      <c r="E226" s="68"/>
      <c r="F226" s="68"/>
    </row>
    <row r="227" spans="1:6" ht="13">
      <c r="A227" s="98"/>
      <c r="B227" s="98"/>
      <c r="C227" s="98"/>
      <c r="D227" s="1238" t="s">
        <v>354</v>
      </c>
      <c r="E227" s="1238"/>
      <c r="F227" s="1238"/>
    </row>
    <row r="228" spans="1:6" ht="13">
      <c r="A228" s="99"/>
      <c r="B228" s="1029" t="s">
        <v>294</v>
      </c>
      <c r="C228" s="1148"/>
      <c r="D228" s="1240" t="s">
        <v>355</v>
      </c>
      <c r="E228" s="1240"/>
      <c r="F228" s="1240"/>
    </row>
    <row r="229" spans="1:6" ht="13">
      <c r="A229" s="99"/>
      <c r="B229" s="99"/>
      <c r="C229" s="1148"/>
      <c r="D229" s="1240"/>
      <c r="E229" s="1240"/>
      <c r="F229" s="1240"/>
    </row>
    <row r="230" spans="1:6">
      <c r="A230" s="1148"/>
      <c r="B230" s="1148"/>
      <c r="C230" s="1148"/>
      <c r="D230" s="68"/>
      <c r="E230" s="68"/>
      <c r="F230" s="68"/>
    </row>
    <row r="231" spans="1:6" ht="14.5" customHeight="1">
      <c r="A231" s="99"/>
      <c r="B231" s="1029" t="s">
        <v>294</v>
      </c>
      <c r="C231" s="1148"/>
      <c r="D231" s="1222" t="s">
        <v>356</v>
      </c>
      <c r="E231" s="1222"/>
      <c r="F231" s="1222"/>
    </row>
    <row r="232" spans="1:6">
      <c r="A232" s="1148"/>
      <c r="B232" s="1148"/>
      <c r="C232" s="1148"/>
      <c r="D232" s="1222"/>
      <c r="E232" s="1222"/>
      <c r="F232" s="1222"/>
    </row>
    <row r="233" spans="1:6" ht="13">
      <c r="A233" s="1148"/>
      <c r="B233" s="1148"/>
      <c r="C233" s="1148"/>
      <c r="D233" s="1233" t="s">
        <v>357</v>
      </c>
      <c r="E233" s="1233"/>
      <c r="F233" s="1233"/>
    </row>
    <row r="234" spans="1:6">
      <c r="A234" s="1148"/>
      <c r="B234" s="1148"/>
      <c r="C234" s="1148"/>
      <c r="D234" s="68"/>
      <c r="E234" s="68"/>
      <c r="F234" s="68"/>
    </row>
    <row r="235" spans="1:6" ht="14.5" customHeight="1">
      <c r="A235" s="99"/>
      <c r="B235" s="1029" t="s">
        <v>294</v>
      </c>
      <c r="C235" s="1148"/>
      <c r="D235" s="1222" t="s">
        <v>358</v>
      </c>
      <c r="E235" s="1222"/>
      <c r="F235" s="1222"/>
    </row>
    <row r="236" spans="1:6">
      <c r="A236" s="1148"/>
      <c r="B236" s="1148"/>
      <c r="C236" s="1148"/>
      <c r="D236" s="1222"/>
      <c r="E236" s="1222"/>
      <c r="F236" s="1222"/>
    </row>
    <row r="237" spans="1:6">
      <c r="A237" s="1148"/>
      <c r="B237" s="1148"/>
      <c r="C237" s="1148"/>
      <c r="D237" s="1222"/>
      <c r="E237" s="1222"/>
      <c r="F237" s="1222"/>
    </row>
    <row r="238" spans="1:6">
      <c r="A238" s="1148"/>
      <c r="B238" s="1148"/>
      <c r="C238" s="1148"/>
      <c r="D238" s="1222"/>
      <c r="E238" s="1222"/>
      <c r="F238" s="1222"/>
    </row>
    <row r="239" spans="1:6">
      <c r="A239" s="1148"/>
      <c r="B239" s="1148"/>
      <c r="C239" s="1148"/>
      <c r="D239" s="1222"/>
      <c r="E239" s="1222"/>
      <c r="F239" s="1222"/>
    </row>
    <row r="240" spans="1:6">
      <c r="A240" s="1148"/>
      <c r="B240" s="1148"/>
      <c r="C240" s="1148"/>
      <c r="D240" s="68"/>
      <c r="E240" s="68"/>
      <c r="F240" s="68"/>
    </row>
    <row r="241" spans="1:7" ht="13">
      <c r="A241" s="99"/>
      <c r="B241" s="1029" t="s">
        <v>294</v>
      </c>
      <c r="C241" s="1148"/>
      <c r="D241" s="1222" t="s">
        <v>359</v>
      </c>
      <c r="E241" s="1222"/>
      <c r="F241" s="1222"/>
      <c r="G241" s="2"/>
    </row>
    <row r="242" spans="1:7">
      <c r="A242" s="1148"/>
      <c r="B242" s="1148"/>
      <c r="C242" s="1148"/>
      <c r="D242" s="1222"/>
      <c r="E242" s="1222"/>
      <c r="F242" s="1222"/>
      <c r="G242" s="2"/>
    </row>
    <row r="243" spans="1:7">
      <c r="A243" s="1148"/>
      <c r="B243" s="1148"/>
      <c r="C243" s="1148"/>
      <c r="D243" s="1222"/>
      <c r="E243" s="1222"/>
      <c r="F243" s="1222"/>
      <c r="G243" s="2"/>
    </row>
    <row r="244" spans="1:7">
      <c r="A244" s="1148"/>
      <c r="B244" s="1148"/>
      <c r="C244" s="1148"/>
      <c r="D244" s="810"/>
      <c r="E244" s="68"/>
      <c r="F244" s="68"/>
      <c r="G244" s="2"/>
    </row>
    <row r="245" spans="1:7" ht="13">
      <c r="A245" s="1237" t="s">
        <v>360</v>
      </c>
      <c r="B245" s="1237"/>
      <c r="C245" s="1237"/>
      <c r="D245" s="1237"/>
      <c r="E245" s="1237"/>
      <c r="F245" s="1237"/>
      <c r="G245" s="1237"/>
    </row>
    <row r="246" spans="1:7">
      <c r="A246" s="1148"/>
      <c r="B246" s="1148"/>
      <c r="C246" s="1148"/>
      <c r="D246" s="810"/>
      <c r="E246" s="68"/>
      <c r="F246" s="68"/>
      <c r="G246" s="2"/>
    </row>
    <row r="247" spans="1:7" ht="13">
      <c r="A247" s="1148"/>
      <c r="B247" s="1148"/>
      <c r="C247" s="1125"/>
      <c r="D247" s="1254" t="s">
        <v>361</v>
      </c>
      <c r="E247" s="1254"/>
      <c r="F247" s="1254"/>
      <c r="G247" s="2"/>
    </row>
    <row r="248" spans="1:7" ht="13">
      <c r="A248" s="1148"/>
      <c r="B248" s="1148"/>
      <c r="C248" s="1125"/>
      <c r="D248" s="1254"/>
      <c r="E248" s="1254"/>
      <c r="F248" s="1254"/>
      <c r="G248" s="2"/>
    </row>
    <row r="249" spans="1:7" ht="13">
      <c r="A249" s="98"/>
      <c r="B249" s="98"/>
      <c r="C249" s="98"/>
      <c r="D249" s="1"/>
      <c r="E249" s="2"/>
      <c r="F249" s="2"/>
      <c r="G249" s="2"/>
    </row>
    <row r="250" spans="1:7" ht="13">
      <c r="A250" s="1148"/>
      <c r="B250" s="1148"/>
      <c r="C250" s="98"/>
      <c r="D250" s="1238" t="s">
        <v>362</v>
      </c>
      <c r="E250" s="1238"/>
      <c r="F250" s="1238"/>
      <c r="G250" s="2"/>
    </row>
    <row r="251" spans="1:7" ht="15.75" customHeight="1">
      <c r="A251" s="99"/>
      <c r="B251" s="99"/>
      <c r="C251" s="1148"/>
      <c r="D251" s="1243" t="s">
        <v>363</v>
      </c>
      <c r="E251" s="1243"/>
      <c r="F251" s="1243"/>
      <c r="G251" s="2"/>
    </row>
    <row r="252" spans="1:7">
      <c r="A252" s="1148"/>
      <c r="B252" s="1148"/>
      <c r="C252" s="1148"/>
      <c r="D252" s="2"/>
      <c r="E252" s="68"/>
      <c r="F252" s="68"/>
      <c r="G252" s="2"/>
    </row>
    <row r="253" spans="1:7" ht="13">
      <c r="A253" s="99"/>
      <c r="B253" s="1029" t="s">
        <v>294</v>
      </c>
      <c r="C253" s="1148"/>
      <c r="D253" s="1222" t="s">
        <v>364</v>
      </c>
      <c r="E253" s="1222"/>
      <c r="F253" s="1222"/>
      <c r="G253" s="2"/>
    </row>
    <row r="254" spans="1:7" ht="13">
      <c r="A254" s="99"/>
      <c r="B254" s="99"/>
      <c r="C254" s="1148"/>
      <c r="D254" s="1222"/>
      <c r="E254" s="1222"/>
      <c r="F254" s="1222"/>
      <c r="G254" s="2"/>
    </row>
    <row r="255" spans="1:7">
      <c r="A255" s="1148"/>
      <c r="B255" s="1148"/>
      <c r="C255" s="1148"/>
      <c r="D255" s="68"/>
      <c r="E255" s="68"/>
      <c r="F255" s="68"/>
      <c r="G255" s="2"/>
    </row>
    <row r="256" spans="1:7" ht="13">
      <c r="A256" s="99"/>
      <c r="B256" s="1029" t="s">
        <v>294</v>
      </c>
      <c r="C256" s="1148"/>
      <c r="D256" s="1222" t="s">
        <v>365</v>
      </c>
      <c r="E256" s="1222"/>
      <c r="F256" s="1222"/>
      <c r="G256" s="2"/>
    </row>
    <row r="257" spans="1:7" ht="13">
      <c r="A257" s="99"/>
      <c r="B257" s="99"/>
      <c r="C257" s="1148"/>
      <c r="D257" s="1222"/>
      <c r="E257" s="1222"/>
      <c r="F257" s="1222"/>
      <c r="G257" s="2"/>
    </row>
    <row r="258" spans="1:7" ht="13">
      <c r="A258" s="99"/>
      <c r="B258" s="99"/>
      <c r="C258" s="1148"/>
      <c r="D258" s="1222"/>
      <c r="E258" s="1222"/>
      <c r="F258" s="1222"/>
      <c r="G258" s="2"/>
    </row>
    <row r="259" spans="1:7">
      <c r="A259" s="1148"/>
      <c r="B259" s="1148"/>
      <c r="C259" s="1148"/>
      <c r="D259" s="68"/>
      <c r="E259" s="68"/>
      <c r="F259" s="68"/>
      <c r="G259" s="2"/>
    </row>
    <row r="260" spans="1:7" ht="13">
      <c r="A260" s="99"/>
      <c r="B260" s="1029" t="s">
        <v>294</v>
      </c>
      <c r="C260" s="1148"/>
      <c r="D260" s="1222" t="s">
        <v>366</v>
      </c>
      <c r="E260" s="1222"/>
      <c r="F260" s="1222"/>
      <c r="G260" s="2"/>
    </row>
    <row r="261" spans="1:7" ht="13">
      <c r="A261" s="99"/>
      <c r="B261" s="99"/>
      <c r="C261" s="1148"/>
      <c r="D261" s="1222"/>
      <c r="E261" s="1222"/>
      <c r="F261" s="1222"/>
      <c r="G261" s="2"/>
    </row>
    <row r="262" spans="1:7" ht="13">
      <c r="A262" s="1127"/>
      <c r="B262" s="1127"/>
      <c r="C262" s="1148"/>
      <c r="D262" s="2"/>
      <c r="E262" s="68"/>
      <c r="F262" s="68"/>
      <c r="G262" s="2"/>
    </row>
    <row r="263" spans="1:7" ht="13">
      <c r="A263" s="1237" t="s">
        <v>367</v>
      </c>
      <c r="B263" s="1237"/>
      <c r="C263" s="1237"/>
      <c r="D263" s="1237"/>
      <c r="E263" s="1237"/>
      <c r="F263" s="1237"/>
      <c r="G263" s="1237"/>
    </row>
    <row r="264" spans="1:7" ht="13">
      <c r="A264" s="1127"/>
      <c r="B264" s="1127"/>
      <c r="C264" s="1148"/>
      <c r="D264" s="68"/>
      <c r="E264" s="68"/>
      <c r="F264" s="68"/>
      <c r="G264" s="2"/>
    </row>
    <row r="265" spans="1:7" ht="13">
      <c r="A265" s="1148"/>
      <c r="B265" s="1148"/>
      <c r="C265" s="1127"/>
      <c r="D265" s="1238" t="s">
        <v>368</v>
      </c>
      <c r="E265" s="1238"/>
      <c r="F265" s="1238"/>
      <c r="G265" s="2"/>
    </row>
    <row r="266" spans="1:7" ht="13">
      <c r="A266" s="1148"/>
      <c r="B266" s="1148"/>
      <c r="C266" s="1127"/>
      <c r="D266" s="1233" t="s">
        <v>369</v>
      </c>
      <c r="E266" s="1233"/>
      <c r="F266" s="1233"/>
      <c r="G266" s="2"/>
    </row>
    <row r="267" spans="1:7" ht="13">
      <c r="A267" s="1148"/>
      <c r="B267" s="1148"/>
      <c r="C267" s="1127"/>
      <c r="D267" s="97"/>
      <c r="E267" s="2"/>
      <c r="F267" s="2"/>
      <c r="G267" s="2"/>
    </row>
    <row r="268" spans="1:7">
      <c r="A268" s="1148"/>
      <c r="B268" s="1029" t="s">
        <v>294</v>
      </c>
      <c r="C268" s="1148"/>
      <c r="D268" s="1233" t="s">
        <v>370</v>
      </c>
      <c r="E268" s="1233"/>
      <c r="F268" s="1233"/>
      <c r="G268" s="2"/>
    </row>
    <row r="269" spans="1:7" ht="13">
      <c r="A269" s="99"/>
      <c r="B269" s="99"/>
      <c r="C269" s="1148"/>
      <c r="D269" s="211"/>
      <c r="E269" s="1178"/>
      <c r="F269" s="1178"/>
      <c r="G269" s="2"/>
    </row>
    <row r="270" spans="1:7" ht="13.4" customHeight="1">
      <c r="A270" s="1148"/>
      <c r="B270" s="1029" t="s">
        <v>294</v>
      </c>
      <c r="C270" s="1148"/>
      <c r="D270" s="1241" t="s">
        <v>371</v>
      </c>
      <c r="E270" s="1241"/>
      <c r="F270" s="1241"/>
      <c r="G270" s="2"/>
    </row>
    <row r="271" spans="1:7" ht="13">
      <c r="A271" s="99"/>
      <c r="B271" s="99"/>
      <c r="C271" s="1148"/>
      <c r="D271" s="1241"/>
      <c r="E271" s="1241"/>
      <c r="F271" s="1241"/>
      <c r="G271" s="2"/>
    </row>
    <row r="272" spans="1:7" ht="13">
      <c r="A272" s="99"/>
      <c r="B272" s="99"/>
      <c r="C272" s="1148"/>
      <c r="D272" s="1241"/>
      <c r="E272" s="1241"/>
      <c r="F272" s="1241"/>
      <c r="G272" s="2"/>
    </row>
    <row r="273" spans="1:6" ht="13">
      <c r="A273" s="99"/>
      <c r="B273" s="99"/>
      <c r="C273" s="1148"/>
      <c r="D273" s="1241"/>
      <c r="E273" s="1241"/>
      <c r="F273" s="1241"/>
    </row>
    <row r="274" spans="1:6" ht="13">
      <c r="A274" s="99"/>
      <c r="B274" s="99"/>
      <c r="C274" s="1148"/>
      <c r="D274" s="1241"/>
      <c r="E274" s="1241"/>
      <c r="F274" s="1241"/>
    </row>
    <row r="275" spans="1:6" ht="13">
      <c r="A275" s="99"/>
      <c r="B275" s="99"/>
      <c r="C275" s="1148"/>
      <c r="D275" s="211"/>
      <c r="E275" s="1178"/>
      <c r="F275" s="1178"/>
    </row>
    <row r="276" spans="1:6" ht="13.4" customHeight="1">
      <c r="A276" s="1148"/>
      <c r="B276" s="1029" t="s">
        <v>294</v>
      </c>
      <c r="C276" s="1148"/>
      <c r="D276" s="1241" t="s">
        <v>372</v>
      </c>
      <c r="E276" s="1241"/>
      <c r="F276" s="1241"/>
    </row>
    <row r="277" spans="1:6">
      <c r="A277" s="1148"/>
      <c r="B277" s="1148"/>
      <c r="C277" s="1148"/>
      <c r="D277" s="1241"/>
      <c r="E277" s="1241"/>
      <c r="F277" s="1241"/>
    </row>
    <row r="278" spans="1:6" ht="13">
      <c r="A278" s="99"/>
      <c r="B278" s="99"/>
      <c r="C278" s="1148"/>
      <c r="D278" s="211"/>
      <c r="E278" s="1178"/>
      <c r="F278" s="1178"/>
    </row>
    <row r="279" spans="1:6">
      <c r="A279" s="1148"/>
      <c r="B279" s="1029" t="s">
        <v>294</v>
      </c>
      <c r="C279" s="1148"/>
      <c r="D279" s="1233" t="s">
        <v>373</v>
      </c>
      <c r="E279" s="1233"/>
      <c r="F279" s="1233"/>
    </row>
    <row r="280" spans="1:6">
      <c r="A280" s="1148"/>
      <c r="B280" s="1148"/>
      <c r="C280" s="1148"/>
      <c r="D280" s="2"/>
      <c r="E280" s="68"/>
      <c r="F280" s="68"/>
    </row>
    <row r="281" spans="1:6" ht="13">
      <c r="A281" s="99"/>
      <c r="B281" s="1029" t="s">
        <v>294</v>
      </c>
      <c r="C281" s="1148"/>
      <c r="D281" s="1222" t="s">
        <v>374</v>
      </c>
      <c r="E281" s="1222"/>
      <c r="F281" s="1222"/>
    </row>
    <row r="282" spans="1:6" ht="13">
      <c r="A282" s="99"/>
      <c r="B282" s="99"/>
      <c r="C282" s="1148"/>
      <c r="D282" s="1222"/>
      <c r="E282" s="1222"/>
      <c r="F282" s="1222"/>
    </row>
    <row r="283" spans="1:6" ht="13">
      <c r="A283" s="99"/>
      <c r="B283" s="99"/>
      <c r="C283" s="1148"/>
      <c r="D283" s="1222"/>
      <c r="E283" s="1222"/>
      <c r="F283" s="1222"/>
    </row>
    <row r="284" spans="1:6" ht="13">
      <c r="A284" s="99"/>
      <c r="B284" s="99"/>
      <c r="C284" s="1148"/>
      <c r="D284" s="1222"/>
      <c r="E284" s="1222"/>
      <c r="F284" s="1222"/>
    </row>
    <row r="285" spans="1:6" ht="13">
      <c r="A285" s="99"/>
      <c r="B285" s="99"/>
      <c r="C285" s="1148"/>
      <c r="D285" s="1222"/>
      <c r="E285" s="1222"/>
      <c r="F285" s="1222"/>
    </row>
    <row r="286" spans="1:6" ht="13">
      <c r="A286" s="99"/>
      <c r="B286" s="99"/>
      <c r="C286" s="1148"/>
      <c r="D286" s="1222"/>
      <c r="E286" s="1222"/>
      <c r="F286" s="1222"/>
    </row>
    <row r="287" spans="1:6" ht="13">
      <c r="A287" s="99"/>
      <c r="B287" s="99"/>
      <c r="C287" s="1148"/>
      <c r="D287" s="1222"/>
      <c r="E287" s="1222"/>
      <c r="F287" s="1222"/>
    </row>
    <row r="288" spans="1:6" ht="13">
      <c r="A288" s="99"/>
      <c r="B288" s="99"/>
      <c r="C288" s="1148"/>
      <c r="D288" s="1222"/>
      <c r="E288" s="1222"/>
      <c r="F288" s="1222"/>
    </row>
    <row r="289" spans="1:6" ht="13">
      <c r="A289" s="99"/>
      <c r="B289" s="99"/>
      <c r="C289" s="1148"/>
      <c r="D289" s="1222"/>
      <c r="E289" s="1222"/>
      <c r="F289" s="1222"/>
    </row>
    <row r="290" spans="1:6" ht="13">
      <c r="A290" s="99"/>
      <c r="B290" s="99"/>
      <c r="C290" s="1148"/>
      <c r="D290" s="1222"/>
      <c r="E290" s="1222"/>
      <c r="F290" s="1222"/>
    </row>
    <row r="291" spans="1:6" ht="13">
      <c r="A291" s="99"/>
      <c r="B291" s="99"/>
      <c r="C291" s="1148"/>
      <c r="D291" s="1222"/>
      <c r="E291" s="1222"/>
      <c r="F291" s="1222"/>
    </row>
    <row r="292" spans="1:6" ht="13">
      <c r="A292" s="99"/>
      <c r="B292" s="99"/>
      <c r="C292" s="1148"/>
      <c r="D292" s="1222"/>
      <c r="E292" s="1222"/>
      <c r="F292" s="1222"/>
    </row>
    <row r="293" spans="1:6" ht="13">
      <c r="A293" s="99"/>
      <c r="B293" s="99"/>
      <c r="C293" s="1148"/>
      <c r="D293" s="1222"/>
      <c r="E293" s="1222"/>
      <c r="F293" s="1222"/>
    </row>
    <row r="294" spans="1:6" ht="13">
      <c r="A294" s="99"/>
      <c r="B294" s="99"/>
      <c r="C294" s="1148"/>
      <c r="D294" s="1222"/>
      <c r="E294" s="1222"/>
      <c r="F294" s="1222"/>
    </row>
    <row r="295" spans="1:6" ht="13">
      <c r="A295" s="99"/>
      <c r="B295" s="99"/>
      <c r="C295" s="1148"/>
      <c r="D295" s="1222"/>
      <c r="E295" s="1222"/>
      <c r="F295" s="1222"/>
    </row>
    <row r="296" spans="1:6">
      <c r="A296" s="1148"/>
      <c r="B296" s="1148"/>
      <c r="C296" s="1148"/>
      <c r="D296" s="68"/>
      <c r="E296" s="68"/>
      <c r="F296" s="68"/>
    </row>
    <row r="297" spans="1:6" ht="13">
      <c r="A297" s="99"/>
      <c r="B297" s="1029" t="s">
        <v>294</v>
      </c>
      <c r="C297" s="1148"/>
      <c r="D297" s="1222" t="s">
        <v>375</v>
      </c>
      <c r="E297" s="1222"/>
      <c r="F297" s="1222"/>
    </row>
    <row r="298" spans="1:6">
      <c r="A298" s="1148"/>
      <c r="B298" s="1148"/>
      <c r="C298" s="1148"/>
      <c r="D298" s="1222"/>
      <c r="E298" s="1222"/>
      <c r="F298" s="1222"/>
    </row>
    <row r="299" spans="1:6">
      <c r="A299" s="1148"/>
      <c r="B299" s="1148"/>
      <c r="C299" s="1148"/>
      <c r="D299" s="1222"/>
      <c r="E299" s="1222"/>
      <c r="F299" s="1222"/>
    </row>
    <row r="300" spans="1:6">
      <c r="A300" s="1148"/>
      <c r="B300" s="1148"/>
      <c r="C300" s="1148"/>
      <c r="D300" s="1222"/>
      <c r="E300" s="1222"/>
      <c r="F300" s="1222"/>
    </row>
    <row r="301" spans="1:6">
      <c r="A301" s="1148"/>
      <c r="B301" s="1148"/>
      <c r="C301" s="1148"/>
      <c r="D301" s="1222"/>
      <c r="E301" s="1222"/>
      <c r="F301" s="1222"/>
    </row>
    <row r="302" spans="1:6">
      <c r="A302" s="1148"/>
      <c r="B302" s="1148"/>
      <c r="C302" s="1148"/>
      <c r="D302" s="1222"/>
      <c r="E302" s="1222"/>
      <c r="F302" s="1222"/>
    </row>
    <row r="303" spans="1:6">
      <c r="A303" s="1148"/>
      <c r="B303" s="1148"/>
      <c r="C303" s="1148"/>
      <c r="D303" s="1222"/>
      <c r="E303" s="1222"/>
      <c r="F303" s="1222"/>
    </row>
    <row r="304" spans="1:6">
      <c r="A304" s="1148"/>
      <c r="B304" s="1148"/>
      <c r="C304" s="1148"/>
      <c r="D304" s="1222"/>
      <c r="E304" s="1222"/>
      <c r="F304" s="1222"/>
    </row>
    <row r="305" spans="1:7">
      <c r="A305" s="1148"/>
      <c r="B305" s="1148"/>
      <c r="C305" s="1148"/>
      <c r="D305" s="1222"/>
      <c r="E305" s="1222"/>
      <c r="F305" s="1222"/>
      <c r="G305" s="2"/>
    </row>
    <row r="306" spans="1:7">
      <c r="A306" s="1148"/>
      <c r="B306" s="1148"/>
      <c r="C306" s="1148"/>
      <c r="D306" s="68"/>
      <c r="E306" s="68"/>
      <c r="F306" s="68"/>
      <c r="G306" s="2"/>
    </row>
    <row r="307" spans="1:7" ht="13">
      <c r="A307" s="99"/>
      <c r="B307" s="1029" t="s">
        <v>294</v>
      </c>
      <c r="C307" s="1148"/>
      <c r="D307" s="1222" t="s">
        <v>376</v>
      </c>
      <c r="E307" s="1222"/>
      <c r="F307" s="1222"/>
      <c r="G307" s="2"/>
    </row>
    <row r="308" spans="1:7">
      <c r="A308" s="1148"/>
      <c r="B308" s="1148"/>
      <c r="C308" s="1148"/>
      <c r="D308" s="1222"/>
      <c r="E308" s="1222"/>
      <c r="F308" s="1222"/>
      <c r="G308"/>
    </row>
    <row r="309" spans="1:7">
      <c r="A309" s="1148"/>
      <c r="B309" s="1148"/>
      <c r="C309" s="1148"/>
      <c r="D309" s="1222"/>
      <c r="E309" s="1222"/>
      <c r="F309" s="1222"/>
      <c r="G309"/>
    </row>
    <row r="310" spans="1:7">
      <c r="A310" s="1148"/>
      <c r="B310" s="1148"/>
      <c r="C310" s="1148"/>
      <c r="D310" s="1222"/>
      <c r="E310" s="1222"/>
      <c r="F310" s="1222"/>
      <c r="G310"/>
    </row>
    <row r="311" spans="1:7">
      <c r="A311" s="1148"/>
      <c r="B311" s="1148"/>
      <c r="C311" s="1148"/>
      <c r="D311" s="1222"/>
      <c r="E311" s="1222"/>
      <c r="F311" s="1222"/>
      <c r="G311"/>
    </row>
    <row r="312" spans="1:7">
      <c r="A312" s="1148"/>
      <c r="B312" s="1148"/>
      <c r="C312" s="1148"/>
      <c r="D312" s="1222"/>
      <c r="E312" s="1222"/>
      <c r="F312" s="1222"/>
      <c r="G312"/>
    </row>
    <row r="313" spans="1:7">
      <c r="A313" s="1148"/>
      <c r="B313" s="1148"/>
      <c r="C313" s="1148"/>
      <c r="D313" s="1109"/>
      <c r="E313" s="1109"/>
      <c r="F313" s="1109"/>
      <c r="G313"/>
    </row>
    <row r="314" spans="1:7" ht="13.5" thickBot="1">
      <c r="A314" s="1148"/>
      <c r="B314" s="1148"/>
      <c r="C314" s="1148"/>
      <c r="D314" s="1244" t="s">
        <v>377</v>
      </c>
      <c r="E314" s="1244"/>
      <c r="F314" s="1244"/>
      <c r="G314"/>
    </row>
    <row r="315" spans="1:7" ht="13" thickTop="1">
      <c r="A315" s="1148"/>
      <c r="B315" s="1148"/>
      <c r="C315" s="1148"/>
      <c r="D315" s="1245" t="s">
        <v>378</v>
      </c>
      <c r="E315" s="1245"/>
      <c r="F315" s="1245"/>
      <c r="G315"/>
    </row>
    <row r="316" spans="1:7">
      <c r="A316" s="118"/>
      <c r="B316" s="118"/>
      <c r="C316" s="118"/>
      <c r="D316" s="120"/>
      <c r="E316" s="120"/>
      <c r="F316" s="68"/>
      <c r="G316"/>
    </row>
    <row r="317" spans="1:7" ht="13">
      <c r="A317" s="99"/>
      <c r="B317" s="1029" t="s">
        <v>294</v>
      </c>
      <c r="C317" s="118"/>
      <c r="D317" s="1235" t="s">
        <v>379</v>
      </c>
      <c r="E317" s="1235"/>
      <c r="F317" s="1235"/>
      <c r="G317"/>
    </row>
    <row r="318" spans="1:7">
      <c r="A318" s="118"/>
      <c r="B318" s="118"/>
      <c r="C318" s="118"/>
      <c r="D318" s="120"/>
      <c r="E318" s="120"/>
      <c r="F318" s="68"/>
      <c r="G318"/>
    </row>
    <row r="319" spans="1:7">
      <c r="A319" s="118"/>
      <c r="B319" s="1029" t="s">
        <v>294</v>
      </c>
      <c r="C319" s="118"/>
      <c r="D319" s="1231" t="s">
        <v>380</v>
      </c>
      <c r="E319" s="1231"/>
      <c r="F319" s="1231"/>
      <c r="G319"/>
    </row>
    <row r="320" spans="1:7">
      <c r="A320" s="118"/>
      <c r="B320" s="118"/>
      <c r="C320" s="118"/>
      <c r="D320" s="1231"/>
      <c r="E320" s="1231"/>
      <c r="F320" s="1231"/>
      <c r="G320"/>
    </row>
    <row r="321" spans="1:7">
      <c r="A321" s="118"/>
      <c r="B321" s="118"/>
      <c r="C321" s="118"/>
      <c r="D321" s="1231"/>
      <c r="E321" s="1231"/>
      <c r="F321" s="1231"/>
      <c r="G321"/>
    </row>
    <row r="322" spans="1:7">
      <c r="A322" s="118"/>
      <c r="B322" s="118"/>
      <c r="C322" s="118"/>
      <c r="D322" s="1231"/>
      <c r="E322" s="1231"/>
      <c r="F322" s="1231"/>
      <c r="G322"/>
    </row>
    <row r="323" spans="1:7">
      <c r="A323" s="118"/>
      <c r="B323" s="118"/>
      <c r="C323" s="118"/>
      <c r="D323" s="1231"/>
      <c r="E323" s="1231"/>
      <c r="F323" s="1231"/>
      <c r="G323"/>
    </row>
    <row r="324" spans="1:7">
      <c r="A324" s="118"/>
      <c r="B324" s="118"/>
      <c r="C324" s="118"/>
      <c r="D324" s="1231"/>
      <c r="E324" s="1231"/>
      <c r="F324" s="1231"/>
      <c r="G324"/>
    </row>
    <row r="325" spans="1:7">
      <c r="A325" s="118"/>
      <c r="B325" s="118"/>
      <c r="C325" s="118"/>
      <c r="D325" s="1231"/>
      <c r="E325" s="1231"/>
      <c r="F325" s="1231"/>
      <c r="G325"/>
    </row>
    <row r="326" spans="1:7">
      <c r="A326" s="118"/>
      <c r="B326" s="118"/>
      <c r="C326" s="118"/>
      <c r="D326" s="1231"/>
      <c r="E326" s="1231"/>
      <c r="F326" s="1231"/>
      <c r="G326"/>
    </row>
    <row r="327" spans="1:7">
      <c r="A327" s="118"/>
      <c r="B327" s="118"/>
      <c r="C327" s="118"/>
      <c r="D327" s="1231"/>
      <c r="E327" s="1231"/>
      <c r="F327" s="1231"/>
      <c r="G327"/>
    </row>
    <row r="328" spans="1:7">
      <c r="A328" s="118"/>
      <c r="B328" s="118"/>
      <c r="C328" s="118"/>
      <c r="D328" s="1231"/>
      <c r="E328" s="1231"/>
      <c r="F328" s="1231"/>
      <c r="G328"/>
    </row>
    <row r="329" spans="1:7">
      <c r="A329" s="118"/>
      <c r="B329" s="118"/>
      <c r="C329" s="118"/>
      <c r="D329" s="1231"/>
      <c r="E329" s="1231"/>
      <c r="F329" s="1231"/>
      <c r="G329"/>
    </row>
    <row r="330" spans="1:7">
      <c r="A330" s="118"/>
      <c r="B330" s="118"/>
      <c r="C330" s="118"/>
      <c r="D330"/>
      <c r="E330" s="120"/>
      <c r="F330" s="68"/>
      <c r="G330"/>
    </row>
    <row r="331" spans="1:7" ht="13">
      <c r="A331" s="99"/>
      <c r="B331" s="1029" t="s">
        <v>294</v>
      </c>
      <c r="C331" s="118"/>
      <c r="D331" s="1231" t="s">
        <v>381</v>
      </c>
      <c r="E331" s="1231"/>
      <c r="F331" s="1231"/>
      <c r="G331"/>
    </row>
    <row r="332" spans="1:7">
      <c r="A332" s="118"/>
      <c r="B332" s="118"/>
      <c r="C332" s="118"/>
      <c r="D332" s="1231"/>
      <c r="E332" s="1231"/>
      <c r="F332" s="1231"/>
      <c r="G332"/>
    </row>
    <row r="333" spans="1:7">
      <c r="A333" s="118"/>
      <c r="B333" s="118"/>
      <c r="C333" s="118"/>
      <c r="D333" s="1231"/>
      <c r="E333" s="1231"/>
      <c r="F333" s="1231"/>
      <c r="G333"/>
    </row>
    <row r="334" spans="1:7">
      <c r="A334" s="118"/>
      <c r="B334" s="118"/>
      <c r="C334" s="118"/>
      <c r="D334" s="1231"/>
      <c r="E334" s="1231"/>
      <c r="F334" s="1231"/>
      <c r="G334"/>
    </row>
    <row r="335" spans="1:7">
      <c r="A335" s="118"/>
      <c r="B335" s="118"/>
      <c r="C335" s="118"/>
      <c r="D335" s="120"/>
      <c r="E335" s="120"/>
      <c r="F335" s="68"/>
      <c r="G335"/>
    </row>
    <row r="336" spans="1:7">
      <c r="A336" s="118"/>
      <c r="B336" s="118"/>
      <c r="C336" s="118"/>
      <c r="D336" s="1231" t="s">
        <v>382</v>
      </c>
      <c r="E336" s="1231"/>
      <c r="F336" s="1231"/>
      <c r="G336"/>
    </row>
    <row r="337" spans="1:7">
      <c r="A337" s="118"/>
      <c r="B337" s="118"/>
      <c r="C337" s="118"/>
      <c r="D337" s="1231"/>
      <c r="E337" s="1231"/>
      <c r="F337" s="1231"/>
      <c r="G337"/>
    </row>
    <row r="338" spans="1:7">
      <c r="A338" s="118"/>
      <c r="B338" s="118"/>
      <c r="C338" s="118"/>
      <c r="D338" s="1231"/>
      <c r="E338" s="1231"/>
      <c r="F338" s="1231"/>
      <c r="G338"/>
    </row>
    <row r="339" spans="1:7">
      <c r="A339" s="118"/>
      <c r="B339" s="118"/>
      <c r="C339" s="118"/>
      <c r="D339" s="1231"/>
      <c r="E339" s="1231"/>
      <c r="F339" s="1231"/>
      <c r="G339"/>
    </row>
    <row r="340" spans="1:7" ht="18" customHeight="1">
      <c r="A340" s="118"/>
      <c r="B340" s="118"/>
      <c r="C340" s="118"/>
      <c r="D340" s="1231"/>
      <c r="E340" s="1231"/>
      <c r="F340" s="1231"/>
      <c r="G340"/>
    </row>
    <row r="341" spans="1:7">
      <c r="A341" s="118"/>
      <c r="B341" s="118"/>
      <c r="C341" s="118"/>
      <c r="D341" s="1231"/>
      <c r="E341" s="1231"/>
      <c r="F341" s="1231"/>
      <c r="G341"/>
    </row>
    <row r="342" spans="1:7">
      <c r="A342" s="118"/>
      <c r="B342" s="118"/>
      <c r="C342" s="118"/>
      <c r="D342" s="1231"/>
      <c r="E342" s="1231"/>
      <c r="F342" s="1231"/>
      <c r="G342"/>
    </row>
    <row r="343" spans="1:7">
      <c r="A343" s="118"/>
      <c r="B343" s="118"/>
      <c r="C343" s="118"/>
      <c r="D343" s="1231"/>
      <c r="E343" s="1231"/>
      <c r="F343" s="1231"/>
      <c r="G343"/>
    </row>
    <row r="344" spans="1:7" ht="8.25" customHeight="1">
      <c r="A344" s="118"/>
      <c r="B344" s="118"/>
      <c r="C344" s="118"/>
      <c r="D344" s="1231"/>
      <c r="E344" s="1231"/>
      <c r="F344" s="1231"/>
      <c r="G344"/>
    </row>
    <row r="345" spans="1:7" ht="13.4" customHeight="1">
      <c r="A345" s="118"/>
      <c r="B345" s="118"/>
      <c r="C345" s="118"/>
      <c r="D345" s="1231" t="s">
        <v>383</v>
      </c>
      <c r="E345" s="1231"/>
      <c r="F345" s="1231"/>
      <c r="G345"/>
    </row>
    <row r="346" spans="1:7">
      <c r="A346" s="118"/>
      <c r="B346" s="118"/>
      <c r="C346" s="118"/>
      <c r="D346" s="1231"/>
      <c r="E346" s="1231"/>
      <c r="F346" s="1231"/>
      <c r="G346"/>
    </row>
    <row r="347" spans="1:7">
      <c r="A347" s="118"/>
      <c r="B347" s="118"/>
      <c r="C347" s="118"/>
      <c r="D347" s="1231"/>
      <c r="E347" s="1231"/>
      <c r="F347" s="1231"/>
      <c r="G347"/>
    </row>
    <row r="348" spans="1:7">
      <c r="A348" s="118"/>
      <c r="B348" s="118"/>
      <c r="C348" s="118"/>
      <c r="D348" s="1231"/>
      <c r="E348" s="1231"/>
      <c r="F348" s="1231"/>
      <c r="G348"/>
    </row>
    <row r="349" spans="1:7">
      <c r="A349" s="118"/>
      <c r="B349" s="118"/>
      <c r="C349" s="118"/>
      <c r="D349" s="1231"/>
      <c r="E349" s="1231"/>
      <c r="F349" s="1231"/>
      <c r="G349"/>
    </row>
    <row r="350" spans="1:7">
      <c r="A350" s="118"/>
      <c r="B350" s="118"/>
      <c r="C350" s="118"/>
      <c r="D350" s="1231"/>
      <c r="E350" s="1231"/>
      <c r="F350" s="1231"/>
      <c r="G350"/>
    </row>
    <row r="351" spans="1:7">
      <c r="A351" s="118"/>
      <c r="B351" s="118"/>
      <c r="C351" s="118"/>
      <c r="D351" s="1231"/>
      <c r="E351" s="1231"/>
      <c r="F351" s="1231"/>
      <c r="G351"/>
    </row>
    <row r="352" spans="1:7">
      <c r="A352" s="118"/>
      <c r="B352" s="118"/>
      <c r="C352" s="118"/>
      <c r="D352" s="1231"/>
      <c r="E352" s="1231"/>
      <c r="F352" s="1231"/>
      <c r="G352"/>
    </row>
    <row r="353" spans="1:7">
      <c r="A353" s="118"/>
      <c r="B353" s="118"/>
      <c r="C353" s="118"/>
      <c r="D353" s="1231"/>
      <c r="E353" s="1231"/>
      <c r="F353" s="1231"/>
      <c r="G353"/>
    </row>
    <row r="354" spans="1:7">
      <c r="A354" s="118"/>
      <c r="B354" s="118"/>
      <c r="C354" s="118"/>
      <c r="D354" s="1231"/>
      <c r="E354" s="1231"/>
      <c r="F354" s="1231"/>
      <c r="G354"/>
    </row>
    <row r="355" spans="1:7">
      <c r="A355" s="118"/>
      <c r="B355" s="118"/>
      <c r="C355" s="118"/>
      <c r="D355" s="1231"/>
      <c r="E355" s="1231"/>
      <c r="F355" s="1231"/>
      <c r="G355"/>
    </row>
    <row r="356" spans="1:7">
      <c r="A356" s="118"/>
      <c r="B356" s="118"/>
      <c r="C356" s="118"/>
      <c r="D356" s="1231"/>
      <c r="E356" s="1231"/>
      <c r="F356" s="1231"/>
      <c r="G356"/>
    </row>
    <row r="357" spans="1:7">
      <c r="A357" s="118"/>
      <c r="B357" s="118"/>
      <c r="C357" s="215"/>
      <c r="D357" s="1231"/>
      <c r="E357" s="1231"/>
      <c r="F357" s="1231"/>
      <c r="G357"/>
    </row>
    <row r="358" spans="1:7">
      <c r="A358" s="118"/>
      <c r="B358" s="118"/>
      <c r="C358" s="215"/>
      <c r="D358" s="1231"/>
      <c r="E358" s="1231"/>
      <c r="F358" s="1231"/>
      <c r="G358"/>
    </row>
    <row r="359" spans="1:7">
      <c r="A359" s="118"/>
      <c r="B359" s="118"/>
      <c r="C359" s="118"/>
      <c r="D359" s="1231"/>
      <c r="E359" s="1231"/>
      <c r="F359" s="1231"/>
      <c r="G359"/>
    </row>
    <row r="360" spans="1:7">
      <c r="A360" s="118"/>
      <c r="B360" s="118"/>
      <c r="C360" s="215"/>
      <c r="D360" s="1231"/>
      <c r="E360" s="1231"/>
      <c r="F360" s="1231"/>
      <c r="G360"/>
    </row>
    <row r="361" spans="1:7">
      <c r="A361" s="118"/>
      <c r="B361" s="118"/>
      <c r="C361" s="215"/>
      <c r="D361" s="1231"/>
      <c r="E361" s="1231"/>
      <c r="F361" s="1231"/>
      <c r="G361"/>
    </row>
    <row r="362" spans="1:7">
      <c r="A362" s="118"/>
      <c r="B362" s="118"/>
      <c r="C362" s="215"/>
      <c r="D362" s="1231"/>
      <c r="E362" s="1231"/>
      <c r="F362" s="1231"/>
      <c r="G362"/>
    </row>
    <row r="363" spans="1:7">
      <c r="A363" s="118"/>
      <c r="B363" s="118"/>
      <c r="C363" s="118"/>
      <c r="D363" s="120"/>
      <c r="E363" s="120"/>
      <c r="F363" s="68"/>
      <c r="G363"/>
    </row>
    <row r="364" spans="1:7">
      <c r="A364" s="118"/>
      <c r="B364" s="1029" t="s">
        <v>294</v>
      </c>
      <c r="C364" s="118"/>
      <c r="D364" s="1231" t="s">
        <v>384</v>
      </c>
      <c r="E364" s="1231"/>
      <c r="F364" s="1231"/>
      <c r="G364"/>
    </row>
    <row r="365" spans="1:7">
      <c r="A365" s="118"/>
      <c r="B365" s="118"/>
      <c r="C365" s="118"/>
      <c r="D365" s="1231"/>
      <c r="E365" s="1231"/>
      <c r="F365" s="1231"/>
      <c r="G365"/>
    </row>
    <row r="366" spans="1:7">
      <c r="A366" s="118"/>
      <c r="B366" s="118"/>
      <c r="C366" s="118"/>
      <c r="D366" s="120"/>
      <c r="E366" s="120"/>
      <c r="F366" s="68"/>
      <c r="G366"/>
    </row>
    <row r="367" spans="1:7" ht="13">
      <c r="A367" s="99"/>
      <c r="B367" s="1029" t="s">
        <v>294</v>
      </c>
      <c r="C367" s="118"/>
      <c r="D367" s="1231" t="s">
        <v>385</v>
      </c>
      <c r="E367" s="1231"/>
      <c r="F367" s="1231"/>
      <c r="G367"/>
    </row>
    <row r="368" spans="1:7" ht="13">
      <c r="A368" s="214"/>
      <c r="B368" s="214"/>
      <c r="C368" s="118"/>
      <c r="D368" s="1231"/>
      <c r="E368" s="1231"/>
      <c r="F368" s="1231"/>
      <c r="G368"/>
    </row>
    <row r="369" spans="1:7" ht="13">
      <c r="A369" s="214"/>
      <c r="B369" s="214"/>
      <c r="C369" s="118"/>
      <c r="D369" s="1231"/>
      <c r="E369" s="1231"/>
      <c r="F369" s="1231"/>
      <c r="G369"/>
    </row>
    <row r="370" spans="1:7" ht="13">
      <c r="A370" s="214"/>
      <c r="B370" s="214"/>
      <c r="C370" s="118"/>
      <c r="D370" s="1231"/>
      <c r="E370" s="1231"/>
      <c r="F370" s="1231"/>
      <c r="G370"/>
    </row>
    <row r="371" spans="1:7" ht="13">
      <c r="A371" s="214"/>
      <c r="B371" s="214"/>
      <c r="C371" s="118"/>
      <c r="D371" s="1231"/>
      <c r="E371" s="1231"/>
      <c r="F371" s="1231"/>
      <c r="G371"/>
    </row>
    <row r="372" spans="1:7">
      <c r="A372" s="1148"/>
      <c r="B372" s="1148"/>
      <c r="C372" s="1148"/>
      <c r="D372" s="68"/>
      <c r="E372" s="68"/>
      <c r="F372" s="68"/>
      <c r="G372"/>
    </row>
    <row r="373" spans="1:7" ht="13">
      <c r="A373" s="99"/>
      <c r="B373" s="1029" t="s">
        <v>294</v>
      </c>
      <c r="C373" s="806"/>
      <c r="D373" s="1222" t="s">
        <v>386</v>
      </c>
      <c r="E373" s="1222"/>
      <c r="F373" s="1222"/>
      <c r="G373"/>
    </row>
    <row r="374" spans="1:7" ht="13">
      <c r="A374" s="99"/>
      <c r="B374" s="99"/>
      <c r="C374" s="1148"/>
      <c r="D374" s="1222"/>
      <c r="E374" s="1222"/>
      <c r="F374" s="1222"/>
      <c r="G374"/>
    </row>
    <row r="375" spans="1:7">
      <c r="A375" s="1148"/>
      <c r="B375" s="1148"/>
      <c r="C375" s="1148"/>
      <c r="D375" s="1222"/>
      <c r="E375" s="1222"/>
      <c r="F375" s="1222"/>
      <c r="G375"/>
    </row>
    <row r="376" spans="1:7">
      <c r="A376" s="1148"/>
      <c r="B376" s="1148"/>
      <c r="C376" s="1148"/>
      <c r="D376" s="1222"/>
      <c r="E376" s="1222"/>
      <c r="F376" s="1222"/>
      <c r="G376"/>
    </row>
    <row r="377" spans="1:7">
      <c r="A377" s="1148"/>
      <c r="B377" s="1148"/>
      <c r="C377" s="1148"/>
      <c r="D377" s="1222"/>
      <c r="E377" s="1222"/>
      <c r="F377" s="1222"/>
      <c r="G377"/>
    </row>
    <row r="378" spans="1:7">
      <c r="A378" s="1148"/>
      <c r="B378" s="1148"/>
      <c r="C378" s="1148"/>
      <c r="D378" s="1222"/>
      <c r="E378" s="1222"/>
      <c r="F378" s="1222"/>
      <c r="G378"/>
    </row>
    <row r="379" spans="1:7">
      <c r="A379" s="1148"/>
      <c r="B379" s="1148"/>
      <c r="C379" s="1148"/>
      <c r="D379" s="1222"/>
      <c r="E379" s="1222"/>
      <c r="F379" s="1222"/>
      <c r="G379"/>
    </row>
    <row r="380" spans="1:7">
      <c r="A380" s="1148"/>
      <c r="B380" s="1148"/>
      <c r="C380" s="1148"/>
      <c r="D380" s="1222"/>
      <c r="E380" s="1222"/>
      <c r="F380" s="1222"/>
      <c r="G380"/>
    </row>
    <row r="381" spans="1:7">
      <c r="A381" s="1148"/>
      <c r="B381" s="1148"/>
      <c r="C381" s="1148"/>
      <c r="D381" s="1222"/>
      <c r="E381" s="1222"/>
      <c r="F381" s="1222"/>
      <c r="G381"/>
    </row>
    <row r="382" spans="1:7">
      <c r="A382" s="1148"/>
      <c r="B382" s="1148"/>
      <c r="C382" s="1148"/>
      <c r="D382" s="1222"/>
      <c r="E382" s="1222"/>
      <c r="F382" s="1222"/>
      <c r="G382"/>
    </row>
    <row r="383" spans="1:7">
      <c r="A383" s="1148"/>
      <c r="B383" s="1148"/>
      <c r="C383" s="1148"/>
      <c r="D383" s="1222"/>
      <c r="E383" s="1222"/>
      <c r="F383" s="1222"/>
      <c r="G383"/>
    </row>
    <row r="384" spans="1:7">
      <c r="A384" s="1148"/>
      <c r="B384" s="1148"/>
      <c r="C384" s="1148"/>
      <c r="D384" s="1222"/>
      <c r="E384" s="1222"/>
      <c r="F384" s="1222"/>
      <c r="G384"/>
    </row>
    <row r="385" spans="1:7">
      <c r="A385" s="1148"/>
      <c r="B385" s="1148"/>
      <c r="C385" s="1148"/>
      <c r="D385" s="1222"/>
      <c r="E385" s="1222"/>
      <c r="F385" s="1222"/>
      <c r="G385"/>
    </row>
    <row r="386" spans="1:7">
      <c r="A386"/>
      <c r="B386"/>
      <c r="C386"/>
      <c r="D386" s="1222"/>
      <c r="E386" s="1222"/>
      <c r="F386" s="1222"/>
      <c r="G386"/>
    </row>
    <row r="387" spans="1:7">
      <c r="A387"/>
      <c r="B387"/>
      <c r="C387"/>
      <c r="D387" s="1222"/>
      <c r="E387" s="1222"/>
      <c r="F387" s="1222"/>
      <c r="G387"/>
    </row>
    <row r="388" spans="1:7">
      <c r="A388"/>
      <c r="B388"/>
      <c r="C388"/>
      <c r="D388" s="1222"/>
      <c r="E388" s="1222"/>
      <c r="F388" s="1222"/>
      <c r="G388"/>
    </row>
    <row r="389" spans="1:7">
      <c r="A389"/>
      <c r="B389"/>
      <c r="C389"/>
      <c r="D389" s="1222"/>
      <c r="E389" s="1222"/>
      <c r="F389" s="1222"/>
      <c r="G389"/>
    </row>
    <row r="390" spans="1:7">
      <c r="A390"/>
      <c r="B390"/>
      <c r="C390"/>
      <c r="D390" s="1222"/>
      <c r="E390" s="1222"/>
      <c r="F390" s="1222"/>
      <c r="G390"/>
    </row>
    <row r="391" spans="1:7">
      <c r="A391"/>
      <c r="B391"/>
      <c r="C391"/>
      <c r="D391" s="1222"/>
      <c r="E391" s="1222"/>
      <c r="F391" s="1222"/>
      <c r="G391"/>
    </row>
    <row r="392" spans="1:7">
      <c r="A392"/>
      <c r="B392"/>
      <c r="C392"/>
      <c r="D392" s="1222"/>
      <c r="E392" s="1222"/>
      <c r="F392" s="1222"/>
      <c r="G392"/>
    </row>
    <row r="393" spans="1:7">
      <c r="A393"/>
      <c r="B393"/>
      <c r="C393"/>
      <c r="D393" s="1222"/>
      <c r="E393" s="1222"/>
      <c r="F393" s="1222"/>
      <c r="G393"/>
    </row>
    <row r="394" spans="1:7">
      <c r="A394"/>
      <c r="B394"/>
      <c r="C394"/>
      <c r="D394" s="1222"/>
      <c r="E394" s="1222"/>
      <c r="F394" s="1222"/>
      <c r="G394"/>
    </row>
    <row r="395" spans="1:7">
      <c r="A395"/>
      <c r="B395"/>
      <c r="C395"/>
      <c r="D395" s="1222"/>
      <c r="E395" s="1222"/>
      <c r="F395" s="1222"/>
      <c r="G395"/>
    </row>
    <row r="396" spans="1:7">
      <c r="A396"/>
      <c r="B396"/>
      <c r="C396"/>
      <c r="D396" s="1222"/>
      <c r="E396" s="1222"/>
      <c r="F396" s="1222"/>
      <c r="G396"/>
    </row>
    <row r="397" spans="1:7">
      <c r="A397"/>
      <c r="B397"/>
      <c r="C397"/>
      <c r="D397" s="1222"/>
      <c r="E397" s="1222"/>
      <c r="F397" s="1222"/>
      <c r="G397"/>
    </row>
    <row r="398" spans="1:7">
      <c r="A398"/>
      <c r="B398"/>
      <c r="C398"/>
      <c r="D398" s="1222"/>
      <c r="E398" s="1222"/>
      <c r="F398" s="1222"/>
      <c r="G398"/>
    </row>
    <row r="399" spans="1:7">
      <c r="A399"/>
      <c r="B399"/>
      <c r="C399"/>
      <c r="D399" s="1222"/>
      <c r="E399" s="1222"/>
      <c r="F399" s="1222"/>
      <c r="G399"/>
    </row>
    <row r="400" spans="1:7">
      <c r="A400"/>
      <c r="B400"/>
      <c r="C400"/>
      <c r="D400" s="1222"/>
      <c r="E400" s="1222"/>
      <c r="F400" s="1222"/>
      <c r="G400"/>
    </row>
    <row r="401" spans="1:7">
      <c r="A401"/>
      <c r="B401"/>
      <c r="C401"/>
      <c r="D401" s="1222"/>
      <c r="E401" s="1222"/>
      <c r="F401" s="1222"/>
      <c r="G401"/>
    </row>
    <row r="402" spans="1:7">
      <c r="A402" s="1148"/>
      <c r="B402" s="1148"/>
      <c r="C402" s="1148"/>
      <c r="D402" s="1222"/>
      <c r="E402" s="1222"/>
      <c r="F402" s="1222"/>
      <c r="G402" s="2"/>
    </row>
    <row r="403" spans="1:7" ht="40.75" customHeight="1">
      <c r="A403" s="1148"/>
      <c r="B403" s="1148"/>
      <c r="C403" s="1148"/>
      <c r="D403" s="1222"/>
      <c r="E403" s="1222"/>
      <c r="F403" s="1222"/>
      <c r="G403" s="2"/>
    </row>
    <row r="404" spans="1:7">
      <c r="A404" s="1148"/>
      <c r="B404" s="1148"/>
      <c r="C404" s="1148"/>
      <c r="D404" s="68"/>
      <c r="E404" s="68"/>
      <c r="F404" s="68"/>
      <c r="G404" s="2"/>
    </row>
    <row r="405" spans="1:7" ht="13">
      <c r="A405" s="99"/>
      <c r="B405" s="1029" t="s">
        <v>294</v>
      </c>
      <c r="C405" s="806"/>
      <c r="D405" s="1233" t="s">
        <v>387</v>
      </c>
      <c r="E405" s="1233"/>
      <c r="F405" s="1233"/>
      <c r="G405" s="2"/>
    </row>
    <row r="406" spans="1:7">
      <c r="A406" s="1148"/>
      <c r="B406" s="1148"/>
      <c r="C406" s="1148"/>
      <c r="D406" s="1242" t="s">
        <v>388</v>
      </c>
      <c r="E406" s="1242"/>
      <c r="F406" s="1242"/>
      <c r="G406" s="2"/>
    </row>
    <row r="407" spans="1:7">
      <c r="A407" s="1148"/>
      <c r="B407" s="1148"/>
      <c r="C407" s="1148"/>
      <c r="D407" s="1222" t="s">
        <v>389</v>
      </c>
      <c r="E407" s="1222"/>
      <c r="F407" s="1222"/>
      <c r="G407" s="2"/>
    </row>
    <row r="408" spans="1:7">
      <c r="A408" s="1148"/>
      <c r="B408" s="1148"/>
      <c r="C408" s="1148"/>
      <c r="D408" s="1222"/>
      <c r="E408" s="1222"/>
      <c r="F408" s="1222"/>
      <c r="G408" s="2"/>
    </row>
    <row r="409" spans="1:7">
      <c r="A409" s="1148"/>
      <c r="B409" s="1148"/>
      <c r="C409" s="1148"/>
      <c r="D409" s="1222"/>
      <c r="E409" s="1222"/>
      <c r="F409" s="1222"/>
      <c r="G409" s="2"/>
    </row>
    <row r="410" spans="1:7">
      <c r="A410" s="1148"/>
      <c r="B410" s="1148"/>
      <c r="C410" s="1148"/>
      <c r="D410" s="1222"/>
      <c r="E410" s="1222"/>
      <c r="F410" s="1222"/>
      <c r="G410" s="2"/>
    </row>
    <row r="411" spans="1:7">
      <c r="A411" s="1148"/>
      <c r="B411" s="1148"/>
      <c r="C411" s="1148"/>
      <c r="D411" s="68"/>
      <c r="E411" s="68"/>
      <c r="F411" s="68"/>
      <c r="G411"/>
    </row>
    <row r="412" spans="1:7" ht="13">
      <c r="A412" s="99"/>
      <c r="B412" s="1029" t="s">
        <v>294</v>
      </c>
      <c r="C412" s="806"/>
      <c r="D412" s="1222" t="s">
        <v>390</v>
      </c>
      <c r="E412" s="1222"/>
      <c r="F412" s="1222"/>
      <c r="G412"/>
    </row>
    <row r="413" spans="1:7">
      <c r="A413" s="1148"/>
      <c r="B413" s="1148"/>
      <c r="C413" s="1148"/>
      <c r="D413" s="1222"/>
      <c r="E413" s="1222"/>
      <c r="F413" s="1222"/>
      <c r="G413"/>
    </row>
    <row r="414" spans="1:7">
      <c r="A414" s="1148"/>
      <c r="B414" s="1148"/>
      <c r="C414" s="1148"/>
      <c r="D414" s="1222"/>
      <c r="E414" s="1222"/>
      <c r="F414" s="1222"/>
      <c r="G414"/>
    </row>
    <row r="415" spans="1:7">
      <c r="A415" s="1148"/>
      <c r="B415" s="1148"/>
      <c r="C415" s="1148"/>
      <c r="D415" s="1109"/>
      <c r="E415" s="1109"/>
      <c r="F415" s="1109"/>
      <c r="G415"/>
    </row>
    <row r="416" spans="1:7" ht="13">
      <c r="A416" s="1148"/>
      <c r="B416" s="1029" t="s">
        <v>294</v>
      </c>
      <c r="C416" s="99"/>
      <c r="D416" s="1222" t="s">
        <v>391</v>
      </c>
      <c r="E416" s="1222"/>
      <c r="F416" s="1222"/>
      <c r="G416"/>
    </row>
    <row r="417" spans="1:7">
      <c r="A417" s="1148"/>
      <c r="B417" s="1148"/>
      <c r="C417" s="1148"/>
      <c r="D417" s="1222"/>
      <c r="E417" s="1222"/>
      <c r="F417" s="1222"/>
      <c r="G417"/>
    </row>
    <row r="418" spans="1:7">
      <c r="A418" s="1148"/>
      <c r="B418" s="1148"/>
      <c r="C418" s="1148"/>
      <c r="D418" s="68"/>
      <c r="E418" s="68"/>
      <c r="F418" s="68"/>
      <c r="G418"/>
    </row>
    <row r="419" spans="1:7" ht="13">
      <c r="A419" s="1148"/>
      <c r="B419" s="1029" t="s">
        <v>294</v>
      </c>
      <c r="C419" s="99"/>
      <c r="D419" s="1222" t="s">
        <v>392</v>
      </c>
      <c r="E419" s="1222"/>
      <c r="F419" s="1222"/>
      <c r="G419"/>
    </row>
    <row r="420" spans="1:7">
      <c r="A420" s="1148"/>
      <c r="B420" s="1148"/>
      <c r="C420" s="1148"/>
      <c r="D420" s="1222"/>
      <c r="E420" s="1222"/>
      <c r="F420" s="1222"/>
      <c r="G420"/>
    </row>
    <row r="421" spans="1:7">
      <c r="A421" s="1148"/>
      <c r="B421" s="1148"/>
      <c r="C421" s="1148"/>
      <c r="D421" s="1222"/>
      <c r="E421" s="1222"/>
      <c r="F421" s="1222"/>
      <c r="G421"/>
    </row>
    <row r="422" spans="1:7">
      <c r="A422" s="1148"/>
      <c r="B422" s="1148"/>
      <c r="C422" s="1148"/>
      <c r="D422" s="1222"/>
      <c r="E422" s="1222"/>
      <c r="F422" s="1222"/>
      <c r="G422"/>
    </row>
    <row r="423" spans="1:7">
      <c r="A423" s="1148"/>
      <c r="B423" s="1029" t="s">
        <v>294</v>
      </c>
      <c r="C423" s="1148"/>
      <c r="D423" s="1222"/>
      <c r="E423" s="1222"/>
      <c r="F423" s="1222"/>
      <c r="G423"/>
    </row>
    <row r="424" spans="1:7">
      <c r="A424"/>
      <c r="B424"/>
      <c r="C424"/>
      <c r="D424" s="1222"/>
      <c r="E424" s="1222"/>
      <c r="F424" s="1222"/>
      <c r="G424"/>
    </row>
    <row r="425" spans="1:7">
      <c r="A425"/>
      <c r="B425" s="1148"/>
      <c r="C425"/>
      <c r="D425" s="1222"/>
      <c r="E425" s="1222"/>
      <c r="F425" s="1222"/>
      <c r="G425"/>
    </row>
    <row r="426" spans="1:7">
      <c r="A426"/>
      <c r="B426" s="1029" t="s">
        <v>294</v>
      </c>
      <c r="C426"/>
      <c r="D426" s="1222"/>
      <c r="E426" s="1222"/>
      <c r="F426" s="1222"/>
      <c r="G426"/>
    </row>
    <row r="427" spans="1:7">
      <c r="A427"/>
      <c r="B427"/>
      <c r="C427"/>
      <c r="D427" s="1222"/>
      <c r="E427" s="1222"/>
      <c r="F427" s="1222"/>
      <c r="G427"/>
    </row>
    <row r="428" spans="1:7">
      <c r="A428"/>
      <c r="B428" s="1148"/>
      <c r="C428"/>
      <c r="D428" s="1222"/>
      <c r="E428" s="1222"/>
      <c r="F428" s="1222"/>
      <c r="G428"/>
    </row>
    <row r="429" spans="1:7">
      <c r="A429"/>
      <c r="B429" s="1148"/>
      <c r="C429"/>
      <c r="D429" s="1222"/>
      <c r="E429" s="1222"/>
      <c r="F429" s="1222"/>
      <c r="G429"/>
    </row>
    <row r="430" spans="1:7">
      <c r="A430"/>
      <c r="B430" s="1029" t="s">
        <v>294</v>
      </c>
      <c r="C430"/>
      <c r="D430" s="1222"/>
      <c r="E430" s="1222"/>
      <c r="F430" s="1222"/>
      <c r="G430"/>
    </row>
    <row r="431" spans="1:7">
      <c r="A431"/>
      <c r="B431"/>
      <c r="C431"/>
      <c r="D431" s="1222"/>
      <c r="E431" s="1222"/>
      <c r="F431" s="1222"/>
      <c r="G431"/>
    </row>
    <row r="432" spans="1:7">
      <c r="A432"/>
      <c r="B432" s="1029" t="s">
        <v>294</v>
      </c>
      <c r="C432"/>
      <c r="D432" s="1222"/>
      <c r="E432" s="1222"/>
      <c r="F432" s="1222"/>
      <c r="G432"/>
    </row>
    <row r="433" spans="1:7">
      <c r="A433"/>
      <c r="B433"/>
      <c r="C433"/>
      <c r="D433" s="1109"/>
      <c r="E433" s="1109"/>
      <c r="F433" s="1109"/>
      <c r="G433"/>
    </row>
    <row r="434" spans="1:7">
      <c r="A434"/>
      <c r="B434" s="1029" t="s">
        <v>294</v>
      </c>
      <c r="C434"/>
      <c r="D434" s="1222" t="s">
        <v>393</v>
      </c>
      <c r="E434" s="1222"/>
      <c r="F434" s="1222"/>
      <c r="G434"/>
    </row>
    <row r="435" spans="1:7">
      <c r="A435"/>
      <c r="B435"/>
      <c r="C435"/>
      <c r="D435" s="1222"/>
      <c r="E435" s="1222"/>
      <c r="F435" s="1222"/>
      <c r="G435"/>
    </row>
    <row r="436" spans="1:7">
      <c r="A436"/>
      <c r="B436"/>
      <c r="C436"/>
      <c r="D436" s="1222"/>
      <c r="E436" s="1222"/>
      <c r="F436" s="1222"/>
      <c r="G436"/>
    </row>
    <row r="437" spans="1:7">
      <c r="A437"/>
      <c r="B437"/>
      <c r="C437"/>
      <c r="D437" s="1222"/>
      <c r="E437" s="1222"/>
      <c r="F437" s="1222"/>
      <c r="G437"/>
    </row>
    <row r="438" spans="1:7">
      <c r="A438" s="1148"/>
      <c r="B438" s="1148"/>
      <c r="C438" s="1148"/>
      <c r="D438" s="1222"/>
      <c r="E438" s="1222"/>
      <c r="F438" s="1222"/>
      <c r="G438" s="2"/>
    </row>
    <row r="439" spans="1:7">
      <c r="A439" s="1148"/>
      <c r="B439" s="1148"/>
      <c r="C439" s="1148"/>
      <c r="D439" s="68"/>
      <c r="E439" s="68"/>
      <c r="F439" s="68"/>
      <c r="G439" s="2"/>
    </row>
    <row r="440" spans="1:7">
      <c r="A440" s="1148"/>
      <c r="B440" s="1029" t="s">
        <v>294</v>
      </c>
      <c r="C440" s="1148"/>
      <c r="D440" s="1233" t="s">
        <v>394</v>
      </c>
      <c r="E440" s="1233"/>
      <c r="F440" s="1233"/>
      <c r="G440" s="2"/>
    </row>
    <row r="441" spans="1:7">
      <c r="A441" s="68"/>
      <c r="B441" s="68"/>
      <c r="C441" s="1148"/>
      <c r="D441" s="2"/>
      <c r="E441" s="2"/>
      <c r="F441" s="2"/>
      <c r="G441" s="2"/>
    </row>
    <row r="442" spans="1:7" ht="13">
      <c r="A442" s="1237" t="s">
        <v>395</v>
      </c>
      <c r="B442" s="1237"/>
      <c r="C442" s="1237"/>
      <c r="D442" s="1237"/>
      <c r="E442" s="1237"/>
      <c r="F442" s="1237"/>
      <c r="G442" s="1237"/>
    </row>
    <row r="443" spans="1:7">
      <c r="A443" s="68"/>
      <c r="B443" s="68"/>
      <c r="C443" s="1148"/>
      <c r="D443" s="2"/>
      <c r="E443" s="2"/>
      <c r="F443" s="2"/>
      <c r="G443" s="2"/>
    </row>
    <row r="444" spans="1:7" ht="13">
      <c r="A444" s="1148"/>
      <c r="B444" s="1148"/>
      <c r="C444" s="1148"/>
      <c r="D444" s="1234" t="s">
        <v>396</v>
      </c>
      <c r="E444" s="1234"/>
      <c r="F444" s="1234"/>
      <c r="G444" s="2"/>
    </row>
    <row r="445" spans="1:7" ht="13">
      <c r="A445" s="99"/>
      <c r="B445" s="99"/>
      <c r="C445" s="1148"/>
      <c r="D445" s="1235" t="s">
        <v>397</v>
      </c>
      <c r="E445" s="1235"/>
      <c r="F445" s="1235"/>
      <c r="G445" s="2"/>
    </row>
    <row r="446" spans="1:7" ht="13">
      <c r="A446" s="99"/>
      <c r="B446" s="99"/>
      <c r="C446" s="1148"/>
      <c r="D446" s="1115"/>
      <c r="E446" s="2"/>
      <c r="F446" s="2"/>
      <c r="G446" s="2"/>
    </row>
    <row r="447" spans="1:7" ht="13">
      <c r="A447" s="99"/>
      <c r="B447" s="1029" t="s">
        <v>294</v>
      </c>
      <c r="C447" s="1148"/>
      <c r="D447" s="1231" t="s">
        <v>398</v>
      </c>
      <c r="E447" s="1231"/>
      <c r="F447" s="1231"/>
      <c r="G447" s="2"/>
    </row>
    <row r="448" spans="1:7" ht="13">
      <c r="A448" s="99"/>
      <c r="B448" s="99"/>
      <c r="C448" s="1148"/>
      <c r="D448" s="1231"/>
      <c r="E448" s="1231"/>
      <c r="F448" s="1231"/>
      <c r="G448" s="2"/>
    </row>
    <row r="449" spans="1:7" ht="13">
      <c r="A449" s="99"/>
      <c r="B449" s="99"/>
      <c r="C449" s="1148"/>
      <c r="D449" s="68"/>
      <c r="E449" s="2"/>
      <c r="F449" s="2"/>
      <c r="G449" s="2"/>
    </row>
    <row r="450" spans="1:7">
      <c r="A450" s="1148"/>
      <c r="B450" s="1029" t="s">
        <v>294</v>
      </c>
      <c r="C450" s="1148"/>
      <c r="D450" s="1236" t="s">
        <v>399</v>
      </c>
      <c r="E450" s="1236"/>
      <c r="F450" s="1236"/>
      <c r="G450" s="2"/>
    </row>
    <row r="451" spans="1:7" ht="13">
      <c r="A451" s="99"/>
      <c r="B451" s="1148"/>
      <c r="C451" s="1148"/>
      <c r="D451" s="1236"/>
      <c r="E451" s="1236"/>
      <c r="F451" s="1236"/>
      <c r="G451" s="2"/>
    </row>
    <row r="452" spans="1:7" ht="13">
      <c r="A452" s="99"/>
      <c r="B452" s="99"/>
      <c r="C452" s="1148"/>
      <c r="D452" s="1236"/>
      <c r="E452" s="1236"/>
      <c r="F452" s="1236"/>
      <c r="G452" s="2"/>
    </row>
    <row r="453" spans="1:7" ht="13">
      <c r="A453" s="99"/>
      <c r="B453" s="99"/>
      <c r="C453" s="1148"/>
      <c r="D453" s="1236"/>
      <c r="E453" s="1236"/>
      <c r="F453" s="1236"/>
      <c r="G453" s="2"/>
    </row>
    <row r="454" spans="1:7">
      <c r="A454" s="1148"/>
      <c r="B454" s="1148"/>
      <c r="C454" s="1148"/>
      <c r="D454" s="2"/>
      <c r="E454" s="2"/>
      <c r="F454" s="2"/>
      <c r="G454"/>
    </row>
    <row r="455" spans="1:7" ht="13">
      <c r="A455" s="99"/>
      <c r="B455" s="1029" t="s">
        <v>294</v>
      </c>
      <c r="C455" s="1148"/>
      <c r="D455" s="1222" t="s">
        <v>400</v>
      </c>
      <c r="E455" s="1222"/>
      <c r="F455" s="1222"/>
      <c r="G455"/>
    </row>
    <row r="456" spans="1:7" ht="13">
      <c r="A456" s="99"/>
      <c r="B456" s="99"/>
      <c r="C456" s="1148"/>
      <c r="D456" s="1222"/>
      <c r="E456" s="1222"/>
      <c r="F456" s="1222"/>
      <c r="G456"/>
    </row>
    <row r="457" spans="1:7" ht="13">
      <c r="A457" s="99"/>
      <c r="B457" s="1148"/>
      <c r="C457" s="1148"/>
      <c r="D457" s="1222"/>
      <c r="E457" s="1222"/>
      <c r="F457" s="1222"/>
      <c r="G457"/>
    </row>
    <row r="458" spans="1:7" ht="13">
      <c r="A458" s="99"/>
      <c r="B458" s="99"/>
      <c r="C458" s="1148"/>
      <c r="D458" s="2"/>
      <c r="E458" s="2"/>
      <c r="F458" s="2"/>
      <c r="G458"/>
    </row>
    <row r="459" spans="1:7" ht="13">
      <c r="A459" s="99"/>
      <c r="B459" s="1029" t="s">
        <v>294</v>
      </c>
      <c r="C459" s="1148"/>
      <c r="D459" s="1233" t="s">
        <v>401</v>
      </c>
      <c r="E459" s="1233"/>
      <c r="F459" s="1233"/>
      <c r="G459"/>
    </row>
    <row r="460" spans="1:7" ht="13">
      <c r="A460" s="99"/>
      <c r="B460" s="99"/>
      <c r="C460" s="1148"/>
      <c r="D460" s="68"/>
      <c r="E460" s="2"/>
      <c r="F460" s="2"/>
      <c r="G460"/>
    </row>
    <row r="461" spans="1:7" ht="13">
      <c r="A461" s="99"/>
      <c r="B461" s="1029" t="s">
        <v>294</v>
      </c>
      <c r="C461" s="1148"/>
      <c r="D461" s="1222" t="s">
        <v>402</v>
      </c>
      <c r="E461" s="1222"/>
      <c r="F461" s="1222"/>
      <c r="G461"/>
    </row>
    <row r="462" spans="1:7" ht="13">
      <c r="A462" s="99"/>
      <c r="B462" s="1148"/>
      <c r="C462" s="1148"/>
      <c r="D462" s="1222"/>
      <c r="E462" s="1222"/>
      <c r="F462" s="1222"/>
      <c r="G462"/>
    </row>
    <row r="463" spans="1:7" ht="13">
      <c r="A463" s="1127"/>
      <c r="B463" s="1127"/>
      <c r="C463" s="1148"/>
      <c r="D463" s="1115"/>
      <c r="E463" s="2"/>
      <c r="F463" s="2"/>
      <c r="G463"/>
    </row>
    <row r="464" spans="1:7" ht="13">
      <c r="A464" s="1127"/>
      <c r="B464" s="1029" t="s">
        <v>294</v>
      </c>
      <c r="C464" s="1148"/>
      <c r="D464" s="1233" t="s">
        <v>403</v>
      </c>
      <c r="E464" s="1233"/>
      <c r="F464" s="1233"/>
      <c r="G464"/>
    </row>
    <row r="465" spans="1:7" ht="13">
      <c r="A465" s="99"/>
      <c r="B465" s="99"/>
      <c r="C465" s="1148"/>
      <c r="D465" s="68"/>
      <c r="E465" s="2"/>
      <c r="F465" s="2"/>
      <c r="G465" s="2"/>
    </row>
    <row r="466" spans="1:7" ht="13">
      <c r="A466" s="1237" t="s">
        <v>404</v>
      </c>
      <c r="B466" s="1237"/>
      <c r="C466" s="1237"/>
      <c r="D466" s="1237"/>
      <c r="E466" s="1237"/>
      <c r="F466" s="1237"/>
      <c r="G466" s="1237"/>
    </row>
    <row r="467" spans="1:7" ht="12" customHeight="1">
      <c r="A467" s="99"/>
      <c r="B467" s="99"/>
      <c r="C467" s="1148"/>
      <c r="D467" s="68"/>
      <c r="E467" s="2"/>
      <c r="F467" s="2"/>
      <c r="G467" s="2"/>
    </row>
    <row r="468" spans="1:7" ht="13">
      <c r="A468" s="1148"/>
      <c r="B468" s="1148"/>
      <c r="C468" s="1125"/>
      <c r="D468" s="1238" t="s">
        <v>405</v>
      </c>
      <c r="E468" s="1238"/>
      <c r="F468" s="1238"/>
      <c r="G468" s="2"/>
    </row>
    <row r="469" spans="1:7" ht="13.4" customHeight="1">
      <c r="A469" s="98"/>
      <c r="B469" s="98"/>
      <c r="C469" s="98"/>
      <c r="D469" s="1239" t="s">
        <v>406</v>
      </c>
      <c r="E469" s="1239"/>
      <c r="F469" s="1239"/>
      <c r="G469" s="2"/>
    </row>
    <row r="470" spans="1:7" ht="13">
      <c r="A470" s="98"/>
      <c r="B470" s="98"/>
      <c r="C470" s="98"/>
      <c r="D470" s="1239"/>
      <c r="E470" s="1239"/>
      <c r="F470" s="1239"/>
      <c r="G470" s="2"/>
    </row>
    <row r="471" spans="1:7" ht="13">
      <c r="A471" s="98"/>
      <c r="B471" s="98"/>
      <c r="C471" s="98"/>
      <c r="D471" s="1239"/>
      <c r="E471" s="1239"/>
      <c r="F471" s="1239"/>
      <c r="G471" s="2"/>
    </row>
    <row r="472" spans="1:7" ht="13">
      <c r="A472" s="98"/>
      <c r="B472" s="98"/>
      <c r="C472" s="98"/>
      <c r="D472" s="1239"/>
      <c r="E472" s="1239"/>
      <c r="F472" s="1239"/>
      <c r="G472" s="2"/>
    </row>
    <row r="473" spans="1:7" ht="13">
      <c r="A473" s="98"/>
      <c r="B473" s="98"/>
      <c r="C473" s="98"/>
      <c r="D473" s="1239"/>
      <c r="E473" s="1239"/>
      <c r="F473" s="1239"/>
      <c r="G473" s="2"/>
    </row>
    <row r="474" spans="1:7" ht="13">
      <c r="A474" s="98"/>
      <c r="B474" s="98"/>
      <c r="C474" s="98"/>
      <c r="D474" s="198"/>
      <c r="E474" s="2"/>
      <c r="F474" s="68"/>
      <c r="G474" s="2"/>
    </row>
    <row r="475" spans="1:7" ht="14.5" customHeight="1">
      <c r="A475" s="99"/>
      <c r="B475" s="1029" t="s">
        <v>294</v>
      </c>
      <c r="C475" s="98"/>
      <c r="D475" s="1252" t="s">
        <v>407</v>
      </c>
      <c r="E475" s="1252"/>
      <c r="F475" s="1252"/>
      <c r="G475" s="2"/>
    </row>
    <row r="476" spans="1:7" ht="13">
      <c r="A476" s="98"/>
      <c r="B476" s="98"/>
      <c r="C476" s="98"/>
      <c r="D476" s="1252"/>
      <c r="E476" s="1252"/>
      <c r="F476" s="1252"/>
      <c r="G476" s="2"/>
    </row>
    <row r="477" spans="1:7" ht="13">
      <c r="A477" s="98"/>
      <c r="B477" s="98"/>
      <c r="C477" s="98"/>
      <c r="D477" s="1252"/>
      <c r="E477" s="1252"/>
      <c r="F477" s="1252"/>
      <c r="G477" s="2"/>
    </row>
    <row r="478" spans="1:7" ht="13">
      <c r="A478" s="98"/>
      <c r="B478" s="98"/>
      <c r="C478" s="98"/>
      <c r="D478" s="1252"/>
      <c r="E478" s="1252"/>
      <c r="F478" s="1252"/>
      <c r="G478" s="2"/>
    </row>
    <row r="479" spans="1:7" ht="13">
      <c r="A479" s="98"/>
      <c r="B479" s="98"/>
      <c r="C479" s="98"/>
      <c r="D479" s="1252"/>
      <c r="E479" s="1252"/>
      <c r="F479" s="1252"/>
      <c r="G479" s="2"/>
    </row>
    <row r="480" spans="1:7" ht="13">
      <c r="A480" s="98"/>
      <c r="B480" s="98"/>
      <c r="C480" s="98"/>
      <c r="D480" s="120"/>
      <c r="E480" s="2"/>
      <c r="F480" s="68"/>
      <c r="G480" s="2"/>
    </row>
    <row r="481" spans="1:6" ht="14.5" customHeight="1">
      <c r="A481" s="99"/>
      <c r="B481" s="1029" t="s">
        <v>294</v>
      </c>
      <c r="C481" s="98"/>
      <c r="D481" s="1252" t="s">
        <v>408</v>
      </c>
      <c r="E481" s="1252"/>
      <c r="F481" s="1252"/>
    </row>
    <row r="482" spans="1:6" ht="13">
      <c r="A482" s="98"/>
      <c r="B482" s="98"/>
      <c r="C482" s="98"/>
      <c r="D482" s="1252"/>
      <c r="E482" s="1252"/>
      <c r="F482" s="1252"/>
    </row>
    <row r="483" spans="1:6" ht="13">
      <c r="A483" s="98"/>
      <c r="B483" s="98"/>
      <c r="C483" s="98"/>
      <c r="D483" s="1252"/>
      <c r="E483" s="1252"/>
      <c r="F483" s="1252"/>
    </row>
    <row r="484" spans="1:6" ht="13">
      <c r="A484" s="98"/>
      <c r="B484" s="98"/>
      <c r="C484" s="98"/>
      <c r="D484" s="1252"/>
      <c r="E484" s="1252"/>
      <c r="F484" s="1252"/>
    </row>
    <row r="485" spans="1:6" ht="10" customHeight="1">
      <c r="A485" s="98"/>
      <c r="B485" s="98"/>
      <c r="C485" s="98"/>
      <c r="D485" s="120"/>
      <c r="E485" s="2"/>
      <c r="F485" s="68"/>
    </row>
    <row r="486" spans="1:6" ht="14.5" customHeight="1">
      <c r="A486" s="99"/>
      <c r="B486" s="1029" t="s">
        <v>294</v>
      </c>
      <c r="C486" s="98"/>
      <c r="D486" s="1252" t="s">
        <v>409</v>
      </c>
      <c r="E486" s="1252"/>
      <c r="F486" s="1252"/>
    </row>
    <row r="487" spans="1:6" ht="13">
      <c r="A487" s="98"/>
      <c r="B487" s="98"/>
      <c r="C487" s="98"/>
      <c r="D487" s="1252"/>
      <c r="E487" s="1252"/>
      <c r="F487" s="1252"/>
    </row>
    <row r="488" spans="1:6" ht="13">
      <c r="A488" s="98"/>
      <c r="B488" s="98"/>
      <c r="C488" s="98"/>
      <c r="D488" s="1252"/>
      <c r="E488" s="1252"/>
      <c r="F488" s="1252"/>
    </row>
    <row r="489" spans="1:6" ht="13">
      <c r="A489" s="98"/>
      <c r="B489" s="98"/>
      <c r="C489" s="98"/>
      <c r="D489" s="1123"/>
      <c r="E489" s="1123"/>
      <c r="F489" s="1123"/>
    </row>
    <row r="490" spans="1:6" ht="14.5" customHeight="1">
      <c r="A490" s="99"/>
      <c r="B490" s="1029" t="s">
        <v>294</v>
      </c>
      <c r="C490" s="98"/>
      <c r="D490" s="1252" t="s">
        <v>410</v>
      </c>
      <c r="E490" s="1252"/>
      <c r="F490" s="1252"/>
    </row>
    <row r="491" spans="1:6" ht="13">
      <c r="A491" s="98"/>
      <c r="B491" s="98"/>
      <c r="C491" s="98"/>
      <c r="D491" s="1252"/>
      <c r="E491" s="1252"/>
      <c r="F491" s="1252"/>
    </row>
    <row r="492" spans="1:6" ht="13">
      <c r="A492" s="98"/>
      <c r="B492" s="98"/>
      <c r="C492" s="98"/>
      <c r="D492" s="1252"/>
      <c r="E492" s="1252"/>
      <c r="F492" s="1252"/>
    </row>
    <row r="493" spans="1:6" ht="13">
      <c r="A493" s="98"/>
      <c r="B493" s="98"/>
      <c r="C493" s="98"/>
      <c r="D493" s="1252"/>
      <c r="E493" s="1252"/>
      <c r="F493" s="1252"/>
    </row>
    <row r="494" spans="1:6" ht="13">
      <c r="A494" s="98"/>
      <c r="B494" s="98"/>
      <c r="C494" s="98"/>
      <c r="D494" s="1252"/>
      <c r="E494" s="1252"/>
      <c r="F494" s="1252"/>
    </row>
    <row r="495" spans="1:6" ht="13">
      <c r="A495" s="98"/>
      <c r="B495" s="98"/>
      <c r="C495" s="98"/>
      <c r="D495" s="1252"/>
      <c r="E495" s="1252"/>
      <c r="F495" s="1252"/>
    </row>
    <row r="496" spans="1:6" ht="13">
      <c r="A496" s="98"/>
      <c r="B496" s="98"/>
      <c r="C496" s="98"/>
      <c r="D496" s="1252"/>
      <c r="E496" s="1252"/>
      <c r="F496" s="1252"/>
    </row>
    <row r="497" spans="1:7" ht="13">
      <c r="A497" s="98"/>
      <c r="B497" s="98"/>
      <c r="C497" s="98"/>
      <c r="D497" s="1252"/>
      <c r="E497" s="1252"/>
      <c r="F497" s="1252"/>
      <c r="G497" s="2"/>
    </row>
    <row r="498" spans="1:7" ht="13">
      <c r="A498" s="98"/>
      <c r="B498" s="98"/>
      <c r="C498" s="98"/>
      <c r="D498" s="1252"/>
      <c r="E498" s="1252"/>
      <c r="F498" s="1252"/>
      <c r="G498" s="2"/>
    </row>
    <row r="499" spans="1:7" ht="13">
      <c r="A499" s="98"/>
      <c r="B499" s="98"/>
      <c r="C499" s="98"/>
      <c r="D499" s="120"/>
      <c r="E499" s="2"/>
      <c r="F499" s="68"/>
      <c r="G499" s="2"/>
    </row>
    <row r="500" spans="1:7" ht="13.4" customHeight="1">
      <c r="A500" s="98"/>
      <c r="B500" s="1029" t="s">
        <v>294</v>
      </c>
      <c r="C500" s="98"/>
      <c r="D500" s="1231" t="s">
        <v>411</v>
      </c>
      <c r="E500" s="1231"/>
      <c r="F500" s="1231"/>
      <c r="G500" s="2"/>
    </row>
    <row r="501" spans="1:7" ht="13">
      <c r="A501" s="98"/>
      <c r="B501" s="98"/>
      <c r="C501" s="98"/>
      <c r="D501" s="1231"/>
      <c r="E501" s="1231"/>
      <c r="F501" s="1231"/>
      <c r="G501" s="2"/>
    </row>
    <row r="502" spans="1:7" ht="13">
      <c r="A502" s="98"/>
      <c r="B502" s="98"/>
      <c r="C502" s="98"/>
      <c r="D502" s="1231"/>
      <c r="E502" s="1231"/>
      <c r="F502" s="1231"/>
      <c r="G502" s="2"/>
    </row>
    <row r="503" spans="1:7" ht="13">
      <c r="A503" s="98"/>
      <c r="B503" s="98"/>
      <c r="C503" s="98"/>
      <c r="D503" s="1231"/>
      <c r="E503" s="1231"/>
      <c r="F503" s="1231"/>
      <c r="G503" s="2"/>
    </row>
    <row r="504" spans="1:7" ht="13">
      <c r="A504" s="98"/>
      <c r="B504" s="98"/>
      <c r="C504" s="98"/>
      <c r="D504" s="1231"/>
      <c r="E504" s="1231"/>
      <c r="F504" s="1231"/>
      <c r="G504" s="2"/>
    </row>
    <row r="505" spans="1:7" ht="13">
      <c r="A505" s="98"/>
      <c r="B505" s="98"/>
      <c r="C505" s="98"/>
      <c r="D505" s="1113"/>
      <c r="E505" s="1113"/>
      <c r="F505" s="1113"/>
      <c r="G505" s="2"/>
    </row>
    <row r="506" spans="1:7" ht="14.5" customHeight="1">
      <c r="A506" s="99"/>
      <c r="B506" s="1029" t="s">
        <v>294</v>
      </c>
      <c r="C506" s="1148"/>
      <c r="D506" s="1252" t="s">
        <v>412</v>
      </c>
      <c r="E506" s="1252"/>
      <c r="F506" s="1252"/>
      <c r="G506" s="2"/>
    </row>
    <row r="507" spans="1:7">
      <c r="A507" s="1148"/>
      <c r="B507" s="1148"/>
      <c r="C507" s="1148"/>
      <c r="D507" s="1252"/>
      <c r="E507" s="1252"/>
      <c r="F507" s="1252"/>
      <c r="G507" s="2"/>
    </row>
    <row r="508" spans="1:7">
      <c r="A508" s="1148"/>
      <c r="B508" s="1148"/>
      <c r="C508" s="1148"/>
      <c r="D508" s="1252"/>
      <c r="E508" s="1252"/>
      <c r="F508" s="1252"/>
      <c r="G508" s="2"/>
    </row>
    <row r="509" spans="1:7" ht="12" customHeight="1">
      <c r="A509" s="68"/>
      <c r="B509" s="68"/>
      <c r="C509" s="806"/>
      <c r="D509" s="68"/>
      <c r="E509" s="2"/>
      <c r="F509" s="1118"/>
      <c r="G509" s="2"/>
    </row>
    <row r="510" spans="1:7" ht="13">
      <c r="A510" s="1237" t="s">
        <v>413</v>
      </c>
      <c r="B510" s="1237"/>
      <c r="C510" s="1237"/>
      <c r="D510" s="1237"/>
      <c r="E510" s="1237"/>
      <c r="F510" s="1237"/>
      <c r="G510" s="1237"/>
    </row>
    <row r="511" spans="1:7" ht="13">
      <c r="A511" s="68"/>
      <c r="B511" s="68"/>
      <c r="C511" s="806"/>
      <c r="D511" s="2"/>
      <c r="E511" s="2"/>
      <c r="F511" s="1118"/>
      <c r="G511" s="2"/>
    </row>
    <row r="512" spans="1:7">
      <c r="A512" s="1148"/>
      <c r="B512" s="1253" t="s">
        <v>334</v>
      </c>
      <c r="C512" s="1253"/>
      <c r="D512" s="1253"/>
      <c r="E512" s="1253"/>
      <c r="F512" s="1253"/>
      <c r="G512" s="2"/>
    </row>
    <row r="513" spans="1:7">
      <c r="A513" s="68"/>
      <c r="B513" s="68"/>
      <c r="C513" s="806"/>
      <c r="D513" s="68"/>
      <c r="E513" s="2"/>
      <c r="F513" s="68"/>
      <c r="G513" s="2"/>
    </row>
    <row r="514" spans="1:7" ht="13">
      <c r="A514" s="1266" t="s">
        <v>414</v>
      </c>
      <c r="B514" s="1266"/>
      <c r="C514" s="1266"/>
      <c r="D514" s="1266"/>
      <c r="E514" s="1266"/>
      <c r="F514" s="1266"/>
      <c r="G514" s="1266"/>
    </row>
    <row r="515" spans="1:7">
      <c r="A515" s="68"/>
      <c r="B515" s="68"/>
      <c r="C515" s="806"/>
      <c r="D515" s="68"/>
      <c r="E515" s="2"/>
      <c r="F515" s="68"/>
      <c r="G515" s="2"/>
    </row>
    <row r="516" spans="1:7" ht="13">
      <c r="A516" s="1148"/>
      <c r="B516" s="1148"/>
      <c r="C516" s="806"/>
      <c r="D516" s="1238" t="s">
        <v>415</v>
      </c>
      <c r="E516" s="1238"/>
      <c r="F516" s="1238"/>
      <c r="G516" s="2"/>
    </row>
    <row r="517" spans="1:7">
      <c r="A517" s="1148"/>
      <c r="B517" s="1148"/>
      <c r="C517" s="806"/>
      <c r="D517" s="1233" t="s">
        <v>416</v>
      </c>
      <c r="E517" s="1233"/>
      <c r="F517" s="1233"/>
      <c r="G517" s="2"/>
    </row>
    <row r="518" spans="1:7">
      <c r="A518" s="1148"/>
      <c r="B518" s="1148"/>
      <c r="C518" s="806"/>
      <c r="D518" s="68"/>
      <c r="E518" s="68"/>
      <c r="F518" s="68"/>
      <c r="G518" s="2"/>
    </row>
    <row r="519" spans="1:7" ht="13.4" customHeight="1">
      <c r="A519" s="99"/>
      <c r="B519" s="1029" t="s">
        <v>294</v>
      </c>
      <c r="C519" s="806"/>
      <c r="D519" s="1233" t="s">
        <v>417</v>
      </c>
      <c r="E519" s="1233"/>
      <c r="F519" s="1233"/>
      <c r="G519"/>
    </row>
    <row r="520" spans="1:7" ht="13.4" customHeight="1">
      <c r="A520" s="806"/>
      <c r="B520" s="806"/>
      <c r="C520" s="806"/>
      <c r="D520" s="68"/>
      <c r="E520"/>
      <c r="F520"/>
      <c r="G520"/>
    </row>
    <row r="521" spans="1:7" ht="13">
      <c r="A521" s="99"/>
      <c r="B521" s="1029" t="s">
        <v>294</v>
      </c>
      <c r="C521" s="806"/>
      <c r="D521" s="1222" t="s">
        <v>418</v>
      </c>
      <c r="E521" s="1222"/>
      <c r="F521" s="1222"/>
      <c r="G521"/>
    </row>
    <row r="522" spans="1:7">
      <c r="A522" s="806"/>
      <c r="B522" s="806"/>
      <c r="C522" s="806"/>
      <c r="D522" s="1222"/>
      <c r="E522" s="1222"/>
      <c r="F522" s="1222"/>
      <c r="G522"/>
    </row>
    <row r="523" spans="1:7">
      <c r="A523" s="806"/>
      <c r="B523" s="806"/>
      <c r="C523" s="806"/>
      <c r="D523" s="68"/>
      <c r="E523" s="68"/>
      <c r="F523" s="68"/>
      <c r="G523"/>
    </row>
    <row r="524" spans="1:7" ht="13">
      <c r="A524" s="99"/>
      <c r="B524" s="1029" t="s">
        <v>294</v>
      </c>
      <c r="C524" s="806"/>
      <c r="D524" s="1222" t="s">
        <v>419</v>
      </c>
      <c r="E524" s="1222"/>
      <c r="F524" s="1222"/>
      <c r="G524"/>
    </row>
    <row r="525" spans="1:7">
      <c r="A525" s="806"/>
      <c r="B525" s="806"/>
      <c r="C525" s="806"/>
      <c r="D525" s="1222"/>
      <c r="E525" s="1222"/>
      <c r="F525" s="1222"/>
      <c r="G525"/>
    </row>
    <row r="526" spans="1:7">
      <c r="A526" s="806"/>
      <c r="B526" s="806"/>
      <c r="C526" s="806"/>
      <c r="D526" s="68"/>
      <c r="E526" s="68"/>
      <c r="F526" s="68"/>
      <c r="G526"/>
    </row>
    <row r="527" spans="1:7" ht="13">
      <c r="A527" s="99"/>
      <c r="B527" s="1029" t="s">
        <v>294</v>
      </c>
      <c r="C527" s="806"/>
      <c r="D527" s="1222" t="s">
        <v>420</v>
      </c>
      <c r="E527" s="1222"/>
      <c r="F527" s="1222"/>
      <c r="G527"/>
    </row>
    <row r="528" spans="1:7">
      <c r="A528" s="806"/>
      <c r="B528" s="806"/>
      <c r="C528" s="806"/>
      <c r="D528" s="1222"/>
      <c r="E528" s="1222"/>
      <c r="F528" s="1222"/>
      <c r="G528"/>
    </row>
    <row r="529" spans="1:7">
      <c r="A529" s="806"/>
      <c r="B529" s="806"/>
      <c r="C529" s="806"/>
      <c r="D529" s="68"/>
      <c r="E529" s="68"/>
      <c r="F529" s="68"/>
      <c r="G529"/>
    </row>
    <row r="530" spans="1:7" ht="13">
      <c r="A530" s="99"/>
      <c r="B530" s="1029" t="s">
        <v>294</v>
      </c>
      <c r="C530" s="806"/>
      <c r="D530" s="1222" t="s">
        <v>421</v>
      </c>
      <c r="E530" s="1222"/>
      <c r="F530" s="1222"/>
      <c r="G530"/>
    </row>
    <row r="531" spans="1:7">
      <c r="A531" s="806"/>
      <c r="B531" s="806"/>
      <c r="C531" s="806"/>
      <c r="D531" s="1222"/>
      <c r="E531" s="1222"/>
      <c r="F531" s="1222"/>
      <c r="G531"/>
    </row>
    <row r="532" spans="1:7">
      <c r="A532" s="806"/>
      <c r="B532" s="806"/>
      <c r="C532" s="806"/>
      <c r="D532" s="1222"/>
      <c r="E532" s="1222"/>
      <c r="F532" s="1222"/>
      <c r="G532"/>
    </row>
    <row r="533" spans="1:7">
      <c r="A533" s="806"/>
      <c r="B533" s="806"/>
      <c r="C533" s="806"/>
      <c r="D533" s="68"/>
      <c r="E533" s="68"/>
      <c r="F533" s="68"/>
      <c r="G533" s="2"/>
    </row>
    <row r="534" spans="1:7" ht="13">
      <c r="A534" s="99"/>
      <c r="B534" s="1029" t="s">
        <v>294</v>
      </c>
      <c r="C534" s="806"/>
      <c r="D534" s="1222" t="s">
        <v>422</v>
      </c>
      <c r="E534" s="1222"/>
      <c r="F534" s="1222"/>
      <c r="G534" s="2"/>
    </row>
    <row r="535" spans="1:7">
      <c r="A535" s="806"/>
      <c r="B535" s="806"/>
      <c r="C535" s="806"/>
      <c r="D535" s="1222"/>
      <c r="E535" s="1222"/>
      <c r="F535" s="1222"/>
      <c r="G535" s="2"/>
    </row>
    <row r="536" spans="1:7">
      <c r="A536" s="806"/>
      <c r="B536" s="806"/>
      <c r="C536" s="806"/>
      <c r="D536" s="68"/>
      <c r="E536" s="68"/>
      <c r="F536" s="68"/>
      <c r="G536" s="2"/>
    </row>
    <row r="537" spans="1:7" ht="13">
      <c r="A537" s="99"/>
      <c r="B537" s="1029" t="s">
        <v>294</v>
      </c>
      <c r="C537" s="806"/>
      <c r="D537" s="1222" t="s">
        <v>423</v>
      </c>
      <c r="E537" s="1222"/>
      <c r="F537" s="1222"/>
      <c r="G537" s="2"/>
    </row>
    <row r="538" spans="1:7">
      <c r="A538" s="806"/>
      <c r="B538" s="806"/>
      <c r="C538" s="806"/>
      <c r="D538" s="1222"/>
      <c r="E538" s="1222"/>
      <c r="F538" s="1222"/>
      <c r="G538" s="2"/>
    </row>
    <row r="539" spans="1:7">
      <c r="A539" s="806"/>
      <c r="B539" s="806"/>
      <c r="C539" s="806"/>
      <c r="D539" s="68"/>
      <c r="E539" s="68"/>
      <c r="F539" s="68"/>
      <c r="G539" s="2"/>
    </row>
    <row r="540" spans="1:7" ht="13">
      <c r="A540" s="99"/>
      <c r="B540" s="1029" t="s">
        <v>294</v>
      </c>
      <c r="C540" s="806"/>
      <c r="D540" s="1222" t="s">
        <v>424</v>
      </c>
      <c r="E540" s="1222"/>
      <c r="F540" s="1222"/>
      <c r="G540" s="2"/>
    </row>
    <row r="541" spans="1:7">
      <c r="A541" s="806"/>
      <c r="B541" s="806"/>
      <c r="C541" s="806"/>
      <c r="D541" s="1222"/>
      <c r="E541" s="1222"/>
      <c r="F541" s="1222"/>
      <c r="G541" s="2"/>
    </row>
    <row r="542" spans="1:7">
      <c r="A542" s="806"/>
      <c r="B542" s="806"/>
      <c r="C542" s="806"/>
      <c r="D542" s="68"/>
      <c r="E542" s="68"/>
      <c r="F542" s="68"/>
      <c r="G542" s="2"/>
    </row>
    <row r="543" spans="1:7" ht="13">
      <c r="A543" s="99"/>
      <c r="B543" s="1029" t="s">
        <v>294</v>
      </c>
      <c r="C543" s="806"/>
      <c r="D543" s="1233" t="s">
        <v>425</v>
      </c>
      <c r="E543" s="1233"/>
      <c r="F543" s="1233"/>
      <c r="G543" s="2"/>
    </row>
    <row r="544" spans="1:7" ht="13">
      <c r="A544" s="1127"/>
      <c r="B544" s="1127"/>
      <c r="C544" s="806"/>
      <c r="D544" s="1233" t="s">
        <v>426</v>
      </c>
      <c r="E544" s="1233"/>
      <c r="F544" s="1233"/>
      <c r="G544" s="2"/>
    </row>
    <row r="545" spans="1:7" ht="13">
      <c r="A545" s="1127"/>
      <c r="B545" s="1127"/>
      <c r="C545" s="806"/>
      <c r="D545" s="2"/>
      <c r="E545" s="1243" t="s">
        <v>427</v>
      </c>
      <c r="F545" s="1243"/>
      <c r="G545" s="2"/>
    </row>
    <row r="546" spans="1:7" ht="13">
      <c r="A546" s="99"/>
      <c r="B546" s="99"/>
      <c r="C546" s="806"/>
      <c r="D546" s="2"/>
      <c r="E546" s="68"/>
      <c r="F546" s="68"/>
      <c r="G546" s="2"/>
    </row>
    <row r="547" spans="1:7" ht="13">
      <c r="A547" s="99"/>
      <c r="B547" s="1029" t="s">
        <v>294</v>
      </c>
      <c r="C547" s="806"/>
      <c r="D547" s="1233" t="s">
        <v>428</v>
      </c>
      <c r="E547" s="1233"/>
      <c r="F547" s="1233"/>
      <c r="G547" s="2"/>
    </row>
    <row r="548" spans="1:7">
      <c r="A548" s="1148"/>
      <c r="B548" s="1148"/>
      <c r="C548" s="806"/>
      <c r="D548" s="1222" t="s">
        <v>429</v>
      </c>
      <c r="E548" s="1222"/>
      <c r="F548" s="1222"/>
      <c r="G548" s="2"/>
    </row>
    <row r="549" spans="1:7">
      <c r="A549" s="806"/>
      <c r="B549" s="806"/>
      <c r="C549" s="806"/>
      <c r="D549" s="1222"/>
      <c r="E549" s="1222"/>
      <c r="F549" s="1222"/>
      <c r="G549" s="2"/>
    </row>
    <row r="550" spans="1:7">
      <c r="A550" s="806"/>
      <c r="B550" s="806"/>
      <c r="C550" s="806"/>
      <c r="D550" s="1222"/>
      <c r="E550" s="1222"/>
      <c r="F550" s="1222"/>
      <c r="G550" s="2"/>
    </row>
    <row r="551" spans="1:7">
      <c r="A551" s="806"/>
      <c r="B551" s="806"/>
      <c r="C551" s="806"/>
      <c r="D551" s="68"/>
      <c r="E551" s="68"/>
      <c r="F551" s="68"/>
      <c r="G551" s="2"/>
    </row>
    <row r="552" spans="1:7" ht="13">
      <c r="A552" s="99"/>
      <c r="B552" s="1029" t="s">
        <v>294</v>
      </c>
      <c r="C552" s="806"/>
      <c r="D552" s="1222" t="s">
        <v>430</v>
      </c>
      <c r="E552" s="1222"/>
      <c r="F552" s="1222"/>
      <c r="G552" s="2"/>
    </row>
    <row r="553" spans="1:7" ht="13">
      <c r="A553" s="99"/>
      <c r="B553" s="99"/>
      <c r="C553" s="806"/>
      <c r="D553" s="1222"/>
      <c r="E553" s="1222"/>
      <c r="F553" s="1222"/>
      <c r="G553" s="2"/>
    </row>
    <row r="554" spans="1:7" ht="13">
      <c r="A554" s="99"/>
      <c r="B554" s="99"/>
      <c r="C554" s="806"/>
      <c r="D554" s="1222"/>
      <c r="E554" s="1222"/>
      <c r="F554" s="1222"/>
      <c r="G554" s="2"/>
    </row>
    <row r="555" spans="1:7" ht="13">
      <c r="A555" s="99"/>
      <c r="B555" s="99"/>
      <c r="C555" s="806"/>
      <c r="D555" s="1222"/>
      <c r="E555" s="1222"/>
      <c r="F555" s="1222"/>
      <c r="G555" s="2"/>
    </row>
    <row r="556" spans="1:7" ht="13">
      <c r="A556" s="99"/>
      <c r="B556" s="99"/>
      <c r="C556" s="806"/>
      <c r="D556" s="68"/>
      <c r="E556" s="68"/>
      <c r="F556" s="68"/>
      <c r="G556" s="2"/>
    </row>
    <row r="557" spans="1:7" ht="13">
      <c r="A557" s="1237" t="s">
        <v>431</v>
      </c>
      <c r="B557" s="1237"/>
      <c r="C557" s="1237"/>
      <c r="D557" s="1237"/>
      <c r="E557" s="1237"/>
      <c r="F557" s="1237"/>
      <c r="G557" s="1237"/>
    </row>
    <row r="558" spans="1:7">
      <c r="A558" s="806"/>
      <c r="B558" s="806"/>
      <c r="C558" s="806"/>
      <c r="D558" s="2"/>
      <c r="E558" s="68"/>
      <c r="F558" s="68"/>
      <c r="G558" s="2"/>
    </row>
    <row r="559" spans="1:7" ht="12.75" customHeight="1">
      <c r="A559" s="1148"/>
      <c r="B559" s="1148"/>
      <c r="C559" s="1125"/>
      <c r="D559" s="1254" t="s">
        <v>432</v>
      </c>
      <c r="E559" s="1254"/>
      <c r="F559" s="1254"/>
      <c r="G559" s="2"/>
    </row>
    <row r="560" spans="1:7" ht="13">
      <c r="A560" s="98"/>
      <c r="B560" s="98"/>
      <c r="C560" s="98"/>
      <c r="D560" s="1236" t="s">
        <v>433</v>
      </c>
      <c r="E560" s="1236"/>
      <c r="F560" s="1236"/>
      <c r="G560" s="2"/>
    </row>
    <row r="561" spans="1:6" ht="13">
      <c r="A561"/>
      <c r="B561"/>
      <c r="C561" s="98"/>
      <c r="D561" s="149"/>
      <c r="E561" s="2"/>
      <c r="F561" s="2"/>
    </row>
    <row r="562" spans="1:6" ht="13">
      <c r="A562" s="98"/>
      <c r="B562" s="1029" t="s">
        <v>294</v>
      </c>
      <c r="C562" s="1148"/>
      <c r="D562" s="1236" t="s">
        <v>434</v>
      </c>
      <c r="E562" s="1236"/>
      <c r="F562" s="1236"/>
    </row>
    <row r="563" spans="1:6" ht="13">
      <c r="A563" s="1127"/>
      <c r="B563" s="1127"/>
      <c r="C563" s="1148"/>
      <c r="D563" s="118"/>
      <c r="E563" s="2"/>
      <c r="F563" s="2"/>
    </row>
    <row r="564" spans="1:6" ht="13">
      <c r="A564" s="1127"/>
      <c r="B564" s="1029" t="s">
        <v>294</v>
      </c>
      <c r="C564" s="1148"/>
      <c r="D564" s="1236" t="s">
        <v>435</v>
      </c>
      <c r="E564" s="1236"/>
      <c r="F564" s="1236"/>
    </row>
    <row r="565" spans="1:6" ht="13">
      <c r="A565" s="1127"/>
      <c r="B565" s="1127"/>
      <c r="C565" s="1148"/>
      <c r="D565" s="1236"/>
      <c r="E565" s="1236"/>
      <c r="F565" s="1236"/>
    </row>
    <row r="566" spans="1:6" ht="13">
      <c r="A566" s="1127"/>
      <c r="B566" s="1127"/>
      <c r="C566" s="1148"/>
      <c r="D566" s="1236"/>
      <c r="E566" s="1236"/>
      <c r="F566" s="1236"/>
    </row>
    <row r="567" spans="1:6" ht="13">
      <c r="A567" s="1127"/>
      <c r="B567" s="1127"/>
      <c r="C567" s="1148"/>
      <c r="D567" s="149"/>
      <c r="E567" s="2"/>
      <c r="F567" s="2"/>
    </row>
    <row r="568" spans="1:6" ht="13">
      <c r="A568" s="1127"/>
      <c r="B568" s="1029" t="s">
        <v>294</v>
      </c>
      <c r="C568" s="1148"/>
      <c r="D568" s="1236" t="s">
        <v>436</v>
      </c>
      <c r="E568" s="1236"/>
      <c r="F568" s="1236"/>
    </row>
    <row r="569" spans="1:6" ht="13">
      <c r="A569" s="1127"/>
      <c r="B569" s="1127"/>
      <c r="C569" s="1148"/>
      <c r="D569" s="1236"/>
      <c r="E569" s="1236"/>
      <c r="F569" s="1236"/>
    </row>
    <row r="570" spans="1:6" ht="13">
      <c r="A570" s="1127"/>
      <c r="B570" s="1127"/>
      <c r="C570" s="1148"/>
      <c r="D570" s="1236"/>
      <c r="E570" s="1236"/>
      <c r="F570" s="1236"/>
    </row>
    <row r="571" spans="1:6" ht="13">
      <c r="A571" s="1127"/>
      <c r="B571" s="1127"/>
      <c r="C571" s="1148"/>
      <c r="D571" s="1236"/>
      <c r="E571" s="1236"/>
      <c r="F571" s="1236"/>
    </row>
    <row r="572" spans="1:6" ht="13">
      <c r="A572" s="1127"/>
      <c r="B572" s="1127"/>
      <c r="C572" s="1148"/>
      <c r="D572" s="1116"/>
      <c r="E572" s="1116"/>
      <c r="F572" s="1116"/>
    </row>
    <row r="573" spans="1:6" ht="13">
      <c r="A573" s="1127"/>
      <c r="B573" s="1029" t="s">
        <v>294</v>
      </c>
      <c r="C573" s="1148"/>
      <c r="D573" s="1236" t="s">
        <v>437</v>
      </c>
      <c r="E573" s="1236"/>
      <c r="F573" s="1236"/>
    </row>
    <row r="574" spans="1:6" ht="13">
      <c r="A574" s="1127"/>
      <c r="B574" s="1127"/>
      <c r="C574" s="1148"/>
      <c r="D574" s="1236"/>
      <c r="E574" s="1236"/>
      <c r="F574" s="1236"/>
    </row>
    <row r="575" spans="1:6" ht="13">
      <c r="A575" s="1127"/>
      <c r="B575" s="1127"/>
      <c r="C575" s="1148"/>
      <c r="D575" s="149"/>
      <c r="E575" s="2"/>
      <c r="F575" s="2"/>
    </row>
    <row r="576" spans="1:6" ht="13">
      <c r="A576" s="1127"/>
      <c r="B576" s="1029" t="s">
        <v>294</v>
      </c>
      <c r="C576" s="1148"/>
      <c r="D576" s="1236" t="s">
        <v>438</v>
      </c>
      <c r="E576" s="1236"/>
      <c r="F576" s="1236"/>
    </row>
    <row r="577" spans="1:7" ht="13">
      <c r="A577" s="1127"/>
      <c r="B577" s="1127"/>
      <c r="C577" s="1148"/>
      <c r="D577" s="1236"/>
      <c r="E577" s="1236"/>
      <c r="F577" s="1236"/>
      <c r="G577" s="2"/>
    </row>
    <row r="578" spans="1:7" ht="13">
      <c r="A578" s="1127"/>
      <c r="B578" s="1127"/>
      <c r="C578" s="1148"/>
      <c r="D578" s="149"/>
      <c r="E578" s="2"/>
      <c r="F578" s="2"/>
      <c r="G578" s="2"/>
    </row>
    <row r="579" spans="1:7" ht="13">
      <c r="A579" s="99"/>
      <c r="B579" s="1029" t="s">
        <v>294</v>
      </c>
      <c r="C579" s="1148"/>
      <c r="D579" s="1236" t="s">
        <v>439</v>
      </c>
      <c r="E579" s="1236"/>
      <c r="F579" s="1236"/>
      <c r="G579" s="2"/>
    </row>
    <row r="580" spans="1:7" ht="13">
      <c r="A580" s="99"/>
      <c r="B580" s="99"/>
      <c r="C580" s="1148"/>
      <c r="D580" s="149"/>
      <c r="E580" s="2"/>
      <c r="F580" s="2"/>
      <c r="G580" s="2"/>
    </row>
    <row r="581" spans="1:7" ht="13">
      <c r="A581" s="99"/>
      <c r="B581" s="1029" t="s">
        <v>294</v>
      </c>
      <c r="C581" s="1148"/>
      <c r="D581" s="1236" t="s">
        <v>440</v>
      </c>
      <c r="E581" s="1236"/>
      <c r="F581" s="1236"/>
      <c r="G581" s="2"/>
    </row>
    <row r="582" spans="1:7" ht="13">
      <c r="A582" s="99"/>
      <c r="B582" s="99"/>
      <c r="C582" s="1148"/>
      <c r="D582" s="1236"/>
      <c r="E582" s="1236"/>
      <c r="F582" s="1236"/>
      <c r="G582" s="2"/>
    </row>
    <row r="583" spans="1:7">
      <c r="A583" s="1148"/>
      <c r="B583" s="1148"/>
      <c r="C583" s="1148"/>
      <c r="D583" s="1236"/>
      <c r="E583" s="1236"/>
      <c r="F583" s="1236"/>
      <c r="G583" s="2"/>
    </row>
    <row r="584" spans="1:7">
      <c r="A584" s="1148"/>
      <c r="B584" s="1148"/>
      <c r="C584" s="1148"/>
      <c r="D584" s="1236"/>
      <c r="E584" s="1236"/>
      <c r="F584" s="1236"/>
      <c r="G584" s="2"/>
    </row>
    <row r="585" spans="1:7">
      <c r="A585" s="1148"/>
      <c r="B585" s="1148"/>
      <c r="C585" s="1148"/>
      <c r="D585" s="1236"/>
      <c r="E585" s="1236"/>
      <c r="F585" s="1236"/>
      <c r="G585" s="2"/>
    </row>
    <row r="586" spans="1:7">
      <c r="A586" s="1148"/>
      <c r="B586" s="1148"/>
      <c r="C586" s="1148"/>
      <c r="D586" s="1236"/>
      <c r="E586" s="1236"/>
      <c r="F586" s="1236"/>
      <c r="G586" s="2"/>
    </row>
    <row r="587" spans="1:7">
      <c r="A587" s="1148"/>
      <c r="B587" s="1148"/>
      <c r="C587" s="1148"/>
      <c r="D587" s="2"/>
      <c r="E587" s="2"/>
      <c r="F587" s="2"/>
      <c r="G587" s="2"/>
    </row>
    <row r="588" spans="1:7" ht="13">
      <c r="A588" s="1237" t="s">
        <v>441</v>
      </c>
      <c r="B588" s="1237"/>
      <c r="C588" s="1237"/>
      <c r="D588" s="1237"/>
      <c r="E588" s="1237"/>
      <c r="F588" s="1237"/>
      <c r="G588" s="1237"/>
    </row>
    <row r="589" spans="1:7">
      <c r="A589" s="1148"/>
      <c r="B589" s="1148"/>
      <c r="C589" s="1148"/>
      <c r="D589" s="2"/>
      <c r="E589" s="2"/>
      <c r="F589" s="2"/>
      <c r="G589" s="2"/>
    </row>
    <row r="590" spans="1:7" ht="13">
      <c r="A590" s="1148"/>
      <c r="B590" s="1148"/>
      <c r="C590" s="1148"/>
      <c r="D590" s="1247" t="s">
        <v>442</v>
      </c>
      <c r="E590" s="1247"/>
      <c r="F590" s="1247"/>
      <c r="G590" s="2"/>
    </row>
    <row r="591" spans="1:7">
      <c r="A591" s="1148"/>
      <c r="B591" s="1148"/>
      <c r="C591" s="1148"/>
      <c r="D591" s="1269" t="s">
        <v>443</v>
      </c>
      <c r="E591" s="1269"/>
      <c r="F591" s="1269"/>
      <c r="G591" s="2"/>
    </row>
    <row r="592" spans="1:7">
      <c r="A592" s="1148"/>
      <c r="B592" s="1148"/>
      <c r="C592" s="1148"/>
      <c r="D592" s="1133"/>
      <c r="E592" s="291"/>
      <c r="F592" s="291"/>
      <c r="G592" s="2"/>
    </row>
    <row r="593" spans="1:7" ht="13">
      <c r="A593" s="99"/>
      <c r="B593" s="1029" t="s">
        <v>294</v>
      </c>
      <c r="C593" s="1148"/>
      <c r="D593" s="1248" t="s">
        <v>444</v>
      </c>
      <c r="E593" s="1248"/>
      <c r="F593" s="1248"/>
      <c r="G593" s="2"/>
    </row>
    <row r="594" spans="1:7">
      <c r="A594" s="1148"/>
      <c r="B594" s="1148"/>
      <c r="C594" s="1148"/>
      <c r="D594" s="1248"/>
      <c r="E594" s="1248"/>
      <c r="F594" s="1248"/>
      <c r="G594" s="2"/>
    </row>
    <row r="595" spans="1:7">
      <c r="A595" s="1148"/>
      <c r="B595" s="1148"/>
      <c r="C595" s="1148"/>
      <c r="D595" s="1248"/>
      <c r="E595" s="1248"/>
      <c r="F595" s="1248"/>
      <c r="G595" s="2"/>
    </row>
    <row r="596" spans="1:7">
      <c r="A596" s="1148"/>
      <c r="B596" s="1148"/>
      <c r="C596" s="1148"/>
      <c r="D596" s="2"/>
      <c r="E596" s="2"/>
      <c r="F596" s="2"/>
      <c r="G596" s="2"/>
    </row>
    <row r="597" spans="1:7" ht="13">
      <c r="A597" s="1237" t="s">
        <v>445</v>
      </c>
      <c r="B597" s="1237"/>
      <c r="C597" s="1237"/>
      <c r="D597" s="1237"/>
      <c r="E597" s="1237"/>
      <c r="F597" s="1237"/>
      <c r="G597" s="1237"/>
    </row>
    <row r="598" spans="1:7">
      <c r="A598" s="68"/>
      <c r="B598" s="68"/>
      <c r="C598" s="1148"/>
      <c r="D598" s="2"/>
      <c r="E598" s="2"/>
      <c r="F598" s="2"/>
      <c r="G598" s="2"/>
    </row>
    <row r="599" spans="1:7" ht="13">
      <c r="A599" s="1125"/>
      <c r="B599" s="1125"/>
      <c r="C599" s="1125"/>
      <c r="D599" s="1270" t="s">
        <v>446</v>
      </c>
      <c r="E599" s="1270"/>
      <c r="F599" s="1270"/>
      <c r="G599" s="2"/>
    </row>
    <row r="600" spans="1:7" ht="13">
      <c r="A600" s="1125"/>
      <c r="B600" s="1125"/>
      <c r="C600" s="1125"/>
      <c r="D600" s="1270"/>
      <c r="E600" s="1270"/>
      <c r="F600" s="1270"/>
      <c r="G600" s="2"/>
    </row>
    <row r="601" spans="1:7" ht="13">
      <c r="A601" s="1148"/>
      <c r="B601" s="1148"/>
      <c r="C601" s="98"/>
      <c r="D601" s="1269" t="s">
        <v>447</v>
      </c>
      <c r="E601" s="1269"/>
      <c r="F601" s="1269"/>
      <c r="G601" s="2"/>
    </row>
    <row r="602" spans="1:7" ht="13">
      <c r="A602" s="1148"/>
      <c r="B602" s="1148"/>
      <c r="C602" s="98"/>
      <c r="D602" s="1133"/>
      <c r="E602" s="1133"/>
      <c r="F602" s="1133"/>
      <c r="G602" s="2"/>
    </row>
    <row r="603" spans="1:7" ht="13">
      <c r="A603" s="1127"/>
      <c r="B603" s="1029" t="s">
        <v>294</v>
      </c>
      <c r="C603" s="1148"/>
      <c r="D603" s="1269" t="s">
        <v>448</v>
      </c>
      <c r="E603" s="1269"/>
      <c r="F603" s="1269"/>
      <c r="G603" s="2"/>
    </row>
    <row r="604" spans="1:7" ht="13">
      <c r="A604" s="1148"/>
      <c r="B604" s="1148"/>
      <c r="C604" s="100"/>
      <c r="D604" s="2"/>
      <c r="E604"/>
      <c r="F604" s="2"/>
      <c r="G604" s="2"/>
    </row>
    <row r="605" spans="1:7" ht="13">
      <c r="A605" s="1127"/>
      <c r="B605" s="1029" t="s">
        <v>294</v>
      </c>
      <c r="C605" s="1148"/>
      <c r="D605" s="1246" t="s">
        <v>449</v>
      </c>
      <c r="E605" s="1246"/>
      <c r="F605" s="1246"/>
      <c r="G605" s="2"/>
    </row>
    <row r="606" spans="1:7">
      <c r="A606" s="1148"/>
      <c r="B606" s="1148"/>
      <c r="C606" s="1148"/>
      <c r="D606" s="1246"/>
      <c r="E606" s="1246"/>
      <c r="F606" s="1246"/>
      <c r="G606" s="2"/>
    </row>
    <row r="607" spans="1:7">
      <c r="A607" s="1148"/>
      <c r="B607" s="1148"/>
      <c r="C607" s="1148"/>
      <c r="D607"/>
      <c r="E607" s="2"/>
      <c r="F607" s="2"/>
      <c r="G607" s="2"/>
    </row>
    <row r="608" spans="1:7">
      <c r="A608" s="1148"/>
      <c r="B608" s="1029" t="s">
        <v>294</v>
      </c>
      <c r="C608" s="1148"/>
      <c r="D608" s="1246" t="s">
        <v>450</v>
      </c>
      <c r="E608" s="1246"/>
      <c r="F608" s="1246"/>
      <c r="G608" s="2"/>
    </row>
    <row r="609" spans="1:7" ht="13">
      <c r="A609" s="1148"/>
      <c r="B609" s="1148"/>
      <c r="C609" s="100"/>
      <c r="D609" s="1246"/>
      <c r="E609" s="1246"/>
      <c r="F609" s="1246"/>
      <c r="G609" s="2"/>
    </row>
    <row r="610" spans="1:7" ht="13">
      <c r="A610" s="1148"/>
      <c r="B610" s="1148"/>
      <c r="C610" s="100"/>
      <c r="D610" s="2"/>
      <c r="E610" s="2"/>
      <c r="F610" s="2"/>
      <c r="G610" s="2"/>
    </row>
    <row r="611" spans="1:7" ht="13">
      <c r="A611" s="1148"/>
      <c r="B611" s="1029" t="s">
        <v>294</v>
      </c>
      <c r="C611" s="100"/>
      <c r="D611" s="1246" t="s">
        <v>451</v>
      </c>
      <c r="E611" s="1246"/>
      <c r="F611" s="1246"/>
      <c r="G611" s="2"/>
    </row>
    <row r="612" spans="1:7" ht="13">
      <c r="A612" s="1148"/>
      <c r="B612" s="1148"/>
      <c r="C612" s="100"/>
      <c r="D612" s="1246"/>
      <c r="E612" s="1246"/>
      <c r="F612" s="1246"/>
      <c r="G612" s="2"/>
    </row>
    <row r="613" spans="1:7" ht="13">
      <c r="A613" s="1148"/>
      <c r="B613" s="1148"/>
      <c r="C613" s="100"/>
      <c r="D613" s="2"/>
      <c r="E613" s="2"/>
      <c r="F613" s="2"/>
      <c r="G613" s="2"/>
    </row>
    <row r="614" spans="1:7" ht="13">
      <c r="A614" s="1237" t="s">
        <v>452</v>
      </c>
      <c r="B614" s="1237"/>
      <c r="C614" s="1237"/>
      <c r="D614" s="1237"/>
      <c r="E614" s="1237"/>
      <c r="F614" s="1237"/>
      <c r="G614" s="1237"/>
    </row>
    <row r="615" spans="1:7" ht="13">
      <c r="A615" s="1125"/>
      <c r="B615" s="1125"/>
      <c r="C615" s="1125"/>
      <c r="D615" s="2"/>
      <c r="E615" s="2"/>
      <c r="F615" s="2"/>
      <c r="G615" s="2"/>
    </row>
    <row r="616" spans="1:7" ht="13">
      <c r="A616" s="1148"/>
      <c r="B616" s="1148"/>
      <c r="C616" s="1127"/>
      <c r="D616" s="1247" t="s">
        <v>453</v>
      </c>
      <c r="E616" s="1247"/>
      <c r="F616" s="1247"/>
      <c r="G616" s="2"/>
    </row>
    <row r="617" spans="1:7" ht="13">
      <c r="A617" s="1127"/>
      <c r="B617" s="1127"/>
      <c r="C617" s="1148"/>
      <c r="D617" s="1"/>
      <c r="E617" s="2"/>
      <c r="F617" s="2"/>
      <c r="G617" s="2"/>
    </row>
    <row r="618" spans="1:7" ht="13">
      <c r="A618" s="99"/>
      <c r="B618" s="1029" t="s">
        <v>294</v>
      </c>
      <c r="C618" s="1148"/>
      <c r="D618" s="1248" t="s">
        <v>454</v>
      </c>
      <c r="E618" s="1248"/>
      <c r="F618" s="1248"/>
      <c r="G618" s="2"/>
    </row>
    <row r="619" spans="1:7">
      <c r="A619" s="1148"/>
      <c r="B619" s="1148"/>
      <c r="C619" s="1148"/>
      <c r="D619" s="1248"/>
      <c r="E619" s="1248"/>
      <c r="F619" s="1248"/>
      <c r="G619" s="2"/>
    </row>
    <row r="620" spans="1:7">
      <c r="A620" s="1148"/>
      <c r="B620" s="1148"/>
      <c r="C620" s="1148"/>
      <c r="D620" s="1248"/>
      <c r="E620" s="1248"/>
      <c r="F620" s="1248"/>
      <c r="G620" s="2"/>
    </row>
    <row r="621" spans="1:7">
      <c r="A621" s="1148"/>
      <c r="B621" s="1148"/>
      <c r="C621" s="1148"/>
      <c r="D621" s="1248"/>
      <c r="E621" s="1248"/>
      <c r="F621" s="1248"/>
      <c r="G621" s="2"/>
    </row>
    <row r="622" spans="1:7">
      <c r="A622" s="1148"/>
      <c r="B622" s="1148"/>
      <c r="C622" s="1148"/>
      <c r="D622" s="1248"/>
      <c r="E622" s="1248"/>
      <c r="F622" s="1248"/>
      <c r="G622" s="2"/>
    </row>
    <row r="623" spans="1:7">
      <c r="A623" s="1148"/>
      <c r="B623" s="1148"/>
      <c r="C623" s="1148"/>
      <c r="D623" s="1248"/>
      <c r="E623" s="1248"/>
      <c r="F623" s="1248"/>
      <c r="G623" s="2"/>
    </row>
    <row r="624" spans="1:7">
      <c r="A624" s="1148"/>
      <c r="B624" s="1148"/>
      <c r="C624" s="1148"/>
      <c r="D624" s="1120"/>
      <c r="E624" s="1120"/>
      <c r="F624" s="1120"/>
      <c r="G624" s="2"/>
    </row>
    <row r="625" spans="1:7" ht="13">
      <c r="A625" s="99"/>
      <c r="B625" s="1029" t="s">
        <v>294</v>
      </c>
      <c r="C625" s="1148"/>
      <c r="D625" s="1248" t="s">
        <v>455</v>
      </c>
      <c r="E625" s="1248"/>
      <c r="F625" s="1248"/>
      <c r="G625" s="2"/>
    </row>
    <row r="626" spans="1:7">
      <c r="A626" s="806"/>
      <c r="B626" s="806"/>
      <c r="C626" s="806"/>
      <c r="D626" s="1248"/>
      <c r="E626" s="1248"/>
      <c r="F626" s="1248"/>
      <c r="G626" s="2"/>
    </row>
    <row r="627" spans="1:7">
      <c r="A627" s="806"/>
      <c r="B627" s="806"/>
      <c r="C627" s="806"/>
      <c r="D627" s="68"/>
      <c r="E627" s="68"/>
      <c r="F627" s="68"/>
      <c r="G627" s="2"/>
    </row>
    <row r="628" spans="1:7" ht="13">
      <c r="A628" s="99"/>
      <c r="B628" s="1029" t="s">
        <v>294</v>
      </c>
      <c r="C628" s="806"/>
      <c r="D628" s="1248" t="s">
        <v>456</v>
      </c>
      <c r="E628" s="1248"/>
      <c r="F628" s="1248"/>
      <c r="G628" s="2"/>
    </row>
    <row r="629" spans="1:7" ht="13">
      <c r="A629" s="99"/>
      <c r="B629" s="99"/>
      <c r="C629" s="806"/>
      <c r="D629" s="1248"/>
      <c r="E629" s="1248"/>
      <c r="F629" s="1248"/>
      <c r="G629" s="2"/>
    </row>
    <row r="630" spans="1:7" ht="13">
      <c r="A630" s="99"/>
      <c r="B630" s="99"/>
      <c r="C630" s="806"/>
      <c r="D630" s="1248"/>
      <c r="E630" s="1248"/>
      <c r="F630" s="1248"/>
      <c r="G630" s="2"/>
    </row>
    <row r="631" spans="1:7">
      <c r="A631" s="806"/>
      <c r="B631" s="806"/>
      <c r="C631" s="806"/>
      <c r="D631" s="1248"/>
      <c r="E631" s="1248"/>
      <c r="F631" s="1248"/>
      <c r="G631" s="2"/>
    </row>
    <row r="632" spans="1:7">
      <c r="A632" s="806"/>
      <c r="B632" s="806"/>
      <c r="C632" s="806"/>
      <c r="D632" s="1120"/>
      <c r="E632" s="1120"/>
      <c r="F632" s="1120"/>
      <c r="G632" s="2"/>
    </row>
    <row r="633" spans="1:7">
      <c r="A633" s="806"/>
      <c r="B633" s="1029" t="s">
        <v>294</v>
      </c>
      <c r="C633" s="806"/>
      <c r="D633" s="1249" t="s">
        <v>457</v>
      </c>
      <c r="E633" s="1249"/>
      <c r="F633" s="1249"/>
      <c r="G633" s="2"/>
    </row>
    <row r="634" spans="1:7">
      <c r="A634" s="806"/>
      <c r="B634" s="806"/>
      <c r="C634" s="806"/>
      <c r="D634" s="1121"/>
      <c r="E634" s="1121"/>
      <c r="F634" s="1121"/>
      <c r="G634" s="2"/>
    </row>
    <row r="635" spans="1:7" ht="13">
      <c r="A635" s="1237" t="s">
        <v>458</v>
      </c>
      <c r="B635" s="1237"/>
      <c r="C635" s="1237"/>
      <c r="D635" s="1237"/>
      <c r="E635" s="1237"/>
      <c r="F635" s="1237"/>
      <c r="G635" s="1237"/>
    </row>
    <row r="636" spans="1:7">
      <c r="A636" s="68"/>
      <c r="B636" s="68"/>
      <c r="C636" s="806"/>
      <c r="D636" s="68"/>
      <c r="E636" s="68"/>
      <c r="F636" s="68"/>
      <c r="G636" s="2"/>
    </row>
    <row r="637" spans="1:7" ht="13">
      <c r="A637" s="1148"/>
      <c r="B637" s="1148"/>
      <c r="C637" s="1125"/>
      <c r="D637" s="1238" t="s">
        <v>459</v>
      </c>
      <c r="E637" s="1238"/>
      <c r="F637" s="1238"/>
      <c r="G637" s="2"/>
    </row>
    <row r="638" spans="1:7" ht="13">
      <c r="A638" s="98"/>
      <c r="B638" s="98"/>
      <c r="C638" s="98"/>
      <c r="D638" s="1233" t="s">
        <v>460</v>
      </c>
      <c r="E638" s="1233"/>
      <c r="F638" s="1233"/>
      <c r="G638" s="2"/>
    </row>
    <row r="639" spans="1:7" ht="13">
      <c r="A639" s="98"/>
      <c r="B639" s="98"/>
      <c r="C639" s="98"/>
      <c r="D639" s="68"/>
      <c r="E639" s="68"/>
      <c r="F639" s="68"/>
      <c r="G639" s="2"/>
    </row>
    <row r="640" spans="1:7" ht="14.5" customHeight="1">
      <c r="A640" s="99"/>
      <c r="B640" s="1029" t="s">
        <v>294</v>
      </c>
      <c r="C640" s="806"/>
      <c r="D640" s="1222" t="s">
        <v>461</v>
      </c>
      <c r="E640" s="1222"/>
      <c r="F640" s="1222"/>
      <c r="G640" s="2"/>
    </row>
    <row r="641" spans="1:11" ht="13">
      <c r="A641" s="99"/>
      <c r="B641" s="99"/>
      <c r="C641" s="806"/>
      <c r="D641" s="1222"/>
      <c r="E641" s="1222"/>
      <c r="F641" s="1222"/>
      <c r="G641" s="2"/>
    </row>
    <row r="642" spans="1:11" ht="13">
      <c r="A642" s="99"/>
      <c r="B642" s="99"/>
      <c r="C642" s="806"/>
      <c r="D642" s="1222"/>
      <c r="E642" s="1222"/>
      <c r="F642" s="1222"/>
      <c r="G642" s="2"/>
    </row>
    <row r="643" spans="1:11" ht="13">
      <c r="A643" s="99"/>
      <c r="B643" s="99"/>
      <c r="C643" s="806"/>
      <c r="D643" s="1222"/>
      <c r="E643" s="1222"/>
      <c r="F643" s="1222"/>
      <c r="G643" s="2"/>
    </row>
    <row r="644" spans="1:11" ht="13">
      <c r="A644" s="99"/>
      <c r="B644" s="99"/>
      <c r="C644" s="806"/>
      <c r="D644" s="1222"/>
      <c r="E644" s="1222"/>
      <c r="F644" s="1222"/>
      <c r="G644" s="2"/>
    </row>
    <row r="645" spans="1:11" ht="13">
      <c r="A645" s="99"/>
      <c r="B645" s="99"/>
      <c r="C645" s="806"/>
      <c r="D645" s="1109"/>
      <c r="E645" s="1109"/>
      <c r="F645" s="1109"/>
      <c r="G645" s="2"/>
    </row>
    <row r="646" spans="1:11" ht="13">
      <c r="A646" s="99"/>
      <c r="B646" s="1029" t="s">
        <v>294</v>
      </c>
      <c r="C646" s="806"/>
      <c r="D646" s="1260" t="s">
        <v>462</v>
      </c>
      <c r="E646" s="1260"/>
      <c r="F646" s="1260"/>
      <c r="G646" s="2"/>
    </row>
    <row r="647" spans="1:11" ht="13">
      <c r="A647" s="99"/>
      <c r="B647" s="99"/>
      <c r="C647" s="806"/>
      <c r="D647" s="1261" t="s">
        <v>463</v>
      </c>
      <c r="E647" s="1261"/>
      <c r="F647" s="1261"/>
      <c r="G647" s="2"/>
    </row>
    <row r="648" spans="1:11" ht="13">
      <c r="A648" s="99"/>
      <c r="B648" s="99"/>
      <c r="C648" s="806"/>
      <c r="D648" s="1261"/>
      <c r="E648" s="1261"/>
      <c r="F648" s="1261"/>
      <c r="G648" s="2"/>
    </row>
    <row r="649" spans="1:11" ht="13">
      <c r="A649" s="99"/>
      <c r="B649" s="99"/>
      <c r="C649" s="806"/>
      <c r="D649" s="1261"/>
      <c r="E649" s="1261"/>
      <c r="F649" s="1261"/>
      <c r="G649" s="2"/>
    </row>
    <row r="650" spans="1:11" ht="13">
      <c r="A650" s="99"/>
      <c r="B650" s="99"/>
      <c r="C650" s="806"/>
      <c r="D650" s="1261"/>
      <c r="E650" s="1261"/>
      <c r="F650" s="1261"/>
      <c r="G650" s="2"/>
    </row>
    <row r="651" spans="1:11" ht="13">
      <c r="A651" s="99"/>
      <c r="B651" s="99"/>
      <c r="C651" s="806"/>
      <c r="D651" s="1261"/>
      <c r="E651" s="1261"/>
      <c r="F651" s="1261"/>
      <c r="G651" s="2"/>
    </row>
    <row r="652" spans="1:11" ht="13">
      <c r="A652" s="99"/>
      <c r="B652" s="99"/>
      <c r="C652" s="806"/>
      <c r="D652" s="1262" t="s">
        <v>464</v>
      </c>
      <c r="E652" s="1262"/>
      <c r="F652" s="1262"/>
      <c r="G652" s="2"/>
    </row>
    <row r="653" spans="1:11">
      <c r="A653" s="806"/>
      <c r="B653" s="806"/>
      <c r="C653" s="806"/>
      <c r="D653" s="68"/>
      <c r="E653" s="68"/>
      <c r="F653" s="68"/>
      <c r="G653" s="2"/>
    </row>
    <row r="654" spans="1:11" ht="13">
      <c r="A654" s="1237" t="s">
        <v>465</v>
      </c>
      <c r="B654" s="1237"/>
      <c r="C654" s="1237"/>
      <c r="D654" s="1237"/>
      <c r="E654" s="1237"/>
      <c r="F654" s="1237"/>
      <c r="G654" s="1237"/>
      <c r="H654" s="101"/>
      <c r="I654" s="101"/>
      <c r="J654" s="101"/>
      <c r="K654" s="101"/>
    </row>
    <row r="655" spans="1:11" ht="13">
      <c r="A655" s="1144"/>
      <c r="B655" s="1144"/>
      <c r="C655" s="1144"/>
      <c r="D655" s="1144"/>
      <c r="E655" s="1144"/>
      <c r="F655" s="1144"/>
      <c r="G655" s="1144"/>
      <c r="H655" s="101"/>
      <c r="I655" s="101"/>
      <c r="J655" s="101"/>
      <c r="K655" s="101"/>
    </row>
    <row r="656" spans="1:11" ht="13">
      <c r="A656" s="1148"/>
      <c r="B656" s="1148"/>
      <c r="C656" s="1125"/>
      <c r="D656" s="1238" t="s">
        <v>466</v>
      </c>
      <c r="E656" s="1238"/>
      <c r="F656" s="1238"/>
      <c r="G656" s="2"/>
      <c r="H656" s="101"/>
      <c r="I656" s="101"/>
      <c r="J656" s="101"/>
      <c r="K656" s="101"/>
    </row>
    <row r="657" spans="1:11" ht="13">
      <c r="A657" s="1125"/>
      <c r="B657" s="1125"/>
      <c r="C657" s="1125"/>
      <c r="D657" s="1238" t="s">
        <v>467</v>
      </c>
      <c r="E657" s="1238"/>
      <c r="F657" s="1238"/>
      <c r="G657" s="2"/>
      <c r="H657" s="101"/>
      <c r="I657" s="101"/>
      <c r="J657" s="101"/>
      <c r="K657" s="101"/>
    </row>
    <row r="658" spans="1:11" ht="13">
      <c r="A658" s="98"/>
      <c r="B658" s="98"/>
      <c r="C658" s="98"/>
      <c r="D658" s="1233" t="s">
        <v>468</v>
      </c>
      <c r="E658" s="1233"/>
      <c r="F658" s="1233"/>
      <c r="G658" s="2"/>
      <c r="H658" s="101"/>
      <c r="I658" s="101"/>
      <c r="J658" s="101"/>
      <c r="K658" s="101"/>
    </row>
    <row r="659" spans="1:11" ht="13">
      <c r="A659" s="98"/>
      <c r="B659" s="98"/>
      <c r="C659" s="98"/>
      <c r="D659" s="2"/>
      <c r="E659" s="2"/>
      <c r="F659" s="2"/>
      <c r="G659" s="2"/>
      <c r="H659" s="101"/>
      <c r="I659" s="101"/>
      <c r="J659" s="101"/>
      <c r="K659" s="101"/>
    </row>
    <row r="660" spans="1:11" ht="13">
      <c r="A660" s="99"/>
      <c r="B660" s="1029" t="s">
        <v>294</v>
      </c>
      <c r="C660" s="98"/>
      <c r="D660" s="1233" t="s">
        <v>469</v>
      </c>
      <c r="E660" s="1233"/>
      <c r="F660" s="1233"/>
      <c r="G660" s="2"/>
      <c r="H660" s="101"/>
      <c r="I660" s="101"/>
      <c r="J660" s="101"/>
      <c r="K660" s="101"/>
    </row>
    <row r="661" spans="1:11" ht="13">
      <c r="A661" s="98"/>
      <c r="B661" s="98"/>
      <c r="C661" s="98"/>
      <c r="D661" s="1233" t="s">
        <v>470</v>
      </c>
      <c r="E661" s="1233"/>
      <c r="F661" s="1233"/>
      <c r="G661" s="2"/>
      <c r="H661" s="101"/>
      <c r="I661" s="101"/>
      <c r="J661" s="101"/>
      <c r="K661" s="101"/>
    </row>
    <row r="662" spans="1:11" ht="13">
      <c r="A662" s="98"/>
      <c r="B662" s="98"/>
      <c r="C662" s="98"/>
      <c r="D662" s="2"/>
      <c r="E662" s="1232" t="s">
        <v>471</v>
      </c>
      <c r="F662" s="1232"/>
      <c r="G662" s="2"/>
      <c r="H662" s="101"/>
      <c r="I662" s="101"/>
      <c r="J662" s="101"/>
      <c r="K662" s="101"/>
    </row>
    <row r="663" spans="1:11" ht="13">
      <c r="A663" s="98"/>
      <c r="B663" s="98"/>
      <c r="C663" s="98"/>
      <c r="D663" s="2"/>
      <c r="E663" s="1232"/>
      <c r="F663" s="1232"/>
      <c r="G663" s="2"/>
      <c r="H663" s="101"/>
      <c r="I663" s="101"/>
      <c r="J663" s="101"/>
      <c r="K663" s="101"/>
    </row>
    <row r="664" spans="1:11" ht="13">
      <c r="A664" s="98"/>
      <c r="B664" s="98"/>
      <c r="C664" s="98"/>
      <c r="D664" s="102"/>
      <c r="E664" s="68"/>
      <c r="F664" s="2"/>
      <c r="G664" s="2"/>
      <c r="H664" s="101"/>
      <c r="I664" s="101"/>
      <c r="J664" s="101"/>
      <c r="K664" s="101"/>
    </row>
    <row r="665" spans="1:11" ht="13">
      <c r="A665" s="99"/>
      <c r="B665" s="1029" t="s">
        <v>294</v>
      </c>
      <c r="C665" s="98"/>
      <c r="D665" s="1222" t="s">
        <v>472</v>
      </c>
      <c r="E665" s="1222"/>
      <c r="F665" s="1222"/>
      <c r="G665" s="2"/>
      <c r="H665" s="101"/>
      <c r="I665" s="101"/>
      <c r="J665" s="101"/>
      <c r="K665" s="101"/>
    </row>
    <row r="666" spans="1:11" ht="13">
      <c r="A666" s="1127"/>
      <c r="B666" s="1127"/>
      <c r="C666" s="98"/>
      <c r="D666" s="1222"/>
      <c r="E666" s="1222"/>
      <c r="F666" s="1222"/>
      <c r="G666" s="2"/>
      <c r="H666" s="101"/>
      <c r="I666" s="101"/>
      <c r="J666" s="101"/>
      <c r="K666" s="101"/>
    </row>
    <row r="667" spans="1:11" ht="13">
      <c r="A667" s="98"/>
      <c r="B667" s="98"/>
      <c r="C667" s="98"/>
      <c r="D667" s="1222"/>
      <c r="E667" s="1222"/>
      <c r="F667" s="1222"/>
      <c r="G667" s="2"/>
      <c r="H667" s="101"/>
      <c r="I667" s="101"/>
      <c r="J667" s="101"/>
      <c r="K667" s="101"/>
    </row>
    <row r="668" spans="1:11" ht="13">
      <c r="A668" s="98"/>
      <c r="B668" s="98"/>
      <c r="C668" s="98"/>
      <c r="D668" s="2"/>
      <c r="E668" s="2"/>
      <c r="F668" s="2"/>
      <c r="G668" s="2"/>
      <c r="H668" s="101"/>
      <c r="I668" s="101"/>
      <c r="J668" s="101"/>
      <c r="K668" s="101"/>
    </row>
    <row r="669" spans="1:11" ht="13">
      <c r="A669" s="99"/>
      <c r="B669" s="1029" t="s">
        <v>294</v>
      </c>
      <c r="C669" s="98"/>
      <c r="D669" s="1233" t="s">
        <v>473</v>
      </c>
      <c r="E669" s="1233"/>
      <c r="F669" s="1233"/>
      <c r="G669" s="2"/>
      <c r="H669" s="101"/>
      <c r="I669" s="101"/>
      <c r="J669" s="101"/>
      <c r="K669" s="101"/>
    </row>
    <row r="670" spans="1:11" ht="13">
      <c r="A670" s="99"/>
      <c r="B670" s="99"/>
      <c r="C670" s="98"/>
      <c r="D670" s="1233" t="s">
        <v>470</v>
      </c>
      <c r="E670" s="1233"/>
      <c r="F670" s="1233"/>
      <c r="G670" s="2"/>
      <c r="H670" s="101"/>
      <c r="I670" s="101"/>
      <c r="J670" s="101"/>
      <c r="K670" s="101"/>
    </row>
    <row r="671" spans="1:11" ht="13">
      <c r="A671" s="98"/>
      <c r="B671" s="98"/>
      <c r="C671" s="98"/>
      <c r="D671" s="2"/>
      <c r="E671" s="1243" t="s">
        <v>474</v>
      </c>
      <c r="F671" s="1243"/>
      <c r="G671" s="2"/>
      <c r="H671" s="101"/>
      <c r="I671" s="101"/>
      <c r="J671" s="101"/>
      <c r="K671" s="101"/>
    </row>
    <row r="672" spans="1:11" ht="13">
      <c r="A672" s="98"/>
      <c r="B672" s="98"/>
      <c r="C672" s="98"/>
      <c r="D672" s="1"/>
      <c r="E672" s="2"/>
      <c r="F672" s="2"/>
      <c r="G672" s="2"/>
      <c r="H672" s="101"/>
      <c r="I672" s="101"/>
      <c r="J672" s="101"/>
      <c r="K672" s="101"/>
    </row>
    <row r="673" spans="1:11" ht="13">
      <c r="A673" s="99"/>
      <c r="B673" s="1029" t="s">
        <v>294</v>
      </c>
      <c r="C673" s="98"/>
      <c r="D673" s="1222" t="s">
        <v>475</v>
      </c>
      <c r="E673" s="1222"/>
      <c r="F673" s="1222"/>
      <c r="G673" s="2"/>
      <c r="H673" s="101"/>
      <c r="I673" s="101"/>
      <c r="J673" s="101"/>
      <c r="K673" s="101"/>
    </row>
    <row r="674" spans="1:11" ht="13">
      <c r="A674" s="98"/>
      <c r="B674" s="98"/>
      <c r="C674" s="98"/>
      <c r="D674" s="1222"/>
      <c r="E674" s="1222"/>
      <c r="F674" s="1222"/>
      <c r="G674" s="2"/>
      <c r="H674" s="101"/>
      <c r="I674" s="101"/>
      <c r="J674" s="101"/>
      <c r="K674" s="101"/>
    </row>
    <row r="675" spans="1:11" ht="13">
      <c r="A675" s="98"/>
      <c r="B675" s="98"/>
      <c r="C675" s="98"/>
      <c r="D675" s="1222"/>
      <c r="E675" s="1222"/>
      <c r="F675" s="1222"/>
      <c r="G675" s="2"/>
      <c r="H675" s="101"/>
      <c r="I675" s="101"/>
      <c r="J675" s="101"/>
      <c r="K675" s="101"/>
    </row>
    <row r="676" spans="1:11" ht="13">
      <c r="A676" s="98"/>
      <c r="B676" s="98"/>
      <c r="C676" s="98"/>
      <c r="D676" s="1222"/>
      <c r="E676" s="1222"/>
      <c r="F676" s="1222"/>
      <c r="G676" s="2"/>
      <c r="H676" s="101"/>
      <c r="I676" s="101"/>
      <c r="J676" s="101"/>
      <c r="K676" s="101"/>
    </row>
    <row r="677" spans="1:11" ht="13">
      <c r="A677" s="98"/>
      <c r="B677" s="98"/>
      <c r="C677" s="98"/>
      <c r="D677" s="1222"/>
      <c r="E677" s="1222"/>
      <c r="F677" s="1222"/>
      <c r="G677" s="2"/>
      <c r="H677" s="101"/>
      <c r="I677" s="101"/>
      <c r="J677" s="101"/>
      <c r="K677" s="101"/>
    </row>
    <row r="678" spans="1:11" ht="13">
      <c r="A678" s="98"/>
      <c r="B678" s="98"/>
      <c r="C678" s="98"/>
      <c r="D678" s="1222"/>
      <c r="E678" s="1222"/>
      <c r="F678" s="1222"/>
      <c r="G678" s="2"/>
      <c r="H678" s="101"/>
      <c r="I678" s="101"/>
      <c r="J678" s="101"/>
      <c r="K678" s="101"/>
    </row>
    <row r="679" spans="1:11" ht="13">
      <c r="A679" s="98"/>
      <c r="B679" s="98"/>
      <c r="C679" s="98"/>
      <c r="D679" s="1109"/>
      <c r="E679" s="1109"/>
      <c r="F679" s="1109"/>
      <c r="G679" s="2"/>
      <c r="H679" s="101"/>
      <c r="I679" s="101"/>
      <c r="J679" s="101"/>
      <c r="K679" s="101"/>
    </row>
    <row r="680" spans="1:11" ht="13">
      <c r="A680" s="99"/>
      <c r="B680" s="1029" t="s">
        <v>294</v>
      </c>
      <c r="C680" s="98"/>
      <c r="D680" s="1222" t="s">
        <v>476</v>
      </c>
      <c r="E680" s="1222"/>
      <c r="F680" s="1222"/>
      <c r="G680" s="2"/>
      <c r="H680" s="101"/>
      <c r="I680" s="101"/>
      <c r="J680" s="101"/>
      <c r="K680" s="101"/>
    </row>
    <row r="681" spans="1:11" ht="13">
      <c r="A681" s="98"/>
      <c r="B681" s="98"/>
      <c r="C681" s="98"/>
      <c r="D681" s="1222"/>
      <c r="E681" s="1222"/>
      <c r="F681" s="1222"/>
      <c r="G681" s="2"/>
      <c r="H681" s="101"/>
      <c r="I681" s="101"/>
      <c r="J681" s="101"/>
      <c r="K681" s="101"/>
    </row>
    <row r="682" spans="1:11" ht="13">
      <c r="A682" s="98"/>
      <c r="B682" s="98"/>
      <c r="C682" s="98"/>
      <c r="D682" s="1222"/>
      <c r="E682" s="1222"/>
      <c r="F682" s="1222"/>
      <c r="G682" s="2"/>
      <c r="H682" s="101"/>
      <c r="I682" s="101"/>
      <c r="J682" s="101"/>
      <c r="K682" s="101"/>
    </row>
    <row r="683" spans="1:11" ht="15" customHeight="1">
      <c r="A683" s="98"/>
      <c r="B683" s="98"/>
      <c r="C683" s="98"/>
      <c r="D683" s="1222"/>
      <c r="E683" s="1222"/>
      <c r="F683" s="1222"/>
      <c r="G683" s="2"/>
      <c r="H683" s="101"/>
      <c r="I683" s="101"/>
      <c r="J683" s="101"/>
      <c r="K683" s="101"/>
    </row>
    <row r="684" spans="1:11" ht="15" customHeight="1">
      <c r="A684" s="98"/>
      <c r="B684" s="98"/>
      <c r="C684" s="98"/>
      <c r="D684" s="1222"/>
      <c r="E684" s="1222"/>
      <c r="F684" s="1222"/>
      <c r="G684" s="2"/>
      <c r="H684" s="101"/>
      <c r="I684" s="101"/>
      <c r="J684" s="101"/>
      <c r="K684" s="101"/>
    </row>
    <row r="685" spans="1:11" ht="13">
      <c r="A685" s="98"/>
      <c r="B685" s="98"/>
      <c r="C685" s="98"/>
      <c r="D685" s="1222"/>
      <c r="E685" s="1222"/>
      <c r="F685" s="1222"/>
      <c r="G685" s="2"/>
      <c r="H685" s="101"/>
      <c r="I685" s="101"/>
      <c r="J685" s="101"/>
      <c r="K685" s="101"/>
    </row>
    <row r="686" spans="1:11" ht="13">
      <c r="A686" s="98"/>
      <c r="B686" s="98"/>
      <c r="C686" s="98"/>
      <c r="D686" s="1222"/>
      <c r="E686" s="1222"/>
      <c r="F686" s="1222"/>
      <c r="G686" s="2"/>
      <c r="H686" s="101"/>
      <c r="I686" s="101"/>
      <c r="J686" s="101"/>
      <c r="K686" s="101"/>
    </row>
    <row r="687" spans="1:11" ht="13">
      <c r="A687" s="98"/>
      <c r="B687" s="98"/>
      <c r="C687" s="98"/>
      <c r="D687" s="1222"/>
      <c r="E687" s="1222"/>
      <c r="F687" s="1222"/>
      <c r="G687" s="2"/>
      <c r="H687" s="101"/>
      <c r="I687" s="101"/>
      <c r="J687" s="101"/>
      <c r="K687" s="101"/>
    </row>
    <row r="688" spans="1:11" ht="15" customHeight="1">
      <c r="A688" s="98"/>
      <c r="B688" s="98"/>
      <c r="C688" s="98"/>
      <c r="D688" s="1222"/>
      <c r="E688" s="1222"/>
      <c r="F688" s="1222"/>
      <c r="G688" s="2"/>
      <c r="H688" s="101"/>
      <c r="I688" s="101"/>
      <c r="J688" s="101"/>
      <c r="K688" s="101"/>
    </row>
    <row r="689" spans="1:11" ht="13">
      <c r="A689" s="98"/>
      <c r="B689" s="98"/>
      <c r="C689" s="98"/>
      <c r="D689" s="1222"/>
      <c r="E689" s="1222"/>
      <c r="F689" s="1222"/>
      <c r="G689" s="2"/>
      <c r="H689" s="101"/>
      <c r="I689" s="101"/>
      <c r="J689" s="101"/>
      <c r="K689" s="101"/>
    </row>
    <row r="690" spans="1:11" ht="13">
      <c r="A690" s="98"/>
      <c r="B690" s="98"/>
      <c r="C690" s="98"/>
      <c r="D690" s="1222"/>
      <c r="E690" s="1222"/>
      <c r="F690" s="1222"/>
      <c r="G690" s="2"/>
      <c r="H690" s="101"/>
      <c r="I690" s="101"/>
      <c r="J690" s="101"/>
      <c r="K690" s="101"/>
    </row>
    <row r="691" spans="1:11" ht="13">
      <c r="A691" s="98"/>
      <c r="B691" s="98"/>
      <c r="C691" s="98"/>
      <c r="D691" s="1222"/>
      <c r="E691" s="1222"/>
      <c r="F691" s="1222"/>
      <c r="G691" s="2"/>
      <c r="H691" s="101"/>
      <c r="I691" s="101"/>
      <c r="J691" s="101"/>
      <c r="K691" s="101"/>
    </row>
    <row r="692" spans="1:11" ht="13">
      <c r="A692" s="98"/>
      <c r="B692" s="98"/>
      <c r="C692" s="98"/>
      <c r="D692" s="1109"/>
      <c r="E692" s="1109"/>
      <c r="F692" s="1109"/>
      <c r="G692" s="2"/>
      <c r="H692" s="101"/>
      <c r="I692" s="101"/>
      <c r="J692" s="101"/>
      <c r="K692" s="101"/>
    </row>
    <row r="693" spans="1:11" ht="13">
      <c r="A693" s="99"/>
      <c r="B693" s="1029" t="s">
        <v>294</v>
      </c>
      <c r="C693" s="98"/>
      <c r="D693" s="1222" t="s">
        <v>477</v>
      </c>
      <c r="E693" s="1222"/>
      <c r="F693" s="1222"/>
      <c r="G693" s="2"/>
      <c r="H693" s="101"/>
      <c r="I693" s="101"/>
      <c r="J693" s="101"/>
      <c r="K693" s="101"/>
    </row>
    <row r="694" spans="1:11" ht="13">
      <c r="A694" s="98"/>
      <c r="B694" s="98"/>
      <c r="C694" s="98"/>
      <c r="D694" s="1222"/>
      <c r="E694" s="1222"/>
      <c r="F694" s="1222"/>
      <c r="G694" s="2"/>
      <c r="H694" s="101"/>
      <c r="I694" s="101"/>
      <c r="J694" s="101"/>
      <c r="K694" s="101"/>
    </row>
    <row r="695" spans="1:11" ht="13">
      <c r="A695" s="98"/>
      <c r="B695" s="98"/>
      <c r="C695" s="98"/>
      <c r="D695" s="1222"/>
      <c r="E695" s="1222"/>
      <c r="F695" s="1222"/>
      <c r="G695" s="2"/>
      <c r="H695" s="101"/>
      <c r="I695" s="101"/>
      <c r="J695" s="101"/>
      <c r="K695" s="101"/>
    </row>
    <row r="696" spans="1:11" ht="13">
      <c r="A696" s="98"/>
      <c r="B696" s="98"/>
      <c r="C696" s="98"/>
      <c r="D696" s="1109"/>
      <c r="E696" s="1109"/>
      <c r="F696" s="1109"/>
      <c r="G696" s="2"/>
      <c r="H696" s="101"/>
      <c r="I696" s="101"/>
      <c r="J696" s="101"/>
      <c r="K696" s="101"/>
    </row>
    <row r="697" spans="1:11" ht="13">
      <c r="A697" s="98"/>
      <c r="B697" s="1029" t="s">
        <v>294</v>
      </c>
      <c r="C697" s="98"/>
      <c r="D697" s="1222" t="s">
        <v>478</v>
      </c>
      <c r="E697" s="1222"/>
      <c r="F697" s="1222"/>
      <c r="G697" s="2"/>
      <c r="H697" s="101"/>
      <c r="I697" s="101"/>
      <c r="J697" s="101"/>
      <c r="K697" s="101"/>
    </row>
    <row r="698" spans="1:11" ht="13">
      <c r="A698" s="98"/>
      <c r="B698" s="98"/>
      <c r="C698" s="98"/>
      <c r="D698" s="1222"/>
      <c r="E698" s="1222"/>
      <c r="F698" s="1222"/>
      <c r="G698" s="2"/>
      <c r="H698" s="101"/>
      <c r="I698" s="101"/>
      <c r="J698" s="101"/>
      <c r="K698" s="101"/>
    </row>
    <row r="699" spans="1:11" ht="13">
      <c r="A699" s="98"/>
      <c r="B699" s="98"/>
      <c r="C699" s="98"/>
      <c r="D699" s="1109"/>
      <c r="E699" s="1109"/>
      <c r="F699" s="1109"/>
      <c r="G699" s="2"/>
      <c r="H699" s="101"/>
      <c r="I699" s="101"/>
      <c r="J699" s="101"/>
      <c r="K699" s="101"/>
    </row>
    <row r="700" spans="1:11" ht="13">
      <c r="A700" s="98"/>
      <c r="B700" s="1029" t="s">
        <v>294</v>
      </c>
      <c r="C700" s="98"/>
      <c r="D700" s="1222" t="s">
        <v>479</v>
      </c>
      <c r="E700" s="1222"/>
      <c r="F700" s="1222"/>
      <c r="G700" s="2"/>
      <c r="H700" s="101"/>
      <c r="I700" s="101"/>
      <c r="J700" s="101"/>
      <c r="K700" s="101"/>
    </row>
    <row r="701" spans="1:11" ht="13">
      <c r="A701" s="98"/>
      <c r="B701" s="98"/>
      <c r="C701" s="98"/>
      <c r="D701" s="1222"/>
      <c r="E701" s="1222"/>
      <c r="F701" s="1222"/>
      <c r="G701" s="2"/>
      <c r="H701" s="101"/>
      <c r="I701" s="101"/>
      <c r="J701" s="101"/>
      <c r="K701" s="101"/>
    </row>
    <row r="702" spans="1:11" ht="13">
      <c r="A702" s="98"/>
      <c r="B702" s="98"/>
      <c r="C702" s="98"/>
      <c r="D702" s="1222"/>
      <c r="E702" s="1222"/>
      <c r="F702" s="1222"/>
      <c r="G702" s="2"/>
      <c r="H702" s="101"/>
      <c r="I702" s="101"/>
      <c r="J702" s="101"/>
      <c r="K702" s="101"/>
    </row>
    <row r="703" spans="1:11" ht="13">
      <c r="A703" s="98"/>
      <c r="B703" s="98"/>
      <c r="C703" s="98"/>
      <c r="D703" s="1109"/>
      <c r="E703" s="1109"/>
      <c r="F703" s="1109"/>
      <c r="G703" s="2"/>
      <c r="H703" s="101"/>
      <c r="I703" s="101"/>
      <c r="J703" s="101"/>
      <c r="K703" s="101"/>
    </row>
    <row r="704" spans="1:11" ht="13">
      <c r="A704" s="98"/>
      <c r="B704" s="1029" t="s">
        <v>294</v>
      </c>
      <c r="C704" s="98"/>
      <c r="D704" s="1222" t="s">
        <v>480</v>
      </c>
      <c r="E704" s="1222"/>
      <c r="F704" s="1222"/>
      <c r="G704" s="2"/>
      <c r="H704" s="101"/>
      <c r="I704" s="101"/>
      <c r="J704" s="101"/>
      <c r="K704" s="101"/>
    </row>
    <row r="705" spans="1:11" ht="13">
      <c r="A705" s="98"/>
      <c r="B705" s="98"/>
      <c r="C705" s="98"/>
      <c r="D705" s="1222"/>
      <c r="E705" s="1222"/>
      <c r="F705" s="1222"/>
      <c r="G705" s="2"/>
      <c r="H705" s="101"/>
      <c r="I705" s="101"/>
      <c r="J705" s="101"/>
      <c r="K705" s="101"/>
    </row>
    <row r="706" spans="1:11" ht="13">
      <c r="A706" s="98"/>
      <c r="B706" s="98"/>
      <c r="C706" s="98"/>
      <c r="D706" s="1222"/>
      <c r="E706" s="1222"/>
      <c r="F706" s="1222"/>
      <c r="G706" s="2"/>
      <c r="H706" s="101"/>
      <c r="I706" s="101"/>
      <c r="J706" s="101"/>
      <c r="K706" s="101"/>
    </row>
    <row r="707" spans="1:11" ht="13">
      <c r="A707" s="98"/>
      <c r="B707" s="98"/>
      <c r="C707" s="98"/>
      <c r="D707" s="2"/>
      <c r="E707" s="2"/>
      <c r="F707" s="2"/>
      <c r="G707" s="2"/>
      <c r="H707" s="101"/>
      <c r="I707" s="101"/>
      <c r="J707" s="101"/>
      <c r="K707" s="101"/>
    </row>
    <row r="708" spans="1:11" ht="13">
      <c r="A708" s="98"/>
      <c r="B708" s="1029" t="s">
        <v>294</v>
      </c>
      <c r="C708" s="98"/>
      <c r="D708" s="1222" t="s">
        <v>481</v>
      </c>
      <c r="E708" s="1222"/>
      <c r="F708" s="1222"/>
      <c r="G708" s="2"/>
      <c r="H708" s="101"/>
      <c r="I708" s="101"/>
      <c r="J708" s="101"/>
      <c r="K708" s="101"/>
    </row>
    <row r="709" spans="1:11" ht="13">
      <c r="A709" s="98"/>
      <c r="B709" s="98"/>
      <c r="C709" s="98"/>
      <c r="D709" s="1222"/>
      <c r="E709" s="1222"/>
      <c r="F709" s="1222"/>
      <c r="G709" s="2"/>
      <c r="H709" s="101"/>
      <c r="I709" s="101"/>
      <c r="J709" s="101"/>
      <c r="K709" s="101"/>
    </row>
    <row r="710" spans="1:11" ht="13">
      <c r="A710" s="98"/>
      <c r="B710" s="98"/>
      <c r="C710" s="98"/>
      <c r="D710" s="1222"/>
      <c r="E710" s="1222"/>
      <c r="F710" s="1222"/>
      <c r="G710" s="2"/>
      <c r="H710" s="101"/>
      <c r="I710" s="101"/>
      <c r="J710" s="101"/>
      <c r="K710" s="101"/>
    </row>
    <row r="711" spans="1:11" ht="13">
      <c r="A711" s="98"/>
      <c r="B711" s="98"/>
      <c r="C711" s="98"/>
      <c r="D711"/>
      <c r="E711" s="2"/>
      <c r="F711" s="2"/>
      <c r="G711" s="2"/>
      <c r="H711" s="101"/>
      <c r="I711" s="101"/>
      <c r="J711" s="101"/>
      <c r="K711" s="101"/>
    </row>
    <row r="712" spans="1:11" ht="13">
      <c r="A712" s="99"/>
      <c r="B712" s="1029" t="s">
        <v>294</v>
      </c>
      <c r="C712" s="98"/>
      <c r="D712" s="1222" t="s">
        <v>482</v>
      </c>
      <c r="E712" s="1222"/>
      <c r="F712" s="1222"/>
      <c r="G712" s="2"/>
      <c r="H712" s="101"/>
      <c r="I712" s="101"/>
      <c r="J712" s="101"/>
      <c r="K712" s="101"/>
    </row>
    <row r="713" spans="1:11" ht="13">
      <c r="A713" s="98"/>
      <c r="B713" s="98"/>
      <c r="C713" s="98"/>
      <c r="D713" s="1222"/>
      <c r="E713" s="1222"/>
      <c r="F713" s="1222"/>
      <c r="G713" s="2"/>
      <c r="H713" s="101"/>
      <c r="I713" s="101"/>
      <c r="J713" s="101"/>
      <c r="K713" s="101"/>
    </row>
    <row r="714" spans="1:11" ht="13">
      <c r="A714" s="98"/>
      <c r="B714" s="98"/>
      <c r="C714" s="98"/>
      <c r="D714" s="1222"/>
      <c r="E714" s="1222"/>
      <c r="F714" s="1222"/>
      <c r="G714" s="2"/>
      <c r="H714" s="101"/>
      <c r="I714" s="101"/>
      <c r="J714" s="101"/>
      <c r="K714" s="101"/>
    </row>
    <row r="715" spans="1:11" ht="13">
      <c r="A715" s="98"/>
      <c r="B715" s="98"/>
      <c r="C715" s="98"/>
      <c r="D715" s="1222"/>
      <c r="E715" s="1222"/>
      <c r="F715" s="1222"/>
      <c r="G715" s="2"/>
      <c r="H715" s="101"/>
      <c r="I715" s="101"/>
      <c r="J715" s="101"/>
      <c r="K715" s="101"/>
    </row>
    <row r="716" spans="1:11" ht="13">
      <c r="A716" s="98"/>
      <c r="B716" s="98"/>
      <c r="C716" s="98"/>
      <c r="D716" s="810"/>
      <c r="E716" s="2"/>
      <c r="F716" s="2"/>
      <c r="G716" s="2"/>
      <c r="H716" s="101"/>
      <c r="I716" s="101"/>
      <c r="J716" s="101"/>
      <c r="K716" s="101"/>
    </row>
    <row r="717" spans="1:11" ht="13">
      <c r="A717" s="99"/>
      <c r="B717" s="1029" t="s">
        <v>294</v>
      </c>
      <c r="C717" s="98"/>
      <c r="D717" s="1222" t="s">
        <v>483</v>
      </c>
      <c r="E717" s="1222"/>
      <c r="F717" s="1222"/>
      <c r="G717" s="2"/>
      <c r="H717" s="101"/>
      <c r="I717" s="101"/>
      <c r="J717" s="101"/>
      <c r="K717" s="101"/>
    </row>
    <row r="718" spans="1:11" ht="13">
      <c r="A718" s="98"/>
      <c r="B718" s="98"/>
      <c r="C718" s="98"/>
      <c r="D718" s="1222"/>
      <c r="E718" s="1222"/>
      <c r="F718" s="1222"/>
      <c r="G718" s="2"/>
      <c r="H718" s="101"/>
      <c r="I718" s="101"/>
      <c r="J718" s="101"/>
      <c r="K718" s="101"/>
    </row>
    <row r="719" spans="1:11" ht="13">
      <c r="A719" s="98"/>
      <c r="B719" s="98"/>
      <c r="C719" s="98"/>
      <c r="D719" s="1222"/>
      <c r="E719" s="1222"/>
      <c r="F719" s="1222"/>
      <c r="G719" s="2"/>
      <c r="H719" s="101"/>
      <c r="I719" s="101"/>
      <c r="J719" s="101"/>
      <c r="K719" s="101"/>
    </row>
    <row r="720" spans="1:11" ht="13">
      <c r="A720" s="98"/>
      <c r="B720" s="98"/>
      <c r="C720" s="98"/>
      <c r="D720" s="1222"/>
      <c r="E720" s="1222"/>
      <c r="F720" s="1222"/>
      <c r="G720" s="2"/>
      <c r="H720" s="101"/>
      <c r="I720" s="101"/>
      <c r="J720" s="101"/>
      <c r="K720" s="101"/>
    </row>
    <row r="721" spans="1:11" ht="13">
      <c r="A721" s="98"/>
      <c r="B721" s="98"/>
      <c r="C721" s="98"/>
      <c r="D721" s="1222"/>
      <c r="E721" s="1222"/>
      <c r="F721" s="1222"/>
      <c r="G721" s="2"/>
      <c r="H721" s="101"/>
      <c r="I721" s="101"/>
      <c r="J721" s="101"/>
      <c r="K721" s="101"/>
    </row>
    <row r="722" spans="1:11" ht="13">
      <c r="A722" s="98"/>
      <c r="B722" s="98"/>
      <c r="C722" s="98"/>
      <c r="D722" s="1222"/>
      <c r="E722" s="1222"/>
      <c r="F722" s="1222"/>
      <c r="G722" s="2"/>
      <c r="H722" s="101"/>
      <c r="I722" s="101"/>
      <c r="J722" s="101"/>
      <c r="K722" s="101"/>
    </row>
    <row r="723" spans="1:11" ht="13">
      <c r="A723" s="98"/>
      <c r="B723" s="98"/>
      <c r="C723" s="98"/>
      <c r="D723" s="1222"/>
      <c r="E723" s="1222"/>
      <c r="F723" s="1222"/>
      <c r="G723" s="2"/>
      <c r="H723" s="101"/>
      <c r="I723" s="101"/>
      <c r="J723" s="101"/>
      <c r="K723" s="101"/>
    </row>
    <row r="724" spans="1:11" ht="13">
      <c r="A724" s="98"/>
      <c r="B724" s="98"/>
      <c r="C724" s="98"/>
      <c r="D724" s="1264" t="s">
        <v>484</v>
      </c>
      <c r="E724" s="1264"/>
      <c r="F724" s="1264"/>
      <c r="G724" s="2"/>
      <c r="H724" s="101"/>
      <c r="I724" s="101"/>
      <c r="J724" s="101"/>
      <c r="K724" s="101"/>
    </row>
    <row r="725" spans="1:11" ht="13">
      <c r="A725" s="98"/>
      <c r="B725" s="98"/>
      <c r="C725" s="98"/>
      <c r="D725" s="1131"/>
      <c r="E725" s="2"/>
      <c r="F725" s="2"/>
      <c r="G725" s="2"/>
      <c r="H725" s="101"/>
      <c r="I725" s="101"/>
      <c r="J725" s="101"/>
      <c r="K725" s="101"/>
    </row>
    <row r="726" spans="1:11" ht="13">
      <c r="A726" s="1266" t="s">
        <v>485</v>
      </c>
      <c r="B726" s="1266"/>
      <c r="C726" s="1266"/>
      <c r="D726" s="1266"/>
      <c r="E726" s="1266"/>
      <c r="F726" s="1266"/>
      <c r="G726" s="1266"/>
      <c r="H726" s="101"/>
      <c r="I726" s="101"/>
      <c r="J726" s="101"/>
      <c r="K726" s="101"/>
    </row>
    <row r="727" spans="1:11" ht="13">
      <c r="A727" s="98"/>
      <c r="B727" s="98"/>
      <c r="C727" s="98"/>
      <c r="D727" s="810"/>
      <c r="E727" s="2"/>
      <c r="F727" s="2"/>
      <c r="G727" s="805"/>
      <c r="H727" s="101"/>
      <c r="I727" s="101"/>
      <c r="J727" s="101"/>
      <c r="K727" s="101"/>
    </row>
    <row r="728" spans="1:11" ht="13.4" customHeight="1">
      <c r="A728" s="1148"/>
      <c r="B728" s="1148"/>
      <c r="C728" s="98"/>
      <c r="D728" s="1254" t="s">
        <v>486</v>
      </c>
      <c r="E728" s="1254"/>
      <c r="F728" s="1254"/>
      <c r="G728" s="805"/>
      <c r="H728" s="101"/>
      <c r="I728" s="101"/>
      <c r="J728" s="101"/>
      <c r="K728" s="101"/>
    </row>
    <row r="729" spans="1:11" ht="13">
      <c r="A729" s="98"/>
      <c r="B729" s="98"/>
      <c r="C729" s="98"/>
      <c r="D729" s="1253" t="s">
        <v>487</v>
      </c>
      <c r="E729" s="1253"/>
      <c r="F729" s="1253"/>
      <c r="G729" s="805"/>
      <c r="H729" s="101"/>
      <c r="I729" s="101"/>
      <c r="J729" s="101"/>
      <c r="K729" s="101"/>
    </row>
    <row r="730" spans="1:11" ht="13">
      <c r="A730" s="98"/>
      <c r="B730" s="98"/>
      <c r="C730" s="98"/>
      <c r="D730" s="2"/>
      <c r="E730" s="2"/>
      <c r="F730" s="2"/>
      <c r="G730" s="805"/>
      <c r="H730" s="101"/>
      <c r="I730" s="101"/>
      <c r="J730" s="101"/>
      <c r="K730" s="101"/>
    </row>
    <row r="731" spans="1:11" ht="13">
      <c r="A731" s="99"/>
      <c r="B731" s="1029" t="s">
        <v>294</v>
      </c>
      <c r="C731" s="1148"/>
      <c r="D731" s="1222" t="s">
        <v>488</v>
      </c>
      <c r="E731" s="1222"/>
      <c r="F731" s="1222"/>
      <c r="G731" s="805"/>
      <c r="H731" s="101"/>
      <c r="I731" s="101"/>
      <c r="J731" s="101"/>
      <c r="K731" s="101"/>
    </row>
    <row r="732" spans="1:11" ht="10.5" customHeight="1">
      <c r="A732" s="1148"/>
      <c r="B732" s="1148"/>
      <c r="C732" s="1148"/>
      <c r="D732" s="1222"/>
      <c r="E732" s="1222"/>
      <c r="F732" s="1222"/>
      <c r="G732" s="805"/>
      <c r="H732" s="101"/>
      <c r="I732" s="101"/>
      <c r="J732" s="101"/>
      <c r="K732" s="101"/>
    </row>
    <row r="733" spans="1:11">
      <c r="A733" s="1148"/>
      <c r="B733" s="1148"/>
      <c r="C733" s="1148"/>
      <c r="D733" s="1222"/>
      <c r="E733" s="1222"/>
      <c r="F733" s="1222"/>
      <c r="G733" s="805"/>
      <c r="H733" s="101"/>
      <c r="I733" s="101"/>
      <c r="J733" s="101"/>
      <c r="K733" s="101"/>
    </row>
    <row r="734" spans="1:11">
      <c r="A734" s="1148"/>
      <c r="B734" s="1148"/>
      <c r="C734" s="1148"/>
      <c r="D734" s="1222"/>
      <c r="E734" s="1222"/>
      <c r="F734" s="1222"/>
      <c r="G734" s="805"/>
      <c r="H734" s="101"/>
      <c r="I734" s="101"/>
      <c r="J734" s="101"/>
      <c r="K734" s="101"/>
    </row>
    <row r="735" spans="1:11">
      <c r="A735" s="1148"/>
      <c r="B735" s="1148"/>
      <c r="C735" s="1148"/>
      <c r="D735" s="1222"/>
      <c r="E735" s="1222"/>
      <c r="F735" s="1222"/>
      <c r="G735" s="805"/>
      <c r="H735" s="101"/>
      <c r="I735" s="101"/>
      <c r="J735" s="101"/>
      <c r="K735" s="101"/>
    </row>
    <row r="736" spans="1:11" ht="15.75" customHeight="1">
      <c r="A736" s="1148"/>
      <c r="B736" s="1148"/>
      <c r="C736" s="1148"/>
      <c r="D736" s="1222"/>
      <c r="E736" s="1222"/>
      <c r="F736" s="1222"/>
      <c r="G736" s="805"/>
      <c r="H736" s="101"/>
      <c r="I736" s="101"/>
      <c r="J736" s="101"/>
      <c r="K736" s="101"/>
    </row>
    <row r="737" spans="1:11">
      <c r="A737" s="1148"/>
      <c r="B737" s="1148"/>
      <c r="C737" s="1148"/>
      <c r="D737" s="149"/>
      <c r="E737" s="68"/>
      <c r="F737" s="68"/>
      <c r="G737" s="805"/>
      <c r="H737" s="101"/>
      <c r="I737" s="101"/>
      <c r="J737" s="101"/>
      <c r="K737" s="101"/>
    </row>
    <row r="738" spans="1:11" s="154" customFormat="1" ht="13">
      <c r="A738" s="153"/>
      <c r="B738" s="1029" t="s">
        <v>294</v>
      </c>
      <c r="C738" s="815"/>
      <c r="D738" s="1222" t="s">
        <v>489</v>
      </c>
      <c r="E738" s="1222"/>
      <c r="F738" s="1222"/>
      <c r="G738" s="816"/>
    </row>
    <row r="739" spans="1:11" s="154" customFormat="1">
      <c r="A739" s="815"/>
      <c r="B739" s="815"/>
      <c r="C739" s="815"/>
      <c r="D739" s="1222"/>
      <c r="E739" s="1222"/>
      <c r="F739" s="1222"/>
      <c r="G739" s="816"/>
    </row>
    <row r="740" spans="1:11" s="154" customFormat="1">
      <c r="A740" s="815"/>
      <c r="B740" s="815"/>
      <c r="C740" s="815"/>
      <c r="D740" s="1222"/>
      <c r="E740" s="1222"/>
      <c r="F740" s="1222"/>
      <c r="G740" s="816"/>
    </row>
    <row r="741" spans="1:11" s="154" customFormat="1">
      <c r="A741" s="815"/>
      <c r="B741" s="815"/>
      <c r="C741" s="815"/>
      <c r="D741" s="1222"/>
      <c r="E741" s="1222"/>
      <c r="F741" s="1222"/>
      <c r="G741" s="816"/>
    </row>
    <row r="742" spans="1:11" s="154" customFormat="1">
      <c r="A742" s="815"/>
      <c r="B742" s="815"/>
      <c r="C742" s="815"/>
      <c r="D742" s="149"/>
      <c r="E742" s="816"/>
      <c r="F742" s="816"/>
      <c r="G742" s="816"/>
    </row>
    <row r="743" spans="1:11" s="154" customFormat="1" ht="13">
      <c r="A743" s="99"/>
      <c r="B743" s="1029" t="s">
        <v>294</v>
      </c>
      <c r="C743" s="815"/>
      <c r="D743" s="1261" t="s">
        <v>490</v>
      </c>
      <c r="E743" s="1261"/>
      <c r="F743" s="1261"/>
      <c r="G743" s="816"/>
    </row>
    <row r="744" spans="1:11" s="154" customFormat="1">
      <c r="A744" s="815"/>
      <c r="B744" s="815"/>
      <c r="C744" s="815"/>
      <c r="D744" s="1261"/>
      <c r="E744" s="1261"/>
      <c r="F744" s="1261"/>
      <c r="G744" s="816"/>
    </row>
    <row r="745" spans="1:11" s="154" customFormat="1">
      <c r="A745" s="815"/>
      <c r="B745" s="815"/>
      <c r="C745" s="815"/>
      <c r="D745" s="1261"/>
      <c r="E745" s="1261"/>
      <c r="F745" s="1261"/>
      <c r="G745" s="816"/>
    </row>
    <row r="746" spans="1:11">
      <c r="A746" s="1148"/>
      <c r="B746" s="1148"/>
      <c r="C746" s="1148"/>
      <c r="D746" s="149"/>
      <c r="E746" s="68"/>
      <c r="F746" s="68"/>
      <c r="G746" s="805"/>
      <c r="H746" s="101"/>
      <c r="I746" s="101"/>
      <c r="J746" s="101"/>
      <c r="K746" s="101"/>
    </row>
    <row r="747" spans="1:11" ht="13">
      <c r="A747" s="99"/>
      <c r="B747" s="1029" t="s">
        <v>294</v>
      </c>
      <c r="C747" s="1148"/>
      <c r="D747" s="1222" t="s">
        <v>491</v>
      </c>
      <c r="E747" s="1222"/>
      <c r="F747" s="1222"/>
      <c r="G747" s="805"/>
      <c r="H747" s="101"/>
      <c r="I747" s="101"/>
      <c r="J747" s="101"/>
      <c r="K747" s="101"/>
    </row>
    <row r="748" spans="1:11">
      <c r="A748" s="1148"/>
      <c r="B748" s="1148"/>
      <c r="C748" s="1148"/>
      <c r="D748" s="1222"/>
      <c r="E748" s="1222"/>
      <c r="F748" s="1222"/>
      <c r="G748" s="805"/>
      <c r="H748" s="101"/>
      <c r="I748" s="101"/>
      <c r="J748" s="101"/>
      <c r="K748" s="101"/>
    </row>
    <row r="749" spans="1:11">
      <c r="A749" s="1148"/>
      <c r="B749" s="1148"/>
      <c r="C749" s="1148"/>
      <c r="D749" s="1109"/>
      <c r="E749" s="1109"/>
      <c r="F749" s="1109"/>
      <c r="G749" s="805"/>
      <c r="H749" s="101"/>
      <c r="I749" s="101"/>
      <c r="J749" s="101"/>
      <c r="K749" s="101"/>
    </row>
    <row r="750" spans="1:11">
      <c r="A750" s="1148"/>
      <c r="B750" s="1029" t="s">
        <v>294</v>
      </c>
      <c r="C750" s="1148"/>
      <c r="D750" s="1222" t="s">
        <v>492</v>
      </c>
      <c r="E750" s="1222"/>
      <c r="F750" s="1222"/>
      <c r="G750" s="805"/>
      <c r="H750" s="101"/>
      <c r="I750" s="101"/>
      <c r="J750" s="101"/>
      <c r="K750" s="101"/>
    </row>
    <row r="751" spans="1:11">
      <c r="A751" s="1148"/>
      <c r="B751" s="1148"/>
      <c r="C751" s="1148"/>
      <c r="D751" s="1222"/>
      <c r="E751" s="1222"/>
      <c r="F751" s="1222"/>
      <c r="G751" s="805"/>
      <c r="H751" s="101"/>
      <c r="I751" s="101"/>
      <c r="J751" s="101"/>
      <c r="K751" s="101"/>
    </row>
    <row r="752" spans="1:11">
      <c r="A752" s="1148"/>
      <c r="B752" s="1148"/>
      <c r="C752" s="1148"/>
      <c r="D752" s="1222"/>
      <c r="E752" s="1222"/>
      <c r="F752" s="1222"/>
      <c r="G752" s="805"/>
      <c r="H752" s="101"/>
      <c r="I752" s="101"/>
      <c r="J752" s="101"/>
      <c r="K752" s="101"/>
    </row>
    <row r="753" spans="1:11">
      <c r="A753" s="1148"/>
      <c r="B753" s="1148"/>
      <c r="C753" s="1148"/>
      <c r="D753" s="1109"/>
      <c r="E753" s="1109"/>
      <c r="F753" s="1109"/>
      <c r="G753" s="805"/>
      <c r="H753" s="101"/>
      <c r="I753" s="101"/>
      <c r="J753" s="101"/>
      <c r="K753" s="101"/>
    </row>
    <row r="754" spans="1:11" ht="13">
      <c r="A754" s="1237" t="s">
        <v>493</v>
      </c>
      <c r="B754" s="1237"/>
      <c r="C754" s="1237"/>
      <c r="D754" s="1237"/>
      <c r="E754" s="1237"/>
      <c r="F754" s="1237"/>
      <c r="G754" s="1237"/>
    </row>
    <row r="755" spans="1:11" ht="13">
      <c r="A755" s="98"/>
      <c r="B755" s="98"/>
      <c r="C755" s="98"/>
      <c r="D755" s="103"/>
      <c r="E755" s="2"/>
      <c r="F755" s="68"/>
      <c r="G755" s="805"/>
    </row>
    <row r="756" spans="1:11" ht="13">
      <c r="A756" s="1148"/>
      <c r="B756" s="1148"/>
      <c r="C756" s="1148"/>
      <c r="D756" s="1267" t="s">
        <v>494</v>
      </c>
      <c r="E756" s="1267"/>
      <c r="F756" s="1267"/>
      <c r="G756" s="805"/>
    </row>
    <row r="757" spans="1:11">
      <c r="A757" s="213"/>
      <c r="B757" s="213"/>
      <c r="C757" s="213"/>
      <c r="D757" s="1251" t="s">
        <v>495</v>
      </c>
      <c r="E757" s="1251"/>
      <c r="F757" s="1251"/>
      <c r="G757" s="805"/>
    </row>
    <row r="758" spans="1:11">
      <c r="A758" s="1148"/>
      <c r="B758" s="1148"/>
      <c r="C758" s="1148"/>
      <c r="D758" s="291"/>
      <c r="E758" s="291"/>
      <c r="F758" s="291"/>
      <c r="G758" s="805"/>
    </row>
    <row r="759" spans="1:11" ht="13">
      <c r="A759" s="99"/>
      <c r="B759" s="1029" t="s">
        <v>294</v>
      </c>
      <c r="C759" s="1148"/>
      <c r="D759" s="1251" t="s">
        <v>496</v>
      </c>
      <c r="E759" s="1251"/>
      <c r="F759" s="1251"/>
      <c r="G759" s="805"/>
    </row>
    <row r="760" spans="1:11" ht="13">
      <c r="A760" s="1148"/>
      <c r="B760" s="1148"/>
      <c r="C760" s="1148"/>
      <c r="D760" s="291"/>
      <c r="E760" s="1263" t="s">
        <v>497</v>
      </c>
      <c r="F760" s="1263"/>
      <c r="G760" s="805"/>
    </row>
    <row r="761" spans="1:11" ht="13">
      <c r="A761" s="1125"/>
      <c r="B761" s="1125"/>
      <c r="C761" s="1125"/>
      <c r="D761" s="68"/>
      <c r="E761" s="2"/>
      <c r="F761" s="2"/>
      <c r="G761" s="805"/>
    </row>
    <row r="762" spans="1:11" ht="13">
      <c r="A762" s="1265" t="s">
        <v>498</v>
      </c>
      <c r="B762" s="1265"/>
      <c r="C762" s="1265"/>
      <c r="D762" s="1265"/>
      <c r="E762" s="1265"/>
      <c r="F762" s="1265"/>
      <c r="G762" s="1265"/>
    </row>
    <row r="763" spans="1:11" ht="13">
      <c r="A763" s="1125"/>
      <c r="B763" s="1125"/>
      <c r="C763" s="806"/>
      <c r="D763" s="805"/>
      <c r="E763" s="805"/>
      <c r="F763" s="805"/>
      <c r="G763" s="805"/>
    </row>
    <row r="764" spans="1:11">
      <c r="A764" s="68"/>
      <c r="B764" s="1253" t="s">
        <v>499</v>
      </c>
      <c r="C764" s="1253"/>
      <c r="D764" s="1253"/>
      <c r="E764" s="1253"/>
      <c r="F764" s="1253"/>
      <c r="G764" s="805"/>
    </row>
    <row r="765" spans="1:11" ht="13">
      <c r="A765" s="1127"/>
      <c r="B765" s="1127"/>
      <c r="C765" s="1148"/>
      <c r="D765" s="2"/>
      <c r="E765" s="2"/>
      <c r="F765" s="2"/>
      <c r="G765" s="805"/>
    </row>
    <row r="766" spans="1:11" ht="13">
      <c r="A766" s="1265" t="s">
        <v>500</v>
      </c>
      <c r="B766" s="1265"/>
      <c r="C766" s="1265"/>
      <c r="D766" s="1265"/>
      <c r="E766" s="1265"/>
      <c r="F766" s="1265"/>
      <c r="G766" s="1265"/>
    </row>
    <row r="767" spans="1:11" ht="13">
      <c r="A767" s="1125"/>
      <c r="B767" s="1125"/>
      <c r="C767" s="1125"/>
      <c r="D767" s="810"/>
      <c r="E767" s="2"/>
      <c r="F767" s="2"/>
      <c r="G767" s="805"/>
    </row>
    <row r="768" spans="1:11">
      <c r="A768" s="68"/>
      <c r="B768" s="1233" t="s">
        <v>334</v>
      </c>
      <c r="C768" s="1233"/>
      <c r="D768" s="1233"/>
      <c r="E768" s="1233"/>
      <c r="F768" s="1233"/>
      <c r="G768" s="805"/>
    </row>
    <row r="769" spans="1:7" ht="13">
      <c r="A769" s="99"/>
      <c r="B769" s="99"/>
      <c r="C769" s="1148"/>
      <c r="D769" s="68"/>
      <c r="E769" s="68"/>
      <c r="F769" s="805"/>
      <c r="G769" s="805"/>
    </row>
    <row r="770" spans="1:7" ht="13">
      <c r="A770" s="1265" t="s">
        <v>501</v>
      </c>
      <c r="B770" s="1265"/>
      <c r="C770" s="1265"/>
      <c r="D770" s="1265"/>
      <c r="E770" s="1265"/>
      <c r="F770" s="1265"/>
      <c r="G770" s="1265"/>
    </row>
    <row r="771" spans="1:7" ht="13">
      <c r="A771" s="1148"/>
      <c r="B771" s="1148"/>
      <c r="C771" s="98"/>
      <c r="D771" s="97"/>
      <c r="E771" s="68"/>
      <c r="F771" s="805"/>
      <c r="G771" s="805"/>
    </row>
    <row r="772" spans="1:7">
      <c r="A772" s="68"/>
      <c r="B772" s="1233" t="s">
        <v>334</v>
      </c>
      <c r="C772" s="1233"/>
      <c r="D772" s="1233"/>
      <c r="E772" s="1233"/>
      <c r="F772" s="1233"/>
      <c r="G772" s="805"/>
    </row>
    <row r="773" spans="1:7">
      <c r="A773" s="68"/>
      <c r="B773" s="68"/>
      <c r="C773" s="806"/>
      <c r="D773" s="805"/>
      <c r="E773" s="805"/>
      <c r="F773" s="805"/>
      <c r="G773" s="805"/>
    </row>
    <row r="774" spans="1:7" ht="13">
      <c r="A774" s="1265" t="s">
        <v>502</v>
      </c>
      <c r="B774" s="1265"/>
      <c r="C774" s="1265"/>
      <c r="D774" s="1265"/>
      <c r="E774" s="1265"/>
      <c r="F774" s="1265"/>
      <c r="G774" s="1265"/>
    </row>
    <row r="775" spans="1:7">
      <c r="A775" s="68"/>
      <c r="B775" s="68"/>
      <c r="C775" s="1148"/>
      <c r="D775" s="2"/>
      <c r="E775" s="2"/>
      <c r="F775" s="2"/>
      <c r="G775" s="2"/>
    </row>
    <row r="776" spans="1:7">
      <c r="A776" s="68"/>
      <c r="B776" s="1233" t="s">
        <v>334</v>
      </c>
      <c r="C776" s="1233"/>
      <c r="D776" s="1233"/>
      <c r="E776" s="1233"/>
      <c r="F776" s="1233"/>
      <c r="G776" s="2"/>
    </row>
    <row r="777" spans="1:7" ht="13">
      <c r="A777" s="806"/>
      <c r="B777" s="806"/>
      <c r="C777" s="806"/>
      <c r="D777" s="1117"/>
      <c r="E777" s="2"/>
      <c r="F777" s="805"/>
      <c r="G777" s="2"/>
    </row>
    <row r="778" spans="1:7" ht="13">
      <c r="A778" s="1265" t="s">
        <v>503</v>
      </c>
      <c r="B778" s="1265"/>
      <c r="C778" s="1265"/>
      <c r="D778" s="1265"/>
      <c r="E778" s="1265"/>
      <c r="F778" s="1265"/>
      <c r="G778" s="1265"/>
    </row>
    <row r="779" spans="1:7">
      <c r="A779" s="68"/>
      <c r="B779" s="68"/>
      <c r="C779" s="1148"/>
      <c r="D779" s="2"/>
      <c r="E779" s="2"/>
      <c r="F779" s="2"/>
      <c r="G779" s="2"/>
    </row>
    <row r="780" spans="1:7">
      <c r="A780" s="68"/>
      <c r="B780" s="1233" t="s">
        <v>334</v>
      </c>
      <c r="C780" s="1233"/>
      <c r="D780" s="1233"/>
      <c r="E780" s="1233"/>
      <c r="F780" s="1233"/>
      <c r="G780" s="2"/>
    </row>
    <row r="781" spans="1:7" ht="13">
      <c r="A781" s="806"/>
      <c r="B781" s="806"/>
      <c r="C781" s="806"/>
      <c r="D781" s="1117"/>
      <c r="E781" s="2"/>
      <c r="F781" s="805"/>
      <c r="G781" s="2"/>
    </row>
    <row r="782" spans="1:7" ht="13">
      <c r="A782" s="1265" t="s">
        <v>504</v>
      </c>
      <c r="B782" s="1265"/>
      <c r="C782" s="1265"/>
      <c r="D782" s="1265"/>
      <c r="E782" s="1265"/>
      <c r="F782" s="1265"/>
      <c r="G782" s="1265"/>
    </row>
    <row r="783" spans="1:7">
      <c r="A783" s="68"/>
      <c r="B783" s="68"/>
      <c r="C783" s="1148"/>
      <c r="D783" s="2"/>
      <c r="E783" s="2"/>
      <c r="F783" s="2"/>
      <c r="G783" s="2"/>
    </row>
    <row r="784" spans="1:7">
      <c r="A784" s="68"/>
      <c r="B784" s="1233" t="s">
        <v>334</v>
      </c>
      <c r="C784" s="1233"/>
      <c r="D784" s="1233"/>
      <c r="E784" s="1233"/>
      <c r="F784" s="1233"/>
      <c r="G784" s="2"/>
    </row>
    <row r="785" spans="1:7" ht="13">
      <c r="A785" s="1148"/>
      <c r="B785" s="1148"/>
      <c r="C785" s="1148"/>
      <c r="D785" s="1117"/>
      <c r="E785" s="2"/>
      <c r="F785" s="2"/>
      <c r="G785" s="2"/>
    </row>
    <row r="786" spans="1:7" ht="13">
      <c r="A786" s="1265" t="s">
        <v>505</v>
      </c>
      <c r="B786" s="1265"/>
      <c r="C786" s="1265"/>
      <c r="D786" s="1265"/>
      <c r="E786" s="1265"/>
      <c r="F786" s="1265"/>
      <c r="G786" s="1265"/>
    </row>
    <row r="787" spans="1:7">
      <c r="A787" s="68"/>
      <c r="B787" s="68"/>
      <c r="C787" s="1148"/>
      <c r="D787" s="2"/>
      <c r="E787" s="2"/>
      <c r="F787" s="2"/>
      <c r="G787" s="2"/>
    </row>
    <row r="788" spans="1:7">
      <c r="A788" s="68"/>
      <c r="B788" s="1233" t="s">
        <v>334</v>
      </c>
      <c r="C788" s="1233"/>
      <c r="D788" s="1233"/>
      <c r="E788" s="1233"/>
      <c r="F788" s="1233"/>
      <c r="G788" s="2"/>
    </row>
    <row r="789" spans="1:7" ht="13">
      <c r="A789" s="68"/>
      <c r="B789" s="68"/>
      <c r="C789" s="1148"/>
      <c r="D789" s="1117"/>
      <c r="E789" s="2"/>
      <c r="F789" s="2"/>
      <c r="G789" s="2"/>
    </row>
    <row r="790" spans="1:7" ht="13">
      <c r="A790" s="1265" t="s">
        <v>506</v>
      </c>
      <c r="B790" s="1265"/>
      <c r="C790" s="1265"/>
      <c r="D790" s="1265"/>
      <c r="E790" s="1265"/>
      <c r="F790" s="1265"/>
      <c r="G790" s="1265"/>
    </row>
    <row r="791" spans="1:7">
      <c r="A791" s="68"/>
      <c r="B791" s="68"/>
      <c r="C791" s="1148"/>
      <c r="D791" s="2"/>
      <c r="E791" s="2"/>
      <c r="F791" s="2"/>
      <c r="G791" s="2"/>
    </row>
    <row r="792" spans="1:7">
      <c r="A792" s="68"/>
      <c r="B792" s="1233" t="s">
        <v>334</v>
      </c>
      <c r="C792" s="1233"/>
      <c r="D792" s="1233"/>
      <c r="E792" s="1233"/>
      <c r="F792" s="1233"/>
      <c r="G792"/>
    </row>
    <row r="793" spans="1:7" ht="13">
      <c r="A793" s="1125"/>
      <c r="B793" s="1125"/>
      <c r="C793" s="1125"/>
      <c r="D793" s="2"/>
      <c r="E793"/>
      <c r="F793"/>
      <c r="G793"/>
    </row>
    <row r="794" spans="1:7" ht="13">
      <c r="A794" s="99"/>
      <c r="B794" s="99"/>
      <c r="C794" s="98"/>
      <c r="D794" s="1117"/>
      <c r="E794"/>
      <c r="F794"/>
      <c r="G794"/>
    </row>
    <row r="795" spans="1:7" ht="12.75" hidden="1" customHeight="1">
      <c r="A795" s="1148"/>
      <c r="B795" s="1148"/>
      <c r="C795" s="1148"/>
      <c r="D795" s="68"/>
      <c r="E795"/>
      <c r="F795"/>
      <c r="G795"/>
    </row>
    <row r="796" spans="1:7" ht="12.75" hidden="1" customHeight="1">
      <c r="A796" s="1148"/>
      <c r="B796" s="1148"/>
      <c r="C796" s="1148"/>
      <c r="D796" s="2"/>
      <c r="E796"/>
      <c r="F796"/>
      <c r="G796"/>
    </row>
    <row r="797" spans="1:7" ht="12.75" hidden="1" customHeight="1">
      <c r="A797" s="1148"/>
      <c r="B797" s="1148"/>
      <c r="C797" s="1148"/>
      <c r="D797" s="2"/>
      <c r="E797"/>
      <c r="F797"/>
      <c r="G797"/>
    </row>
    <row r="798" spans="1:7" ht="12.75" hidden="1" customHeight="1">
      <c r="A798" s="1148"/>
      <c r="B798" s="1148"/>
      <c r="C798" s="1148"/>
      <c r="D798" s="1"/>
      <c r="E798"/>
      <c r="F798"/>
      <c r="G798"/>
    </row>
    <row r="799" spans="1:7" ht="12.75" hidden="1" customHeight="1">
      <c r="A799" s="1148"/>
      <c r="B799" s="1148"/>
      <c r="C799" s="1148"/>
      <c r="D799" s="1"/>
      <c r="E799"/>
      <c r="F799"/>
      <c r="G799"/>
    </row>
    <row r="800" spans="1:7" ht="12.75" hidden="1" customHeight="1">
      <c r="A800" s="1148"/>
      <c r="B800" s="1148"/>
      <c r="C800" s="1148"/>
      <c r="D800" s="1"/>
      <c r="E800"/>
      <c r="F800"/>
      <c r="G800"/>
    </row>
    <row r="801" spans="1:7" ht="12.75" hidden="1" customHeight="1">
      <c r="A801" s="1148"/>
      <c r="B801" s="1148"/>
      <c r="C801" s="1148"/>
      <c r="D801" s="2"/>
      <c r="E801"/>
      <c r="F801"/>
      <c r="G801"/>
    </row>
    <row r="802" spans="1:7" ht="14.25" hidden="1" customHeight="1">
      <c r="A802" s="99"/>
      <c r="B802" s="99"/>
      <c r="C802" s="1148"/>
      <c r="D802" s="68"/>
      <c r="E802"/>
      <c r="F802"/>
      <c r="G802"/>
    </row>
    <row r="803" spans="1:7" ht="12.75" hidden="1" customHeight="1">
      <c r="A803" s="1148"/>
      <c r="B803" s="1148"/>
      <c r="C803" s="1148"/>
      <c r="D803" s="2"/>
      <c r="E803"/>
      <c r="F803"/>
      <c r="G803"/>
    </row>
    <row r="804" spans="1:7" ht="12.75" hidden="1" customHeight="1">
      <c r="A804" s="1148"/>
      <c r="B804" s="1148"/>
      <c r="C804" s="1148"/>
      <c r="D804" s="2"/>
      <c r="E804"/>
      <c r="F804"/>
      <c r="G804"/>
    </row>
    <row r="805" spans="1:7" ht="12.75" hidden="1" customHeight="1">
      <c r="A805" s="1148"/>
      <c r="B805" s="1148"/>
      <c r="C805" s="1148"/>
      <c r="D805" s="1"/>
      <c r="E805"/>
      <c r="F805"/>
      <c r="G805"/>
    </row>
    <row r="806" spans="1:7" ht="12.75" hidden="1" customHeight="1">
      <c r="A806" s="1148"/>
      <c r="B806" s="1148"/>
      <c r="C806" s="1148"/>
      <c r="D806" s="1"/>
      <c r="E806"/>
      <c r="F806"/>
      <c r="G806"/>
    </row>
    <row r="807" spans="1:7" ht="14.25" hidden="1" customHeight="1">
      <c r="A807" s="99"/>
      <c r="B807" s="99"/>
      <c r="C807" s="1148"/>
      <c r="D807" s="68"/>
      <c r="E807"/>
      <c r="F807"/>
      <c r="G807"/>
    </row>
    <row r="808" spans="1:7" ht="12.75" hidden="1" customHeight="1">
      <c r="A808" s="1148"/>
      <c r="B808" s="1148"/>
      <c r="C808" s="1148"/>
      <c r="D808" s="2"/>
      <c r="E808"/>
      <c r="F808"/>
      <c r="G808"/>
    </row>
    <row r="809" spans="1:7" ht="12.75" hidden="1" customHeight="1">
      <c r="A809" s="1148"/>
      <c r="B809" s="1148"/>
      <c r="C809" s="1148"/>
      <c r="D809" s="2"/>
      <c r="E809"/>
      <c r="F809"/>
      <c r="G809"/>
    </row>
    <row r="810" spans="1:7" ht="14.25" hidden="1" customHeight="1">
      <c r="A810" s="99"/>
      <c r="B810" s="99"/>
      <c r="C810" s="1148"/>
      <c r="D810" s="68"/>
      <c r="E810"/>
      <c r="F810"/>
      <c r="G810"/>
    </row>
    <row r="811" spans="1:7" ht="12.75" hidden="1" customHeight="1">
      <c r="A811" s="1148"/>
      <c r="B811" s="1148"/>
      <c r="C811" s="1148"/>
      <c r="D811" s="2"/>
      <c r="E811"/>
      <c r="F811"/>
      <c r="G811"/>
    </row>
    <row r="812" spans="1:7" ht="14.25" hidden="1" customHeight="1">
      <c r="A812" s="99"/>
      <c r="B812" s="99"/>
      <c r="C812" s="1148"/>
      <c r="D812" s="68"/>
      <c r="E812"/>
      <c r="F812"/>
      <c r="G812"/>
    </row>
    <row r="813" spans="1:7" ht="12.75" hidden="1" customHeight="1">
      <c r="A813" s="1125"/>
      <c r="B813" s="1125"/>
      <c r="C813" s="1125"/>
      <c r="D813" s="2"/>
      <c r="E813"/>
      <c r="F813"/>
      <c r="G813"/>
    </row>
    <row r="814" spans="1:7" ht="12.75" hidden="1" customHeight="1">
      <c r="A814" s="1148"/>
      <c r="B814" s="1148"/>
      <c r="C814" s="1148"/>
      <c r="D814" s="2"/>
      <c r="E814"/>
      <c r="F814"/>
      <c r="G814"/>
    </row>
    <row r="815" spans="1:7" ht="12.75" hidden="1" customHeight="1">
      <c r="A815" s="1148"/>
      <c r="B815" s="1148"/>
      <c r="C815" s="1148"/>
      <c r="D815" s="2"/>
      <c r="E815"/>
      <c r="F815"/>
      <c r="G815"/>
    </row>
    <row r="816" spans="1:7" ht="12.75" hidden="1" customHeight="1">
      <c r="A816" s="1148"/>
      <c r="B816" s="1148"/>
      <c r="C816" s="1148"/>
      <c r="D816" s="2"/>
      <c r="E816"/>
      <c r="F816"/>
      <c r="G816"/>
    </row>
    <row r="817" spans="1:7" ht="12.75" hidden="1" customHeight="1">
      <c r="A817" s="1148"/>
      <c r="B817" s="1148"/>
      <c r="C817" s="1148"/>
      <c r="D817" s="2"/>
      <c r="E817"/>
      <c r="F817"/>
      <c r="G817"/>
    </row>
    <row r="818" spans="1:7" ht="12.75" hidden="1" customHeight="1">
      <c r="A818" s="1148"/>
      <c r="B818" s="1148"/>
      <c r="C818" s="1148"/>
      <c r="D818" s="2"/>
      <c r="E818"/>
      <c r="F818"/>
      <c r="G818"/>
    </row>
    <row r="819" spans="1:7" ht="12.75" hidden="1" customHeight="1">
      <c r="A819" s="1148"/>
      <c r="B819" s="1148"/>
      <c r="C819" s="1148"/>
      <c r="D819" s="2"/>
      <c r="E819"/>
      <c r="F819"/>
      <c r="G819"/>
    </row>
    <row r="820" spans="1:7" ht="12.75" hidden="1" customHeight="1">
      <c r="A820" s="1148"/>
      <c r="B820" s="1148"/>
      <c r="C820" s="1148"/>
      <c r="D820" s="2"/>
      <c r="E820"/>
      <c r="F820"/>
      <c r="G820"/>
    </row>
    <row r="821" spans="1:7" ht="12.75" hidden="1" customHeight="1">
      <c r="A821" s="1148"/>
      <c r="B821" s="1148"/>
      <c r="C821" s="1148"/>
      <c r="D821" s="2"/>
      <c r="E821"/>
      <c r="F821"/>
      <c r="G821"/>
    </row>
    <row r="822" spans="1:7" ht="12.75" hidden="1" customHeight="1">
      <c r="A822" s="1148"/>
      <c r="B822" s="1148"/>
      <c r="C822" s="1148"/>
      <c r="D822" s="2"/>
      <c r="E822"/>
      <c r="F822"/>
      <c r="G822"/>
    </row>
    <row r="823" spans="1:7" ht="12.75" hidden="1" customHeight="1">
      <c r="A823" s="1148"/>
      <c r="B823" s="1148"/>
      <c r="C823" s="1148"/>
      <c r="D823" s="2"/>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3"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65" customHeight="1" zeroHeight="1"/>
  <cols>
    <col min="1" max="10" width="10.7265625" style="291" customWidth="1"/>
    <col min="11" max="16384" width="8.81640625" style="291" hidden="1"/>
  </cols>
  <sheetData>
    <row r="1" spans="1:10" ht="14.25" customHeight="1"/>
    <row r="2" spans="1:10" ht="15.5">
      <c r="A2" s="1271" t="s">
        <v>507</v>
      </c>
      <c r="B2" s="1272"/>
      <c r="C2" s="1272"/>
      <c r="D2" s="1272"/>
      <c r="E2" s="1272"/>
      <c r="F2" s="1272"/>
      <c r="G2" s="1272"/>
      <c r="H2" s="1272"/>
      <c r="I2" s="1272"/>
      <c r="J2" s="1272"/>
    </row>
    <row r="3" spans="1:10" ht="15.5">
      <c r="A3" s="1275" t="s">
        <v>508</v>
      </c>
      <c r="B3" s="1276"/>
      <c r="C3" s="1276"/>
      <c r="D3" s="1276"/>
      <c r="E3" s="1276"/>
      <c r="F3" s="1276"/>
      <c r="G3" s="1276"/>
      <c r="H3" s="1276"/>
      <c r="I3" s="1276"/>
      <c r="J3" s="1276"/>
    </row>
    <row r="4" spans="1:10" ht="12.5"/>
    <row r="5" spans="1:10" ht="12.75" customHeight="1">
      <c r="A5" s="1273" t="s">
        <v>509</v>
      </c>
      <c r="B5" s="1273"/>
      <c r="C5" s="1273"/>
      <c r="D5" s="1273"/>
      <c r="E5" s="1273"/>
      <c r="F5" s="1273"/>
      <c r="G5" s="1273"/>
      <c r="H5" s="1273"/>
      <c r="I5" s="1273"/>
      <c r="J5" s="1273"/>
    </row>
    <row r="6" spans="1:10" ht="12.5">
      <c r="A6" s="1273"/>
      <c r="B6" s="1273"/>
      <c r="C6" s="1273"/>
      <c r="D6" s="1273"/>
      <c r="E6" s="1273"/>
      <c r="F6" s="1273"/>
      <c r="G6" s="1273"/>
      <c r="H6" s="1273"/>
      <c r="I6" s="1273"/>
      <c r="J6" s="1273"/>
    </row>
    <row r="7" spans="1:10" ht="30" customHeight="1">
      <c r="A7" s="1273"/>
      <c r="B7" s="1273"/>
      <c r="C7" s="1273"/>
      <c r="D7" s="1273"/>
      <c r="E7" s="1273"/>
      <c r="F7" s="1273"/>
      <c r="G7" s="1273"/>
      <c r="H7" s="1273"/>
      <c r="I7" s="1273"/>
      <c r="J7" s="1273"/>
    </row>
    <row r="8" spans="1:10" ht="12.5">
      <c r="A8" s="1134"/>
      <c r="B8" s="1134"/>
      <c r="C8" s="1134"/>
      <c r="D8" s="1134"/>
      <c r="E8" s="1134"/>
      <c r="F8" s="1134"/>
      <c r="G8" s="1134"/>
      <c r="H8" s="1134"/>
      <c r="I8" s="1134"/>
      <c r="J8" s="1134"/>
    </row>
    <row r="9" spans="1:10" ht="12.75" customHeight="1">
      <c r="A9" s="291" t="s">
        <v>510</v>
      </c>
      <c r="B9" s="1134"/>
      <c r="C9" s="1134"/>
      <c r="D9" s="1134"/>
      <c r="E9" s="1134"/>
      <c r="F9" s="1134"/>
      <c r="G9" s="1134"/>
      <c r="H9" s="1134"/>
      <c r="I9" s="1134"/>
      <c r="J9" s="1134"/>
    </row>
    <row r="10" spans="1:10" ht="12.5"/>
    <row r="11" spans="1:10" ht="12.75" customHeight="1">
      <c r="A11" s="1277" t="s">
        <v>511</v>
      </c>
      <c r="B11" s="1277"/>
      <c r="C11" s="1277"/>
      <c r="D11" s="1277"/>
      <c r="E11" s="1277"/>
      <c r="F11" s="1277"/>
      <c r="G11" s="1277"/>
      <c r="H11" s="1277"/>
      <c r="I11" s="1277"/>
      <c r="J11" s="1277"/>
    </row>
    <row r="12" spans="1:10" ht="12.5">
      <c r="A12" s="1277"/>
      <c r="B12" s="1277"/>
      <c r="C12" s="1277"/>
      <c r="D12" s="1277"/>
      <c r="E12" s="1277"/>
      <c r="F12" s="1277"/>
      <c r="G12" s="1277"/>
      <c r="H12" s="1277"/>
      <c r="I12" s="1277"/>
      <c r="J12" s="1277"/>
    </row>
    <row r="13" spans="1:10" ht="12.5">
      <c r="A13" s="1277"/>
      <c r="B13" s="1277"/>
      <c r="C13" s="1277"/>
      <c r="D13" s="1277"/>
      <c r="E13" s="1277"/>
      <c r="F13" s="1277"/>
      <c r="G13" s="1277"/>
      <c r="H13" s="1277"/>
      <c r="I13" s="1277"/>
      <c r="J13" s="1277"/>
    </row>
    <row r="14" spans="1:10" ht="12.5">
      <c r="A14" s="1277"/>
      <c r="B14" s="1277"/>
      <c r="C14" s="1277"/>
      <c r="D14" s="1277"/>
      <c r="E14" s="1277"/>
      <c r="F14" s="1277"/>
      <c r="G14" s="1277"/>
      <c r="H14" s="1277"/>
      <c r="I14" s="1277"/>
      <c r="J14" s="1277"/>
    </row>
    <row r="15" spans="1:10" ht="12.5">
      <c r="A15" s="1277"/>
      <c r="B15" s="1277"/>
      <c r="C15" s="1277"/>
      <c r="D15" s="1277"/>
      <c r="E15" s="1277"/>
      <c r="F15" s="1277"/>
      <c r="G15" s="1277"/>
      <c r="H15" s="1277"/>
      <c r="I15" s="1277"/>
      <c r="J15" s="1277"/>
    </row>
    <row r="16" spans="1:10" ht="12.5">
      <c r="A16" s="1277"/>
      <c r="B16" s="1277"/>
      <c r="C16" s="1277"/>
      <c r="D16" s="1277"/>
      <c r="E16" s="1277"/>
      <c r="F16" s="1277"/>
      <c r="G16" s="1277"/>
      <c r="H16" s="1277"/>
      <c r="I16" s="1277"/>
      <c r="J16" s="1277"/>
    </row>
    <row r="17" spans="1:10" ht="12.5">
      <c r="A17" s="1135"/>
      <c r="B17" s="1135"/>
      <c r="C17" s="1135"/>
      <c r="D17" s="1135"/>
      <c r="E17" s="1135"/>
      <c r="F17" s="1135"/>
      <c r="G17" s="1135"/>
      <c r="H17" s="1135"/>
      <c r="I17" s="1135"/>
      <c r="J17" s="1135"/>
    </row>
    <row r="18" spans="1:10" ht="12.5">
      <c r="A18" s="352" t="s">
        <v>512</v>
      </c>
      <c r="B18" s="1134"/>
      <c r="C18" s="1134"/>
      <c r="D18" s="1134"/>
      <c r="E18" s="1134"/>
      <c r="F18" s="1134"/>
      <c r="G18" s="1134"/>
      <c r="H18" s="1134"/>
      <c r="I18" s="1134"/>
      <c r="J18" s="1134"/>
    </row>
    <row r="19" spans="1:10" ht="12.5">
      <c r="A19" s="1134" t="s">
        <v>253</v>
      </c>
      <c r="B19" s="1134"/>
      <c r="C19" s="1134"/>
      <c r="D19" s="1134"/>
      <c r="E19" s="1134"/>
      <c r="F19" s="1134"/>
      <c r="G19" s="1134"/>
      <c r="H19" s="1134"/>
      <c r="I19" s="1134"/>
      <c r="J19" s="1134"/>
    </row>
    <row r="20" spans="1:10" ht="12.5">
      <c r="A20" s="1276" t="s">
        <v>513</v>
      </c>
      <c r="B20" s="1276"/>
      <c r="C20" s="1276"/>
      <c r="D20" s="1276"/>
      <c r="E20" s="1276"/>
    </row>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row r="57" spans="1:10" ht="12.5">
      <c r="A57" s="1273" t="s">
        <v>514</v>
      </c>
      <c r="B57" s="1273"/>
      <c r="C57" s="1273"/>
      <c r="D57" s="1273"/>
      <c r="E57" s="1273"/>
      <c r="F57" s="1273"/>
      <c r="G57" s="1273"/>
      <c r="H57" s="1273"/>
      <c r="I57" s="1273"/>
      <c r="J57" s="1273"/>
    </row>
    <row r="58" spans="1:10" ht="12.5">
      <c r="A58" s="1273"/>
      <c r="B58" s="1273"/>
      <c r="C58" s="1273"/>
      <c r="D58" s="1273"/>
      <c r="E58" s="1273"/>
      <c r="F58" s="1273"/>
      <c r="G58" s="1273"/>
      <c r="H58" s="1273"/>
      <c r="I58" s="1273"/>
      <c r="J58" s="1273"/>
    </row>
    <row r="59" spans="1:10" ht="12.5">
      <c r="A59" s="1273"/>
      <c r="B59" s="1273"/>
      <c r="C59" s="1273"/>
      <c r="D59" s="1273"/>
      <c r="E59" s="1273"/>
      <c r="F59" s="1273"/>
      <c r="G59" s="1273"/>
      <c r="H59" s="1273"/>
      <c r="I59" s="1273"/>
      <c r="J59" s="1273"/>
    </row>
    <row r="60" spans="1:10" ht="12.5"/>
    <row r="61" spans="1:10" ht="12.5">
      <c r="A61" s="291" t="s">
        <v>513</v>
      </c>
    </row>
    <row r="62" spans="1:10" ht="12.5"/>
    <row r="63" spans="1:10" ht="12.5"/>
    <row r="64" spans="1:10" ht="12.5"/>
    <row r="65" spans="1:9" ht="12.5"/>
    <row r="66" spans="1:9" ht="12.5"/>
    <row r="67" spans="1:9" ht="12.5"/>
    <row r="68" spans="1:9" ht="12.5"/>
    <row r="69" spans="1:9" ht="12.5"/>
    <row r="70" spans="1:9" ht="12.5"/>
    <row r="71" spans="1:9" ht="12.5"/>
    <row r="72" spans="1:9" ht="13">
      <c r="A72" s="1274" t="s">
        <v>515</v>
      </c>
      <c r="B72" s="1274"/>
      <c r="C72" s="1274"/>
      <c r="D72" s="1274"/>
      <c r="E72" s="1274"/>
      <c r="F72" s="1274"/>
      <c r="G72" s="1274"/>
      <c r="H72" s="1274"/>
      <c r="I72" s="1274"/>
    </row>
    <row r="73" spans="1:9" ht="12.5">
      <c r="A73" s="1228" t="s">
        <v>13</v>
      </c>
      <c r="B73" s="1228"/>
      <c r="C73" s="1228"/>
      <c r="D73" s="1228"/>
      <c r="E73" s="1228"/>
    </row>
    <row r="74" spans="1:9" ht="12.5">
      <c r="A74" s="1228" t="s">
        <v>14</v>
      </c>
      <c r="B74" s="1228"/>
      <c r="C74" s="1228"/>
      <c r="D74" s="1228"/>
      <c r="E74" s="1228"/>
    </row>
    <row r="75" spans="1:9" ht="12.5">
      <c r="A75" s="1228" t="s">
        <v>516</v>
      </c>
      <c r="B75" s="1228"/>
      <c r="C75" s="1228"/>
      <c r="D75" s="1228"/>
      <c r="E75" s="1228"/>
    </row>
    <row r="76" spans="1:9" ht="12.5"/>
    <row r="77" spans="1:9" ht="12.5"/>
    <row r="78" spans="1:9" ht="12.5"/>
    <row r="79" spans="1:9" ht="12.65" customHeight="1"/>
    <row r="80" spans="1:9" ht="12.65" customHeight="1"/>
    <row r="81" ht="12.65" customHeight="1"/>
    <row r="82" ht="12.65" customHeight="1"/>
    <row r="83" ht="12.65" customHeight="1"/>
    <row r="84" ht="12.65" customHeight="1"/>
    <row r="85" ht="12.6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101600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478" workbookViewId="0">
      <selection activeCell="B245" sqref="B245"/>
    </sheetView>
  </sheetViews>
  <sheetFormatPr defaultColWidth="0" defaultRowHeight="13" zeroHeight="1"/>
  <cols>
    <col min="1" max="1" width="3.453125" style="355" customWidth="1"/>
    <col min="2" max="2" width="13.453125" style="355" customWidth="1"/>
    <col min="3" max="3" width="2.453125" style="355" customWidth="1"/>
    <col min="4" max="5" width="3.453125" style="291" customWidth="1"/>
    <col min="6" max="6" width="65.453125" style="291" customWidth="1"/>
    <col min="7" max="7" width="1.453125" style="291" customWidth="1"/>
    <col min="8" max="8" width="3.453125" style="291" customWidth="1"/>
    <col min="9" max="9" width="24.453125" style="293" customWidth="1"/>
    <col min="10" max="10" width="8.81640625" style="291" customWidth="1"/>
    <col min="11" max="16384" width="8.81640625" style="291" hidden="1"/>
  </cols>
  <sheetData>
    <row r="1" spans="1:13"/>
    <row r="2" spans="1:13">
      <c r="A2" s="1303" t="s">
        <v>517</v>
      </c>
      <c r="B2" s="1303"/>
      <c r="C2" s="1303"/>
      <c r="D2" s="1303"/>
      <c r="E2" s="1303"/>
      <c r="F2" s="1303"/>
      <c r="G2" s="1303"/>
      <c r="H2" s="1303"/>
      <c r="I2" s="1303"/>
    </row>
    <row r="3" spans="1:13">
      <c r="A3" s="1291" t="s">
        <v>518</v>
      </c>
      <c r="B3" s="1291"/>
      <c r="C3" s="1291"/>
      <c r="D3" s="1291"/>
      <c r="E3" s="1291"/>
      <c r="F3" s="1291"/>
      <c r="G3" s="1291"/>
      <c r="H3" s="1291"/>
      <c r="I3" s="1291"/>
    </row>
    <row r="4" spans="1:13">
      <c r="A4" s="1291"/>
      <c r="B4" s="1291"/>
      <c r="C4" s="1276"/>
      <c r="D4" s="1276"/>
      <c r="E4" s="1276"/>
      <c r="F4" s="1276"/>
      <c r="G4" s="1276"/>
    </row>
    <row r="5" spans="1:13">
      <c r="A5" s="1291"/>
      <c r="B5" s="1291"/>
      <c r="C5" s="1276"/>
      <c r="D5" s="1276"/>
      <c r="E5" s="1276"/>
      <c r="F5" s="1276"/>
      <c r="G5" s="1276"/>
    </row>
    <row r="6" spans="1:13" ht="12.75" customHeight="1">
      <c r="A6" s="1294" t="s">
        <v>519</v>
      </c>
      <c r="B6" s="1294"/>
      <c r="C6" s="1294"/>
      <c r="D6" s="1294"/>
      <c r="E6" s="1294"/>
      <c r="F6" s="1294"/>
      <c r="G6" s="1294"/>
      <c r="I6" s="1142" t="s">
        <v>520</v>
      </c>
    </row>
    <row r="7" spans="1:13">
      <c r="A7" s="1294"/>
      <c r="B7" s="1294"/>
      <c r="C7" s="1294"/>
      <c r="D7" s="1294"/>
      <c r="E7" s="1294"/>
      <c r="F7" s="1294"/>
      <c r="G7" s="1294"/>
      <c r="I7" s="1142" t="s">
        <v>521</v>
      </c>
    </row>
    <row r="8" spans="1:13">
      <c r="A8" s="1119"/>
      <c r="B8" s="1119"/>
      <c r="C8" s="1145"/>
      <c r="D8" s="1145"/>
      <c r="E8" s="1145"/>
      <c r="F8" s="1145"/>
    </row>
    <row r="9" spans="1:13">
      <c r="A9" s="1237" t="s">
        <v>302</v>
      </c>
      <c r="B9" s="1237"/>
      <c r="C9" s="1237"/>
      <c r="D9" s="1237"/>
      <c r="E9" s="1237"/>
      <c r="F9" s="1237"/>
      <c r="G9" s="1237"/>
      <c r="H9" s="836"/>
      <c r="I9" s="837"/>
    </row>
    <row r="10" spans="1:13">
      <c r="A10" s="1145"/>
      <c r="B10" s="1145"/>
      <c r="E10" s="293"/>
    </row>
    <row r="11" spans="1:13" ht="13.75" customHeight="1">
      <c r="C11" s="1145"/>
      <c r="D11" s="1293" t="s">
        <v>303</v>
      </c>
      <c r="E11" s="1293"/>
      <c r="F11" s="1293"/>
    </row>
    <row r="12" spans="1:13">
      <c r="C12" s="1145"/>
      <c r="D12" s="1293"/>
      <c r="E12" s="1293"/>
      <c r="F12" s="1293"/>
    </row>
    <row r="13" spans="1:13">
      <c r="A13" s="356"/>
      <c r="B13" s="356"/>
      <c r="C13" s="356"/>
      <c r="D13" s="1249" t="s">
        <v>304</v>
      </c>
      <c r="E13" s="1249"/>
      <c r="F13" s="1249"/>
      <c r="M13" s="55"/>
    </row>
    <row r="14" spans="1:13">
      <c r="A14" s="356"/>
      <c r="B14" s="356"/>
      <c r="C14" s="356"/>
      <c r="D14" s="352"/>
      <c r="L14" s="1143"/>
    </row>
    <row r="15" spans="1:13">
      <c r="A15" s="357"/>
      <c r="B15" s="358" t="s">
        <v>522</v>
      </c>
      <c r="C15" s="356"/>
      <c r="D15" s="1248" t="s">
        <v>523</v>
      </c>
      <c r="E15" s="1248"/>
      <c r="F15" s="1248"/>
      <c r="I15" s="1142" t="s">
        <v>524</v>
      </c>
    </row>
    <row r="16" spans="1:13">
      <c r="A16" s="356"/>
      <c r="B16" s="356"/>
      <c r="C16" s="356"/>
      <c r="D16" s="1248"/>
      <c r="E16" s="1248"/>
      <c r="F16" s="1248"/>
      <c r="I16" s="1142"/>
    </row>
    <row r="17" spans="1:9">
      <c r="A17" s="356"/>
      <c r="B17" s="356"/>
      <c r="C17" s="356"/>
      <c r="D17" s="1248"/>
      <c r="E17" s="1248"/>
      <c r="F17" s="1248"/>
      <c r="I17" s="1142"/>
    </row>
    <row r="18" spans="1:9">
      <c r="A18" s="356"/>
      <c r="B18" s="356"/>
      <c r="C18" s="356"/>
      <c r="D18" s="1120"/>
      <c r="E18" s="1143" t="s">
        <v>525</v>
      </c>
      <c r="F18" s="1120"/>
      <c r="I18" s="1142"/>
    </row>
    <row r="19" spans="1:9">
      <c r="A19" s="356"/>
      <c r="B19" s="356"/>
      <c r="C19" s="356"/>
      <c r="I19" s="1142"/>
    </row>
    <row r="20" spans="1:9">
      <c r="A20" s="357"/>
      <c r="B20" s="358" t="s">
        <v>522</v>
      </c>
      <c r="D20" s="1248" t="s">
        <v>526</v>
      </c>
      <c r="E20" s="1248"/>
      <c r="F20" s="1248"/>
      <c r="I20" s="1142" t="s">
        <v>527</v>
      </c>
    </row>
    <row r="21" spans="1:9">
      <c r="A21" s="357"/>
      <c r="D21" s="1248"/>
      <c r="E21" s="1248"/>
      <c r="F21" s="1248"/>
      <c r="I21" s="1142"/>
    </row>
    <row r="22" spans="1:9">
      <c r="A22" s="357"/>
      <c r="D22" s="1122"/>
      <c r="E22" s="55" t="s">
        <v>528</v>
      </c>
      <c r="F22" s="1122"/>
      <c r="I22" s="1142"/>
    </row>
    <row r="23" spans="1:9">
      <c r="A23" s="357"/>
      <c r="B23" s="357"/>
      <c r="D23" s="1121"/>
      <c r="I23" s="1142"/>
    </row>
    <row r="24" spans="1:9">
      <c r="A24" s="357"/>
      <c r="B24" s="358" t="s">
        <v>529</v>
      </c>
      <c r="D24" s="1248" t="s">
        <v>307</v>
      </c>
      <c r="E24" s="1248"/>
      <c r="F24" s="1248"/>
      <c r="I24" s="1142" t="s">
        <v>527</v>
      </c>
    </row>
    <row r="25" spans="1:9">
      <c r="A25" s="357"/>
      <c r="B25" s="357"/>
      <c r="D25" s="1248"/>
      <c r="E25" s="1248"/>
      <c r="F25" s="1248"/>
      <c r="I25" s="1142"/>
    </row>
    <row r="26" spans="1:9">
      <c r="I26" s="1142"/>
    </row>
    <row r="27" spans="1:9">
      <c r="A27" s="357"/>
      <c r="B27" s="358" t="s">
        <v>522</v>
      </c>
      <c r="D27" s="1248" t="s">
        <v>530</v>
      </c>
      <c r="E27" s="1248"/>
      <c r="F27" s="1248"/>
      <c r="I27" s="1142" t="s">
        <v>531</v>
      </c>
    </row>
    <row r="28" spans="1:9">
      <c r="D28" s="1248"/>
      <c r="E28" s="1248"/>
      <c r="F28" s="1248"/>
      <c r="I28" s="1142"/>
    </row>
    <row r="29" spans="1:9">
      <c r="D29" s="1248"/>
      <c r="E29" s="1248"/>
      <c r="F29" s="1248"/>
      <c r="I29" s="1142"/>
    </row>
    <row r="30" spans="1:9">
      <c r="D30" s="1248"/>
      <c r="E30" s="1248"/>
      <c r="F30" s="1248"/>
      <c r="I30" s="1142"/>
    </row>
    <row r="31" spans="1:9">
      <c r="D31" s="1248"/>
      <c r="E31" s="1248"/>
      <c r="F31" s="1248"/>
      <c r="I31" s="1142"/>
    </row>
    <row r="32" spans="1:9">
      <c r="D32" s="1115"/>
      <c r="I32" s="1142"/>
    </row>
    <row r="33" spans="1:9">
      <c r="B33" s="358" t="s">
        <v>529</v>
      </c>
      <c r="D33" s="1248" t="s">
        <v>532</v>
      </c>
      <c r="E33" s="1248"/>
      <c r="F33" s="1248"/>
      <c r="I33" s="1142" t="s">
        <v>524</v>
      </c>
    </row>
    <row r="34" spans="1:9">
      <c r="D34" s="1248"/>
      <c r="E34" s="1248"/>
      <c r="F34" s="1248"/>
      <c r="I34" s="1142"/>
    </row>
    <row r="35" spans="1:9">
      <c r="A35" s="357"/>
      <c r="B35" s="357"/>
      <c r="D35" s="1115"/>
      <c r="I35" s="1142"/>
    </row>
    <row r="36" spans="1:9" ht="14.5" customHeight="1">
      <c r="A36" s="357"/>
      <c r="B36" s="358" t="s">
        <v>529</v>
      </c>
      <c r="D36" s="1248" t="s">
        <v>533</v>
      </c>
      <c r="E36" s="1248"/>
      <c r="F36" s="1248"/>
      <c r="I36" s="1142" t="s">
        <v>534</v>
      </c>
    </row>
    <row r="37" spans="1:9">
      <c r="A37" s="357"/>
      <c r="B37" s="357"/>
      <c r="D37" s="1248"/>
      <c r="E37" s="1248"/>
      <c r="F37" s="1248"/>
      <c r="I37" s="1142"/>
    </row>
    <row r="38" spans="1:9">
      <c r="A38" s="357"/>
      <c r="B38" s="357"/>
      <c r="D38" s="1248"/>
      <c r="E38" s="1248"/>
      <c r="F38" s="1248"/>
      <c r="I38" s="1142"/>
    </row>
    <row r="39" spans="1:9">
      <c r="A39" s="357"/>
      <c r="B39" s="357"/>
      <c r="D39" s="1248"/>
      <c r="E39" s="1248"/>
      <c r="F39" s="1248"/>
      <c r="I39" s="1142"/>
    </row>
    <row r="40" spans="1:9">
      <c r="A40" s="357"/>
      <c r="B40" s="357"/>
      <c r="I40" s="1142"/>
    </row>
    <row r="41" spans="1:9">
      <c r="A41" s="357"/>
      <c r="B41" s="358" t="s">
        <v>529</v>
      </c>
      <c r="D41" s="1248" t="s">
        <v>311</v>
      </c>
      <c r="E41" s="1248"/>
      <c r="F41" s="1248"/>
      <c r="I41" s="1142"/>
    </row>
    <row r="42" spans="1:9">
      <c r="A42" s="357"/>
      <c r="B42" s="357"/>
      <c r="D42" s="1248"/>
      <c r="E42" s="1248"/>
      <c r="F42" s="1248"/>
      <c r="I42" s="1142"/>
    </row>
    <row r="43" spans="1:9">
      <c r="A43" s="357"/>
      <c r="B43" s="357"/>
      <c r="D43" s="1248"/>
      <c r="E43" s="1248"/>
      <c r="F43" s="1248"/>
      <c r="I43" s="1142"/>
    </row>
    <row r="44" spans="1:9">
      <c r="A44" s="357"/>
      <c r="B44" s="357"/>
      <c r="D44" s="1248"/>
      <c r="E44" s="1248"/>
      <c r="F44" s="1248"/>
      <c r="I44" s="1142"/>
    </row>
    <row r="45" spans="1:9">
      <c r="A45" s="357"/>
      <c r="B45" s="357"/>
      <c r="D45" s="1248"/>
      <c r="E45" s="1248"/>
      <c r="F45" s="1248"/>
      <c r="I45" s="1142"/>
    </row>
    <row r="46" spans="1:9">
      <c r="A46" s="357"/>
      <c r="B46" s="357"/>
      <c r="D46" s="1120"/>
      <c r="E46" s="1120"/>
      <c r="F46" s="1120"/>
      <c r="I46" s="1142"/>
    </row>
    <row r="47" spans="1:9">
      <c r="A47" s="357"/>
      <c r="B47" s="358" t="s">
        <v>529</v>
      </c>
      <c r="D47" s="1248" t="s">
        <v>312</v>
      </c>
      <c r="E47" s="1248"/>
      <c r="F47" s="1248"/>
      <c r="I47" s="1142" t="s">
        <v>534</v>
      </c>
    </row>
    <row r="48" spans="1:9">
      <c r="A48" s="357"/>
      <c r="B48" s="357"/>
      <c r="D48" s="1248"/>
      <c r="E48" s="1248"/>
      <c r="F48" s="1248"/>
      <c r="I48" s="1142"/>
    </row>
    <row r="49" spans="1:9">
      <c r="A49" s="357"/>
      <c r="B49" s="357"/>
      <c r="D49" s="1248"/>
      <c r="E49" s="1248"/>
      <c r="F49" s="1248"/>
      <c r="I49" s="1142"/>
    </row>
    <row r="50" spans="1:9" ht="23.25" customHeight="1">
      <c r="A50" s="357"/>
      <c r="B50" s="357"/>
      <c r="D50" s="1248"/>
      <c r="E50" s="1248"/>
      <c r="F50" s="1248"/>
      <c r="I50" s="1142"/>
    </row>
    <row r="51" spans="1:9">
      <c r="A51" s="357"/>
      <c r="B51" s="357"/>
      <c r="D51" s="1121"/>
      <c r="I51" s="1142"/>
    </row>
    <row r="52" spans="1:9" ht="14.5" customHeight="1">
      <c r="A52" s="357"/>
      <c r="B52" s="358" t="s">
        <v>529</v>
      </c>
      <c r="D52" s="1248" t="s">
        <v>313</v>
      </c>
      <c r="E52" s="1248"/>
      <c r="F52" s="1248"/>
      <c r="I52" s="1142" t="s">
        <v>534</v>
      </c>
    </row>
    <row r="53" spans="1:9">
      <c r="A53" s="357"/>
      <c r="B53" s="357"/>
      <c r="D53" s="1248"/>
      <c r="E53" s="1248"/>
      <c r="F53" s="1248"/>
      <c r="I53" s="1142"/>
    </row>
    <row r="54" spans="1:9">
      <c r="A54" s="357"/>
      <c r="B54" s="357"/>
      <c r="D54" s="1248"/>
      <c r="E54" s="1248"/>
      <c r="F54" s="1248"/>
      <c r="I54" s="1142"/>
    </row>
    <row r="55" spans="1:9">
      <c r="A55" s="357"/>
      <c r="B55" s="357"/>
      <c r="I55" s="1142"/>
    </row>
    <row r="56" spans="1:9">
      <c r="A56" s="357"/>
      <c r="B56" s="358" t="s">
        <v>522</v>
      </c>
      <c r="D56" s="1296" t="s">
        <v>314</v>
      </c>
      <c r="E56" s="1296"/>
      <c r="F56" s="1296"/>
      <c r="I56" s="1142"/>
    </row>
    <row r="57" spans="1:9">
      <c r="A57" s="357"/>
      <c r="B57" s="357"/>
      <c r="D57" s="1296"/>
      <c r="E57" s="1296"/>
      <c r="F57" s="1296"/>
      <c r="I57" s="1142"/>
    </row>
    <row r="58" spans="1:9">
      <c r="A58" s="357"/>
      <c r="B58" s="357"/>
      <c r="D58" s="1122" t="s">
        <v>535</v>
      </c>
      <c r="E58" s="1120"/>
      <c r="F58" s="1120"/>
      <c r="I58" s="1142"/>
    </row>
    <row r="59" spans="1:9">
      <c r="A59" s="357"/>
      <c r="B59" s="357"/>
      <c r="D59" s="1120"/>
      <c r="E59" s="1143" t="s">
        <v>525</v>
      </c>
      <c r="F59" s="1120"/>
      <c r="I59" s="1142"/>
    </row>
    <row r="60" spans="1:9">
      <c r="D60" s="1115"/>
      <c r="I60" s="1142"/>
    </row>
    <row r="61" spans="1:9">
      <c r="A61" s="357"/>
      <c r="B61" s="358" t="s">
        <v>529</v>
      </c>
      <c r="D61" s="1248" t="s">
        <v>315</v>
      </c>
      <c r="E61" s="1248"/>
      <c r="F61" s="1248"/>
      <c r="I61" s="1142" t="s">
        <v>536</v>
      </c>
    </row>
    <row r="62" spans="1:9">
      <c r="D62" s="1248"/>
      <c r="E62" s="1248"/>
      <c r="F62" s="1248"/>
      <c r="I62" s="1142"/>
    </row>
    <row r="63" spans="1:9">
      <c r="D63" s="1248"/>
      <c r="E63" s="1248"/>
      <c r="F63" s="1248"/>
      <c r="I63" s="1142"/>
    </row>
    <row r="64" spans="1:9">
      <c r="I64" s="1142"/>
    </row>
    <row r="65" spans="1:9">
      <c r="A65" s="357"/>
      <c r="B65" s="358" t="s">
        <v>529</v>
      </c>
      <c r="D65" s="1248" t="s">
        <v>316</v>
      </c>
      <c r="E65" s="1248"/>
      <c r="F65" s="1248"/>
      <c r="I65" s="1142" t="s">
        <v>537</v>
      </c>
    </row>
    <row r="66" spans="1:9">
      <c r="D66" s="1248"/>
      <c r="E66" s="1248"/>
      <c r="F66" s="1248"/>
      <c r="I66" s="1142"/>
    </row>
    <row r="67" spans="1:9">
      <c r="I67" s="1142"/>
    </row>
    <row r="68" spans="1:9">
      <c r="A68" s="357"/>
      <c r="B68" s="358" t="s">
        <v>522</v>
      </c>
      <c r="D68" s="1248" t="s">
        <v>317</v>
      </c>
      <c r="E68" s="1248"/>
      <c r="F68" s="1248"/>
      <c r="I68" s="1142"/>
    </row>
    <row r="69" spans="1:9">
      <c r="D69" s="1248"/>
      <c r="E69" s="1248"/>
      <c r="F69" s="1248"/>
      <c r="I69" s="1142" t="s">
        <v>531</v>
      </c>
    </row>
    <row r="70" spans="1:9">
      <c r="D70" s="1248"/>
      <c r="E70" s="1248"/>
      <c r="F70" s="1248"/>
      <c r="I70" s="1142"/>
    </row>
    <row r="71" spans="1:9">
      <c r="I71" s="1142"/>
    </row>
    <row r="72" spans="1:9">
      <c r="A72" s="357"/>
      <c r="B72" s="358" t="s">
        <v>522</v>
      </c>
      <c r="D72" s="1248" t="s">
        <v>318</v>
      </c>
      <c r="E72" s="1248"/>
      <c r="F72" s="1248"/>
      <c r="I72" s="1142" t="s">
        <v>531</v>
      </c>
    </row>
    <row r="73" spans="1:9">
      <c r="D73" s="1248"/>
      <c r="E73" s="1248"/>
      <c r="F73" s="1248"/>
      <c r="I73" s="1142"/>
    </row>
    <row r="74" spans="1:9">
      <c r="A74" s="357"/>
      <c r="B74" s="357"/>
      <c r="D74" s="1121"/>
      <c r="I74" s="1142"/>
    </row>
    <row r="75" spans="1:9">
      <c r="A75" s="1237" t="s">
        <v>319</v>
      </c>
      <c r="B75" s="1237"/>
      <c r="C75" s="1237"/>
      <c r="D75" s="1237"/>
      <c r="E75" s="1237"/>
      <c r="F75" s="1237"/>
      <c r="G75" s="1237"/>
      <c r="H75" s="836"/>
      <c r="I75" s="1021"/>
    </row>
    <row r="76" spans="1:9">
      <c r="I76" s="1142"/>
    </row>
    <row r="77" spans="1:9">
      <c r="C77" s="359"/>
      <c r="D77" s="1250" t="s">
        <v>320</v>
      </c>
      <c r="E77" s="1250"/>
      <c r="F77" s="1250"/>
      <c r="I77" s="1142"/>
    </row>
    <row r="78" spans="1:9">
      <c r="A78" s="1121"/>
      <c r="B78" s="1121"/>
      <c r="D78" s="1248" t="s">
        <v>321</v>
      </c>
      <c r="E78" s="1248"/>
      <c r="F78" s="1248"/>
      <c r="I78" s="1142"/>
    </row>
    <row r="79" spans="1:9">
      <c r="A79" s="1121"/>
      <c r="B79" s="1121"/>
      <c r="I79" s="1142"/>
    </row>
    <row r="80" spans="1:9" ht="13.75" customHeight="1">
      <c r="A80" s="357"/>
      <c r="B80" s="358" t="s">
        <v>522</v>
      </c>
      <c r="D80" s="1248" t="s">
        <v>538</v>
      </c>
      <c r="E80" s="1248"/>
      <c r="F80" s="1248"/>
      <c r="I80" s="1142" t="s">
        <v>539</v>
      </c>
    </row>
    <row r="81" spans="1:9">
      <c r="A81" s="357"/>
      <c r="B81" s="357"/>
      <c r="D81" s="1248"/>
      <c r="E81" s="1248"/>
      <c r="F81" s="1248"/>
      <c r="I81" s="1142"/>
    </row>
    <row r="82" spans="1:9">
      <c r="A82" s="357"/>
      <c r="B82" s="357"/>
      <c r="D82" s="1248"/>
      <c r="E82" s="1248"/>
      <c r="F82" s="1248"/>
      <c r="I82" s="1142"/>
    </row>
    <row r="83" spans="1:9">
      <c r="A83" s="357"/>
      <c r="B83" s="357"/>
      <c r="D83" s="1248"/>
      <c r="E83" s="1248"/>
      <c r="F83" s="1248"/>
      <c r="I83" s="1142"/>
    </row>
    <row r="84" spans="1:9">
      <c r="A84" s="357"/>
      <c r="B84" s="357"/>
      <c r="D84" s="1248"/>
      <c r="E84" s="1248"/>
      <c r="F84" s="1248"/>
      <c r="I84" s="1142"/>
    </row>
    <row r="85" spans="1:9">
      <c r="A85" s="357"/>
      <c r="B85" s="357"/>
      <c r="D85" s="1248"/>
      <c r="E85" s="1248"/>
      <c r="F85" s="1248"/>
      <c r="I85" s="1142"/>
    </row>
    <row r="86" spans="1:9">
      <c r="A86" s="357"/>
      <c r="B86" s="357"/>
      <c r="D86" s="1248"/>
      <c r="E86" s="1248"/>
      <c r="F86" s="1248"/>
      <c r="I86" s="1142"/>
    </row>
    <row r="87" spans="1:9">
      <c r="A87" s="357"/>
      <c r="B87" s="357"/>
      <c r="D87" s="1248"/>
      <c r="E87" s="1248"/>
      <c r="F87" s="1248"/>
      <c r="I87" s="1142"/>
    </row>
    <row r="88" spans="1:9">
      <c r="A88" s="357"/>
      <c r="B88" s="357"/>
      <c r="D88" s="1140"/>
      <c r="E88" s="1140"/>
      <c r="F88" s="1140"/>
      <c r="I88" s="1142"/>
    </row>
    <row r="89" spans="1:9" ht="15" customHeight="1">
      <c r="A89" s="357"/>
      <c r="B89" s="358" t="s">
        <v>522</v>
      </c>
      <c r="D89" s="1248" t="s">
        <v>540</v>
      </c>
      <c r="E89" s="1248"/>
      <c r="F89" s="1248"/>
      <c r="I89" s="1142" t="s">
        <v>541</v>
      </c>
    </row>
    <row r="90" spans="1:9">
      <c r="A90" s="357"/>
      <c r="B90" s="357"/>
      <c r="D90" s="1248"/>
      <c r="E90" s="1248"/>
      <c r="F90" s="1248"/>
      <c r="I90" s="1142"/>
    </row>
    <row r="91" spans="1:9">
      <c r="A91" s="357"/>
      <c r="B91" s="357"/>
      <c r="D91" s="1120"/>
      <c r="E91" s="1120"/>
      <c r="F91" s="1120"/>
      <c r="I91" s="1142"/>
    </row>
    <row r="92" spans="1:9">
      <c r="A92" s="357"/>
      <c r="B92" s="358" t="s">
        <v>522</v>
      </c>
      <c r="D92" s="1248" t="s">
        <v>542</v>
      </c>
      <c r="E92" s="1248"/>
      <c r="F92" s="1248"/>
      <c r="I92" s="1142" t="s">
        <v>543</v>
      </c>
    </row>
    <row r="93" spans="1:9">
      <c r="A93" s="357"/>
      <c r="B93" s="357"/>
      <c r="D93" s="1248"/>
      <c r="E93" s="1248"/>
      <c r="F93" s="1248"/>
      <c r="I93" s="1142"/>
    </row>
    <row r="94" spans="1:9">
      <c r="A94" s="357"/>
      <c r="B94" s="357"/>
      <c r="D94" s="1248"/>
      <c r="E94" s="1248"/>
      <c r="F94" s="1248"/>
      <c r="I94" s="1142"/>
    </row>
    <row r="95" spans="1:9">
      <c r="A95" s="357"/>
      <c r="B95" s="357"/>
      <c r="D95" s="1120"/>
      <c r="E95" s="1120"/>
      <c r="F95" s="1120"/>
      <c r="I95" s="1142"/>
    </row>
    <row r="96" spans="1:9">
      <c r="A96" s="357"/>
      <c r="B96" s="358" t="s">
        <v>522</v>
      </c>
      <c r="D96" s="1248" t="s">
        <v>544</v>
      </c>
      <c r="E96" s="1248"/>
      <c r="F96" s="1248"/>
      <c r="I96" s="1142" t="s">
        <v>545</v>
      </c>
    </row>
    <row r="97" spans="1:9" s="804" customFormat="1">
      <c r="A97" s="802"/>
      <c r="B97" s="802"/>
      <c r="C97" s="803"/>
      <c r="D97" s="1248"/>
      <c r="E97" s="1248"/>
      <c r="F97" s="1248"/>
      <c r="I97" s="1022"/>
    </row>
    <row r="98" spans="1:9">
      <c r="A98" s="357"/>
      <c r="B98" s="357"/>
      <c r="D98" s="1122"/>
      <c r="E98" s="1143" t="s">
        <v>546</v>
      </c>
      <c r="F98" s="1120"/>
      <c r="I98" s="1142"/>
    </row>
    <row r="99" spans="1:9">
      <c r="A99" s="357"/>
      <c r="B99" s="357"/>
      <c r="D99" s="1140"/>
      <c r="E99" s="1140"/>
      <c r="F99" s="1140"/>
      <c r="I99" s="1142"/>
    </row>
    <row r="100" spans="1:9">
      <c r="A100" s="357"/>
      <c r="B100" s="358" t="s">
        <v>529</v>
      </c>
      <c r="D100" s="1248" t="s">
        <v>547</v>
      </c>
      <c r="E100" s="1248"/>
      <c r="F100" s="1248"/>
      <c r="I100" s="1142" t="s">
        <v>548</v>
      </c>
    </row>
    <row r="101" spans="1:9">
      <c r="A101" s="357"/>
      <c r="B101" s="357"/>
      <c r="D101" s="1248"/>
      <c r="E101" s="1248"/>
      <c r="F101" s="1248"/>
      <c r="I101" s="1142"/>
    </row>
    <row r="102" spans="1:9">
      <c r="A102" s="357"/>
      <c r="B102" s="357"/>
      <c r="D102" s="1120"/>
      <c r="E102" s="1120"/>
      <c r="F102" s="1120"/>
      <c r="I102" s="1142"/>
    </row>
    <row r="103" spans="1:9" ht="14.5" customHeight="1">
      <c r="A103" s="357"/>
      <c r="B103" s="358" t="s">
        <v>529</v>
      </c>
      <c r="D103" s="1248" t="s">
        <v>549</v>
      </c>
      <c r="E103" s="1248"/>
      <c r="F103" s="1248"/>
      <c r="I103" s="1142" t="s">
        <v>550</v>
      </c>
    </row>
    <row r="104" spans="1:9">
      <c r="A104" s="357"/>
      <c r="B104" s="357"/>
      <c r="D104" s="1248"/>
      <c r="E104" s="1248"/>
      <c r="F104" s="1248"/>
      <c r="I104" s="1142"/>
    </row>
    <row r="105" spans="1:9">
      <c r="A105" s="357"/>
      <c r="B105" s="357"/>
      <c r="D105" s="1248"/>
      <c r="E105" s="1248"/>
      <c r="F105" s="1248"/>
      <c r="I105" s="1142"/>
    </row>
    <row r="106" spans="1:9">
      <c r="A106" s="357"/>
      <c r="B106" s="357"/>
      <c r="D106" s="1248"/>
      <c r="E106" s="1248"/>
      <c r="F106" s="1248"/>
      <c r="I106" s="1142"/>
    </row>
    <row r="107" spans="1:9">
      <c r="A107" s="357"/>
      <c r="B107" s="357"/>
      <c r="D107" s="1248"/>
      <c r="E107" s="1248"/>
      <c r="F107" s="1248"/>
      <c r="I107" s="1142"/>
    </row>
    <row r="108" spans="1:9">
      <c r="A108" s="357"/>
      <c r="B108" s="357"/>
      <c r="D108" s="1248"/>
      <c r="E108" s="1248"/>
      <c r="F108" s="1248"/>
      <c r="I108" s="1142"/>
    </row>
    <row r="109" spans="1:9">
      <c r="A109" s="357"/>
      <c r="B109" s="357"/>
      <c r="D109" s="1248"/>
      <c r="E109" s="1248"/>
      <c r="F109" s="1248"/>
      <c r="I109" s="1142"/>
    </row>
    <row r="110" spans="1:9">
      <c r="A110" s="357"/>
      <c r="B110" s="357"/>
      <c r="D110" s="1248"/>
      <c r="E110" s="1248"/>
      <c r="F110" s="1248"/>
      <c r="I110" s="1142"/>
    </row>
    <row r="111" spans="1:9">
      <c r="A111" s="357"/>
      <c r="B111" s="357"/>
      <c r="D111" s="1248"/>
      <c r="E111" s="1248"/>
      <c r="F111" s="1248"/>
      <c r="I111" s="1142"/>
    </row>
    <row r="112" spans="1:9">
      <c r="A112" s="357"/>
      <c r="B112" s="357"/>
      <c r="D112" s="1248"/>
      <c r="E112" s="1248"/>
      <c r="F112" s="1248"/>
      <c r="I112" s="1142"/>
    </row>
    <row r="113" spans="1:9">
      <c r="A113" s="357"/>
      <c r="B113" s="357"/>
      <c r="D113" s="1248"/>
      <c r="E113" s="1248"/>
      <c r="F113" s="1248"/>
      <c r="I113" s="1142"/>
    </row>
    <row r="114" spans="1:9">
      <c r="A114" s="357"/>
      <c r="B114" s="357"/>
      <c r="D114" s="1248"/>
      <c r="E114" s="1248"/>
      <c r="F114" s="1248"/>
      <c r="I114" s="1142"/>
    </row>
    <row r="115" spans="1:9">
      <c r="A115" s="357"/>
      <c r="B115" s="357"/>
      <c r="D115" s="1248"/>
      <c r="E115" s="1248"/>
      <c r="F115" s="1248"/>
      <c r="I115" s="1142"/>
    </row>
    <row r="116" spans="1:9">
      <c r="A116" s="357"/>
      <c r="B116" s="357"/>
      <c r="D116" s="1248"/>
      <c r="E116" s="1248"/>
      <c r="F116" s="1248"/>
      <c r="I116" s="1142"/>
    </row>
    <row r="117" spans="1:9">
      <c r="A117" s="357"/>
      <c r="B117" s="357"/>
      <c r="D117" s="1248"/>
      <c r="E117" s="1248"/>
      <c r="F117" s="1248"/>
      <c r="I117" s="1142"/>
    </row>
    <row r="118" spans="1:9">
      <c r="A118" s="357"/>
      <c r="B118" s="357"/>
      <c r="D118" s="1135"/>
      <c r="E118" s="1135"/>
      <c r="F118" s="1135"/>
      <c r="I118" s="1142"/>
    </row>
    <row r="119" spans="1:9" ht="14.25" customHeight="1">
      <c r="A119" s="357"/>
      <c r="B119" s="358" t="s">
        <v>529</v>
      </c>
      <c r="D119" s="1259" t="s">
        <v>324</v>
      </c>
      <c r="E119" s="1259"/>
      <c r="F119" s="1259"/>
      <c r="I119" s="1142"/>
    </row>
    <row r="120" spans="1:9">
      <c r="A120" s="357"/>
      <c r="B120" s="357"/>
      <c r="D120" s="1259"/>
      <c r="E120" s="1259"/>
      <c r="F120" s="1259"/>
      <c r="I120" s="1142"/>
    </row>
    <row r="121" spans="1:9">
      <c r="A121" s="357"/>
      <c r="B121" s="357"/>
      <c r="D121" s="1259"/>
      <c r="E121" s="1259"/>
      <c r="F121" s="1259"/>
      <c r="I121" s="1142"/>
    </row>
    <row r="122" spans="1:9">
      <c r="A122" s="357"/>
      <c r="B122" s="357"/>
      <c r="D122" s="1259"/>
      <c r="E122" s="1259"/>
      <c r="F122" s="1259"/>
      <c r="I122" s="1142"/>
    </row>
    <row r="123" spans="1:9">
      <c r="A123" s="357"/>
      <c r="B123" s="357"/>
      <c r="D123" s="1259"/>
      <c r="E123" s="1259"/>
      <c r="F123" s="1259"/>
      <c r="I123" s="1142"/>
    </row>
    <row r="124" spans="1:9">
      <c r="A124" s="357"/>
      <c r="B124" s="357"/>
      <c r="D124" s="1259"/>
      <c r="E124" s="1259"/>
      <c r="F124" s="1259"/>
      <c r="I124" s="1142"/>
    </row>
    <row r="125" spans="1:9">
      <c r="A125" s="357"/>
      <c r="B125" s="357"/>
      <c r="D125" s="1259"/>
      <c r="E125" s="1259"/>
      <c r="F125" s="1259"/>
      <c r="I125" s="1142"/>
    </row>
    <row r="126" spans="1:9">
      <c r="A126" s="357"/>
      <c r="B126" s="357"/>
      <c r="D126" s="1259"/>
      <c r="E126" s="1259"/>
      <c r="F126" s="1259"/>
      <c r="I126" s="1142"/>
    </row>
    <row r="127" spans="1:9">
      <c r="C127" s="291"/>
      <c r="D127" s="394"/>
      <c r="E127" s="394"/>
      <c r="F127" s="394"/>
      <c r="I127" s="1142"/>
    </row>
    <row r="128" spans="1:9">
      <c r="A128" s="357"/>
      <c r="B128" s="358" t="s">
        <v>522</v>
      </c>
      <c r="C128" s="291"/>
      <c r="D128" s="1259" t="s">
        <v>551</v>
      </c>
      <c r="E128" s="1259"/>
      <c r="F128" s="1259"/>
      <c r="I128" s="1142" t="s">
        <v>552</v>
      </c>
    </row>
    <row r="129" spans="1:9">
      <c r="A129" s="357"/>
      <c r="B129" s="357"/>
      <c r="C129" s="291"/>
      <c r="D129" s="1259"/>
      <c r="E129" s="1259"/>
      <c r="F129" s="1259"/>
      <c r="I129" s="1142"/>
    </row>
    <row r="130" spans="1:9">
      <c r="I130" s="1142"/>
    </row>
    <row r="131" spans="1:9">
      <c r="A131" s="357"/>
      <c r="B131" s="358" t="s">
        <v>529</v>
      </c>
      <c r="D131" s="1248" t="s">
        <v>327</v>
      </c>
      <c r="E131" s="1248"/>
      <c r="F131" s="1248"/>
      <c r="I131" s="1142" t="s">
        <v>552</v>
      </c>
    </row>
    <row r="132" spans="1:9">
      <c r="D132" s="1248"/>
      <c r="E132" s="1248"/>
      <c r="F132" s="1248"/>
      <c r="I132" s="1142"/>
    </row>
    <row r="133" spans="1:9">
      <c r="D133" s="1248"/>
      <c r="E133" s="1248"/>
      <c r="F133" s="1248"/>
      <c r="I133" s="1142"/>
    </row>
    <row r="134" spans="1:9">
      <c r="D134" s="1248"/>
      <c r="E134" s="1248"/>
      <c r="F134" s="1248"/>
      <c r="I134" s="1142"/>
    </row>
    <row r="135" spans="1:9">
      <c r="D135" s="1248"/>
      <c r="E135" s="1248"/>
      <c r="F135" s="1248"/>
      <c r="I135" s="1142"/>
    </row>
    <row r="136" spans="1:9">
      <c r="I136" s="1142"/>
    </row>
    <row r="137" spans="1:9">
      <c r="A137" s="357"/>
      <c r="B137" s="358" t="s">
        <v>522</v>
      </c>
      <c r="D137" s="1248" t="s">
        <v>328</v>
      </c>
      <c r="E137" s="1248"/>
      <c r="F137" s="1248"/>
      <c r="I137" s="1142" t="s">
        <v>553</v>
      </c>
    </row>
    <row r="138" spans="1:9" s="305" customFormat="1" ht="13.75" customHeight="1">
      <c r="A138" s="361"/>
      <c r="B138" s="361"/>
      <c r="C138" s="361"/>
      <c r="D138" s="1248"/>
      <c r="E138" s="1248"/>
      <c r="F138" s="1248"/>
      <c r="I138" s="1023"/>
    </row>
    <row r="139" spans="1:9" ht="13.75" customHeight="1">
      <c r="D139" s="1248"/>
      <c r="E139" s="1248"/>
      <c r="F139" s="1248"/>
      <c r="I139" s="1142"/>
    </row>
    <row r="140" spans="1:9" ht="13.75" customHeight="1">
      <c r="D140" s="1248"/>
      <c r="E140" s="1248"/>
      <c r="F140" s="1248"/>
      <c r="I140" s="1142"/>
    </row>
    <row r="141" spans="1:9" ht="13.75" customHeight="1">
      <c r="D141" s="1248"/>
      <c r="E141" s="1248"/>
      <c r="F141" s="1248"/>
      <c r="I141" s="1142"/>
    </row>
    <row r="142" spans="1:9" ht="13.75" customHeight="1">
      <c r="A142" s="362"/>
      <c r="B142" s="362"/>
      <c r="D142" s="1248"/>
      <c r="E142" s="1248"/>
      <c r="F142" s="1248"/>
      <c r="I142" s="1142"/>
    </row>
    <row r="143" spans="1:9" ht="13.75" customHeight="1">
      <c r="D143" s="1248"/>
      <c r="E143" s="1248"/>
      <c r="F143" s="1248"/>
      <c r="I143" s="1142"/>
    </row>
    <row r="144" spans="1:9" ht="13.75" customHeight="1">
      <c r="D144" s="1248"/>
      <c r="E144" s="1248"/>
      <c r="F144" s="1248"/>
      <c r="I144" s="1142"/>
    </row>
    <row r="145" spans="2:9" ht="13.75" customHeight="1">
      <c r="D145" s="1248"/>
      <c r="E145" s="1248"/>
      <c r="F145" s="1248"/>
      <c r="I145" s="1142"/>
    </row>
    <row r="146" spans="2:9" ht="13.75" customHeight="1">
      <c r="D146" s="1248"/>
      <c r="E146" s="1248"/>
      <c r="F146" s="1248"/>
      <c r="I146" s="1142"/>
    </row>
    <row r="147" spans="2:9" ht="13.75" customHeight="1">
      <c r="D147" s="1248"/>
      <c r="E147" s="1248"/>
      <c r="F147" s="1248"/>
      <c r="I147" s="1142"/>
    </row>
    <row r="148" spans="2:9" ht="13.75" customHeight="1">
      <c r="D148" s="1248"/>
      <c r="E148" s="1248"/>
      <c r="F148" s="1248"/>
      <c r="I148" s="1142"/>
    </row>
    <row r="149" spans="2:9" ht="13.75" customHeight="1">
      <c r="D149" s="1248"/>
      <c r="E149" s="1248"/>
      <c r="F149" s="1248"/>
      <c r="I149" s="1142"/>
    </row>
    <row r="150" spans="2:9" ht="13.75" customHeight="1">
      <c r="D150" s="352"/>
      <c r="E150" s="1121"/>
      <c r="F150" s="1121"/>
      <c r="I150" s="1142"/>
    </row>
    <row r="151" spans="2:9" ht="13.75" customHeight="1">
      <c r="B151" s="358" t="s">
        <v>529</v>
      </c>
      <c r="D151" s="1248" t="s">
        <v>329</v>
      </c>
      <c r="E151" s="1248"/>
      <c r="F151" s="1248"/>
      <c r="I151" s="1142" t="s">
        <v>554</v>
      </c>
    </row>
    <row r="152" spans="2:9" ht="13.75" customHeight="1">
      <c r="D152" s="1248"/>
      <c r="E152" s="1248"/>
      <c r="F152" s="1248"/>
      <c r="I152" s="1142"/>
    </row>
    <row r="153" spans="2:9" ht="13.75" customHeight="1">
      <c r="D153" s="1248"/>
      <c r="E153" s="1248"/>
      <c r="F153" s="1248"/>
      <c r="I153" s="1142"/>
    </row>
    <row r="154" spans="2:9" ht="13.75" customHeight="1">
      <c r="D154" s="1248"/>
      <c r="E154" s="1248"/>
      <c r="F154" s="1248"/>
      <c r="I154" s="1142"/>
    </row>
    <row r="155" spans="2:9" ht="13.75" customHeight="1">
      <c r="D155" s="1248"/>
      <c r="E155" s="1248"/>
      <c r="F155" s="1248"/>
      <c r="I155" s="1142"/>
    </row>
    <row r="156" spans="2:9" ht="13.75" customHeight="1">
      <c r="D156" s="1248"/>
      <c r="E156" s="1248"/>
      <c r="F156" s="1248"/>
      <c r="I156" s="1142"/>
    </row>
    <row r="157" spans="2:9" ht="13.75" customHeight="1">
      <c r="D157" s="1248"/>
      <c r="E157" s="1248"/>
      <c r="F157" s="1248"/>
      <c r="I157" s="1142"/>
    </row>
    <row r="158" spans="2:9" ht="13.75" customHeight="1">
      <c r="D158" s="1248"/>
      <c r="E158" s="1248"/>
      <c r="F158" s="1248"/>
      <c r="I158" s="1142"/>
    </row>
    <row r="159" spans="2:9" ht="13.75" customHeight="1">
      <c r="D159" s="1248"/>
      <c r="E159" s="1248"/>
      <c r="F159" s="1248"/>
      <c r="I159" s="1142"/>
    </row>
    <row r="160" spans="2:9" ht="13.75" customHeight="1">
      <c r="D160" s="1248"/>
      <c r="E160" s="1248"/>
      <c r="F160" s="1248"/>
      <c r="I160" s="1142"/>
    </row>
    <row r="161" spans="1:9" ht="13.75" customHeight="1">
      <c r="D161" s="1248"/>
      <c r="E161" s="1248"/>
      <c r="F161" s="1248"/>
      <c r="I161" s="1142"/>
    </row>
    <row r="162" spans="1:9" ht="13.75" customHeight="1">
      <c r="D162" s="1248"/>
      <c r="E162" s="1248"/>
      <c r="F162" s="1248"/>
      <c r="I162" s="1142"/>
    </row>
    <row r="163" spans="1:9" ht="13.75" customHeight="1">
      <c r="D163" s="1248"/>
      <c r="E163" s="1248"/>
      <c r="F163" s="1248"/>
      <c r="I163" s="1142"/>
    </row>
    <row r="164" spans="1:9" ht="13.75" customHeight="1">
      <c r="D164" s="1248"/>
      <c r="E164" s="1248"/>
      <c r="F164" s="1248"/>
      <c r="I164" s="1142"/>
    </row>
    <row r="165" spans="1:9" ht="13.75" customHeight="1">
      <c r="D165" s="1248"/>
      <c r="E165" s="1248"/>
      <c r="F165" s="1248"/>
      <c r="I165" s="1142"/>
    </row>
    <row r="166" spans="1:9" ht="13.75" customHeight="1">
      <c r="D166" s="1248"/>
      <c r="E166" s="1248"/>
      <c r="F166" s="1248"/>
      <c r="I166" s="1142"/>
    </row>
    <row r="167" spans="1:9" ht="13.75" customHeight="1">
      <c r="D167" s="1248"/>
      <c r="E167" s="1248"/>
      <c r="F167" s="1248"/>
      <c r="I167" s="1142"/>
    </row>
    <row r="168" spans="1:9" ht="13.75" customHeight="1">
      <c r="D168" s="1248"/>
      <c r="E168" s="1248"/>
      <c r="F168" s="1248"/>
      <c r="I168" s="1142"/>
    </row>
    <row r="169" spans="1:9" ht="13.75" customHeight="1">
      <c r="D169" s="1292" t="s">
        <v>555</v>
      </c>
      <c r="E169" s="1292"/>
      <c r="F169" s="1292"/>
      <c r="G169" s="379"/>
      <c r="I169" s="1142"/>
    </row>
    <row r="170" spans="1:9" ht="13.75" customHeight="1">
      <c r="D170" s="1235"/>
      <c r="E170" s="1235"/>
      <c r="F170" s="1235"/>
      <c r="G170" s="1235"/>
      <c r="I170" s="1142"/>
    </row>
    <row r="171" spans="1:9" ht="14.5" customHeight="1">
      <c r="A171" s="362"/>
      <c r="B171" s="358" t="s">
        <v>529</v>
      </c>
      <c r="C171" s="352"/>
      <c r="D171" s="1231" t="s">
        <v>556</v>
      </c>
      <c r="E171" s="1231"/>
      <c r="F171" s="1231"/>
      <c r="G171" s="352"/>
      <c r="I171" s="1142" t="s">
        <v>543</v>
      </c>
    </row>
    <row r="172" spans="1:9" ht="14.5" customHeight="1">
      <c r="A172" s="362"/>
      <c r="B172" s="362"/>
      <c r="C172" s="352"/>
      <c r="D172" s="1231"/>
      <c r="E172" s="1231"/>
      <c r="F172" s="1231"/>
      <c r="G172" s="352"/>
      <c r="I172" s="1142"/>
    </row>
    <row r="173" spans="1:9" ht="14.5" customHeight="1">
      <c r="A173" s="362"/>
      <c r="B173" s="362"/>
      <c r="C173" s="352"/>
      <c r="D173" s="1231"/>
      <c r="E173" s="1231"/>
      <c r="F173" s="1231"/>
      <c r="G173" s="352"/>
      <c r="I173" s="1142"/>
    </row>
    <row r="174" spans="1:9" ht="14.5" customHeight="1">
      <c r="A174" s="362"/>
      <c r="B174" s="362"/>
      <c r="C174" s="352"/>
      <c r="D174" s="1231"/>
      <c r="E174" s="1231"/>
      <c r="F174" s="1231"/>
      <c r="G174" s="352"/>
      <c r="I174" s="1142"/>
    </row>
    <row r="175" spans="1:9" ht="13.75" customHeight="1">
      <c r="A175" s="362"/>
      <c r="B175" s="362"/>
      <c r="C175" s="352"/>
      <c r="D175" s="1231"/>
      <c r="E175" s="1231"/>
      <c r="F175" s="1231"/>
      <c r="G175" s="352"/>
      <c r="I175" s="1142"/>
    </row>
    <row r="176" spans="1:9" ht="13.75" customHeight="1">
      <c r="A176" s="362"/>
      <c r="B176" s="362"/>
      <c r="C176" s="352"/>
      <c r="D176" s="352"/>
      <c r="E176" s="352"/>
      <c r="F176" s="352"/>
      <c r="G176" s="352"/>
      <c r="I176" s="1142"/>
    </row>
    <row r="177" spans="1:9" ht="13.75" customHeight="1">
      <c r="A177" s="362"/>
      <c r="B177" s="358" t="s">
        <v>529</v>
      </c>
      <c r="C177" s="352"/>
      <c r="D177" s="1231" t="s">
        <v>331</v>
      </c>
      <c r="E177" s="1231"/>
      <c r="F177" s="1231"/>
      <c r="G177" s="352"/>
      <c r="I177" s="1142" t="s">
        <v>557</v>
      </c>
    </row>
    <row r="178" spans="1:9" ht="13.75" customHeight="1">
      <c r="A178" s="362"/>
      <c r="B178" s="362"/>
      <c r="C178" s="352"/>
      <c r="D178" s="1231"/>
      <c r="E178" s="1231"/>
      <c r="F178" s="1231"/>
      <c r="G178" s="352"/>
      <c r="I178" s="1142"/>
    </row>
    <row r="179" spans="1:9" ht="13.75" customHeight="1">
      <c r="A179" s="362"/>
      <c r="B179" s="362"/>
      <c r="C179" s="352"/>
      <c r="D179" s="1231"/>
      <c r="E179" s="1231"/>
      <c r="F179" s="1231"/>
      <c r="G179" s="352"/>
      <c r="I179" s="1142"/>
    </row>
    <row r="180" spans="1:9" ht="13.75" customHeight="1">
      <c r="A180" s="362"/>
      <c r="B180" s="362"/>
      <c r="C180" s="352"/>
      <c r="D180" s="1231"/>
      <c r="E180" s="1231"/>
      <c r="F180" s="1231"/>
      <c r="G180" s="352"/>
      <c r="I180" s="1142"/>
    </row>
    <row r="181" spans="1:9" ht="13.75" customHeight="1">
      <c r="D181" s="1121"/>
      <c r="E181" s="1121"/>
      <c r="F181" s="1121"/>
      <c r="I181" s="1142"/>
    </row>
    <row r="182" spans="1:9" ht="13.75" customHeight="1">
      <c r="B182" s="358" t="s">
        <v>529</v>
      </c>
      <c r="D182" s="1236" t="s">
        <v>558</v>
      </c>
      <c r="E182" s="1236"/>
      <c r="F182" s="1236"/>
      <c r="I182" s="1142" t="s">
        <v>559</v>
      </c>
    </row>
    <row r="183" spans="1:9" ht="13.75" customHeight="1">
      <c r="D183" s="1236"/>
      <c r="E183" s="1236"/>
      <c r="F183" s="1236"/>
      <c r="I183" s="1142"/>
    </row>
    <row r="184" spans="1:9" ht="13.75" customHeight="1">
      <c r="D184" s="1236"/>
      <c r="E184" s="1236"/>
      <c r="F184" s="1236"/>
      <c r="I184" s="1142"/>
    </row>
    <row r="185" spans="1:9" ht="13.75" customHeight="1">
      <c r="A185" s="1142"/>
      <c r="B185" s="1142"/>
      <c r="E185" s="1121"/>
      <c r="F185" s="1121"/>
      <c r="I185" s="1142"/>
    </row>
    <row r="186" spans="1:9">
      <c r="A186" s="1237" t="s">
        <v>560</v>
      </c>
      <c r="B186" s="1237"/>
      <c r="C186" s="1237"/>
      <c r="D186" s="1237"/>
      <c r="E186" s="1237"/>
      <c r="F186" s="1237"/>
      <c r="G186" s="1237"/>
      <c r="H186" s="836"/>
      <c r="I186" s="1021"/>
    </row>
    <row r="187" spans="1:9" ht="12" customHeight="1">
      <c r="D187" s="1121"/>
      <c r="E187" s="1121"/>
      <c r="F187" s="1121"/>
      <c r="I187" s="1142"/>
    </row>
    <row r="188" spans="1:9">
      <c r="B188" s="1251" t="s">
        <v>334</v>
      </c>
      <c r="C188" s="1251"/>
      <c r="D188" s="1251"/>
      <c r="E188" s="1251"/>
      <c r="F188" s="1251"/>
      <c r="I188" s="1142"/>
    </row>
    <row r="189" spans="1:9">
      <c r="B189" s="1122" t="s">
        <v>561</v>
      </c>
      <c r="C189" s="1122"/>
      <c r="D189" s="1122"/>
      <c r="E189" s="1122"/>
      <c r="F189" s="1122"/>
      <c r="I189" s="1142"/>
    </row>
    <row r="190" spans="1:9" ht="12" customHeight="1">
      <c r="A190" s="1145"/>
      <c r="B190" s="1145"/>
      <c r="C190" s="1145"/>
      <c r="I190" s="1142"/>
    </row>
    <row r="191" spans="1:9">
      <c r="A191" s="1237" t="s">
        <v>335</v>
      </c>
      <c r="B191" s="1237"/>
      <c r="C191" s="1237"/>
      <c r="D191" s="1237"/>
      <c r="E191" s="1237"/>
      <c r="F191" s="1237"/>
      <c r="G191" s="1237"/>
      <c r="H191" s="836"/>
      <c r="I191" s="1021"/>
    </row>
    <row r="192" spans="1:9" ht="12" customHeight="1">
      <c r="A192" s="293"/>
      <c r="B192" s="293"/>
      <c r="E192" s="293"/>
      <c r="I192" s="1142"/>
    </row>
    <row r="193" spans="1:9" ht="13.75" customHeight="1">
      <c r="A193" s="293"/>
      <c r="B193" s="293"/>
      <c r="D193" s="1250" t="s">
        <v>562</v>
      </c>
      <c r="E193" s="1250"/>
      <c r="F193" s="1250"/>
      <c r="I193" s="1142"/>
    </row>
    <row r="194" spans="1:9">
      <c r="A194" s="293"/>
      <c r="B194" s="293"/>
      <c r="D194" s="1250"/>
      <c r="E194" s="1250"/>
      <c r="F194" s="1250"/>
      <c r="I194" s="1142"/>
    </row>
    <row r="195" spans="1:9">
      <c r="A195" s="293"/>
      <c r="B195" s="293"/>
      <c r="D195" s="1251" t="s">
        <v>563</v>
      </c>
      <c r="E195" s="1251"/>
      <c r="F195" s="1251"/>
      <c r="I195" s="1142"/>
    </row>
    <row r="196" spans="1:9">
      <c r="A196" s="293"/>
      <c r="B196" s="293"/>
      <c r="D196" s="1122"/>
      <c r="E196" s="1122"/>
      <c r="F196" s="1122"/>
      <c r="I196" s="1142"/>
    </row>
    <row r="197" spans="1:9">
      <c r="A197" s="293"/>
      <c r="B197" s="358" t="s">
        <v>522</v>
      </c>
      <c r="D197" s="1233" t="s">
        <v>564</v>
      </c>
      <c r="E197" s="1233"/>
      <c r="F197" s="1233"/>
      <c r="I197" s="1142" t="s">
        <v>565</v>
      </c>
    </row>
    <row r="198" spans="1:9">
      <c r="A198" s="293"/>
      <c r="B198" s="293"/>
      <c r="D198" s="1253" t="s">
        <v>566</v>
      </c>
      <c r="E198" s="1253"/>
      <c r="F198" s="1253"/>
      <c r="I198" s="1142"/>
    </row>
    <row r="199" spans="1:9">
      <c r="A199" s="293"/>
      <c r="B199" s="293"/>
      <c r="D199" s="55" t="s">
        <v>567</v>
      </c>
      <c r="E199" s="1295" t="s">
        <v>568</v>
      </c>
      <c r="F199" s="1295"/>
      <c r="I199" s="1142"/>
    </row>
    <row r="200" spans="1:9">
      <c r="A200" s="293"/>
      <c r="B200" s="293"/>
      <c r="D200" s="2"/>
      <c r="E200" s="2"/>
      <c r="F200" s="2"/>
      <c r="I200" s="1142"/>
    </row>
    <row r="201" spans="1:9">
      <c r="A201" s="293"/>
      <c r="B201" s="358" t="s">
        <v>529</v>
      </c>
      <c r="D201" s="1253" t="s">
        <v>569</v>
      </c>
      <c r="E201" s="1253"/>
      <c r="F201" s="1253"/>
      <c r="I201" s="1142" t="s">
        <v>570</v>
      </c>
    </row>
    <row r="202" spans="1:9">
      <c r="A202" s="293"/>
      <c r="B202" s="293"/>
      <c r="D202" s="1233" t="s">
        <v>566</v>
      </c>
      <c r="E202" s="1233"/>
      <c r="F202" s="1233"/>
      <c r="I202" s="1142"/>
    </row>
    <row r="203" spans="1:9">
      <c r="A203" s="293"/>
      <c r="B203" s="293"/>
      <c r="D203" s="1118" t="s">
        <v>571</v>
      </c>
      <c r="E203" s="1295" t="s">
        <v>572</v>
      </c>
      <c r="F203" s="1295"/>
      <c r="I203" s="1142"/>
    </row>
    <row r="204" spans="1:9">
      <c r="A204" s="293"/>
      <c r="B204" s="293"/>
      <c r="D204" s="2"/>
      <c r="E204" s="2"/>
      <c r="F204" s="2"/>
      <c r="I204" s="1142"/>
    </row>
    <row r="205" spans="1:9">
      <c r="A205" s="293"/>
      <c r="B205" s="358" t="s">
        <v>529</v>
      </c>
      <c r="D205" s="1253" t="s">
        <v>573</v>
      </c>
      <c r="E205" s="1253"/>
      <c r="F205" s="1253"/>
      <c r="I205" s="1142" t="s">
        <v>574</v>
      </c>
    </row>
    <row r="206" spans="1:9">
      <c r="A206" s="293"/>
      <c r="B206" s="293"/>
      <c r="D206" s="1233" t="s">
        <v>566</v>
      </c>
      <c r="E206" s="1233"/>
      <c r="F206" s="1233"/>
      <c r="I206" s="1142"/>
    </row>
    <row r="207" spans="1:9">
      <c r="A207" s="293"/>
      <c r="B207" s="293"/>
      <c r="D207" s="1118" t="s">
        <v>567</v>
      </c>
      <c r="E207" s="1295" t="s">
        <v>575</v>
      </c>
      <c r="F207" s="1295"/>
      <c r="I207" s="1142"/>
    </row>
    <row r="208" spans="1:9">
      <c r="A208" s="293"/>
      <c r="B208" s="293"/>
      <c r="D208" s="1122"/>
      <c r="E208" s="1122"/>
      <c r="F208" s="1122"/>
      <c r="I208" s="1142"/>
    </row>
    <row r="209" spans="1:9" ht="14.25" customHeight="1">
      <c r="A209" s="357"/>
      <c r="B209" s="358" t="s">
        <v>529</v>
      </c>
      <c r="D209" s="277" t="s">
        <v>576</v>
      </c>
      <c r="E209" s="1140"/>
      <c r="F209" s="1140"/>
      <c r="I209" s="1142" t="s">
        <v>577</v>
      </c>
    </row>
    <row r="210" spans="1:9">
      <c r="A210" s="357"/>
      <c r="B210" s="357"/>
      <c r="D210" s="1233" t="s">
        <v>566</v>
      </c>
      <c r="E210" s="1233"/>
      <c r="F210" s="1233"/>
      <c r="I210" s="1142"/>
    </row>
    <row r="211" spans="1:9">
      <c r="D211" s="1140"/>
      <c r="E211" s="1295" t="s">
        <v>578</v>
      </c>
      <c r="F211" s="1295"/>
      <c r="I211" s="1142"/>
    </row>
    <row r="212" spans="1:9">
      <c r="D212" s="1115"/>
      <c r="I212" s="1142"/>
    </row>
    <row r="213" spans="1:9">
      <c r="B213" s="358" t="s">
        <v>529</v>
      </c>
      <c r="D213" s="1253" t="s">
        <v>579</v>
      </c>
      <c r="E213" s="1253"/>
      <c r="F213" s="1253"/>
      <c r="I213" s="1142" t="s">
        <v>580</v>
      </c>
    </row>
    <row r="214" spans="1:9">
      <c r="D214" s="1233" t="s">
        <v>566</v>
      </c>
      <c r="E214" s="1233"/>
      <c r="F214" s="1233"/>
      <c r="I214" s="1142"/>
    </row>
    <row r="215" spans="1:9">
      <c r="D215" s="1118" t="s">
        <v>567</v>
      </c>
      <c r="E215" s="1295" t="s">
        <v>581</v>
      </c>
      <c r="F215" s="1295"/>
      <c r="I215" s="1142"/>
    </row>
    <row r="216" spans="1:9">
      <c r="D216" s="1113"/>
      <c r="E216" s="1113"/>
      <c r="F216" s="1113"/>
      <c r="I216" s="1142"/>
    </row>
    <row r="217" spans="1:9">
      <c r="A217" s="357"/>
      <c r="B217" s="358" t="s">
        <v>529</v>
      </c>
      <c r="D217" s="1248" t="s">
        <v>582</v>
      </c>
      <c r="E217" s="1248"/>
      <c r="F217" s="1248"/>
      <c r="I217" s="1142"/>
    </row>
    <row r="218" spans="1:9" ht="14.5" customHeight="1">
      <c r="A218" s="357"/>
      <c r="B218" s="291"/>
      <c r="D218" s="1248"/>
      <c r="E218" s="1248"/>
      <c r="F218" s="1248"/>
      <c r="I218" s="1142"/>
    </row>
    <row r="219" spans="1:9">
      <c r="A219" s="357"/>
      <c r="D219" s="1248"/>
      <c r="E219" s="1248"/>
      <c r="F219" s="1248"/>
      <c r="I219" s="1142"/>
    </row>
    <row r="220" spans="1:9">
      <c r="A220" s="357"/>
      <c r="D220" s="1248"/>
      <c r="E220" s="1248"/>
      <c r="F220" s="1248"/>
      <c r="I220" s="1142"/>
    </row>
    <row r="221" spans="1:9">
      <c r="D221" s="1113"/>
      <c r="E221" s="1113"/>
      <c r="F221" s="1113"/>
      <c r="I221" s="1142"/>
    </row>
    <row r="222" spans="1:9">
      <c r="A222" s="1237" t="s">
        <v>341</v>
      </c>
      <c r="B222" s="1237"/>
      <c r="C222" s="1237"/>
      <c r="D222" s="1237"/>
      <c r="E222" s="1237"/>
      <c r="F222" s="1237"/>
      <c r="G222" s="1237"/>
      <c r="H222" s="836"/>
      <c r="I222" s="1021"/>
    </row>
    <row r="223" spans="1:9" ht="12" customHeight="1">
      <c r="D223" s="1121"/>
      <c r="E223" s="1121"/>
      <c r="F223" s="1121"/>
      <c r="I223" s="1142"/>
    </row>
    <row r="224" spans="1:9">
      <c r="C224" s="359"/>
      <c r="D224" s="1247" t="s">
        <v>342</v>
      </c>
      <c r="E224" s="1247"/>
      <c r="F224" s="1247"/>
      <c r="I224" s="1142"/>
    </row>
    <row r="225" spans="1:9">
      <c r="A225" s="1145"/>
      <c r="B225" s="1145"/>
      <c r="C225" s="1145"/>
      <c r="D225" s="1249" t="s">
        <v>343</v>
      </c>
      <c r="E225" s="1249"/>
      <c r="F225" s="1249"/>
      <c r="I225" s="1142"/>
    </row>
    <row r="226" spans="1:9" ht="12" customHeight="1">
      <c r="A226" s="1142"/>
      <c r="B226" s="1142"/>
      <c r="C226" s="1142"/>
      <c r="I226" s="1142"/>
    </row>
    <row r="227" spans="1:9" ht="13.75" customHeight="1">
      <c r="A227" s="1142"/>
      <c r="C227" s="1142"/>
      <c r="D227" s="1247" t="s">
        <v>344</v>
      </c>
      <c r="E227" s="1247"/>
      <c r="F227" s="1247"/>
      <c r="I227" s="1142" t="s">
        <v>583</v>
      </c>
    </row>
    <row r="228" spans="1:9">
      <c r="A228" s="357"/>
      <c r="B228" s="358" t="s">
        <v>522</v>
      </c>
      <c r="D228" s="1248" t="s">
        <v>584</v>
      </c>
      <c r="E228" s="1248"/>
      <c r="F228" s="1248"/>
      <c r="I228" s="1142"/>
    </row>
    <row r="229" spans="1:9" ht="14.25" customHeight="1">
      <c r="A229" s="357"/>
      <c r="B229" s="357"/>
      <c r="D229" s="1248"/>
      <c r="E229" s="1248"/>
      <c r="F229" s="1248"/>
      <c r="I229" s="1142"/>
    </row>
    <row r="230" spans="1:9" ht="14.25" customHeight="1">
      <c r="A230" s="357"/>
      <c r="B230" s="357"/>
      <c r="D230" s="1248"/>
      <c r="E230" s="1248"/>
      <c r="F230" s="1248"/>
      <c r="I230" s="1142"/>
    </row>
    <row r="231" spans="1:9">
      <c r="A231" s="357"/>
      <c r="B231" s="357"/>
      <c r="D231" s="1248"/>
      <c r="E231" s="1248"/>
      <c r="F231" s="1248"/>
      <c r="I231" s="1142"/>
    </row>
    <row r="232" spans="1:9">
      <c r="A232" s="357"/>
      <c r="B232" s="357"/>
      <c r="D232" s="1120"/>
      <c r="E232" s="1120"/>
      <c r="F232" s="1120"/>
      <c r="I232" s="1142"/>
    </row>
    <row r="233" spans="1:9">
      <c r="A233" s="357"/>
      <c r="B233" s="358" t="s">
        <v>522</v>
      </c>
      <c r="D233" s="1248" t="s">
        <v>585</v>
      </c>
      <c r="E233" s="1248"/>
      <c r="F233" s="1248"/>
      <c r="I233" s="1142" t="s">
        <v>586</v>
      </c>
    </row>
    <row r="234" spans="1:9">
      <c r="A234" s="357"/>
      <c r="B234" s="357"/>
      <c r="D234" s="1248"/>
      <c r="E234" s="1248"/>
      <c r="F234" s="1248"/>
      <c r="I234" s="1142"/>
    </row>
    <row r="235" spans="1:9">
      <c r="A235" s="357"/>
      <c r="B235" s="357"/>
      <c r="D235" s="1248"/>
      <c r="E235" s="1248"/>
      <c r="F235" s="1248"/>
      <c r="I235" s="1142"/>
    </row>
    <row r="236" spans="1:9">
      <c r="A236" s="357"/>
      <c r="B236" s="357"/>
      <c r="D236" s="1248"/>
      <c r="E236" s="1248"/>
      <c r="F236" s="1248"/>
      <c r="I236" s="1142"/>
    </row>
    <row r="237" spans="1:9" ht="14.25" customHeight="1">
      <c r="A237" s="357"/>
      <c r="B237" s="357"/>
      <c r="D237" s="1248"/>
      <c r="E237" s="1248"/>
      <c r="F237" s="1248"/>
      <c r="I237" s="1142"/>
    </row>
    <row r="238" spans="1:9" ht="14.25" customHeight="1">
      <c r="A238" s="357"/>
      <c r="B238" s="357"/>
      <c r="D238" s="1120"/>
      <c r="E238" s="1120"/>
      <c r="F238" s="1120"/>
      <c r="I238" s="1142"/>
    </row>
    <row r="239" spans="1:9">
      <c r="A239" s="357"/>
      <c r="B239" s="357"/>
      <c r="D239" s="1248" t="s">
        <v>347</v>
      </c>
      <c r="E239" s="1248"/>
      <c r="F239" s="1248"/>
      <c r="I239" s="1142" t="s">
        <v>583</v>
      </c>
    </row>
    <row r="240" spans="1:9">
      <c r="A240" s="357"/>
      <c r="B240" s="357"/>
      <c r="D240" s="1248"/>
      <c r="E240" s="1248"/>
      <c r="F240" s="1248"/>
      <c r="I240" s="1142"/>
    </row>
    <row r="241" spans="1:9">
      <c r="A241" s="357"/>
      <c r="B241" s="357"/>
      <c r="D241" s="1248"/>
      <c r="E241" s="1248"/>
      <c r="F241" s="1248"/>
      <c r="I241" s="1142"/>
    </row>
    <row r="242" spans="1:9">
      <c r="A242" s="357"/>
      <c r="B242" s="357"/>
      <c r="D242" s="1248"/>
      <c r="E242" s="1248"/>
      <c r="F242" s="1248"/>
      <c r="I242" s="1142"/>
    </row>
    <row r="243" spans="1:9">
      <c r="A243" s="357"/>
      <c r="B243" s="357"/>
      <c r="D243" s="1248"/>
      <c r="E243" s="1248"/>
      <c r="F243" s="1248"/>
      <c r="I243" s="1142"/>
    </row>
    <row r="244" spans="1:9">
      <c r="A244" s="357"/>
      <c r="B244" s="357"/>
      <c r="D244" s="1121"/>
      <c r="E244" s="1121"/>
      <c r="F244" s="1121"/>
      <c r="I244" s="1142"/>
    </row>
    <row r="245" spans="1:9">
      <c r="A245" s="357"/>
      <c r="B245" s="358" t="s">
        <v>522</v>
      </c>
      <c r="D245" s="1248" t="s">
        <v>587</v>
      </c>
      <c r="E245" s="1248"/>
      <c r="F245" s="1248"/>
      <c r="I245" s="1142" t="s">
        <v>588</v>
      </c>
    </row>
    <row r="246" spans="1:9">
      <c r="A246" s="357"/>
      <c r="B246" s="357"/>
      <c r="D246" s="1248"/>
      <c r="E246" s="1248"/>
      <c r="F246" s="1248"/>
      <c r="I246" s="1142"/>
    </row>
    <row r="247" spans="1:9">
      <c r="A247" s="357"/>
      <c r="B247" s="357"/>
      <c r="D247" s="1248"/>
      <c r="E247" s="1248"/>
      <c r="F247" s="1248"/>
      <c r="I247" s="1142"/>
    </row>
    <row r="248" spans="1:9">
      <c r="A248" s="357"/>
      <c r="B248" s="357"/>
      <c r="E248" s="844" t="s">
        <v>589</v>
      </c>
      <c r="I248" s="1142"/>
    </row>
    <row r="249" spans="1:9">
      <c r="A249" s="357"/>
      <c r="B249" s="357"/>
      <c r="D249" s="1121"/>
      <c r="E249" s="1121"/>
      <c r="F249" s="1121"/>
      <c r="I249" s="1142"/>
    </row>
    <row r="250" spans="1:9" ht="14.5" customHeight="1">
      <c r="A250" s="357"/>
      <c r="B250" s="358" t="s">
        <v>529</v>
      </c>
      <c r="D250" s="1248" t="s">
        <v>590</v>
      </c>
      <c r="E250" s="1248"/>
      <c r="F250" s="1248"/>
      <c r="I250" s="1142" t="s">
        <v>591</v>
      </c>
    </row>
    <row r="251" spans="1:9">
      <c r="A251" s="357"/>
      <c r="B251" s="357"/>
      <c r="D251" s="1248"/>
      <c r="E251" s="1248"/>
      <c r="F251" s="1248"/>
      <c r="I251" s="1142"/>
    </row>
    <row r="252" spans="1:9">
      <c r="A252" s="357"/>
      <c r="B252" s="357"/>
      <c r="D252" s="1248"/>
      <c r="E252" s="1248"/>
      <c r="F252" s="1248"/>
      <c r="I252" s="1142"/>
    </row>
    <row r="253" spans="1:9">
      <c r="A253" s="357"/>
      <c r="B253" s="357"/>
      <c r="D253" s="1248"/>
      <c r="E253" s="1248"/>
      <c r="F253" s="1248"/>
      <c r="I253" s="1142"/>
    </row>
    <row r="254" spans="1:9">
      <c r="A254" s="357"/>
      <c r="B254" s="357"/>
      <c r="D254" s="1248"/>
      <c r="E254" s="1248"/>
      <c r="F254" s="1248"/>
      <c r="I254" s="1142"/>
    </row>
    <row r="255" spans="1:9">
      <c r="A255" s="357"/>
      <c r="B255" s="357"/>
      <c r="D255" s="1120"/>
      <c r="E255" s="1120"/>
      <c r="F255" s="1120"/>
      <c r="I255" s="1142"/>
    </row>
    <row r="256" spans="1:9">
      <c r="A256" s="357"/>
      <c r="B256" s="358" t="s">
        <v>522</v>
      </c>
      <c r="D256" s="1122" t="s">
        <v>592</v>
      </c>
      <c r="E256" s="1120"/>
      <c r="F256" s="1120"/>
      <c r="I256" s="1142" t="s">
        <v>593</v>
      </c>
    </row>
    <row r="257" spans="1:9">
      <c r="A257" s="357"/>
      <c r="B257" s="357"/>
      <c r="E257" s="844" t="s">
        <v>594</v>
      </c>
      <c r="I257" s="1142"/>
    </row>
    <row r="258" spans="1:9">
      <c r="D258" s="1121"/>
      <c r="E258" s="1121"/>
      <c r="F258" s="1121"/>
      <c r="I258" s="1142"/>
    </row>
    <row r="259" spans="1:9">
      <c r="A259" s="357"/>
      <c r="B259" s="358" t="s">
        <v>522</v>
      </c>
      <c r="D259" s="1248" t="s">
        <v>351</v>
      </c>
      <c r="E259" s="1248"/>
      <c r="F259" s="1248"/>
      <c r="I259" s="1142"/>
    </row>
    <row r="260" spans="1:9">
      <c r="A260" s="357"/>
      <c r="B260" s="357"/>
      <c r="D260" s="1248"/>
      <c r="E260" s="1248"/>
      <c r="F260" s="1248"/>
      <c r="I260" s="1142"/>
    </row>
    <row r="261" spans="1:9">
      <c r="D261" s="363"/>
      <c r="I261" s="1142"/>
    </row>
    <row r="262" spans="1:9">
      <c r="A262" s="1237" t="s">
        <v>352</v>
      </c>
      <c r="B262" s="1237"/>
      <c r="C262" s="1237"/>
      <c r="D262" s="1237"/>
      <c r="E262" s="1237"/>
      <c r="F262" s="1237"/>
      <c r="G262" s="1237"/>
      <c r="H262" s="836"/>
      <c r="I262" s="1021"/>
    </row>
    <row r="263" spans="1:9">
      <c r="D263" s="363"/>
      <c r="I263" s="1142"/>
    </row>
    <row r="264" spans="1:9">
      <c r="C264" s="359"/>
      <c r="D264" s="1247" t="s">
        <v>353</v>
      </c>
      <c r="E264" s="1247"/>
      <c r="F264" s="1247"/>
      <c r="I264" s="1142"/>
    </row>
    <row r="265" spans="1:9">
      <c r="A265" s="1145"/>
      <c r="B265" s="1145"/>
      <c r="C265" s="1145"/>
      <c r="D265" s="1121"/>
      <c r="E265" s="1121"/>
      <c r="F265" s="1121"/>
      <c r="I265" s="1142"/>
    </row>
    <row r="266" spans="1:9">
      <c r="A266" s="356"/>
      <c r="B266" s="356"/>
      <c r="C266" s="356"/>
      <c r="D266" s="1247" t="s">
        <v>354</v>
      </c>
      <c r="E266" s="1247"/>
      <c r="F266" s="1247"/>
      <c r="I266" s="1142" t="s">
        <v>595</v>
      </c>
    </row>
    <row r="267" spans="1:9" ht="14.5" customHeight="1">
      <c r="A267" s="357"/>
      <c r="B267" s="358" t="s">
        <v>522</v>
      </c>
      <c r="D267" s="1248" t="s">
        <v>596</v>
      </c>
      <c r="E267" s="1248"/>
      <c r="F267" s="1248"/>
      <c r="I267" s="1142"/>
    </row>
    <row r="268" spans="1:9">
      <c r="D268" s="1248"/>
      <c r="E268" s="1248"/>
      <c r="F268" s="1248"/>
      <c r="I268" s="1142"/>
    </row>
    <row r="269" spans="1:9">
      <c r="E269" s="844" t="s">
        <v>597</v>
      </c>
      <c r="I269" s="1142"/>
    </row>
    <row r="270" spans="1:9">
      <c r="D270" s="1121"/>
      <c r="E270" s="1121"/>
      <c r="F270" s="1121"/>
      <c r="I270" s="1142"/>
    </row>
    <row r="271" spans="1:9" ht="14.5" customHeight="1">
      <c r="A271" s="357"/>
      <c r="B271" s="358" t="s">
        <v>529</v>
      </c>
      <c r="D271" s="1248" t="s">
        <v>598</v>
      </c>
      <c r="E271" s="1248"/>
      <c r="F271" s="1248"/>
      <c r="I271" s="1142" t="s">
        <v>599</v>
      </c>
    </row>
    <row r="272" spans="1:9">
      <c r="D272" s="1248"/>
      <c r="E272" s="1248"/>
      <c r="F272" s="1248"/>
      <c r="I272" s="1142"/>
    </row>
    <row r="273" spans="1:9">
      <c r="D273" s="1248"/>
      <c r="E273" s="1248"/>
      <c r="F273" s="1248"/>
      <c r="I273" s="1142"/>
    </row>
    <row r="274" spans="1:9">
      <c r="D274" s="1248"/>
      <c r="E274" s="1248"/>
      <c r="F274" s="1248"/>
      <c r="I274" s="1142"/>
    </row>
    <row r="275" spans="1:9">
      <c r="D275" s="1248"/>
      <c r="E275" s="1248"/>
      <c r="F275" s="1248"/>
      <c r="I275" s="1142"/>
    </row>
    <row r="276" spans="1:9">
      <c r="D276" s="1248"/>
      <c r="E276" s="1248"/>
      <c r="F276" s="1248"/>
      <c r="I276" s="1142"/>
    </row>
    <row r="277" spans="1:9">
      <c r="D277" s="1121"/>
      <c r="E277" s="1121"/>
      <c r="F277" s="1121"/>
      <c r="I277" s="1142"/>
    </row>
    <row r="278" spans="1:9">
      <c r="A278" s="357"/>
      <c r="B278" s="358" t="s">
        <v>529</v>
      </c>
      <c r="D278" s="1248" t="s">
        <v>359</v>
      </c>
      <c r="E278" s="1248"/>
      <c r="F278" s="1248"/>
      <c r="I278" s="1142"/>
    </row>
    <row r="279" spans="1:9">
      <c r="D279" s="1248"/>
      <c r="E279" s="1248"/>
      <c r="F279" s="1248"/>
      <c r="I279" s="1142"/>
    </row>
    <row r="280" spans="1:9">
      <c r="D280" s="1248"/>
      <c r="E280" s="1248"/>
      <c r="F280" s="1248"/>
      <c r="I280" s="1142"/>
    </row>
    <row r="281" spans="1:9">
      <c r="D281" s="364"/>
      <c r="E281" s="1121"/>
      <c r="F281" s="1121"/>
      <c r="I281" s="1142"/>
    </row>
    <row r="282" spans="1:9">
      <c r="A282" s="1237" t="s">
        <v>360</v>
      </c>
      <c r="B282" s="1237"/>
      <c r="C282" s="1237"/>
      <c r="D282" s="1237"/>
      <c r="E282" s="1237"/>
      <c r="F282" s="1237"/>
      <c r="G282" s="1237"/>
      <c r="H282" s="836"/>
      <c r="I282" s="1021"/>
    </row>
    <row r="283" spans="1:9">
      <c r="D283" s="364"/>
      <c r="E283" s="1121"/>
      <c r="F283" s="1121"/>
      <c r="I283" s="1142"/>
    </row>
    <row r="284" spans="1:9">
      <c r="C284" s="1145"/>
      <c r="D284" s="1250" t="s">
        <v>361</v>
      </c>
      <c r="E284" s="1250"/>
      <c r="F284" s="1250"/>
      <c r="I284" s="1142"/>
    </row>
    <row r="285" spans="1:9">
      <c r="C285" s="1145"/>
      <c r="D285" s="1250"/>
      <c r="E285" s="1250"/>
      <c r="F285" s="1250"/>
      <c r="I285" s="1142"/>
    </row>
    <row r="286" spans="1:9">
      <c r="A286" s="356"/>
      <c r="B286" s="356"/>
      <c r="C286" s="356"/>
      <c r="D286" s="293"/>
      <c r="I286" s="1142"/>
    </row>
    <row r="287" spans="1:9">
      <c r="C287" s="356"/>
      <c r="D287" s="1247" t="s">
        <v>362</v>
      </c>
      <c r="E287" s="1247"/>
      <c r="F287" s="1247"/>
      <c r="I287" s="1142"/>
    </row>
    <row r="288" spans="1:9" ht="15.75" customHeight="1">
      <c r="A288" s="357"/>
      <c r="B288" s="357"/>
      <c r="D288" s="1298" t="s">
        <v>363</v>
      </c>
      <c r="E288" s="1298"/>
      <c r="F288" s="1298"/>
      <c r="I288" s="1142"/>
    </row>
    <row r="289" spans="1:9">
      <c r="E289" s="1121"/>
      <c r="F289" s="1121"/>
      <c r="I289" s="1142"/>
    </row>
    <row r="290" spans="1:9">
      <c r="A290" s="357"/>
      <c r="B290" s="358" t="s">
        <v>529</v>
      </c>
      <c r="D290" s="1248" t="s">
        <v>364</v>
      </c>
      <c r="E290" s="1248"/>
      <c r="F290" s="1248"/>
      <c r="I290" s="1142" t="s">
        <v>600</v>
      </c>
    </row>
    <row r="291" spans="1:9">
      <c r="A291" s="357"/>
      <c r="B291" s="357"/>
      <c r="D291" s="1248"/>
      <c r="E291" s="1248"/>
      <c r="F291" s="1248"/>
      <c r="I291" s="1142"/>
    </row>
    <row r="292" spans="1:9">
      <c r="D292" s="1121"/>
      <c r="E292" s="1121"/>
      <c r="F292" s="1121"/>
      <c r="I292" s="1142"/>
    </row>
    <row r="293" spans="1:9">
      <c r="A293" s="357"/>
      <c r="B293" s="358" t="s">
        <v>529</v>
      </c>
      <c r="D293" s="1248" t="s">
        <v>365</v>
      </c>
      <c r="E293" s="1248"/>
      <c r="F293" s="1248"/>
      <c r="I293" s="1142" t="s">
        <v>600</v>
      </c>
    </row>
    <row r="294" spans="1:9">
      <c r="A294" s="357"/>
      <c r="B294" s="357"/>
      <c r="D294" s="1248"/>
      <c r="E294" s="1248"/>
      <c r="F294" s="1248"/>
      <c r="I294" s="1142"/>
    </row>
    <row r="295" spans="1:9">
      <c r="A295" s="357"/>
      <c r="B295" s="357"/>
      <c r="D295" s="1248"/>
      <c r="E295" s="1248"/>
      <c r="F295" s="1248"/>
      <c r="I295" s="1142"/>
    </row>
    <row r="296" spans="1:9">
      <c r="D296" s="1121"/>
      <c r="E296" s="1121"/>
      <c r="F296" s="1121"/>
      <c r="I296" s="1142"/>
    </row>
    <row r="297" spans="1:9">
      <c r="A297" s="357"/>
      <c r="B297" s="358" t="s">
        <v>529</v>
      </c>
      <c r="D297" s="1248" t="s">
        <v>366</v>
      </c>
      <c r="E297" s="1248"/>
      <c r="F297" s="1248"/>
      <c r="I297" s="1142" t="s">
        <v>600</v>
      </c>
    </row>
    <row r="298" spans="1:9">
      <c r="A298" s="357"/>
      <c r="B298" s="357"/>
      <c r="D298" s="1248"/>
      <c r="E298" s="1248"/>
      <c r="F298" s="1248"/>
      <c r="I298" s="1142"/>
    </row>
    <row r="299" spans="1:9">
      <c r="A299" s="1142"/>
      <c r="B299" s="1142"/>
      <c r="E299" s="1121"/>
      <c r="F299" s="1121"/>
      <c r="I299" s="1142"/>
    </row>
    <row r="300" spans="1:9">
      <c r="A300" s="1237" t="s">
        <v>367</v>
      </c>
      <c r="B300" s="1237"/>
      <c r="C300" s="1237"/>
      <c r="D300" s="1237"/>
      <c r="E300" s="1237"/>
      <c r="F300" s="1237"/>
      <c r="G300" s="1237"/>
      <c r="H300" s="836"/>
      <c r="I300" s="1021"/>
    </row>
    <row r="301" spans="1:9">
      <c r="A301" s="1142"/>
      <c r="B301" s="1142"/>
      <c r="D301" s="1121"/>
      <c r="E301" s="1121"/>
      <c r="F301" s="1121"/>
      <c r="I301" s="1142"/>
    </row>
    <row r="302" spans="1:9">
      <c r="C302" s="1142"/>
      <c r="D302" s="1247" t="s">
        <v>368</v>
      </c>
      <c r="E302" s="1247"/>
      <c r="F302" s="1247"/>
      <c r="I302" s="1142"/>
    </row>
    <row r="303" spans="1:9">
      <c r="C303" s="1142"/>
      <c r="D303" s="1249" t="s">
        <v>369</v>
      </c>
      <c r="E303" s="1249"/>
      <c r="F303" s="1249"/>
      <c r="I303" s="1142"/>
    </row>
    <row r="304" spans="1:9">
      <c r="C304" s="1142"/>
      <c r="D304" s="365"/>
      <c r="I304" s="1142"/>
    </row>
    <row r="305" spans="1:9">
      <c r="B305" s="358" t="s">
        <v>529</v>
      </c>
      <c r="D305" s="1249" t="s">
        <v>370</v>
      </c>
      <c r="E305" s="1249"/>
      <c r="F305" s="1249"/>
      <c r="I305" s="1142" t="s">
        <v>601</v>
      </c>
    </row>
    <row r="306" spans="1:9">
      <c r="A306" s="357"/>
      <c r="B306" s="357"/>
      <c r="D306" s="366"/>
      <c r="E306" s="367"/>
      <c r="F306" s="367"/>
      <c r="I306" s="1142"/>
    </row>
    <row r="307" spans="1:9" ht="13.75" customHeight="1">
      <c r="B307" s="358" t="s">
        <v>529</v>
      </c>
      <c r="D307" s="1301" t="s">
        <v>602</v>
      </c>
      <c r="E307" s="1301"/>
      <c r="F307" s="1301"/>
      <c r="I307" s="1142" t="s">
        <v>601</v>
      </c>
    </row>
    <row r="308" spans="1:9">
      <c r="A308" s="357"/>
      <c r="B308" s="357"/>
      <c r="D308" s="1301"/>
      <c r="E308" s="1301"/>
      <c r="F308" s="1301"/>
      <c r="I308" s="1142"/>
    </row>
    <row r="309" spans="1:9">
      <c r="A309" s="357"/>
      <c r="B309" s="357"/>
      <c r="D309" s="1301"/>
      <c r="E309" s="1301"/>
      <c r="F309" s="1301"/>
      <c r="I309" s="1142"/>
    </row>
    <row r="310" spans="1:9">
      <c r="A310" s="357"/>
      <c r="B310" s="357"/>
      <c r="D310" s="1301"/>
      <c r="E310" s="1301"/>
      <c r="F310" s="1301"/>
      <c r="I310" s="1142"/>
    </row>
    <row r="311" spans="1:9">
      <c r="A311" s="357"/>
      <c r="B311" s="357"/>
      <c r="D311" s="1301"/>
      <c r="E311" s="1301"/>
      <c r="F311" s="1301"/>
      <c r="I311" s="1142"/>
    </row>
    <row r="312" spans="1:9">
      <c r="A312" s="357"/>
      <c r="B312" s="357"/>
      <c r="D312" s="366"/>
      <c r="E312" s="367"/>
      <c r="F312" s="367"/>
      <c r="I312" s="1142"/>
    </row>
    <row r="313" spans="1:9" ht="13.75" customHeight="1">
      <c r="B313" s="358" t="s">
        <v>529</v>
      </c>
      <c r="D313" s="1301" t="s">
        <v>372</v>
      </c>
      <c r="E313" s="1301"/>
      <c r="F313" s="1301"/>
      <c r="I313" s="1142" t="s">
        <v>601</v>
      </c>
    </row>
    <row r="314" spans="1:9">
      <c r="D314" s="1301"/>
      <c r="E314" s="1301"/>
      <c r="F314" s="1301"/>
      <c r="I314" s="1142"/>
    </row>
    <row r="315" spans="1:9">
      <c r="A315" s="357"/>
      <c r="B315" s="357"/>
      <c r="D315" s="366"/>
      <c r="E315" s="367"/>
      <c r="F315" s="367"/>
      <c r="I315" s="1142"/>
    </row>
    <row r="316" spans="1:9">
      <c r="B316" s="358" t="s">
        <v>529</v>
      </c>
      <c r="D316" s="1249" t="s">
        <v>373</v>
      </c>
      <c r="E316" s="1249"/>
      <c r="F316" s="1249"/>
      <c r="I316" s="1142" t="s">
        <v>531</v>
      </c>
    </row>
    <row r="317" spans="1:9">
      <c r="E317" s="1121"/>
      <c r="F317" s="1121"/>
      <c r="I317" s="1142"/>
    </row>
    <row r="318" spans="1:9">
      <c r="A318" s="357"/>
      <c r="B318" s="358" t="s">
        <v>529</v>
      </c>
      <c r="D318" s="1248" t="s">
        <v>603</v>
      </c>
      <c r="E318" s="1248"/>
      <c r="F318" s="1248"/>
      <c r="I318" s="1142" t="s">
        <v>604</v>
      </c>
    </row>
    <row r="319" spans="1:9">
      <c r="A319" s="357"/>
      <c r="B319" s="357"/>
      <c r="D319" s="1248"/>
      <c r="E319" s="1248"/>
      <c r="F319" s="1248"/>
      <c r="I319" s="1142"/>
    </row>
    <row r="320" spans="1:9">
      <c r="A320" s="357"/>
      <c r="B320" s="357"/>
      <c r="D320" s="1248"/>
      <c r="E320" s="1248"/>
      <c r="F320" s="1248"/>
      <c r="I320" s="1142"/>
    </row>
    <row r="321" spans="1:9">
      <c r="A321" s="357"/>
      <c r="B321" s="357"/>
      <c r="D321" s="1248"/>
      <c r="E321" s="1248"/>
      <c r="F321" s="1248"/>
      <c r="I321" s="1142"/>
    </row>
    <row r="322" spans="1:9">
      <c r="A322" s="357"/>
      <c r="B322" s="357"/>
      <c r="D322" s="1248"/>
      <c r="E322" s="1248"/>
      <c r="F322" s="1248"/>
      <c r="I322" s="1142"/>
    </row>
    <row r="323" spans="1:9">
      <c r="A323" s="357"/>
      <c r="B323" s="357"/>
      <c r="D323" s="1248"/>
      <c r="E323" s="1248"/>
      <c r="F323" s="1248"/>
      <c r="I323" s="1142"/>
    </row>
    <row r="324" spans="1:9">
      <c r="A324" s="357"/>
      <c r="B324" s="357"/>
      <c r="D324" s="1248"/>
      <c r="E324" s="1248"/>
      <c r="F324" s="1248"/>
      <c r="I324" s="1142"/>
    </row>
    <row r="325" spans="1:9">
      <c r="A325" s="357"/>
      <c r="B325" s="357"/>
      <c r="D325" s="1248"/>
      <c r="E325" s="1248"/>
      <c r="F325" s="1248"/>
      <c r="I325" s="1142"/>
    </row>
    <row r="326" spans="1:9">
      <c r="A326" s="357"/>
      <c r="B326" s="357"/>
      <c r="D326" s="1248"/>
      <c r="E326" s="1248"/>
      <c r="F326" s="1248"/>
      <c r="I326" s="1142"/>
    </row>
    <row r="327" spans="1:9">
      <c r="A327" s="357"/>
      <c r="B327" s="357"/>
      <c r="D327" s="1248"/>
      <c r="E327" s="1248"/>
      <c r="F327" s="1248"/>
      <c r="I327" s="1142"/>
    </row>
    <row r="328" spans="1:9">
      <c r="A328" s="357"/>
      <c r="B328" s="357"/>
      <c r="D328" s="1248"/>
      <c r="E328" s="1248"/>
      <c r="F328" s="1248"/>
      <c r="I328" s="1142"/>
    </row>
    <row r="329" spans="1:9">
      <c r="A329" s="357"/>
      <c r="B329" s="357"/>
      <c r="D329" s="1248"/>
      <c r="E329" s="1248"/>
      <c r="F329" s="1248"/>
      <c r="I329" s="1142"/>
    </row>
    <row r="330" spans="1:9">
      <c r="A330" s="357"/>
      <c r="B330" s="357"/>
      <c r="D330" s="1248"/>
      <c r="E330" s="1248"/>
      <c r="F330" s="1248"/>
      <c r="I330" s="1142"/>
    </row>
    <row r="331" spans="1:9">
      <c r="A331" s="357"/>
      <c r="B331" s="357"/>
      <c r="D331" s="1248"/>
      <c r="E331" s="1248"/>
      <c r="F331" s="1248"/>
      <c r="I331" s="1142"/>
    </row>
    <row r="332" spans="1:9">
      <c r="A332" s="357"/>
      <c r="B332" s="357"/>
      <c r="D332" s="1248"/>
      <c r="E332" s="1248"/>
      <c r="F332" s="1248"/>
      <c r="I332" s="1142"/>
    </row>
    <row r="333" spans="1:9">
      <c r="D333" s="1121"/>
      <c r="E333" s="1121"/>
      <c r="F333" s="1121"/>
      <c r="I333" s="1142"/>
    </row>
    <row r="334" spans="1:9">
      <c r="A334" s="357"/>
      <c r="B334" s="358" t="s">
        <v>529</v>
      </c>
      <c r="D334" s="1248" t="s">
        <v>375</v>
      </c>
      <c r="E334" s="1248"/>
      <c r="F334" s="1248"/>
      <c r="I334" s="1142" t="s">
        <v>604</v>
      </c>
    </row>
    <row r="335" spans="1:9">
      <c r="D335" s="1248"/>
      <c r="E335" s="1248"/>
      <c r="F335" s="1248"/>
      <c r="I335" s="1142"/>
    </row>
    <row r="336" spans="1:9">
      <c r="D336" s="1248"/>
      <c r="E336" s="1248"/>
      <c r="F336" s="1248"/>
      <c r="I336" s="1142"/>
    </row>
    <row r="337" spans="1:9">
      <c r="D337" s="1248"/>
      <c r="E337" s="1248"/>
      <c r="F337" s="1248"/>
      <c r="I337" s="1142"/>
    </row>
    <row r="338" spans="1:9">
      <c r="D338" s="1248"/>
      <c r="E338" s="1248"/>
      <c r="F338" s="1248"/>
      <c r="I338" s="1142"/>
    </row>
    <row r="339" spans="1:9">
      <c r="D339" s="1248"/>
      <c r="E339" s="1248"/>
      <c r="F339" s="1248"/>
      <c r="I339" s="1142"/>
    </row>
    <row r="340" spans="1:9">
      <c r="D340" s="1248"/>
      <c r="E340" s="1248"/>
      <c r="F340" s="1248"/>
      <c r="I340" s="1142"/>
    </row>
    <row r="341" spans="1:9">
      <c r="D341" s="1248"/>
      <c r="E341" s="1248"/>
      <c r="F341" s="1248"/>
      <c r="I341" s="1142"/>
    </row>
    <row r="342" spans="1:9">
      <c r="D342" s="1248"/>
      <c r="E342" s="1248"/>
      <c r="F342" s="1248"/>
      <c r="I342" s="1142"/>
    </row>
    <row r="343" spans="1:9">
      <c r="D343" s="1121"/>
      <c r="E343" s="1121"/>
      <c r="F343" s="1121"/>
      <c r="I343" s="1142"/>
    </row>
    <row r="344" spans="1:9" ht="14.25" customHeight="1">
      <c r="A344" s="357"/>
      <c r="B344" s="358" t="s">
        <v>529</v>
      </c>
      <c r="D344" s="1248" t="s">
        <v>605</v>
      </c>
      <c r="E344" s="1248"/>
      <c r="F344" s="1248"/>
      <c r="I344" s="1142" t="s">
        <v>606</v>
      </c>
    </row>
    <row r="345" spans="1:9">
      <c r="D345" s="1248"/>
      <c r="E345" s="1248"/>
      <c r="F345" s="1248"/>
      <c r="I345" s="1142"/>
    </row>
    <row r="346" spans="1:9">
      <c r="D346" s="1248"/>
      <c r="E346" s="1248"/>
      <c r="F346" s="1248"/>
      <c r="I346" s="1142"/>
    </row>
    <row r="347" spans="1:9">
      <c r="D347" s="1248"/>
      <c r="E347" s="1248"/>
      <c r="F347" s="1248"/>
      <c r="I347" s="1142"/>
    </row>
    <row r="348" spans="1:9">
      <c r="D348" s="277" t="s">
        <v>566</v>
      </c>
      <c r="E348" s="1140"/>
      <c r="F348" s="1140"/>
      <c r="I348" s="1142"/>
    </row>
    <row r="349" spans="1:9">
      <c r="D349" s="1140"/>
      <c r="E349" s="55" t="s">
        <v>607</v>
      </c>
      <c r="G349" s="55"/>
      <c r="I349" s="1142"/>
    </row>
    <row r="350" spans="1:9">
      <c r="D350" s="1120"/>
      <c r="E350" s="1120"/>
      <c r="F350" s="1120"/>
      <c r="I350" s="1142"/>
    </row>
    <row r="351" spans="1:9" ht="13.5" thickBot="1">
      <c r="A351" s="831"/>
      <c r="B351" s="831"/>
      <c r="C351" s="831"/>
      <c r="D351" s="1297" t="s">
        <v>377</v>
      </c>
      <c r="E351" s="1297"/>
      <c r="F351" s="1297"/>
      <c r="G351" s="835"/>
      <c r="H351" s="835"/>
      <c r="I351" s="1024"/>
    </row>
    <row r="352" spans="1:9" ht="13.5" thickTop="1">
      <c r="D352" s="1302" t="s">
        <v>378</v>
      </c>
      <c r="E352" s="1302"/>
      <c r="F352" s="1302"/>
      <c r="I352" s="1142"/>
    </row>
    <row r="353" spans="1:9">
      <c r="D353" s="1121"/>
      <c r="E353" s="1121"/>
      <c r="F353" s="1121"/>
      <c r="I353" s="1142"/>
    </row>
    <row r="354" spans="1:9">
      <c r="A354" s="352"/>
      <c r="B354" s="352"/>
      <c r="C354" s="352"/>
      <c r="D354" s="1115"/>
      <c r="E354" s="1115"/>
      <c r="F354" s="1121"/>
      <c r="I354" s="1142" t="s">
        <v>608</v>
      </c>
    </row>
    <row r="355" spans="1:9">
      <c r="A355" s="357"/>
      <c r="B355" s="358" t="s">
        <v>529</v>
      </c>
      <c r="C355" s="360"/>
      <c r="D355" s="1249" t="s">
        <v>609</v>
      </c>
      <c r="E355" s="1249"/>
      <c r="F355" s="1249"/>
      <c r="I355" s="1304" t="s">
        <v>610</v>
      </c>
    </row>
    <row r="356" spans="1:9" ht="12.75" customHeight="1">
      <c r="D356" s="1112"/>
      <c r="E356" s="55" t="s">
        <v>611</v>
      </c>
      <c r="F356" s="1112"/>
      <c r="I356" s="1305"/>
    </row>
    <row r="357" spans="1:9" ht="12.5">
      <c r="D357" s="1248" t="s">
        <v>612</v>
      </c>
      <c r="E357" s="1248"/>
      <c r="F357" s="1248"/>
      <c r="I357" s="1305"/>
    </row>
    <row r="358" spans="1:9" ht="12.5">
      <c r="D358" s="1248"/>
      <c r="E358" s="1248"/>
      <c r="F358" s="1248"/>
      <c r="I358" s="1305"/>
    </row>
    <row r="359" spans="1:9" ht="12.5">
      <c r="D359" s="1248"/>
      <c r="E359" s="1248"/>
      <c r="F359" s="1248"/>
      <c r="I359" s="1306"/>
    </row>
    <row r="360" spans="1:9">
      <c r="A360" s="357"/>
      <c r="B360" s="358" t="s">
        <v>529</v>
      </c>
      <c r="C360" s="352"/>
      <c r="D360" s="1235" t="s">
        <v>613</v>
      </c>
      <c r="E360" s="1235"/>
      <c r="F360" s="1235"/>
      <c r="I360" s="355"/>
    </row>
    <row r="361" spans="1:9">
      <c r="A361" s="352"/>
      <c r="B361" s="352"/>
      <c r="C361" s="352"/>
      <c r="D361" s="1115"/>
      <c r="E361" s="1115"/>
      <c r="F361" s="1121"/>
      <c r="I361" s="1142"/>
    </row>
    <row r="362" spans="1:9">
      <c r="A362" s="352"/>
      <c r="B362" s="358" t="s">
        <v>529</v>
      </c>
      <c r="C362" s="352"/>
      <c r="D362" s="1231" t="s">
        <v>614</v>
      </c>
      <c r="E362" s="1231"/>
      <c r="F362" s="1231"/>
      <c r="I362" s="1142"/>
    </row>
    <row r="363" spans="1:9">
      <c r="A363" s="352"/>
      <c r="B363" s="352"/>
      <c r="C363" s="352"/>
      <c r="D363" s="1231"/>
      <c r="E363" s="1231"/>
      <c r="F363" s="1231"/>
      <c r="I363" s="1142"/>
    </row>
    <row r="364" spans="1:9">
      <c r="A364" s="352"/>
      <c r="B364" s="352"/>
      <c r="C364" s="352"/>
      <c r="D364" s="1231"/>
      <c r="E364" s="1231"/>
      <c r="F364" s="1231"/>
      <c r="I364" s="1142"/>
    </row>
    <row r="365" spans="1:9">
      <c r="A365" s="352"/>
      <c r="B365" s="352"/>
      <c r="C365" s="352"/>
      <c r="D365" s="1231"/>
      <c r="E365" s="1231"/>
      <c r="F365" s="1231"/>
      <c r="I365" s="1142"/>
    </row>
    <row r="366" spans="1:9">
      <c r="A366" s="352"/>
      <c r="B366" s="352"/>
      <c r="C366" s="352"/>
      <c r="D366" s="1231"/>
      <c r="E366" s="1231"/>
      <c r="F366" s="1231"/>
      <c r="I366" s="1142"/>
    </row>
    <row r="367" spans="1:9">
      <c r="A367" s="352"/>
      <c r="B367" s="352"/>
      <c r="C367" s="352"/>
      <c r="D367" s="1231"/>
      <c r="E367" s="1231"/>
      <c r="F367" s="1231"/>
      <c r="I367" s="1142"/>
    </row>
    <row r="368" spans="1:9">
      <c r="A368" s="352"/>
      <c r="B368" s="352"/>
      <c r="C368" s="352"/>
      <c r="D368" s="1231"/>
      <c r="E368" s="1231"/>
      <c r="F368" s="1231"/>
      <c r="I368" s="1142"/>
    </row>
    <row r="369" spans="1:9">
      <c r="A369" s="352"/>
      <c r="B369" s="352"/>
      <c r="C369" s="352"/>
      <c r="D369" s="1231"/>
      <c r="E369" s="1231"/>
      <c r="F369" s="1231"/>
      <c r="I369" s="1142"/>
    </row>
    <row r="370" spans="1:9">
      <c r="A370" s="352"/>
      <c r="B370" s="352"/>
      <c r="C370" s="352"/>
      <c r="D370" s="1231"/>
      <c r="E370" s="1231"/>
      <c r="F370" s="1231"/>
      <c r="I370" s="1142"/>
    </row>
    <row r="371" spans="1:9">
      <c r="A371" s="352"/>
      <c r="B371" s="352"/>
      <c r="C371" s="352"/>
      <c r="D371" s="1231"/>
      <c r="E371" s="1231"/>
      <c r="F371" s="1231"/>
      <c r="I371" s="1142"/>
    </row>
    <row r="372" spans="1:9">
      <c r="A372" s="352"/>
      <c r="B372" s="352"/>
      <c r="C372" s="352"/>
      <c r="D372" s="1231"/>
      <c r="E372" s="1231"/>
      <c r="F372" s="1231"/>
      <c r="I372" s="1142"/>
    </row>
    <row r="373" spans="1:9">
      <c r="A373" s="352"/>
      <c r="B373" s="352"/>
      <c r="C373" s="352"/>
      <c r="D373" s="1231"/>
      <c r="E373" s="1231"/>
      <c r="F373" s="1231"/>
      <c r="I373" s="1142"/>
    </row>
    <row r="374" spans="1:9">
      <c r="A374" s="352"/>
      <c r="B374" s="352"/>
      <c r="C374" s="352"/>
      <c r="D374" s="1113"/>
      <c r="E374" s="1113"/>
      <c r="F374" s="1113"/>
      <c r="I374" s="1142"/>
    </row>
    <row r="375" spans="1:9" ht="12.65" customHeight="1">
      <c r="A375" s="352"/>
      <c r="B375" s="358" t="s">
        <v>529</v>
      </c>
      <c r="C375" s="352"/>
      <c r="D375" s="1277" t="s">
        <v>615</v>
      </c>
      <c r="E375" s="1277"/>
      <c r="F375" s="1277"/>
      <c r="I375" s="1142"/>
    </row>
    <row r="376" spans="1:9">
      <c r="A376" s="352"/>
      <c r="B376" s="352"/>
      <c r="C376" s="352"/>
      <c r="D376" s="1277"/>
      <c r="E376" s="1277"/>
      <c r="F376" s="1277"/>
      <c r="I376" s="1142"/>
    </row>
    <row r="377" spans="1:9">
      <c r="A377" s="352"/>
      <c r="B377" s="352"/>
      <c r="C377" s="352"/>
      <c r="D377" s="1277"/>
      <c r="E377" s="1277"/>
      <c r="F377" s="1277"/>
      <c r="I377" s="1142"/>
    </row>
    <row r="378" spans="1:9">
      <c r="A378" s="352"/>
      <c r="B378" s="352"/>
      <c r="C378" s="352"/>
      <c r="D378" s="1277"/>
      <c r="E378" s="1277"/>
      <c r="F378" s="1277"/>
      <c r="I378" s="1142"/>
    </row>
    <row r="379" spans="1:9">
      <c r="A379" s="352"/>
      <c r="B379" s="352"/>
      <c r="C379" s="352"/>
      <c r="D379" s="1135"/>
      <c r="E379" s="1135"/>
      <c r="F379" s="1135"/>
      <c r="I379" s="1142"/>
    </row>
    <row r="380" spans="1:9">
      <c r="A380" s="352"/>
      <c r="B380" s="358" t="s">
        <v>529</v>
      </c>
      <c r="C380" s="352"/>
      <c r="D380" s="291" t="s">
        <v>616</v>
      </c>
      <c r="E380" s="1135"/>
      <c r="F380" s="1135"/>
      <c r="I380" s="1142"/>
    </row>
    <row r="381" spans="1:9">
      <c r="A381" s="352"/>
      <c r="B381" s="352"/>
      <c r="C381" s="352"/>
      <c r="D381" s="291" t="s">
        <v>617</v>
      </c>
      <c r="E381" s="1135"/>
      <c r="F381" s="1135"/>
      <c r="I381" s="1142"/>
    </row>
    <row r="382" spans="1:9">
      <c r="A382" s="352"/>
      <c r="B382" s="352"/>
      <c r="C382" s="352"/>
      <c r="D382" s="291" t="s">
        <v>618</v>
      </c>
      <c r="E382" s="1135"/>
      <c r="F382" s="1135"/>
      <c r="I382" s="1142"/>
    </row>
    <row r="383" spans="1:9">
      <c r="A383" s="352"/>
      <c r="B383" s="352"/>
      <c r="C383" s="352"/>
      <c r="D383" s="291" t="s">
        <v>619</v>
      </c>
      <c r="E383" s="1135"/>
      <c r="F383" s="1135"/>
      <c r="I383" s="1142"/>
    </row>
    <row r="384" spans="1:9">
      <c r="A384" s="352"/>
      <c r="B384" s="352"/>
      <c r="C384" s="352"/>
      <c r="D384" s="291" t="s">
        <v>620</v>
      </c>
      <c r="E384" s="1135"/>
      <c r="F384" s="1135"/>
      <c r="I384" s="1142"/>
    </row>
    <row r="385" spans="1:9">
      <c r="A385" s="352"/>
      <c r="B385" s="352"/>
      <c r="C385" s="352"/>
      <c r="D385" s="291" t="s">
        <v>621</v>
      </c>
      <c r="E385" s="1135"/>
      <c r="F385" s="1135"/>
      <c r="I385" s="1142"/>
    </row>
    <row r="386" spans="1:9">
      <c r="A386" s="352"/>
      <c r="B386" s="352"/>
      <c r="C386" s="352"/>
      <c r="E386" s="1115"/>
      <c r="F386" s="1121"/>
      <c r="I386" s="1142"/>
    </row>
    <row r="387" spans="1:9">
      <c r="A387" s="357"/>
      <c r="B387" s="358" t="s">
        <v>529</v>
      </c>
      <c r="C387" s="352"/>
      <c r="D387" s="1231" t="s">
        <v>381</v>
      </c>
      <c r="E387" s="1231"/>
      <c r="F387" s="1231"/>
      <c r="I387" s="1142"/>
    </row>
    <row r="388" spans="1:9">
      <c r="A388" s="352"/>
      <c r="B388" s="352"/>
      <c r="C388" s="352"/>
      <c r="D388" s="1231"/>
      <c r="E388" s="1231"/>
      <c r="F388" s="1231"/>
      <c r="I388" s="1142"/>
    </row>
    <row r="389" spans="1:9">
      <c r="A389" s="352"/>
      <c r="B389" s="352"/>
      <c r="C389" s="352"/>
      <c r="D389" s="1231"/>
      <c r="E389" s="1231"/>
      <c r="F389" s="1231"/>
      <c r="I389" s="1142"/>
    </row>
    <row r="390" spans="1:9">
      <c r="A390" s="352"/>
      <c r="B390" s="352"/>
      <c r="C390" s="352"/>
      <c r="D390" s="1231"/>
      <c r="E390" s="1231"/>
      <c r="F390" s="1231"/>
      <c r="I390" s="1142"/>
    </row>
    <row r="391" spans="1:9">
      <c r="A391" s="352"/>
      <c r="B391" s="352"/>
      <c r="C391" s="352"/>
      <c r="D391" s="1115"/>
      <c r="E391" s="1115"/>
      <c r="F391" s="1121"/>
      <c r="I391" s="1142"/>
    </row>
    <row r="392" spans="1:9">
      <c r="A392" s="352"/>
      <c r="B392" s="352"/>
      <c r="C392" s="352"/>
      <c r="D392" s="1231" t="s">
        <v>382</v>
      </c>
      <c r="E392" s="1231"/>
      <c r="F392" s="1231"/>
      <c r="I392" s="1142"/>
    </row>
    <row r="393" spans="1:9">
      <c r="A393" s="352"/>
      <c r="B393" s="352"/>
      <c r="C393" s="352"/>
      <c r="D393" s="1231"/>
      <c r="E393" s="1231"/>
      <c r="F393" s="1231"/>
      <c r="I393" s="1142"/>
    </row>
    <row r="394" spans="1:9">
      <c r="A394" s="352"/>
      <c r="B394" s="352"/>
      <c r="C394" s="352"/>
      <c r="D394" s="1231"/>
      <c r="E394" s="1231"/>
      <c r="F394" s="1231"/>
      <c r="I394" s="1142"/>
    </row>
    <row r="395" spans="1:9">
      <c r="A395" s="352"/>
      <c r="B395" s="352"/>
      <c r="C395" s="352"/>
      <c r="D395" s="1231"/>
      <c r="E395" s="1231"/>
      <c r="F395" s="1231"/>
      <c r="I395" s="1142"/>
    </row>
    <row r="396" spans="1:9" ht="18" customHeight="1">
      <c r="A396" s="352"/>
      <c r="B396" s="352"/>
      <c r="C396" s="352"/>
      <c r="D396" s="1231"/>
      <c r="E396" s="1231"/>
      <c r="F396" s="1231"/>
      <c r="I396" s="1142"/>
    </row>
    <row r="397" spans="1:9">
      <c r="A397" s="352"/>
      <c r="B397" s="352"/>
      <c r="C397" s="352"/>
      <c r="D397" s="1231"/>
      <c r="E397" s="1231"/>
      <c r="F397" s="1231"/>
      <c r="I397" s="1142"/>
    </row>
    <row r="398" spans="1:9">
      <c r="A398" s="352"/>
      <c r="B398" s="352"/>
      <c r="C398" s="352"/>
      <c r="D398" s="1231"/>
      <c r="E398" s="1231"/>
      <c r="F398" s="1231"/>
      <c r="I398" s="1142"/>
    </row>
    <row r="399" spans="1:9">
      <c r="A399" s="352"/>
      <c r="B399" s="352"/>
      <c r="C399" s="352"/>
      <c r="D399" s="1231"/>
      <c r="E399" s="1231"/>
      <c r="F399" s="1231"/>
      <c r="I399" s="1142"/>
    </row>
    <row r="400" spans="1:9" ht="8.25" customHeight="1">
      <c r="A400" s="352"/>
      <c r="B400" s="352"/>
      <c r="C400" s="352"/>
      <c r="D400" s="1231"/>
      <c r="E400" s="1231"/>
      <c r="F400" s="1231"/>
      <c r="I400" s="1142"/>
    </row>
    <row r="401" spans="1:9" ht="13.75" customHeight="1">
      <c r="A401" s="352"/>
      <c r="B401" s="352"/>
      <c r="C401" s="352"/>
      <c r="D401" s="1231" t="s">
        <v>383</v>
      </c>
      <c r="E401" s="1231"/>
      <c r="F401" s="1231"/>
      <c r="I401" s="1142"/>
    </row>
    <row r="402" spans="1:9">
      <c r="A402" s="352"/>
      <c r="B402" s="352"/>
      <c r="C402" s="352"/>
      <c r="D402" s="1231"/>
      <c r="E402" s="1231"/>
      <c r="F402" s="1231"/>
      <c r="I402" s="1142"/>
    </row>
    <row r="403" spans="1:9">
      <c r="A403" s="352"/>
      <c r="B403" s="352"/>
      <c r="C403" s="352"/>
      <c r="D403" s="1231"/>
      <c r="E403" s="1231"/>
      <c r="F403" s="1231"/>
      <c r="I403" s="1142"/>
    </row>
    <row r="404" spans="1:9">
      <c r="A404" s="352"/>
      <c r="B404" s="352"/>
      <c r="C404" s="352"/>
      <c r="D404" s="1231"/>
      <c r="E404" s="1231"/>
      <c r="F404" s="1231"/>
      <c r="I404" s="1142"/>
    </row>
    <row r="405" spans="1:9">
      <c r="A405" s="352"/>
      <c r="B405" s="352"/>
      <c r="C405" s="352"/>
      <c r="D405" s="1231"/>
      <c r="E405" s="1231"/>
      <c r="F405" s="1231"/>
      <c r="I405" s="1142"/>
    </row>
    <row r="406" spans="1:9">
      <c r="A406" s="352"/>
      <c r="B406" s="352"/>
      <c r="C406" s="352"/>
      <c r="D406" s="1231"/>
      <c r="E406" s="1231"/>
      <c r="F406" s="1231"/>
      <c r="I406" s="1142"/>
    </row>
    <row r="407" spans="1:9">
      <c r="A407" s="352"/>
      <c r="B407" s="352"/>
      <c r="C407" s="352"/>
      <c r="D407" s="1231"/>
      <c r="E407" s="1231"/>
      <c r="F407" s="1231"/>
      <c r="I407" s="1142"/>
    </row>
    <row r="408" spans="1:9">
      <c r="A408" s="352"/>
      <c r="B408" s="352"/>
      <c r="C408" s="352"/>
      <c r="D408" s="1231"/>
      <c r="E408" s="1231"/>
      <c r="F408" s="1231"/>
      <c r="I408" s="1142"/>
    </row>
    <row r="409" spans="1:9">
      <c r="A409" s="352"/>
      <c r="B409" s="352"/>
      <c r="C409" s="352"/>
      <c r="D409" s="1231"/>
      <c r="E409" s="1231"/>
      <c r="F409" s="1231"/>
      <c r="I409" s="1142"/>
    </row>
    <row r="410" spans="1:9">
      <c r="A410" s="352"/>
      <c r="B410" s="352"/>
      <c r="C410" s="352"/>
      <c r="D410" s="1231"/>
      <c r="E410" s="1231"/>
      <c r="F410" s="1231"/>
      <c r="I410" s="1142"/>
    </row>
    <row r="411" spans="1:9">
      <c r="A411" s="352"/>
      <c r="B411" s="352"/>
      <c r="C411" s="352"/>
      <c r="D411" s="1231"/>
      <c r="E411" s="1231"/>
      <c r="F411" s="1231"/>
      <c r="I411" s="1142"/>
    </row>
    <row r="412" spans="1:9">
      <c r="A412" s="352"/>
      <c r="B412" s="352"/>
      <c r="C412" s="352"/>
      <c r="D412" s="1231"/>
      <c r="E412" s="1231"/>
      <c r="F412" s="1231"/>
      <c r="I412" s="1142"/>
    </row>
    <row r="413" spans="1:9">
      <c r="A413" s="352"/>
      <c r="B413" s="352"/>
      <c r="C413" s="368"/>
      <c r="D413" s="1231"/>
      <c r="E413" s="1231"/>
      <c r="F413" s="1231"/>
      <c r="I413" s="1142"/>
    </row>
    <row r="414" spans="1:9">
      <c r="A414" s="352"/>
      <c r="B414" s="352"/>
      <c r="C414" s="368"/>
      <c r="D414" s="1231"/>
      <c r="E414" s="1231"/>
      <c r="F414" s="1231"/>
      <c r="I414" s="1142"/>
    </row>
    <row r="415" spans="1:9">
      <c r="A415" s="352"/>
      <c r="B415" s="352"/>
      <c r="C415" s="352"/>
      <c r="D415" s="1231"/>
      <c r="E415" s="1231"/>
      <c r="F415" s="1231"/>
      <c r="I415" s="1142"/>
    </row>
    <row r="416" spans="1:9">
      <c r="A416" s="352"/>
      <c r="B416" s="352"/>
      <c r="C416" s="368"/>
      <c r="D416" s="1231"/>
      <c r="E416" s="1231"/>
      <c r="F416" s="1231"/>
      <c r="I416" s="1142"/>
    </row>
    <row r="417" spans="1:9">
      <c r="A417" s="352"/>
      <c r="B417" s="352"/>
      <c r="C417" s="368"/>
      <c r="D417" s="1231"/>
      <c r="E417" s="1231"/>
      <c r="F417" s="1231"/>
      <c r="I417" s="1142"/>
    </row>
    <row r="418" spans="1:9">
      <c r="A418" s="352"/>
      <c r="B418" s="352"/>
      <c r="C418" s="368"/>
      <c r="D418" s="1231"/>
      <c r="E418" s="1231"/>
      <c r="F418" s="1231"/>
      <c r="I418" s="1142"/>
    </row>
    <row r="419" spans="1:9">
      <c r="A419" s="352"/>
      <c r="B419" s="352"/>
      <c r="C419" s="352"/>
      <c r="D419" s="1115"/>
      <c r="E419" s="1115"/>
      <c r="F419" s="1121"/>
      <c r="I419" s="1142"/>
    </row>
    <row r="420" spans="1:9">
      <c r="A420" s="352"/>
      <c r="B420" s="358" t="s">
        <v>529</v>
      </c>
      <c r="C420" s="352"/>
      <c r="D420" s="1231" t="s">
        <v>384</v>
      </c>
      <c r="E420" s="1231"/>
      <c r="F420" s="1231"/>
      <c r="I420" s="1142"/>
    </row>
    <row r="421" spans="1:9">
      <c r="A421" s="352"/>
      <c r="B421" s="352"/>
      <c r="C421" s="352"/>
      <c r="D421" s="1231"/>
      <c r="E421" s="1231"/>
      <c r="F421" s="1231"/>
      <c r="I421" s="1142"/>
    </row>
    <row r="422" spans="1:9">
      <c r="A422" s="352"/>
      <c r="B422" s="352"/>
      <c r="C422" s="352"/>
      <c r="D422" s="1113"/>
      <c r="E422" s="1113"/>
      <c r="F422" s="1113"/>
      <c r="I422" s="1142"/>
    </row>
    <row r="423" spans="1:9" ht="14.5" customHeight="1">
      <c r="A423" s="357"/>
      <c r="B423" s="358" t="s">
        <v>529</v>
      </c>
      <c r="D423" s="1231" t="s">
        <v>622</v>
      </c>
      <c r="E423" s="1231"/>
      <c r="F423" s="1231"/>
      <c r="I423" s="1142"/>
    </row>
    <row r="424" spans="1:9" ht="14.5" customHeight="1">
      <c r="A424" s="357"/>
      <c r="D424" s="1231"/>
      <c r="E424" s="1231"/>
      <c r="F424" s="1231"/>
      <c r="I424" s="1142"/>
    </row>
    <row r="425" spans="1:9" ht="14.5" customHeight="1">
      <c r="A425" s="357"/>
      <c r="D425" s="1231"/>
      <c r="E425" s="1231"/>
      <c r="F425" s="1231"/>
      <c r="I425" s="1142"/>
    </row>
    <row r="426" spans="1:9" ht="14.5" customHeight="1">
      <c r="A426" s="357"/>
      <c r="D426" s="1231"/>
      <c r="E426" s="1231"/>
      <c r="F426" s="1231"/>
      <c r="I426" s="1142"/>
    </row>
    <row r="427" spans="1:9" ht="14.5" customHeight="1">
      <c r="A427" s="357"/>
      <c r="D427" s="1231"/>
      <c r="E427" s="1231"/>
      <c r="F427" s="1231"/>
      <c r="I427" s="1142"/>
    </row>
    <row r="428" spans="1:9" ht="14.5" customHeight="1">
      <c r="A428" s="357"/>
      <c r="D428" s="1140"/>
      <c r="E428" s="1140"/>
      <c r="F428" s="1140"/>
      <c r="I428" s="1142"/>
    </row>
    <row r="429" spans="1:9" ht="13.75" customHeight="1">
      <c r="A429" s="357"/>
      <c r="B429" s="358" t="s">
        <v>529</v>
      </c>
      <c r="C429" s="352"/>
      <c r="D429" s="1231" t="s">
        <v>623</v>
      </c>
      <c r="E429" s="1231"/>
      <c r="F429" s="1231"/>
      <c r="I429" s="1142"/>
    </row>
    <row r="430" spans="1:9">
      <c r="A430" s="369"/>
      <c r="B430" s="369"/>
      <c r="C430" s="352"/>
      <c r="D430" s="1231"/>
      <c r="E430" s="1231"/>
      <c r="F430" s="1231"/>
      <c r="I430" s="1142"/>
    </row>
    <row r="431" spans="1:9">
      <c r="A431" s="369"/>
      <c r="B431" s="369"/>
      <c r="C431" s="352"/>
      <c r="D431" s="1231"/>
      <c r="E431" s="1231"/>
      <c r="F431" s="1231"/>
      <c r="I431" s="1142"/>
    </row>
    <row r="432" spans="1:9">
      <c r="A432" s="369"/>
      <c r="B432" s="369"/>
      <c r="C432" s="352"/>
      <c r="D432" s="1231"/>
      <c r="E432" s="1231"/>
      <c r="F432" s="1231"/>
      <c r="I432" s="1142"/>
    </row>
    <row r="433" spans="1:9" ht="15.75" customHeight="1">
      <c r="A433" s="369"/>
      <c r="B433" s="369"/>
      <c r="C433" s="352"/>
      <c r="D433" s="1300" t="s">
        <v>624</v>
      </c>
      <c r="E433" s="1231"/>
      <c r="F433" s="1231"/>
      <c r="I433" s="1142"/>
    </row>
    <row r="434" spans="1:9">
      <c r="D434" s="1121"/>
      <c r="E434" s="1121"/>
      <c r="F434" s="1121"/>
      <c r="I434" s="1142"/>
    </row>
    <row r="435" spans="1:9">
      <c r="A435" s="357"/>
      <c r="B435" s="358" t="s">
        <v>529</v>
      </c>
      <c r="C435" s="360"/>
      <c r="D435" s="1248" t="s">
        <v>625</v>
      </c>
      <c r="E435" s="1248"/>
      <c r="F435" s="1248"/>
      <c r="I435" s="1142"/>
    </row>
    <row r="436" spans="1:9">
      <c r="A436" s="357"/>
      <c r="B436" s="357"/>
      <c r="D436" s="1248"/>
      <c r="E436" s="1248"/>
      <c r="F436" s="1248"/>
      <c r="I436" s="1142"/>
    </row>
    <row r="437" spans="1:9">
      <c r="D437" s="1248"/>
      <c r="E437" s="1248"/>
      <c r="F437" s="1248"/>
      <c r="I437" s="1142"/>
    </row>
    <row r="438" spans="1:9">
      <c r="D438" s="1248"/>
      <c r="E438" s="1248"/>
      <c r="F438" s="1248"/>
      <c r="I438" s="1142"/>
    </row>
    <row r="439" spans="1:9">
      <c r="D439" s="1248"/>
      <c r="E439" s="1248"/>
      <c r="F439" s="1248"/>
      <c r="I439" s="1142"/>
    </row>
    <row r="440" spans="1:9">
      <c r="D440" s="1248"/>
      <c r="E440" s="1248"/>
      <c r="F440" s="1248"/>
      <c r="I440" s="1142"/>
    </row>
    <row r="441" spans="1:9">
      <c r="D441" s="1248"/>
      <c r="E441" s="1248"/>
      <c r="F441" s="1248"/>
      <c r="I441" s="1142"/>
    </row>
    <row r="442" spans="1:9">
      <c r="D442" s="1248"/>
      <c r="E442" s="1248"/>
      <c r="F442" s="1248"/>
      <c r="I442" s="1142"/>
    </row>
    <row r="443" spans="1:9">
      <c r="D443" s="1248"/>
      <c r="E443" s="1248"/>
      <c r="F443" s="1248"/>
      <c r="I443" s="1142"/>
    </row>
    <row r="444" spans="1:9">
      <c r="D444" s="1248"/>
      <c r="E444" s="1248"/>
      <c r="F444" s="1248"/>
      <c r="I444" s="1142"/>
    </row>
    <row r="445" spans="1:9">
      <c r="D445" s="1248"/>
      <c r="E445" s="1248"/>
      <c r="F445" s="1248"/>
      <c r="I445" s="1142"/>
    </row>
    <row r="446" spans="1:9">
      <c r="D446" s="1248"/>
      <c r="E446" s="1248"/>
      <c r="F446" s="1248"/>
      <c r="I446" s="1142"/>
    </row>
    <row r="447" spans="1:9">
      <c r="D447" s="1248"/>
      <c r="E447" s="1248"/>
      <c r="F447" s="1248"/>
      <c r="I447" s="1142"/>
    </row>
    <row r="448" spans="1:9">
      <c r="A448" s="291"/>
      <c r="B448" s="291"/>
      <c r="C448" s="291"/>
      <c r="D448" s="1248"/>
      <c r="E448" s="1248"/>
      <c r="F448" s="1248"/>
      <c r="I448" s="1142"/>
    </row>
    <row r="449" spans="1:9">
      <c r="A449" s="291"/>
      <c r="B449" s="291"/>
      <c r="C449" s="291"/>
      <c r="D449" s="1248"/>
      <c r="E449" s="1248"/>
      <c r="F449" s="1248"/>
      <c r="I449" s="1142"/>
    </row>
    <row r="450" spans="1:9">
      <c r="A450" s="291"/>
      <c r="B450" s="291"/>
      <c r="C450" s="291"/>
      <c r="D450" s="1248"/>
      <c r="E450" s="1248"/>
      <c r="F450" s="1248"/>
      <c r="I450" s="1142"/>
    </row>
    <row r="451" spans="1:9">
      <c r="A451" s="291"/>
      <c r="B451" s="291"/>
      <c r="C451" s="291"/>
      <c r="D451" s="1248"/>
      <c r="E451" s="1248"/>
      <c r="F451" s="1248"/>
      <c r="I451" s="1142"/>
    </row>
    <row r="452" spans="1:9">
      <c r="A452" s="291"/>
      <c r="B452" s="291"/>
      <c r="C452" s="291"/>
      <c r="D452" s="1248"/>
      <c r="E452" s="1248"/>
      <c r="F452" s="1248"/>
      <c r="I452" s="1142"/>
    </row>
    <row r="453" spans="1:9">
      <c r="A453" s="291"/>
      <c r="B453" s="291"/>
      <c r="C453" s="291"/>
      <c r="D453" s="1248"/>
      <c r="E453" s="1248"/>
      <c r="F453" s="1248"/>
      <c r="I453" s="1142"/>
    </row>
    <row r="454" spans="1:9">
      <c r="A454" s="291"/>
      <c r="B454" s="291"/>
      <c r="C454" s="291"/>
      <c r="D454" s="1248"/>
      <c r="E454" s="1248"/>
      <c r="F454" s="1248"/>
      <c r="I454" s="1142"/>
    </row>
    <row r="455" spans="1:9">
      <c r="A455" s="291"/>
      <c r="B455" s="291"/>
      <c r="C455" s="291"/>
      <c r="D455" s="1248"/>
      <c r="E455" s="1248"/>
      <c r="F455" s="1248"/>
      <c r="I455" s="1142"/>
    </row>
    <row r="456" spans="1:9">
      <c r="A456" s="291"/>
      <c r="B456" s="291"/>
      <c r="C456" s="291"/>
      <c r="D456" s="1248"/>
      <c r="E456" s="1248"/>
      <c r="F456" s="1248"/>
      <c r="I456" s="1142"/>
    </row>
    <row r="457" spans="1:9">
      <c r="A457" s="291"/>
      <c r="B457" s="291"/>
      <c r="C457" s="291"/>
      <c r="D457" s="1248"/>
      <c r="E457" s="1248"/>
      <c r="F457" s="1248"/>
      <c r="I457" s="1142"/>
    </row>
    <row r="458" spans="1:9">
      <c r="A458" s="291"/>
      <c r="B458" s="291"/>
      <c r="C458" s="291"/>
      <c r="D458" s="1248"/>
      <c r="E458" s="1248"/>
      <c r="F458" s="1248"/>
      <c r="I458" s="1142"/>
    </row>
    <row r="459" spans="1:9">
      <c r="A459" s="291"/>
      <c r="B459" s="291"/>
      <c r="C459" s="291"/>
      <c r="D459" s="1248"/>
      <c r="E459" s="1248"/>
      <c r="F459" s="1248"/>
      <c r="I459" s="1142"/>
    </row>
    <row r="460" spans="1:9">
      <c r="A460" s="291"/>
      <c r="B460" s="291"/>
      <c r="C460" s="291"/>
      <c r="D460" s="1248"/>
      <c r="E460" s="1248"/>
      <c r="F460" s="1248"/>
      <c r="I460" s="1142"/>
    </row>
    <row r="461" spans="1:9">
      <c r="A461" s="291"/>
      <c r="B461" s="291"/>
      <c r="C461" s="291"/>
      <c r="D461" s="1248"/>
      <c r="E461" s="1248"/>
      <c r="F461" s="1248"/>
      <c r="I461" s="1142"/>
    </row>
    <row r="462" spans="1:9">
      <c r="A462" s="291"/>
      <c r="B462" s="291"/>
      <c r="C462" s="291"/>
      <c r="D462" s="1248"/>
      <c r="E462" s="1248"/>
      <c r="F462" s="1248"/>
      <c r="I462" s="1142"/>
    </row>
    <row r="463" spans="1:9">
      <c r="A463" s="291"/>
      <c r="B463" s="291"/>
      <c r="C463" s="291"/>
      <c r="D463" s="1248"/>
      <c r="E463" s="1248"/>
      <c r="F463" s="1248"/>
      <c r="I463" s="1142"/>
    </row>
    <row r="464" spans="1:9">
      <c r="D464" s="1248"/>
      <c r="E464" s="1248"/>
      <c r="F464" s="1248"/>
      <c r="I464" s="1142"/>
    </row>
    <row r="465" spans="1:9" ht="40.75" customHeight="1">
      <c r="D465" s="1248"/>
      <c r="E465" s="1248"/>
      <c r="F465" s="1248"/>
      <c r="I465" s="1142"/>
    </row>
    <row r="466" spans="1:9">
      <c r="D466" s="1121"/>
      <c r="E466" s="1121"/>
      <c r="F466" s="1121"/>
      <c r="I466" s="1142"/>
    </row>
    <row r="467" spans="1:9">
      <c r="A467" s="357"/>
      <c r="B467" s="358" t="s">
        <v>529</v>
      </c>
      <c r="C467" s="360"/>
      <c r="D467" s="1248" t="s">
        <v>390</v>
      </c>
      <c r="E467" s="1248"/>
      <c r="F467" s="1248"/>
      <c r="I467" s="1142"/>
    </row>
    <row r="468" spans="1:9">
      <c r="D468" s="1248"/>
      <c r="E468" s="1248"/>
      <c r="F468" s="1248"/>
      <c r="I468" s="1142"/>
    </row>
    <row r="469" spans="1:9">
      <c r="D469" s="1248"/>
      <c r="E469" s="1248"/>
      <c r="F469" s="1248"/>
      <c r="I469" s="1142"/>
    </row>
    <row r="470" spans="1:9">
      <c r="D470" s="1120"/>
      <c r="E470" s="1120"/>
      <c r="F470" s="1120"/>
      <c r="I470" s="1142"/>
    </row>
    <row r="471" spans="1:9">
      <c r="B471" s="358" t="s">
        <v>529</v>
      </c>
      <c r="C471" s="357"/>
      <c r="D471" s="1248" t="s">
        <v>626</v>
      </c>
      <c r="E471" s="1248"/>
      <c r="F471" s="1248"/>
      <c r="I471" s="1142"/>
    </row>
    <row r="472" spans="1:9">
      <c r="D472" s="1248"/>
      <c r="E472" s="1248"/>
      <c r="F472" s="1248"/>
      <c r="I472" s="1142"/>
    </row>
    <row r="473" spans="1:9">
      <c r="D473" s="1121"/>
      <c r="E473" s="1121"/>
      <c r="F473" s="1121"/>
      <c r="I473" s="1142"/>
    </row>
    <row r="474" spans="1:9">
      <c r="B474" s="358" t="s">
        <v>529</v>
      </c>
      <c r="C474" s="357"/>
      <c r="D474" s="1248" t="s">
        <v>392</v>
      </c>
      <c r="E474" s="1248"/>
      <c r="F474" s="1248"/>
      <c r="I474" s="1142"/>
    </row>
    <row r="475" spans="1:9">
      <c r="D475" s="1248"/>
      <c r="E475" s="1248"/>
      <c r="F475" s="1248"/>
      <c r="I475" s="1142"/>
    </row>
    <row r="476" spans="1:9">
      <c r="D476" s="1248"/>
      <c r="E476" s="1248"/>
      <c r="F476" s="1248"/>
      <c r="I476" s="1142"/>
    </row>
    <row r="477" spans="1:9">
      <c r="D477" s="1248"/>
      <c r="E477" s="1248"/>
      <c r="F477" s="1248"/>
      <c r="I477" s="1142"/>
    </row>
    <row r="478" spans="1:9">
      <c r="B478" s="358" t="s">
        <v>529</v>
      </c>
      <c r="D478" s="1248"/>
      <c r="E478" s="1248"/>
      <c r="F478" s="1248"/>
      <c r="I478" s="1142"/>
    </row>
    <row r="479" spans="1:9">
      <c r="A479" s="291"/>
      <c r="B479" s="291"/>
      <c r="C479" s="291"/>
      <c r="D479" s="1248"/>
      <c r="E479" s="1248"/>
      <c r="F479" s="1248"/>
      <c r="I479" s="1142"/>
    </row>
    <row r="480" spans="1:9">
      <c r="A480" s="291"/>
      <c r="C480" s="291"/>
      <c r="D480" s="1248"/>
      <c r="E480" s="1248"/>
      <c r="F480" s="1248"/>
      <c r="I480" s="1142"/>
    </row>
    <row r="481" spans="1:9">
      <c r="A481" s="291"/>
      <c r="B481" s="358" t="s">
        <v>529</v>
      </c>
      <c r="C481" s="291"/>
      <c r="D481" s="1248"/>
      <c r="E481" s="1248"/>
      <c r="F481" s="1248"/>
      <c r="I481" s="1142"/>
    </row>
    <row r="482" spans="1:9">
      <c r="A482" s="291"/>
      <c r="B482" s="291"/>
      <c r="C482" s="291"/>
      <c r="D482" s="1248"/>
      <c r="E482" s="1248"/>
      <c r="F482" s="1248"/>
      <c r="I482" s="1142"/>
    </row>
    <row r="483" spans="1:9">
      <c r="A483" s="291"/>
      <c r="C483" s="291"/>
      <c r="D483" s="1248"/>
      <c r="E483" s="1248"/>
      <c r="F483" s="1248"/>
      <c r="I483" s="1142"/>
    </row>
    <row r="484" spans="1:9">
      <c r="A484" s="291"/>
      <c r="C484" s="291"/>
      <c r="D484" s="1248"/>
      <c r="E484" s="1248"/>
      <c r="F484" s="1248"/>
      <c r="I484" s="1142"/>
    </row>
    <row r="485" spans="1:9">
      <c r="A485" s="291"/>
      <c r="C485" s="291"/>
      <c r="D485" s="1248"/>
      <c r="E485" s="1248"/>
      <c r="F485" s="1248"/>
      <c r="I485" s="1142"/>
    </row>
    <row r="486" spans="1:9">
      <c r="A486" s="291"/>
      <c r="B486" s="358" t="s">
        <v>529</v>
      </c>
      <c r="C486" s="291"/>
      <c r="D486" s="1248"/>
      <c r="E486" s="1248"/>
      <c r="F486" s="1248"/>
      <c r="I486" s="1142"/>
    </row>
    <row r="487" spans="1:9">
      <c r="A487" s="291"/>
      <c r="C487" s="291"/>
      <c r="D487" s="1248"/>
      <c r="E487" s="1248"/>
      <c r="F487" s="1248"/>
      <c r="I487" s="1142"/>
    </row>
    <row r="488" spans="1:9">
      <c r="A488" s="291"/>
      <c r="B488" s="358" t="s">
        <v>529</v>
      </c>
      <c r="C488" s="291"/>
      <c r="D488" s="1248" t="s">
        <v>393</v>
      </c>
      <c r="E488" s="1248"/>
      <c r="F488" s="1248"/>
      <c r="I488" s="1142"/>
    </row>
    <row r="489" spans="1:9">
      <c r="A489" s="291"/>
      <c r="B489" s="291"/>
      <c r="C489" s="291"/>
      <c r="D489" s="1248"/>
      <c r="E489" s="1248"/>
      <c r="F489" s="1248"/>
      <c r="I489" s="1142"/>
    </row>
    <row r="490" spans="1:9">
      <c r="A490" s="291"/>
      <c r="B490" s="291"/>
      <c r="C490" s="291"/>
      <c r="D490" s="1248"/>
      <c r="E490" s="1248"/>
      <c r="F490" s="1248"/>
      <c r="I490" s="1142"/>
    </row>
    <row r="491" spans="1:9">
      <c r="A491" s="291"/>
      <c r="B491" s="291"/>
      <c r="C491" s="291"/>
      <c r="D491" s="1248"/>
      <c r="E491" s="1248"/>
      <c r="F491" s="1248"/>
      <c r="I491" s="1142"/>
    </row>
    <row r="492" spans="1:9">
      <c r="D492" s="1248"/>
      <c r="E492" s="1248"/>
      <c r="F492" s="1248"/>
      <c r="I492" s="1142"/>
    </row>
    <row r="493" spans="1:9">
      <c r="D493" s="1121"/>
      <c r="E493" s="1121"/>
      <c r="F493" s="1121"/>
      <c r="I493" s="1142"/>
    </row>
    <row r="494" spans="1:9">
      <c r="B494" s="358" t="s">
        <v>529</v>
      </c>
      <c r="D494" s="1249" t="s">
        <v>394</v>
      </c>
      <c r="E494" s="1249"/>
      <c r="F494" s="1249"/>
      <c r="I494" s="1142"/>
    </row>
    <row r="495" spans="1:9">
      <c r="A495" s="1121"/>
      <c r="B495" s="1121"/>
      <c r="I495" s="1142"/>
    </row>
    <row r="496" spans="1:9">
      <c r="A496" s="1237" t="s">
        <v>395</v>
      </c>
      <c r="B496" s="1237"/>
      <c r="C496" s="1237"/>
      <c r="D496" s="1237"/>
      <c r="E496" s="1237"/>
      <c r="F496" s="1237"/>
      <c r="G496" s="1237"/>
      <c r="H496" s="836"/>
      <c r="I496" s="1021"/>
    </row>
    <row r="497" spans="1:9">
      <c r="A497" s="1121"/>
      <c r="B497" s="1121"/>
      <c r="I497" s="1142"/>
    </row>
    <row r="498" spans="1:9">
      <c r="D498" s="1234" t="s">
        <v>396</v>
      </c>
      <c r="E498" s="1234"/>
      <c r="F498" s="1234"/>
      <c r="I498" s="1142"/>
    </row>
    <row r="499" spans="1:9">
      <c r="A499" s="357"/>
      <c r="B499" s="357"/>
      <c r="D499" s="1235" t="s">
        <v>397</v>
      </c>
      <c r="E499" s="1235"/>
      <c r="F499" s="1235"/>
      <c r="I499" s="1142"/>
    </row>
    <row r="500" spans="1:9">
      <c r="A500" s="357"/>
      <c r="B500" s="357"/>
      <c r="D500" s="1115"/>
      <c r="I500" s="1142"/>
    </row>
    <row r="501" spans="1:9">
      <c r="A501" s="357"/>
      <c r="B501" s="358" t="s">
        <v>529</v>
      </c>
      <c r="D501" s="1231" t="s">
        <v>398</v>
      </c>
      <c r="E501" s="1231"/>
      <c r="F501" s="1231"/>
      <c r="I501" s="1142" t="s">
        <v>627</v>
      </c>
    </row>
    <row r="502" spans="1:9">
      <c r="A502" s="357"/>
      <c r="B502" s="357"/>
      <c r="D502" s="1231"/>
      <c r="E502" s="1231"/>
      <c r="F502" s="1231"/>
      <c r="I502" s="1142"/>
    </row>
    <row r="503" spans="1:9">
      <c r="A503" s="357"/>
      <c r="B503" s="357"/>
      <c r="D503" s="1121"/>
      <c r="I503" s="1142"/>
    </row>
    <row r="504" spans="1:9" ht="12.75" customHeight="1">
      <c r="B504" s="358" t="s">
        <v>522</v>
      </c>
      <c r="D504" s="1236" t="s">
        <v>628</v>
      </c>
      <c r="E504" s="1236"/>
      <c r="F504" s="1236"/>
      <c r="I504" s="1142" t="s">
        <v>629</v>
      </c>
    </row>
    <row r="505" spans="1:9">
      <c r="A505" s="357"/>
      <c r="D505" s="1236"/>
      <c r="E505" s="1236"/>
      <c r="F505" s="1236"/>
      <c r="I505" s="1142"/>
    </row>
    <row r="506" spans="1:9">
      <c r="A506" s="357"/>
      <c r="B506" s="357"/>
      <c r="D506" s="1236"/>
      <c r="E506" s="1236"/>
      <c r="F506" s="1236"/>
      <c r="I506" s="1142"/>
    </row>
    <row r="507" spans="1:9">
      <c r="A507" s="357"/>
      <c r="B507" s="357"/>
      <c r="D507" s="1236"/>
      <c r="E507" s="1236"/>
      <c r="F507" s="1236"/>
      <c r="I507" s="1142"/>
    </row>
    <row r="508" spans="1:9">
      <c r="A508" s="357"/>
      <c r="D508" s="390"/>
      <c r="E508" s="390"/>
      <c r="F508" s="390"/>
      <c r="I508" s="1142"/>
    </row>
    <row r="509" spans="1:9">
      <c r="A509" s="357"/>
      <c r="B509" s="358" t="s">
        <v>522</v>
      </c>
      <c r="D509" s="1249" t="s">
        <v>401</v>
      </c>
      <c r="E509" s="1249"/>
      <c r="F509" s="1249"/>
      <c r="I509" s="1142" t="s">
        <v>630</v>
      </c>
    </row>
    <row r="510" spans="1:9">
      <c r="A510" s="357"/>
      <c r="B510" s="357"/>
      <c r="D510" s="1121"/>
      <c r="I510" s="1142"/>
    </row>
    <row r="511" spans="1:9">
      <c r="A511" s="357"/>
      <c r="B511" s="358" t="s">
        <v>522</v>
      </c>
      <c r="D511" s="1248" t="s">
        <v>402</v>
      </c>
      <c r="E511" s="1248"/>
      <c r="F511" s="1248"/>
      <c r="I511" s="1142" t="s">
        <v>630</v>
      </c>
    </row>
    <row r="512" spans="1:9">
      <c r="A512" s="357"/>
      <c r="D512" s="1248"/>
      <c r="E512" s="1248"/>
      <c r="F512" s="1248"/>
      <c r="I512" s="1142"/>
    </row>
    <row r="513" spans="1:9">
      <c r="A513" s="1142"/>
      <c r="B513" s="1142"/>
      <c r="D513" s="1115"/>
      <c r="I513" s="1142"/>
    </row>
    <row r="514" spans="1:9">
      <c r="A514" s="1142"/>
      <c r="B514" s="358" t="s">
        <v>529</v>
      </c>
      <c r="D514" s="1249" t="s">
        <v>403</v>
      </c>
      <c r="E514" s="1249"/>
      <c r="F514" s="1249"/>
      <c r="I514" s="1142" t="s">
        <v>631</v>
      </c>
    </row>
    <row r="515" spans="1:9">
      <c r="A515" s="357"/>
      <c r="B515" s="357"/>
      <c r="D515" s="1121"/>
      <c r="I515" s="1142"/>
    </row>
    <row r="516" spans="1:9">
      <c r="A516" s="1237" t="s">
        <v>404</v>
      </c>
      <c r="B516" s="1237"/>
      <c r="C516" s="1237"/>
      <c r="D516" s="1237"/>
      <c r="E516" s="1237"/>
      <c r="F516" s="1237"/>
      <c r="G516" s="1237"/>
      <c r="H516" s="836"/>
      <c r="I516" s="1021"/>
    </row>
    <row r="517" spans="1:9" ht="12" customHeight="1">
      <c r="A517" s="357"/>
      <c r="B517" s="357"/>
      <c r="D517" s="1121"/>
      <c r="I517" s="1142"/>
    </row>
    <row r="518" spans="1:9">
      <c r="C518" s="1145"/>
      <c r="D518" s="1247" t="s">
        <v>405</v>
      </c>
      <c r="E518" s="1247"/>
      <c r="F518" s="1247"/>
      <c r="I518" s="1142"/>
    </row>
    <row r="519" spans="1:9">
      <c r="C519" s="1145"/>
      <c r="D519" s="378" t="s">
        <v>632</v>
      </c>
      <c r="E519" s="378"/>
      <c r="F519" s="378"/>
      <c r="I519" s="1142"/>
    </row>
    <row r="520" spans="1:9">
      <c r="C520" s="1145"/>
      <c r="D520" s="378" t="s">
        <v>633</v>
      </c>
      <c r="E520" s="378"/>
      <c r="F520" s="378"/>
      <c r="I520" s="1142"/>
    </row>
    <row r="521" spans="1:9">
      <c r="C521" s="1145"/>
      <c r="D521" s="1119"/>
      <c r="E521" s="1119"/>
      <c r="F521" s="1119"/>
      <c r="I521" s="1142"/>
    </row>
    <row r="522" spans="1:9" ht="13.75" customHeight="1">
      <c r="A522" s="356"/>
      <c r="B522" s="358" t="s">
        <v>522</v>
      </c>
      <c r="C522" s="356"/>
      <c r="D522" s="1231" t="s">
        <v>634</v>
      </c>
      <c r="E522" s="1231"/>
      <c r="F522" s="1231"/>
      <c r="I522" s="1142" t="s">
        <v>635</v>
      </c>
    </row>
    <row r="523" spans="1:9">
      <c r="A523" s="356"/>
      <c r="B523" s="356"/>
      <c r="C523" s="356"/>
      <c r="D523" s="1231"/>
      <c r="E523" s="1231"/>
      <c r="F523" s="1231"/>
      <c r="I523" s="1142"/>
    </row>
    <row r="524" spans="1:9">
      <c r="A524" s="356"/>
      <c r="B524" s="356"/>
      <c r="C524" s="356"/>
      <c r="D524" s="1113"/>
      <c r="E524" s="1113"/>
      <c r="F524" s="1113"/>
      <c r="I524" s="355"/>
    </row>
    <row r="525" spans="1:9" ht="12.75" customHeight="1">
      <c r="A525" s="356"/>
      <c r="B525" s="358" t="s">
        <v>522</v>
      </c>
      <c r="D525" s="277" t="s">
        <v>636</v>
      </c>
      <c r="E525" s="1140"/>
      <c r="F525" s="1140"/>
      <c r="I525" s="1142" t="s">
        <v>637</v>
      </c>
    </row>
    <row r="526" spans="1:9">
      <c r="A526" s="356"/>
      <c r="B526" s="356"/>
      <c r="C526" s="356"/>
      <c r="D526" s="1140"/>
      <c r="E526" s="55" t="s">
        <v>638</v>
      </c>
      <c r="I526" s="1142"/>
    </row>
    <row r="527" spans="1:9">
      <c r="A527" s="356"/>
      <c r="B527" s="356"/>
      <c r="D527" s="1277" t="s">
        <v>639</v>
      </c>
      <c r="E527" s="1277"/>
      <c r="F527" s="1277"/>
      <c r="I527" s="1142"/>
    </row>
    <row r="528" spans="1:9">
      <c r="A528" s="356"/>
      <c r="B528" s="356"/>
      <c r="D528" s="1277"/>
      <c r="E528" s="1277"/>
      <c r="F528" s="1277"/>
      <c r="I528" s="1142"/>
    </row>
    <row r="529" spans="1:9">
      <c r="A529" s="356"/>
      <c r="B529" s="356"/>
      <c r="C529" s="356"/>
      <c r="D529" s="1277"/>
      <c r="E529" s="1277"/>
      <c r="F529" s="1277"/>
      <c r="I529" s="1142"/>
    </row>
    <row r="530" spans="1:9">
      <c r="A530" s="356"/>
      <c r="B530" s="356"/>
      <c r="C530" s="356"/>
      <c r="D530" s="370"/>
      <c r="F530" s="1121"/>
      <c r="I530" s="1142"/>
    </row>
    <row r="531" spans="1:9" ht="13.4" customHeight="1">
      <c r="A531" s="356"/>
      <c r="B531" s="358" t="s">
        <v>529</v>
      </c>
      <c r="C531" s="356"/>
      <c r="D531" s="1248" t="s">
        <v>640</v>
      </c>
      <c r="E531" s="1248"/>
      <c r="F531" s="1248"/>
      <c r="I531" s="1142" t="s">
        <v>637</v>
      </c>
    </row>
    <row r="532" spans="1:9">
      <c r="A532" s="356"/>
      <c r="B532" s="356"/>
      <c r="C532" s="356"/>
      <c r="D532" s="1248"/>
      <c r="E532" s="1248"/>
      <c r="F532" s="1248"/>
      <c r="I532" s="1142"/>
    </row>
    <row r="533" spans="1:9" ht="12" customHeight="1">
      <c r="A533" s="1121"/>
      <c r="B533" s="1121"/>
      <c r="C533" s="360"/>
      <c r="D533" s="1121"/>
      <c r="F533" s="1144"/>
      <c r="I533" s="1142"/>
    </row>
    <row r="534" spans="1:9">
      <c r="A534" s="1237" t="s">
        <v>413</v>
      </c>
      <c r="B534" s="1237"/>
      <c r="C534" s="1237"/>
      <c r="D534" s="1237"/>
      <c r="E534" s="1237"/>
      <c r="F534" s="1237"/>
      <c r="G534" s="1237"/>
      <c r="H534" s="836"/>
      <c r="I534" s="1021"/>
    </row>
    <row r="535" spans="1:9">
      <c r="A535" s="1121"/>
      <c r="B535" s="1121"/>
      <c r="C535" s="360"/>
      <c r="F535" s="1144"/>
      <c r="I535" s="1142"/>
    </row>
    <row r="536" spans="1:9">
      <c r="B536" s="1251" t="s">
        <v>334</v>
      </c>
      <c r="C536" s="1251"/>
      <c r="D536" s="1251"/>
      <c r="E536" s="1251"/>
      <c r="F536" s="1251"/>
      <c r="I536" s="1142"/>
    </row>
    <row r="537" spans="1:9">
      <c r="A537" s="1121"/>
      <c r="B537" s="1121"/>
      <c r="C537" s="360"/>
      <c r="D537" s="1121"/>
      <c r="F537" s="1121"/>
      <c r="I537" s="1142"/>
    </row>
    <row r="538" spans="1:9">
      <c r="A538" s="1266" t="s">
        <v>414</v>
      </c>
      <c r="B538" s="1266"/>
      <c r="C538" s="1266"/>
      <c r="D538" s="1266"/>
      <c r="E538" s="1266"/>
      <c r="F538" s="1266"/>
      <c r="G538" s="1266"/>
      <c r="H538" s="836"/>
      <c r="I538" s="1021"/>
    </row>
    <row r="539" spans="1:9">
      <c r="A539" s="1121"/>
      <c r="B539" s="1121"/>
      <c r="C539" s="360"/>
      <c r="D539" s="1121"/>
      <c r="F539" s="1121"/>
      <c r="I539" s="1142"/>
    </row>
    <row r="540" spans="1:9">
      <c r="C540" s="360"/>
      <c r="D540" s="1247" t="s">
        <v>415</v>
      </c>
      <c r="E540" s="1247"/>
      <c r="F540" s="1247"/>
      <c r="I540" s="1142"/>
    </row>
    <row r="541" spans="1:9">
      <c r="C541" s="360"/>
      <c r="D541" s="1249" t="s">
        <v>416</v>
      </c>
      <c r="E541" s="1249"/>
      <c r="F541" s="1249"/>
      <c r="I541" s="1142"/>
    </row>
    <row r="542" spans="1:9">
      <c r="C542" s="360"/>
      <c r="D542" s="1121"/>
      <c r="E542" s="1121"/>
      <c r="F542" s="1121"/>
      <c r="I542" s="1142"/>
    </row>
    <row r="543" spans="1:9" ht="13.75" customHeight="1">
      <c r="A543" s="357"/>
      <c r="B543" s="358" t="s">
        <v>522</v>
      </c>
      <c r="C543" s="360"/>
      <c r="D543" s="1249" t="s">
        <v>417</v>
      </c>
      <c r="E543" s="1249"/>
      <c r="F543" s="1249"/>
      <c r="I543" s="1142" t="s">
        <v>641</v>
      </c>
    </row>
    <row r="544" spans="1:9" ht="13.75" customHeight="1">
      <c r="A544" s="360"/>
      <c r="B544" s="360"/>
      <c r="C544" s="360"/>
      <c r="D544" s="1121"/>
      <c r="I544" s="1142"/>
    </row>
    <row r="545" spans="1:9">
      <c r="A545" s="357"/>
      <c r="B545" s="358" t="s">
        <v>522</v>
      </c>
      <c r="C545" s="360"/>
      <c r="D545" s="1248" t="s">
        <v>418</v>
      </c>
      <c r="E545" s="1248"/>
      <c r="F545" s="1248"/>
      <c r="I545" s="1142" t="s">
        <v>641</v>
      </c>
    </row>
    <row r="546" spans="1:9">
      <c r="A546" s="360"/>
      <c r="B546" s="360"/>
      <c r="C546" s="360"/>
      <c r="D546" s="1248"/>
      <c r="E546" s="1248"/>
      <c r="F546" s="1248"/>
      <c r="I546" s="1142"/>
    </row>
    <row r="547" spans="1:9">
      <c r="A547" s="360"/>
      <c r="B547" s="360"/>
      <c r="C547" s="360"/>
      <c r="D547" s="1121"/>
      <c r="E547" s="1121"/>
      <c r="F547" s="1121"/>
      <c r="I547" s="1142"/>
    </row>
    <row r="548" spans="1:9">
      <c r="A548" s="357"/>
      <c r="B548" s="358" t="s">
        <v>522</v>
      </c>
      <c r="C548" s="360"/>
      <c r="D548" s="1248" t="s">
        <v>419</v>
      </c>
      <c r="E548" s="1248"/>
      <c r="F548" s="1248"/>
      <c r="I548" s="1142" t="s">
        <v>642</v>
      </c>
    </row>
    <row r="549" spans="1:9">
      <c r="A549" s="360"/>
      <c r="B549" s="360"/>
      <c r="C549" s="360"/>
      <c r="D549" s="1248"/>
      <c r="E549" s="1248"/>
      <c r="F549" s="1248"/>
      <c r="I549" s="1142"/>
    </row>
    <row r="550" spans="1:9">
      <c r="A550" s="360"/>
      <c r="B550" s="360"/>
      <c r="C550" s="360"/>
      <c r="D550" s="1121"/>
      <c r="E550" s="1121"/>
      <c r="F550" s="1121"/>
      <c r="I550" s="1142"/>
    </row>
    <row r="551" spans="1:9">
      <c r="A551" s="357"/>
      <c r="B551" s="358" t="s">
        <v>522</v>
      </c>
      <c r="C551" s="360"/>
      <c r="D551" s="1248" t="s">
        <v>420</v>
      </c>
      <c r="E551" s="1248"/>
      <c r="F551" s="1248"/>
      <c r="I551" s="1142" t="s">
        <v>643</v>
      </c>
    </row>
    <row r="552" spans="1:9">
      <c r="A552" s="360"/>
      <c r="B552" s="360"/>
      <c r="C552" s="360"/>
      <c r="D552" s="1248"/>
      <c r="E552" s="1248"/>
      <c r="F552" s="1248"/>
      <c r="I552" s="1142"/>
    </row>
    <row r="553" spans="1:9">
      <c r="A553" s="360"/>
      <c r="B553" s="360"/>
      <c r="C553" s="360"/>
      <c r="D553" s="1121"/>
      <c r="E553" s="1121"/>
      <c r="F553" s="1121"/>
      <c r="I553" s="1142"/>
    </row>
    <row r="554" spans="1:9">
      <c r="A554" s="357"/>
      <c r="B554" s="358" t="s">
        <v>522</v>
      </c>
      <c r="C554" s="360"/>
      <c r="D554" s="1248" t="s">
        <v>421</v>
      </c>
      <c r="E554" s="1248"/>
      <c r="F554" s="1248"/>
      <c r="I554" s="1142" t="s">
        <v>644</v>
      </c>
    </row>
    <row r="555" spans="1:9">
      <c r="A555" s="360"/>
      <c r="B555" s="360"/>
      <c r="C555" s="360"/>
      <c r="D555" s="1248"/>
      <c r="E555" s="1248"/>
      <c r="F555" s="1248"/>
      <c r="I555" s="1142"/>
    </row>
    <row r="556" spans="1:9">
      <c r="A556" s="360"/>
      <c r="B556" s="360"/>
      <c r="C556" s="360"/>
      <c r="D556" s="1248"/>
      <c r="E556" s="1248"/>
      <c r="F556" s="1248"/>
      <c r="I556" s="1142"/>
    </row>
    <row r="557" spans="1:9">
      <c r="A557" s="360"/>
      <c r="B557" s="360"/>
      <c r="C557" s="360"/>
      <c r="D557" s="1121"/>
      <c r="E557" s="1121"/>
      <c r="F557" s="1121"/>
      <c r="I557" s="1142"/>
    </row>
    <row r="558" spans="1:9">
      <c r="A558" s="357"/>
      <c r="B558" s="358" t="s">
        <v>522</v>
      </c>
      <c r="C558" s="360"/>
      <c r="D558" s="1248" t="s">
        <v>422</v>
      </c>
      <c r="E558" s="1248"/>
      <c r="F558" s="1248"/>
      <c r="I558" s="1142" t="s">
        <v>641</v>
      </c>
    </row>
    <row r="559" spans="1:9">
      <c r="A559" s="360"/>
      <c r="B559" s="360"/>
      <c r="C559" s="360"/>
      <c r="D559" s="1248"/>
      <c r="E559" s="1248"/>
      <c r="F559" s="1248"/>
      <c r="I559" s="1142"/>
    </row>
    <row r="560" spans="1:9">
      <c r="A560" s="360"/>
      <c r="B560" s="360"/>
      <c r="C560" s="360"/>
      <c r="D560" s="1121"/>
      <c r="E560" s="1121"/>
      <c r="F560" s="1121"/>
      <c r="I560" s="1142"/>
    </row>
    <row r="561" spans="1:9">
      <c r="A561" s="357"/>
      <c r="B561" s="358" t="s">
        <v>529</v>
      </c>
      <c r="C561" s="360"/>
      <c r="D561" s="1248" t="s">
        <v>424</v>
      </c>
      <c r="E561" s="1248"/>
      <c r="F561" s="1248"/>
      <c r="I561" s="1142" t="s">
        <v>641</v>
      </c>
    </row>
    <row r="562" spans="1:9">
      <c r="A562" s="360"/>
      <c r="B562" s="360"/>
      <c r="C562" s="360"/>
      <c r="D562" s="1248"/>
      <c r="E562" s="1248"/>
      <c r="F562" s="1248"/>
      <c r="I562" s="1142"/>
    </row>
    <row r="563" spans="1:9">
      <c r="A563" s="360"/>
      <c r="B563" s="360"/>
      <c r="C563" s="360"/>
      <c r="D563" s="1121"/>
      <c r="E563" s="1121"/>
      <c r="F563" s="1121"/>
      <c r="I563" s="1142"/>
    </row>
    <row r="564" spans="1:9">
      <c r="A564" s="357"/>
      <c r="B564" s="358" t="s">
        <v>522</v>
      </c>
      <c r="C564" s="360"/>
      <c r="D564" s="1249" t="s">
        <v>425</v>
      </c>
      <c r="E564" s="1249"/>
      <c r="F564" s="1249"/>
      <c r="I564" s="1142" t="s">
        <v>645</v>
      </c>
    </row>
    <row r="565" spans="1:9">
      <c r="A565" s="1142"/>
      <c r="B565" s="1142"/>
      <c r="C565" s="360"/>
      <c r="D565" s="1249" t="s">
        <v>646</v>
      </c>
      <c r="E565" s="1249"/>
      <c r="F565" s="1249"/>
      <c r="I565" s="1142"/>
    </row>
    <row r="566" spans="1:9">
      <c r="A566" s="1142"/>
      <c r="B566" s="1142"/>
      <c r="C566" s="360"/>
      <c r="E566" s="55" t="s">
        <v>647</v>
      </c>
      <c r="F566" s="293"/>
      <c r="I566" s="1142"/>
    </row>
    <row r="567" spans="1:9">
      <c r="A567" s="357"/>
      <c r="B567" s="357"/>
      <c r="C567" s="360"/>
      <c r="E567" s="1121"/>
      <c r="F567" s="1121"/>
      <c r="I567" s="1142"/>
    </row>
    <row r="568" spans="1:9">
      <c r="A568" s="357"/>
      <c r="B568" s="358" t="s">
        <v>522</v>
      </c>
      <c r="C568" s="360"/>
      <c r="D568" s="1249" t="s">
        <v>428</v>
      </c>
      <c r="E568" s="1249"/>
      <c r="F568" s="1249"/>
      <c r="I568" s="1142" t="s">
        <v>648</v>
      </c>
    </row>
    <row r="569" spans="1:9">
      <c r="C569" s="360"/>
      <c r="D569" s="1248" t="s">
        <v>429</v>
      </c>
      <c r="E569" s="1248"/>
      <c r="F569" s="1248"/>
      <c r="I569" s="1142"/>
    </row>
    <row r="570" spans="1:9">
      <c r="A570" s="360"/>
      <c r="B570" s="360"/>
      <c r="C570" s="360"/>
      <c r="D570" s="1248"/>
      <c r="E570" s="1248"/>
      <c r="F570" s="1248"/>
      <c r="I570" s="1142"/>
    </row>
    <row r="571" spans="1:9">
      <c r="A571" s="360"/>
      <c r="B571" s="360"/>
      <c r="C571" s="360"/>
      <c r="D571" s="1248"/>
      <c r="E571" s="1248"/>
      <c r="F571" s="1248"/>
      <c r="I571" s="1142"/>
    </row>
    <row r="572" spans="1:9">
      <c r="A572" s="360"/>
      <c r="B572" s="360"/>
      <c r="C572" s="360"/>
      <c r="D572" s="1121"/>
      <c r="E572" s="1121"/>
      <c r="F572" s="1121"/>
      <c r="I572" s="1142"/>
    </row>
    <row r="573" spans="1:9">
      <c r="A573" s="357"/>
      <c r="B573" s="358" t="s">
        <v>522</v>
      </c>
      <c r="C573" s="360"/>
      <c r="D573" s="1248" t="s">
        <v>649</v>
      </c>
      <c r="E573" s="1248"/>
      <c r="F573" s="1248"/>
      <c r="I573" s="1142" t="s">
        <v>650</v>
      </c>
    </row>
    <row r="574" spans="1:9">
      <c r="A574" s="357"/>
      <c r="B574" s="357"/>
      <c r="C574" s="360"/>
      <c r="D574" s="1248"/>
      <c r="E574" s="1248"/>
      <c r="F574" s="1248"/>
      <c r="I574" s="1142"/>
    </row>
    <row r="575" spans="1:9">
      <c r="A575" s="357"/>
      <c r="B575" s="357"/>
      <c r="C575" s="360"/>
      <c r="D575" s="1248"/>
      <c r="E575" s="1248"/>
      <c r="F575" s="1248"/>
      <c r="I575" s="1142"/>
    </row>
    <row r="576" spans="1:9">
      <c r="A576" s="357"/>
      <c r="B576" s="357"/>
      <c r="C576" s="360"/>
      <c r="D576" s="1248"/>
      <c r="E576" s="1248"/>
      <c r="F576" s="1248"/>
      <c r="I576" s="1142"/>
    </row>
    <row r="577" spans="1:9">
      <c r="A577" s="357"/>
      <c r="B577" s="357"/>
      <c r="C577" s="360"/>
      <c r="D577" s="1121"/>
      <c r="E577" s="1121"/>
      <c r="F577" s="1121"/>
      <c r="I577" s="1142"/>
    </row>
    <row r="578" spans="1:9">
      <c r="A578" s="1237" t="s">
        <v>431</v>
      </c>
      <c r="B578" s="1237"/>
      <c r="C578" s="1237"/>
      <c r="D578" s="1237"/>
      <c r="E578" s="1237"/>
      <c r="F578" s="1237"/>
      <c r="G578" s="1237"/>
      <c r="H578" s="836"/>
      <c r="I578" s="1021"/>
    </row>
    <row r="579" spans="1:9">
      <c r="A579" s="360"/>
      <c r="B579" s="360"/>
      <c r="C579" s="360"/>
      <c r="E579" s="1121"/>
      <c r="F579" s="1121"/>
      <c r="I579" s="1142"/>
    </row>
    <row r="580" spans="1:9" ht="12.75" customHeight="1">
      <c r="C580" s="1145"/>
      <c r="D580" s="1250" t="s">
        <v>432</v>
      </c>
      <c r="E580" s="1250"/>
      <c r="F580" s="1250"/>
      <c r="I580" s="1142"/>
    </row>
    <row r="581" spans="1:9">
      <c r="A581" s="356"/>
      <c r="B581" s="356"/>
      <c r="C581" s="356"/>
      <c r="D581" s="1236" t="s">
        <v>433</v>
      </c>
      <c r="E581" s="1236"/>
      <c r="F581" s="1236"/>
      <c r="I581" s="1142"/>
    </row>
    <row r="582" spans="1:9">
      <c r="A582" s="291"/>
      <c r="B582" s="291"/>
      <c r="C582" s="356"/>
      <c r="D582" s="371"/>
      <c r="I582" s="1142" t="s">
        <v>651</v>
      </c>
    </row>
    <row r="583" spans="1:9">
      <c r="A583" s="356"/>
      <c r="B583" s="358" t="s">
        <v>522</v>
      </c>
      <c r="D583" s="1236" t="s">
        <v>434</v>
      </c>
      <c r="E583" s="1236"/>
      <c r="F583" s="1236"/>
      <c r="I583" s="1142"/>
    </row>
    <row r="584" spans="1:9">
      <c r="A584" s="1142"/>
      <c r="B584" s="1142"/>
      <c r="D584" s="352"/>
      <c r="I584" s="1142"/>
    </row>
    <row r="585" spans="1:9">
      <c r="A585" s="1142"/>
      <c r="B585" s="358" t="s">
        <v>522</v>
      </c>
      <c r="D585" s="1236" t="s">
        <v>652</v>
      </c>
      <c r="E585" s="1236"/>
      <c r="F585" s="1236"/>
      <c r="I585" s="1142" t="s">
        <v>653</v>
      </c>
    </row>
    <row r="586" spans="1:9">
      <c r="A586" s="1142"/>
      <c r="B586" s="1142"/>
      <c r="D586" s="1236"/>
      <c r="E586" s="1236"/>
      <c r="F586" s="1236"/>
      <c r="I586" s="1142" t="s">
        <v>654</v>
      </c>
    </row>
    <row r="587" spans="1:9">
      <c r="A587" s="1142"/>
      <c r="B587" s="1142"/>
      <c r="D587" s="1236"/>
      <c r="E587" s="1236"/>
      <c r="F587" s="1236"/>
      <c r="I587" s="1142"/>
    </row>
    <row r="588" spans="1:9">
      <c r="A588" s="1142"/>
      <c r="B588" s="1142"/>
      <c r="D588" s="1236"/>
      <c r="E588" s="1236"/>
      <c r="F588" s="1236"/>
      <c r="I588" s="1142"/>
    </row>
    <row r="589" spans="1:9">
      <c r="A589" s="1142"/>
      <c r="B589" s="358" t="s">
        <v>529</v>
      </c>
      <c r="D589" s="1236" t="s">
        <v>436</v>
      </c>
      <c r="E589" s="1236"/>
      <c r="F589" s="1236"/>
      <c r="I589" s="1142"/>
    </row>
    <row r="590" spans="1:9">
      <c r="A590" s="1142"/>
      <c r="B590" s="1142"/>
      <c r="D590" s="1236"/>
      <c r="E590" s="1236"/>
      <c r="F590" s="1236"/>
      <c r="I590" s="1142"/>
    </row>
    <row r="591" spans="1:9">
      <c r="A591" s="1142"/>
      <c r="B591" s="1142"/>
      <c r="D591" s="1236"/>
      <c r="E591" s="1236"/>
      <c r="F591" s="1236"/>
      <c r="I591" s="1142"/>
    </row>
    <row r="592" spans="1:9">
      <c r="A592" s="1142"/>
      <c r="B592" s="1142"/>
      <c r="D592" s="1236"/>
      <c r="E592" s="1236"/>
      <c r="F592" s="1236"/>
      <c r="I592" s="1142"/>
    </row>
    <row r="593" spans="1:9">
      <c r="A593" s="1142"/>
      <c r="B593" s="1142"/>
      <c r="D593" s="1116"/>
      <c r="E593" s="1116"/>
      <c r="F593" s="1116"/>
      <c r="I593" s="1142"/>
    </row>
    <row r="594" spans="1:9">
      <c r="A594" s="1142"/>
      <c r="B594" s="358" t="s">
        <v>522</v>
      </c>
      <c r="D594" s="1236" t="s">
        <v>655</v>
      </c>
      <c r="E594" s="1236"/>
      <c r="F594" s="1236"/>
      <c r="I594" s="1142"/>
    </row>
    <row r="595" spans="1:9">
      <c r="A595" s="1142"/>
      <c r="B595" s="1142"/>
      <c r="D595" s="1236"/>
      <c r="E595" s="1236"/>
      <c r="F595" s="1236"/>
      <c r="I595" s="1142"/>
    </row>
    <row r="596" spans="1:9">
      <c r="A596" s="1142"/>
      <c r="B596" s="1142"/>
      <c r="D596" s="371"/>
      <c r="I596" s="1142"/>
    </row>
    <row r="597" spans="1:9">
      <c r="A597" s="1142"/>
      <c r="B597" s="358" t="s">
        <v>529</v>
      </c>
      <c r="D597" s="1236" t="s">
        <v>438</v>
      </c>
      <c r="E597" s="1236"/>
      <c r="F597" s="1236"/>
      <c r="I597" s="1142" t="s">
        <v>656</v>
      </c>
    </row>
    <row r="598" spans="1:9">
      <c r="A598" s="1142"/>
      <c r="B598" s="1142"/>
      <c r="D598" s="1236"/>
      <c r="E598" s="1236"/>
      <c r="F598" s="1236"/>
      <c r="I598" s="1142"/>
    </row>
    <row r="599" spans="1:9">
      <c r="A599" s="357"/>
      <c r="B599" s="357"/>
      <c r="D599" s="371"/>
      <c r="I599" s="1142"/>
    </row>
    <row r="600" spans="1:9">
      <c r="A600" s="1237" t="s">
        <v>441</v>
      </c>
      <c r="B600" s="1237"/>
      <c r="C600" s="1237"/>
      <c r="D600" s="1237"/>
      <c r="E600" s="1237"/>
      <c r="F600" s="1237"/>
      <c r="G600" s="1237"/>
      <c r="H600" s="836"/>
      <c r="I600" s="1021"/>
    </row>
    <row r="601" spans="1:9">
      <c r="I601" s="1142"/>
    </row>
    <row r="602" spans="1:9">
      <c r="D602" s="1247" t="s">
        <v>442</v>
      </c>
      <c r="E602" s="1247"/>
      <c r="F602" s="1247"/>
      <c r="I602" s="1142"/>
    </row>
    <row r="603" spans="1:9">
      <c r="D603" s="1269" t="s">
        <v>443</v>
      </c>
      <c r="E603" s="1269"/>
      <c r="F603" s="1269"/>
      <c r="I603" s="1142"/>
    </row>
    <row r="604" spans="1:9">
      <c r="D604" s="1133"/>
      <c r="I604" s="1142"/>
    </row>
    <row r="605" spans="1:9" ht="14.25" customHeight="1">
      <c r="A605" s="357"/>
      <c r="B605" s="358" t="s">
        <v>522</v>
      </c>
      <c r="D605" s="1287" t="s">
        <v>657</v>
      </c>
      <c r="E605" s="1287"/>
      <c r="F605" s="1287"/>
      <c r="I605" s="1142" t="s">
        <v>658</v>
      </c>
    </row>
    <row r="606" spans="1:9">
      <c r="D606" s="1287"/>
      <c r="E606" s="1287"/>
      <c r="F606" s="1287"/>
      <c r="I606" s="1142"/>
    </row>
    <row r="607" spans="1:9">
      <c r="D607" s="1140"/>
      <c r="E607" s="844" t="s">
        <v>659</v>
      </c>
      <c r="F607" s="1140"/>
      <c r="I607" s="1142"/>
    </row>
    <row r="608" spans="1:9">
      <c r="I608" s="1142"/>
    </row>
    <row r="609" spans="1:9">
      <c r="A609" s="1237" t="s">
        <v>445</v>
      </c>
      <c r="B609" s="1237"/>
      <c r="C609" s="1237"/>
      <c r="D609" s="1237"/>
      <c r="E609" s="1237"/>
      <c r="F609" s="1237"/>
      <c r="G609" s="1237"/>
      <c r="H609" s="836"/>
      <c r="I609" s="1021"/>
    </row>
    <row r="610" spans="1:9">
      <c r="A610" s="1121"/>
      <c r="B610" s="1121"/>
      <c r="I610" s="1142"/>
    </row>
    <row r="611" spans="1:9">
      <c r="A611" s="1145"/>
      <c r="B611" s="1145"/>
      <c r="C611" s="1145"/>
      <c r="D611" s="1270" t="s">
        <v>446</v>
      </c>
      <c r="E611" s="1270"/>
      <c r="F611" s="1270"/>
      <c r="I611" s="1142"/>
    </row>
    <row r="612" spans="1:9">
      <c r="A612" s="1145"/>
      <c r="B612" s="1145"/>
      <c r="C612" s="1145"/>
      <c r="D612" s="1270"/>
      <c r="E612" s="1270"/>
      <c r="F612" s="1270"/>
      <c r="I612" s="1142"/>
    </row>
    <row r="613" spans="1:9">
      <c r="C613" s="356"/>
      <c r="D613" s="1269" t="s">
        <v>447</v>
      </c>
      <c r="E613" s="1269"/>
      <c r="F613" s="1269"/>
      <c r="I613" s="1142"/>
    </row>
    <row r="614" spans="1:9">
      <c r="C614" s="356"/>
      <c r="D614" s="1133"/>
      <c r="E614" s="1133"/>
      <c r="F614" s="1133"/>
      <c r="I614" s="1142"/>
    </row>
    <row r="615" spans="1:9" ht="12.75" customHeight="1">
      <c r="A615" s="1142"/>
      <c r="B615" s="358" t="s">
        <v>522</v>
      </c>
      <c r="D615" s="1246" t="s">
        <v>449</v>
      </c>
      <c r="E615" s="1246"/>
      <c r="F615" s="1246"/>
      <c r="I615" s="1142" t="s">
        <v>660</v>
      </c>
    </row>
    <row r="616" spans="1:9">
      <c r="D616" s="1246"/>
      <c r="E616" s="1246"/>
      <c r="F616" s="1246"/>
      <c r="I616" s="1142"/>
    </row>
    <row r="617" spans="1:9">
      <c r="I617" s="1142"/>
    </row>
    <row r="618" spans="1:9">
      <c r="B618" s="358" t="s">
        <v>522</v>
      </c>
      <c r="D618" s="1246" t="s">
        <v>450</v>
      </c>
      <c r="E618" s="1246"/>
      <c r="F618" s="1246"/>
      <c r="I618" s="1142" t="s">
        <v>661</v>
      </c>
    </row>
    <row r="619" spans="1:9">
      <c r="C619" s="372"/>
      <c r="D619" s="1246"/>
      <c r="E619" s="1246"/>
      <c r="F619" s="1246"/>
      <c r="I619" s="1142"/>
    </row>
    <row r="620" spans="1:9">
      <c r="C620" s="372"/>
      <c r="I620" s="1142"/>
    </row>
    <row r="621" spans="1:9">
      <c r="B621" s="358" t="s">
        <v>529</v>
      </c>
      <c r="C621" s="372"/>
      <c r="D621" s="1246" t="s">
        <v>451</v>
      </c>
      <c r="E621" s="1246"/>
      <c r="F621" s="1246"/>
      <c r="I621" s="1142" t="s">
        <v>662</v>
      </c>
    </row>
    <row r="622" spans="1:9">
      <c r="C622" s="372"/>
      <c r="D622" s="1246"/>
      <c r="E622" s="1246"/>
      <c r="F622" s="1246"/>
      <c r="I622" s="372" t="s">
        <v>663</v>
      </c>
    </row>
    <row r="623" spans="1:9">
      <c r="C623" s="372"/>
      <c r="I623" s="1142"/>
    </row>
    <row r="624" spans="1:9">
      <c r="A624" s="1237" t="s">
        <v>452</v>
      </c>
      <c r="B624" s="1237"/>
      <c r="C624" s="1237"/>
      <c r="D624" s="1237"/>
      <c r="E624" s="1237"/>
      <c r="F624" s="1237"/>
      <c r="G624" s="1237"/>
      <c r="H624" s="836"/>
      <c r="I624" s="1021"/>
    </row>
    <row r="625" spans="1:9">
      <c r="A625" s="1145"/>
      <c r="B625" s="1145"/>
      <c r="C625" s="1145"/>
      <c r="I625" s="1142"/>
    </row>
    <row r="626" spans="1:9">
      <c r="C626" s="1142"/>
      <c r="D626" s="1247" t="s">
        <v>453</v>
      </c>
      <c r="E626" s="1247"/>
      <c r="F626" s="1247"/>
      <c r="I626" s="1142"/>
    </row>
    <row r="627" spans="1:9">
      <c r="A627" s="1142"/>
      <c r="B627" s="1142"/>
      <c r="D627" s="293"/>
      <c r="I627" s="1142"/>
    </row>
    <row r="628" spans="1:9" ht="14.25" customHeight="1">
      <c r="A628" s="357"/>
      <c r="B628" s="358" t="s">
        <v>522</v>
      </c>
      <c r="D628" s="1287" t="s">
        <v>664</v>
      </c>
      <c r="E628" s="1287"/>
      <c r="F628" s="1287"/>
      <c r="I628" s="1142" t="s">
        <v>665</v>
      </c>
    </row>
    <row r="629" spans="1:9">
      <c r="D629" s="1287"/>
      <c r="E629" s="1287"/>
      <c r="F629" s="1287"/>
      <c r="I629" s="1142"/>
    </row>
    <row r="630" spans="1:9">
      <c r="D630" s="1140"/>
      <c r="E630" s="844" t="s">
        <v>666</v>
      </c>
      <c r="F630" s="1140"/>
      <c r="I630" s="1142"/>
    </row>
    <row r="631" spans="1:9">
      <c r="D631" s="1248" t="s">
        <v>667</v>
      </c>
      <c r="E631" s="1248"/>
      <c r="F631" s="1248"/>
      <c r="I631" s="1142"/>
    </row>
    <row r="632" spans="1:9">
      <c r="D632" s="1248"/>
      <c r="E632" s="1248"/>
      <c r="F632" s="1248"/>
      <c r="I632" s="1142"/>
    </row>
    <row r="633" spans="1:9">
      <c r="D633" s="1248"/>
      <c r="E633" s="1248"/>
      <c r="F633" s="1248"/>
      <c r="I633" s="1142"/>
    </row>
    <row r="634" spans="1:9">
      <c r="D634" s="1120"/>
      <c r="E634" s="1120"/>
      <c r="F634" s="1120"/>
      <c r="I634" s="1142"/>
    </row>
    <row r="635" spans="1:9">
      <c r="A635" s="357"/>
      <c r="B635" s="358" t="s">
        <v>529</v>
      </c>
      <c r="D635" s="1248" t="s">
        <v>455</v>
      </c>
      <c r="E635" s="1248"/>
      <c r="F635" s="1248"/>
      <c r="I635" s="1142" t="s">
        <v>668</v>
      </c>
    </row>
    <row r="636" spans="1:9">
      <c r="A636" s="360"/>
      <c r="B636" s="360"/>
      <c r="C636" s="360"/>
      <c r="D636" s="1248"/>
      <c r="E636" s="1248"/>
      <c r="F636" s="1248"/>
      <c r="I636" s="1142"/>
    </row>
    <row r="637" spans="1:9">
      <c r="A637" s="360"/>
      <c r="B637" s="360"/>
      <c r="C637" s="360"/>
      <c r="D637" s="1121"/>
      <c r="E637" s="1121"/>
      <c r="F637" s="1121"/>
      <c r="I637" s="1142"/>
    </row>
    <row r="638" spans="1:9">
      <c r="A638" s="357"/>
      <c r="B638" s="358" t="s">
        <v>529</v>
      </c>
      <c r="C638" s="360"/>
      <c r="D638" s="1248" t="s">
        <v>669</v>
      </c>
      <c r="E638" s="1248"/>
      <c r="F638" s="1248"/>
      <c r="I638" s="1142" t="s">
        <v>670</v>
      </c>
    </row>
    <row r="639" spans="1:9">
      <c r="A639" s="357"/>
      <c r="B639" s="357"/>
      <c r="C639" s="360"/>
      <c r="D639" s="1248"/>
      <c r="E639" s="1248"/>
      <c r="F639" s="1248"/>
      <c r="I639" s="1142"/>
    </row>
    <row r="640" spans="1:9">
      <c r="A640" s="357"/>
      <c r="B640" s="357"/>
      <c r="C640" s="360"/>
      <c r="D640" s="1248"/>
      <c r="E640" s="1248"/>
      <c r="F640" s="1248"/>
      <c r="I640" s="1142"/>
    </row>
    <row r="641" spans="1:9">
      <c r="A641" s="360"/>
      <c r="B641" s="358" t="s">
        <v>529</v>
      </c>
      <c r="C641" s="360"/>
      <c r="D641" s="1249" t="s">
        <v>457</v>
      </c>
      <c r="E641" s="1249"/>
      <c r="F641" s="1249"/>
      <c r="I641" s="1142" t="s">
        <v>670</v>
      </c>
    </row>
    <row r="642" spans="1:9">
      <c r="A642" s="360"/>
      <c r="B642" s="360"/>
      <c r="C642" s="360"/>
      <c r="D642" s="1121"/>
      <c r="E642" s="1121"/>
      <c r="F642" s="1121"/>
      <c r="I642" s="1142"/>
    </row>
    <row r="643" spans="1:9">
      <c r="A643" s="1237" t="s">
        <v>458</v>
      </c>
      <c r="B643" s="1237"/>
      <c r="C643" s="1237"/>
      <c r="D643" s="1237"/>
      <c r="E643" s="1237"/>
      <c r="F643" s="1237"/>
      <c r="G643" s="1237"/>
      <c r="H643" s="836"/>
      <c r="I643" s="1021"/>
    </row>
    <row r="644" spans="1:9">
      <c r="A644" s="1121"/>
      <c r="B644" s="1121"/>
      <c r="C644" s="360"/>
      <c r="D644" s="1121"/>
      <c r="E644" s="1121"/>
      <c r="F644" s="1121"/>
      <c r="I644" s="1142"/>
    </row>
    <row r="645" spans="1:9">
      <c r="C645" s="1145"/>
      <c r="D645" s="1247" t="s">
        <v>459</v>
      </c>
      <c r="E645" s="1247"/>
      <c r="F645" s="1247"/>
      <c r="I645" s="1142"/>
    </row>
    <row r="646" spans="1:9">
      <c r="A646" s="356"/>
      <c r="B646" s="356"/>
      <c r="C646" s="356"/>
      <c r="D646" s="1249" t="s">
        <v>460</v>
      </c>
      <c r="E646" s="1249"/>
      <c r="F646" s="1249"/>
      <c r="I646" s="1142"/>
    </row>
    <row r="647" spans="1:9">
      <c r="A647" s="356"/>
      <c r="B647" s="356"/>
      <c r="C647" s="356"/>
      <c r="D647" s="1121"/>
      <c r="E647" s="1121"/>
      <c r="F647" s="1121"/>
      <c r="I647" s="1142"/>
    </row>
    <row r="648" spans="1:9" ht="12.75" customHeight="1">
      <c r="B648" s="358" t="s">
        <v>529</v>
      </c>
      <c r="C648" s="360"/>
      <c r="D648" s="1248" t="s">
        <v>671</v>
      </c>
      <c r="E648" s="1248"/>
      <c r="F648" s="1248"/>
      <c r="I648" s="1142" t="s">
        <v>672</v>
      </c>
    </row>
    <row r="649" spans="1:9">
      <c r="D649" s="1248"/>
      <c r="E649" s="1248"/>
      <c r="F649" s="1248"/>
      <c r="I649" s="1142"/>
    </row>
    <row r="650" spans="1:9">
      <c r="D650" s="1248"/>
      <c r="E650" s="1248"/>
      <c r="F650" s="1248"/>
      <c r="I650" s="1142"/>
    </row>
    <row r="651" spans="1:9">
      <c r="D651" s="1248"/>
      <c r="E651" s="1248"/>
      <c r="F651" s="1248"/>
      <c r="I651" s="1142"/>
    </row>
    <row r="652" spans="1:9" ht="14.5" customHeight="1">
      <c r="A652" s="357"/>
      <c r="B652" s="357"/>
      <c r="C652" s="360"/>
      <c r="D652" s="1140"/>
      <c r="E652" s="1140"/>
      <c r="F652" s="1140"/>
      <c r="I652" s="1142"/>
    </row>
    <row r="653" spans="1:9" ht="12.75" customHeight="1">
      <c r="A653" s="356"/>
      <c r="B653" s="358" t="s">
        <v>522</v>
      </c>
      <c r="C653" s="360"/>
      <c r="D653" s="1248" t="s">
        <v>673</v>
      </c>
      <c r="E653" s="1248"/>
      <c r="F653" s="1248"/>
      <c r="I653" s="1142" t="s">
        <v>672</v>
      </c>
    </row>
    <row r="654" spans="1:9">
      <c r="A654" s="356"/>
      <c r="B654" s="357"/>
      <c r="C654" s="360"/>
      <c r="D654" s="1248"/>
      <c r="E654" s="1248"/>
      <c r="F654" s="1248"/>
      <c r="I654" s="1142"/>
    </row>
    <row r="655" spans="1:9">
      <c r="A655" s="356"/>
      <c r="B655" s="357"/>
      <c r="C655" s="360"/>
      <c r="D655" s="1248"/>
      <c r="E655" s="1248"/>
      <c r="F655" s="1248"/>
      <c r="I655" s="1142"/>
    </row>
    <row r="656" spans="1:9">
      <c r="A656" s="356"/>
      <c r="B656" s="357"/>
      <c r="C656" s="360"/>
      <c r="D656" s="1248"/>
      <c r="E656" s="1248"/>
      <c r="F656" s="1248"/>
      <c r="I656" s="1142"/>
    </row>
    <row r="657" spans="1:9">
      <c r="A657" s="356"/>
      <c r="B657" s="357"/>
      <c r="C657" s="360"/>
      <c r="D657" s="1248"/>
      <c r="E657" s="1248"/>
      <c r="F657" s="1248"/>
      <c r="I657" s="1142"/>
    </row>
    <row r="658" spans="1:9" ht="14.25" customHeight="1">
      <c r="A658" s="356"/>
      <c r="B658" s="357"/>
      <c r="C658" s="360"/>
      <c r="F658" s="277"/>
      <c r="I658" s="1142"/>
    </row>
    <row r="659" spans="1:9" ht="12.75" customHeight="1">
      <c r="A659" s="356"/>
      <c r="B659" s="358" t="s">
        <v>529</v>
      </c>
      <c r="C659" s="360"/>
      <c r="D659" s="1248" t="s">
        <v>674</v>
      </c>
      <c r="E659" s="1248"/>
      <c r="F659" s="1248"/>
      <c r="I659" s="1142" t="s">
        <v>672</v>
      </c>
    </row>
    <row r="660" spans="1:9">
      <c r="A660" s="356"/>
      <c r="B660" s="357"/>
      <c r="C660" s="360"/>
      <c r="D660" s="1248"/>
      <c r="E660" s="1248"/>
      <c r="F660" s="1248"/>
      <c r="I660" s="1142"/>
    </row>
    <row r="661" spans="1:9">
      <c r="A661" s="357"/>
      <c r="B661" s="357"/>
      <c r="C661" s="360"/>
      <c r="D661" s="1248"/>
      <c r="E661" s="1248"/>
      <c r="F661" s="1248"/>
      <c r="I661" s="1142"/>
    </row>
    <row r="662" spans="1:9">
      <c r="A662" s="357"/>
      <c r="B662" s="357"/>
      <c r="C662" s="360"/>
      <c r="D662" s="1248"/>
      <c r="E662" s="1248"/>
      <c r="F662" s="1248"/>
      <c r="I662" s="1142"/>
    </row>
    <row r="663" spans="1:9">
      <c r="A663" s="357"/>
      <c r="B663" s="357"/>
      <c r="C663" s="360"/>
      <c r="D663" s="1120"/>
      <c r="E663" s="1120"/>
      <c r="F663" s="1120"/>
      <c r="I663" s="1142"/>
    </row>
    <row r="664" spans="1:9" ht="12.75" customHeight="1">
      <c r="A664" s="356"/>
      <c r="B664" s="358" t="s">
        <v>529</v>
      </c>
      <c r="C664" s="360"/>
      <c r="D664" s="1248" t="s">
        <v>675</v>
      </c>
      <c r="E664" s="1248"/>
      <c r="F664" s="1248"/>
      <c r="I664" s="1142" t="s">
        <v>672</v>
      </c>
    </row>
    <row r="665" spans="1:9" ht="12.75" customHeight="1">
      <c r="A665" s="356"/>
      <c r="B665" s="357"/>
      <c r="C665" s="360"/>
      <c r="D665" s="1248"/>
      <c r="E665" s="1248"/>
      <c r="F665" s="1248"/>
      <c r="I665" s="1142"/>
    </row>
    <row r="666" spans="1:9" ht="12.75" customHeight="1">
      <c r="A666" s="356"/>
      <c r="B666" s="357"/>
      <c r="C666" s="360"/>
      <c r="D666" s="1248"/>
      <c r="E666" s="1248"/>
      <c r="F666" s="1248"/>
      <c r="I666" s="1142"/>
    </row>
    <row r="667" spans="1:9" ht="12.75" customHeight="1">
      <c r="A667" s="356"/>
      <c r="B667" s="357"/>
      <c r="C667" s="360"/>
      <c r="D667" s="1248"/>
      <c r="E667" s="1248"/>
      <c r="F667" s="1248"/>
      <c r="I667" s="1142"/>
    </row>
    <row r="668" spans="1:9" ht="12.75" customHeight="1">
      <c r="A668" s="356"/>
      <c r="B668" s="357"/>
      <c r="C668" s="360"/>
      <c r="D668" s="1248"/>
      <c r="E668" s="1248"/>
      <c r="F668" s="1248"/>
      <c r="I668" s="1142"/>
    </row>
    <row r="669" spans="1:9" ht="12.75" customHeight="1">
      <c r="A669" s="356"/>
      <c r="B669" s="357"/>
      <c r="C669" s="360"/>
      <c r="D669" s="1248"/>
      <c r="E669" s="1248"/>
      <c r="F669" s="1248"/>
      <c r="I669" s="1142"/>
    </row>
    <row r="670" spans="1:9" ht="12.75" customHeight="1">
      <c r="A670" s="356"/>
      <c r="B670" s="357"/>
      <c r="C670" s="360"/>
      <c r="D670" s="1248"/>
      <c r="E670" s="1248"/>
      <c r="F670" s="1248"/>
      <c r="I670" s="1142"/>
    </row>
    <row r="671" spans="1:9" ht="12.75" customHeight="1">
      <c r="A671" s="356"/>
      <c r="B671" s="357"/>
      <c r="C671" s="360"/>
      <c r="D671" s="1248"/>
      <c r="E671" s="1248"/>
      <c r="F671" s="1248"/>
      <c r="I671" s="1142"/>
    </row>
    <row r="672" spans="1:9" ht="12.75" customHeight="1">
      <c r="A672" s="356"/>
      <c r="B672" s="357"/>
      <c r="C672" s="360"/>
      <c r="D672" s="1248"/>
      <c r="E672" s="1248"/>
      <c r="F672" s="1248"/>
      <c r="I672" s="1142"/>
    </row>
    <row r="673" spans="1:11">
      <c r="A673" s="360"/>
      <c r="B673" s="360"/>
      <c r="C673" s="360"/>
      <c r="D673" s="1121"/>
      <c r="E673" s="1121"/>
      <c r="F673" s="1121"/>
      <c r="I673" s="1142"/>
    </row>
    <row r="674" spans="1:11">
      <c r="A674" s="1237" t="s">
        <v>465</v>
      </c>
      <c r="B674" s="1237"/>
      <c r="C674" s="1237"/>
      <c r="D674" s="1237"/>
      <c r="E674" s="1237"/>
      <c r="F674" s="1237"/>
      <c r="G674" s="1237"/>
      <c r="H674" s="838"/>
      <c r="I674" s="1025"/>
      <c r="J674" s="373"/>
      <c r="K674" s="373"/>
    </row>
    <row r="675" spans="1:11">
      <c r="A675" s="1144"/>
      <c r="B675" s="1144"/>
      <c r="C675" s="1144"/>
      <c r="D675" s="1144"/>
      <c r="E675" s="1144"/>
      <c r="F675" s="1144"/>
      <c r="G675" s="1144"/>
      <c r="H675" s="373"/>
      <c r="I675" s="356"/>
      <c r="J675" s="373"/>
      <c r="K675" s="373"/>
    </row>
    <row r="676" spans="1:11">
      <c r="C676" s="1145"/>
      <c r="D676" s="1247" t="s">
        <v>466</v>
      </c>
      <c r="E676" s="1247"/>
      <c r="F676" s="1247"/>
      <c r="H676" s="373"/>
      <c r="I676" s="356"/>
      <c r="J676" s="373"/>
      <c r="K676" s="373"/>
    </row>
    <row r="677" spans="1:11">
      <c r="A677" s="1145"/>
      <c r="B677" s="1145"/>
      <c r="C677" s="1145"/>
      <c r="D677" s="1247" t="s">
        <v>467</v>
      </c>
      <c r="E677" s="1247"/>
      <c r="F677" s="1247"/>
      <c r="H677" s="373"/>
      <c r="I677" s="356"/>
      <c r="J677" s="373"/>
      <c r="K677" s="373"/>
    </row>
    <row r="678" spans="1:11">
      <c r="A678" s="356"/>
      <c r="B678" s="356"/>
      <c r="C678" s="356"/>
      <c r="D678" s="1249" t="s">
        <v>468</v>
      </c>
      <c r="E678" s="1249"/>
      <c r="F678" s="1249"/>
      <c r="H678" s="373"/>
      <c r="I678" s="356"/>
      <c r="J678" s="373"/>
      <c r="K678" s="373"/>
    </row>
    <row r="679" spans="1:11">
      <c r="A679" s="356"/>
      <c r="B679" s="356"/>
      <c r="C679" s="356"/>
      <c r="H679" s="373"/>
      <c r="I679" s="356"/>
      <c r="J679" s="373"/>
      <c r="K679" s="373"/>
    </row>
    <row r="680" spans="1:11">
      <c r="A680" s="357"/>
      <c r="B680" s="358" t="s">
        <v>529</v>
      </c>
      <c r="C680" s="356"/>
      <c r="D680" s="1249" t="s">
        <v>469</v>
      </c>
      <c r="E680" s="1249"/>
      <c r="F680" s="1249"/>
      <c r="H680" s="373"/>
      <c r="I680" s="356" t="s">
        <v>676</v>
      </c>
      <c r="J680" s="373"/>
      <c r="K680" s="373"/>
    </row>
    <row r="681" spans="1:11">
      <c r="A681" s="356"/>
      <c r="B681" s="356"/>
      <c r="C681" s="356"/>
      <c r="D681" s="1249" t="s">
        <v>470</v>
      </c>
      <c r="E681" s="1249"/>
      <c r="F681" s="1249"/>
      <c r="H681" s="373"/>
      <c r="I681" s="356"/>
      <c r="J681" s="373"/>
      <c r="K681" s="373"/>
    </row>
    <row r="682" spans="1:11" ht="12.75" customHeight="1">
      <c r="A682" s="356"/>
      <c r="B682" s="356"/>
      <c r="C682" s="356"/>
      <c r="E682" s="844" t="s">
        <v>677</v>
      </c>
      <c r="F682" s="308"/>
      <c r="H682" s="373"/>
      <c r="I682" s="356"/>
      <c r="J682" s="373"/>
      <c r="K682" s="373"/>
    </row>
    <row r="683" spans="1:11">
      <c r="A683" s="356"/>
      <c r="B683" s="356"/>
      <c r="C683" s="356"/>
      <c r="E683" s="373" t="s">
        <v>678</v>
      </c>
      <c r="F683" s="308"/>
      <c r="I683" s="356"/>
      <c r="J683" s="373"/>
      <c r="K683" s="373"/>
    </row>
    <row r="684" spans="1:11">
      <c r="A684" s="356"/>
      <c r="B684" s="356"/>
      <c r="C684" s="356"/>
      <c r="D684" s="374"/>
      <c r="E684" s="1121"/>
      <c r="H684" s="373"/>
      <c r="I684" s="356"/>
      <c r="J684" s="373"/>
      <c r="K684" s="373"/>
    </row>
    <row r="685" spans="1:11">
      <c r="A685" s="357"/>
      <c r="B685" s="358" t="s">
        <v>522</v>
      </c>
      <c r="C685" s="356"/>
      <c r="D685" s="1248" t="s">
        <v>679</v>
      </c>
      <c r="E685" s="1248"/>
      <c r="F685" s="1248"/>
      <c r="H685" s="373"/>
      <c r="I685" s="356" t="s">
        <v>680</v>
      </c>
      <c r="J685" s="373"/>
      <c r="K685" s="373"/>
    </row>
    <row r="686" spans="1:11">
      <c r="A686" s="1142"/>
      <c r="B686" s="1142"/>
      <c r="C686" s="356"/>
      <c r="D686" s="1248"/>
      <c r="E686" s="1248"/>
      <c r="F686" s="1248"/>
      <c r="H686" s="373"/>
      <c r="I686" s="356"/>
      <c r="J686" s="373"/>
      <c r="K686" s="373"/>
    </row>
    <row r="687" spans="1:11">
      <c r="A687" s="356"/>
      <c r="B687" s="356"/>
      <c r="C687" s="356"/>
      <c r="D687" s="1248"/>
      <c r="E687" s="1248"/>
      <c r="F687" s="1248"/>
      <c r="H687" s="373"/>
      <c r="I687" s="356"/>
      <c r="J687" s="373"/>
      <c r="K687" s="373"/>
    </row>
    <row r="688" spans="1:11">
      <c r="A688" s="356"/>
      <c r="B688" s="356"/>
      <c r="C688" s="356"/>
      <c r="H688" s="373"/>
      <c r="I688" s="356" t="s">
        <v>681</v>
      </c>
      <c r="J688" s="373"/>
      <c r="K688" s="373"/>
    </row>
    <row r="689" spans="1:11">
      <c r="A689" s="357"/>
      <c r="B689" s="358" t="s">
        <v>522</v>
      </c>
      <c r="C689" s="356"/>
      <c r="D689" s="1249" t="s">
        <v>473</v>
      </c>
      <c r="E689" s="1249"/>
      <c r="F689" s="1249"/>
      <c r="H689" s="373"/>
      <c r="I689" s="356"/>
      <c r="J689" s="373"/>
      <c r="K689" s="373"/>
    </row>
    <row r="690" spans="1:11">
      <c r="A690" s="357"/>
      <c r="B690" s="357"/>
      <c r="C690" s="356"/>
      <c r="D690" s="1249" t="s">
        <v>470</v>
      </c>
      <c r="E690" s="1249"/>
      <c r="F690" s="1249"/>
      <c r="H690" s="373"/>
      <c r="I690" s="356"/>
      <c r="J690" s="373"/>
      <c r="K690" s="373"/>
    </row>
    <row r="691" spans="1:11">
      <c r="A691" s="356"/>
      <c r="B691" s="356"/>
      <c r="C691" s="356"/>
      <c r="E691" s="844" t="s">
        <v>682</v>
      </c>
      <c r="F691" s="293"/>
      <c r="H691" s="373"/>
      <c r="I691" s="356"/>
      <c r="J691" s="373"/>
      <c r="K691" s="373"/>
    </row>
    <row r="692" spans="1:11">
      <c r="A692" s="356"/>
      <c r="B692" s="356"/>
      <c r="C692" s="356"/>
      <c r="D692" s="293"/>
      <c r="H692" s="373"/>
      <c r="I692" s="356"/>
      <c r="J692" s="373"/>
      <c r="K692" s="373"/>
    </row>
    <row r="693" spans="1:11">
      <c r="A693" s="357"/>
      <c r="B693" s="358" t="s">
        <v>522</v>
      </c>
      <c r="C693" s="356"/>
      <c r="D693" s="1248" t="s">
        <v>475</v>
      </c>
      <c r="E693" s="1248"/>
      <c r="F693" s="1248"/>
      <c r="H693" s="373"/>
      <c r="I693" s="356" t="s">
        <v>683</v>
      </c>
      <c r="J693" s="373"/>
      <c r="K693" s="373"/>
    </row>
    <row r="694" spans="1:11">
      <c r="A694" s="356"/>
      <c r="B694" s="356"/>
      <c r="C694" s="356"/>
      <c r="D694" s="1248"/>
      <c r="E694" s="1248"/>
      <c r="F694" s="1248"/>
      <c r="H694" s="373"/>
      <c r="I694" s="356"/>
      <c r="J694" s="373"/>
      <c r="K694" s="373"/>
    </row>
    <row r="695" spans="1:11">
      <c r="A695" s="356"/>
      <c r="B695" s="356"/>
      <c r="C695" s="356"/>
      <c r="D695" s="1248"/>
      <c r="E695" s="1248"/>
      <c r="F695" s="1248"/>
      <c r="H695" s="373"/>
      <c r="I695" s="356"/>
      <c r="J695" s="373"/>
      <c r="K695" s="373"/>
    </row>
    <row r="696" spans="1:11">
      <c r="A696" s="356"/>
      <c r="B696" s="356"/>
      <c r="C696" s="356"/>
      <c r="D696" s="1248"/>
      <c r="E696" s="1248"/>
      <c r="F696" s="1248"/>
      <c r="H696" s="373"/>
      <c r="I696" s="356"/>
      <c r="J696" s="373"/>
      <c r="K696" s="373"/>
    </row>
    <row r="697" spans="1:11">
      <c r="A697" s="356"/>
      <c r="B697" s="356"/>
      <c r="C697" s="356"/>
      <c r="D697" s="1248"/>
      <c r="E697" s="1248"/>
      <c r="F697" s="1248"/>
      <c r="H697" s="373"/>
      <c r="I697" s="356"/>
      <c r="J697" s="373"/>
      <c r="K697" s="373"/>
    </row>
    <row r="698" spans="1:11">
      <c r="A698" s="356"/>
      <c r="B698" s="356"/>
      <c r="C698" s="356"/>
      <c r="D698" s="1248"/>
      <c r="E698" s="1248"/>
      <c r="F698" s="1248"/>
      <c r="H698" s="373"/>
      <c r="I698" s="356"/>
      <c r="J698" s="373"/>
      <c r="K698" s="373"/>
    </row>
    <row r="699" spans="1:11">
      <c r="A699" s="356"/>
      <c r="B699" s="356"/>
      <c r="C699" s="356"/>
      <c r="D699" s="1120"/>
      <c r="E699" s="1120"/>
      <c r="F699" s="1120"/>
      <c r="H699" s="373"/>
      <c r="I699" s="356"/>
      <c r="J699" s="373"/>
      <c r="K699" s="373"/>
    </row>
    <row r="700" spans="1:11">
      <c r="A700" s="356"/>
      <c r="B700" s="358" t="s">
        <v>529</v>
      </c>
      <c r="C700" s="356"/>
      <c r="D700" s="1248" t="s">
        <v>684</v>
      </c>
      <c r="E700" s="1248"/>
      <c r="F700" s="1248"/>
      <c r="H700" s="373"/>
      <c r="I700" s="356" t="s">
        <v>683</v>
      </c>
      <c r="J700" s="373"/>
      <c r="K700" s="373"/>
    </row>
    <row r="701" spans="1:11">
      <c r="A701" s="356"/>
      <c r="B701" s="356"/>
      <c r="C701" s="356"/>
      <c r="D701" s="1248"/>
      <c r="E701" s="1248"/>
      <c r="F701" s="1248"/>
      <c r="H701" s="373"/>
      <c r="I701" s="356"/>
      <c r="J701" s="373"/>
      <c r="K701" s="373"/>
    </row>
    <row r="702" spans="1:11">
      <c r="A702" s="356"/>
      <c r="B702" s="356"/>
      <c r="C702" s="356"/>
      <c r="D702" s="1120"/>
      <c r="E702" s="1120"/>
      <c r="F702" s="1120"/>
      <c r="H702" s="373"/>
      <c r="I702" s="356"/>
      <c r="J702" s="373"/>
      <c r="K702" s="373"/>
    </row>
    <row r="703" spans="1:11">
      <c r="A703" s="357"/>
      <c r="B703" s="358" t="s">
        <v>529</v>
      </c>
      <c r="C703" s="356"/>
      <c r="D703" s="1248" t="s">
        <v>476</v>
      </c>
      <c r="E703" s="1248"/>
      <c r="F703" s="1248"/>
      <c r="H703" s="373"/>
      <c r="I703" s="356" t="s">
        <v>683</v>
      </c>
      <c r="J703" s="373"/>
      <c r="K703" s="373"/>
    </row>
    <row r="704" spans="1:11">
      <c r="A704" s="356"/>
      <c r="B704" s="356"/>
      <c r="C704" s="356"/>
      <c r="D704" s="1248"/>
      <c r="E704" s="1248"/>
      <c r="F704" s="1248"/>
      <c r="H704" s="373"/>
      <c r="I704" s="356"/>
      <c r="J704" s="373"/>
      <c r="K704" s="373"/>
    </row>
    <row r="705" spans="1:11">
      <c r="A705" s="356"/>
      <c r="B705" s="356"/>
      <c r="C705" s="356"/>
      <c r="D705" s="1248"/>
      <c r="E705" s="1248"/>
      <c r="F705" s="1248"/>
      <c r="H705" s="373"/>
      <c r="I705" s="356"/>
      <c r="J705" s="373"/>
      <c r="K705" s="373"/>
    </row>
    <row r="706" spans="1:11" ht="15" customHeight="1">
      <c r="A706" s="356"/>
      <c r="B706" s="356"/>
      <c r="C706" s="356"/>
      <c r="D706" s="1248"/>
      <c r="E706" s="1248"/>
      <c r="F706" s="1248"/>
      <c r="H706" s="373"/>
      <c r="I706" s="356"/>
      <c r="J706" s="373"/>
      <c r="K706" s="373"/>
    </row>
    <row r="707" spans="1:11" ht="15" customHeight="1">
      <c r="A707" s="356"/>
      <c r="B707" s="356"/>
      <c r="C707" s="356"/>
      <c r="D707" s="1248"/>
      <c r="E707" s="1248"/>
      <c r="F707" s="1248"/>
      <c r="H707" s="373"/>
      <c r="I707" s="356"/>
      <c r="J707" s="373"/>
      <c r="K707" s="373"/>
    </row>
    <row r="708" spans="1:11">
      <c r="A708" s="356"/>
      <c r="B708" s="356"/>
      <c r="C708" s="356"/>
      <c r="D708" s="1248"/>
      <c r="E708" s="1248"/>
      <c r="F708" s="1248"/>
      <c r="H708" s="373"/>
      <c r="I708" s="356"/>
      <c r="J708" s="373"/>
      <c r="K708" s="373"/>
    </row>
    <row r="709" spans="1:11">
      <c r="A709" s="356"/>
      <c r="B709" s="356"/>
      <c r="C709" s="356"/>
      <c r="D709" s="1248"/>
      <c r="E709" s="1248"/>
      <c r="F709" s="1248"/>
      <c r="H709" s="373"/>
      <c r="I709" s="356"/>
      <c r="J709" s="373"/>
      <c r="K709" s="373"/>
    </row>
    <row r="710" spans="1:11">
      <c r="A710" s="356"/>
      <c r="B710" s="356"/>
      <c r="C710" s="356"/>
      <c r="D710" s="1248"/>
      <c r="E710" s="1248"/>
      <c r="F710" s="1248"/>
      <c r="H710" s="373"/>
      <c r="I710" s="356"/>
      <c r="J710" s="373"/>
      <c r="K710" s="373"/>
    </row>
    <row r="711" spans="1:11" ht="15" customHeight="1">
      <c r="A711" s="356"/>
      <c r="B711" s="356"/>
      <c r="C711" s="356"/>
      <c r="D711" s="1248"/>
      <c r="E711" s="1248"/>
      <c r="F711" s="1248"/>
      <c r="H711" s="373"/>
      <c r="I711" s="356"/>
      <c r="J711" s="373"/>
      <c r="K711" s="373"/>
    </row>
    <row r="712" spans="1:11">
      <c r="A712" s="356"/>
      <c r="B712" s="356"/>
      <c r="C712" s="356"/>
      <c r="D712" s="1248"/>
      <c r="E712" s="1248"/>
      <c r="F712" s="1248"/>
      <c r="H712" s="373"/>
      <c r="I712" s="356"/>
      <c r="J712" s="373"/>
      <c r="K712" s="373"/>
    </row>
    <row r="713" spans="1:11">
      <c r="A713" s="356"/>
      <c r="B713" s="356"/>
      <c r="C713" s="356"/>
      <c r="D713" s="1248"/>
      <c r="E713" s="1248"/>
      <c r="F713" s="1248"/>
      <c r="H713" s="373"/>
      <c r="I713" s="356"/>
      <c r="J713" s="373"/>
      <c r="K713" s="373"/>
    </row>
    <row r="714" spans="1:11">
      <c r="A714" s="356"/>
      <c r="B714" s="356"/>
      <c r="C714" s="356"/>
      <c r="D714" s="1248"/>
      <c r="E714" s="1248"/>
      <c r="F714" s="1248"/>
      <c r="H714" s="373"/>
      <c r="I714" s="356"/>
      <c r="J714" s="373"/>
      <c r="K714" s="373"/>
    </row>
    <row r="715" spans="1:11">
      <c r="A715" s="356"/>
      <c r="B715" s="356"/>
      <c r="C715" s="356"/>
      <c r="D715" s="1248"/>
      <c r="E715" s="1248"/>
      <c r="F715" s="1248"/>
      <c r="H715" s="373"/>
      <c r="I715" s="356"/>
      <c r="J715" s="373"/>
      <c r="K715" s="373"/>
    </row>
    <row r="716" spans="1:11">
      <c r="A716" s="356"/>
      <c r="B716" s="358" t="s">
        <v>529</v>
      </c>
      <c r="C716" s="356"/>
      <c r="D716" s="1248" t="s">
        <v>478</v>
      </c>
      <c r="E716" s="1248"/>
      <c r="F716" s="1248"/>
      <c r="H716" s="373"/>
      <c r="I716" s="356" t="s">
        <v>685</v>
      </c>
      <c r="J716" s="373"/>
      <c r="K716" s="373"/>
    </row>
    <row r="717" spans="1:11">
      <c r="A717" s="356"/>
      <c r="B717" s="356"/>
      <c r="C717" s="356"/>
      <c r="D717" s="1248"/>
      <c r="E717" s="1248"/>
      <c r="F717" s="1248"/>
      <c r="H717" s="373"/>
      <c r="I717" s="356"/>
      <c r="J717" s="373"/>
      <c r="K717" s="373"/>
    </row>
    <row r="718" spans="1:11">
      <c r="A718" s="356"/>
      <c r="B718" s="356"/>
      <c r="C718" s="356"/>
      <c r="D718" s="1120"/>
      <c r="E718" s="1120"/>
      <c r="F718" s="1120"/>
      <c r="H718" s="373"/>
      <c r="I718" s="356"/>
      <c r="J718" s="373"/>
      <c r="K718" s="373"/>
    </row>
    <row r="719" spans="1:11">
      <c r="A719" s="356"/>
      <c r="B719" s="358" t="s">
        <v>529</v>
      </c>
      <c r="C719" s="356"/>
      <c r="D719" s="1248" t="s">
        <v>480</v>
      </c>
      <c r="E719" s="1248"/>
      <c r="F719" s="1248"/>
      <c r="H719" s="373"/>
      <c r="I719" s="356" t="s">
        <v>685</v>
      </c>
      <c r="J719" s="373"/>
      <c r="K719" s="373"/>
    </row>
    <row r="720" spans="1:11">
      <c r="A720" s="356"/>
      <c r="B720" s="356"/>
      <c r="C720" s="356"/>
      <c r="D720" s="1248"/>
      <c r="E720" s="1248"/>
      <c r="F720" s="1248"/>
      <c r="H720" s="373"/>
      <c r="I720" s="356"/>
      <c r="J720" s="373"/>
      <c r="K720" s="373"/>
    </row>
    <row r="721" spans="1:11">
      <c r="A721" s="356"/>
      <c r="B721" s="356"/>
      <c r="C721" s="356"/>
      <c r="D721" s="1248"/>
      <c r="E721" s="1248"/>
      <c r="F721" s="1248"/>
      <c r="H721" s="373"/>
      <c r="I721" s="356"/>
      <c r="J721" s="373"/>
      <c r="K721" s="373"/>
    </row>
    <row r="722" spans="1:11">
      <c r="A722" s="356"/>
      <c r="B722" s="356"/>
      <c r="C722" s="356"/>
      <c r="H722" s="373"/>
      <c r="I722" s="356"/>
      <c r="J722" s="373"/>
      <c r="K722" s="373"/>
    </row>
    <row r="723" spans="1:11">
      <c r="A723" s="356"/>
      <c r="B723" s="358" t="s">
        <v>529</v>
      </c>
      <c r="C723" s="356"/>
      <c r="D723" s="1248" t="s">
        <v>481</v>
      </c>
      <c r="E723" s="1248"/>
      <c r="F723" s="1248"/>
      <c r="H723" s="373"/>
      <c r="I723" s="356" t="s">
        <v>685</v>
      </c>
      <c r="J723" s="373"/>
      <c r="K723" s="373"/>
    </row>
    <row r="724" spans="1:11">
      <c r="A724" s="356"/>
      <c r="B724" s="356"/>
      <c r="C724" s="356"/>
      <c r="D724" s="1248"/>
      <c r="E724" s="1248"/>
      <c r="F724" s="1248"/>
      <c r="H724" s="373"/>
      <c r="I724" s="356"/>
      <c r="J724" s="373"/>
      <c r="K724" s="373"/>
    </row>
    <row r="725" spans="1:11">
      <c r="A725" s="356"/>
      <c r="B725" s="356"/>
      <c r="C725" s="356"/>
      <c r="D725" s="1248"/>
      <c r="E725" s="1248"/>
      <c r="F725" s="1248"/>
      <c r="H725" s="373"/>
      <c r="I725" s="356"/>
      <c r="J725" s="373"/>
      <c r="K725" s="373"/>
    </row>
    <row r="726" spans="1:11">
      <c r="A726" s="356"/>
      <c r="B726" s="356"/>
      <c r="C726" s="356"/>
      <c r="H726" s="373"/>
      <c r="I726" s="356"/>
      <c r="J726" s="373"/>
      <c r="K726" s="373"/>
    </row>
    <row r="727" spans="1:11">
      <c r="A727" s="357"/>
      <c r="B727" s="358" t="s">
        <v>529</v>
      </c>
      <c r="C727" s="356"/>
      <c r="D727" s="1248" t="s">
        <v>482</v>
      </c>
      <c r="E727" s="1248"/>
      <c r="F727" s="1248"/>
      <c r="H727" s="373"/>
      <c r="I727" s="356" t="s">
        <v>686</v>
      </c>
      <c r="J727" s="373"/>
      <c r="K727" s="373"/>
    </row>
    <row r="728" spans="1:11">
      <c r="A728" s="356"/>
      <c r="B728" s="356"/>
      <c r="C728" s="356"/>
      <c r="D728" s="1248"/>
      <c r="E728" s="1248"/>
      <c r="F728" s="1248"/>
      <c r="H728" s="373"/>
      <c r="I728" s="356"/>
      <c r="J728" s="373"/>
      <c r="K728" s="373"/>
    </row>
    <row r="729" spans="1:11">
      <c r="A729" s="356"/>
      <c r="B729" s="356"/>
      <c r="C729" s="356"/>
      <c r="D729" s="1248"/>
      <c r="E729" s="1248"/>
      <c r="F729" s="1248"/>
      <c r="H729" s="373"/>
      <c r="I729" s="356"/>
      <c r="J729" s="373"/>
      <c r="K729" s="373"/>
    </row>
    <row r="730" spans="1:11">
      <c r="A730" s="356"/>
      <c r="B730" s="356"/>
      <c r="C730" s="356"/>
      <c r="D730" s="1248"/>
      <c r="E730" s="1248"/>
      <c r="F730" s="1248"/>
      <c r="H730" s="373"/>
      <c r="I730" s="356"/>
      <c r="J730" s="373"/>
      <c r="K730" s="373"/>
    </row>
    <row r="731" spans="1:11">
      <c r="A731" s="356"/>
      <c r="B731" s="356"/>
      <c r="C731" s="356"/>
      <c r="D731" s="364"/>
      <c r="H731" s="373"/>
      <c r="I731" s="356"/>
      <c r="J731" s="373"/>
      <c r="K731" s="373"/>
    </row>
    <row r="732" spans="1:11">
      <c r="A732" s="357"/>
      <c r="B732" s="358" t="s">
        <v>529</v>
      </c>
      <c r="C732" s="356"/>
      <c r="D732" s="1248" t="s">
        <v>687</v>
      </c>
      <c r="E732" s="1248"/>
      <c r="F732" s="1248"/>
      <c r="H732" s="373"/>
      <c r="I732" s="356" t="s">
        <v>688</v>
      </c>
      <c r="J732" s="373"/>
      <c r="K732" s="373"/>
    </row>
    <row r="733" spans="1:11">
      <c r="A733" s="356"/>
      <c r="B733" s="356"/>
      <c r="C733" s="356"/>
      <c r="D733" s="1248"/>
      <c r="E733" s="1248"/>
      <c r="F733" s="1248"/>
      <c r="H733" s="373"/>
      <c r="I733" s="356"/>
      <c r="J733" s="373"/>
      <c r="K733" s="373"/>
    </row>
    <row r="734" spans="1:11">
      <c r="A734" s="356"/>
      <c r="B734" s="356"/>
      <c r="C734" s="356"/>
      <c r="D734" s="1248"/>
      <c r="E734" s="1248"/>
      <c r="F734" s="1248"/>
      <c r="H734" s="373"/>
      <c r="I734" s="356"/>
      <c r="J734" s="373"/>
      <c r="K734" s="373"/>
    </row>
    <row r="735" spans="1:11">
      <c r="A735" s="356"/>
      <c r="B735" s="356"/>
      <c r="C735" s="356"/>
      <c r="D735" s="1248"/>
      <c r="E735" s="1248"/>
      <c r="F735" s="1248"/>
      <c r="H735" s="373"/>
      <c r="I735" s="356"/>
      <c r="J735" s="373"/>
      <c r="K735" s="373"/>
    </row>
    <row r="736" spans="1:11">
      <c r="A736" s="356"/>
      <c r="B736" s="356"/>
      <c r="C736" s="356"/>
      <c r="D736" s="1248"/>
      <c r="E736" s="1248"/>
      <c r="F736" s="1248"/>
      <c r="H736" s="373"/>
      <c r="I736" s="356"/>
      <c r="J736" s="373"/>
      <c r="K736" s="373"/>
    </row>
    <row r="737" spans="1:11">
      <c r="A737" s="356"/>
      <c r="B737" s="356"/>
      <c r="C737" s="356"/>
      <c r="D737" s="1248"/>
      <c r="E737" s="1248"/>
      <c r="F737" s="1248"/>
      <c r="H737" s="373"/>
      <c r="I737" s="356"/>
      <c r="J737" s="373"/>
      <c r="K737" s="373"/>
    </row>
    <row r="738" spans="1:11">
      <c r="A738" s="356"/>
      <c r="B738" s="356"/>
      <c r="C738" s="356"/>
      <c r="D738" s="1248"/>
      <c r="E738" s="1248"/>
      <c r="F738" s="1248"/>
      <c r="H738" s="373"/>
      <c r="I738" s="356"/>
      <c r="J738" s="373"/>
      <c r="K738" s="373"/>
    </row>
    <row r="739" spans="1:11">
      <c r="A739" s="356"/>
      <c r="B739" s="356"/>
      <c r="C739" s="356"/>
      <c r="D739" s="1264" t="s">
        <v>689</v>
      </c>
      <c r="E739" s="1264"/>
      <c r="F739" s="1264"/>
      <c r="H739" s="373"/>
      <c r="I739" s="356"/>
      <c r="J739" s="373"/>
      <c r="K739" s="373"/>
    </row>
    <row r="740" spans="1:11">
      <c r="A740" s="356"/>
      <c r="B740" s="356"/>
      <c r="C740" s="356"/>
      <c r="D740" s="1131"/>
      <c r="H740" s="373"/>
      <c r="I740" s="356"/>
      <c r="J740" s="373"/>
      <c r="K740" s="373"/>
    </row>
    <row r="741" spans="1:11">
      <c r="A741" s="1266" t="s">
        <v>485</v>
      </c>
      <c r="B741" s="1266"/>
      <c r="C741" s="1266"/>
      <c r="D741" s="1266"/>
      <c r="E741" s="1266"/>
      <c r="F741" s="1266"/>
      <c r="G741" s="1266"/>
      <c r="H741" s="838"/>
      <c r="I741" s="1025"/>
      <c r="J741" s="373"/>
      <c r="K741" s="373"/>
    </row>
    <row r="742" spans="1:11">
      <c r="A742" s="356"/>
      <c r="B742" s="356"/>
      <c r="C742" s="356"/>
      <c r="D742" s="364"/>
      <c r="G742" s="373"/>
      <c r="H742" s="373"/>
      <c r="I742" s="356"/>
      <c r="J742" s="373"/>
      <c r="K742" s="373"/>
    </row>
    <row r="743" spans="1:11" ht="13.75" customHeight="1">
      <c r="C743" s="356"/>
      <c r="D743" s="1250" t="s">
        <v>486</v>
      </c>
      <c r="E743" s="1250"/>
      <c r="F743" s="1250"/>
      <c r="G743" s="373"/>
      <c r="H743" s="373"/>
      <c r="I743" s="356"/>
      <c r="J743" s="373"/>
      <c r="K743" s="373"/>
    </row>
    <row r="744" spans="1:11">
      <c r="A744" s="356"/>
      <c r="B744" s="356"/>
      <c r="C744" s="356"/>
      <c r="D744" s="1251" t="s">
        <v>487</v>
      </c>
      <c r="E744" s="1251"/>
      <c r="F744" s="1251"/>
      <c r="G744" s="373"/>
      <c r="H744" s="373"/>
      <c r="I744" s="356"/>
      <c r="J744" s="373"/>
      <c r="K744" s="373"/>
    </row>
    <row r="745" spans="1:11">
      <c r="A745" s="356"/>
      <c r="B745" s="356"/>
      <c r="C745" s="356"/>
      <c r="G745" s="373"/>
      <c r="H745" s="373"/>
      <c r="I745" s="356"/>
      <c r="J745" s="373"/>
      <c r="K745" s="373"/>
    </row>
    <row r="746" spans="1:11">
      <c r="A746" s="357"/>
      <c r="B746" s="358" t="s">
        <v>522</v>
      </c>
      <c r="D746" s="1248" t="s">
        <v>488</v>
      </c>
      <c r="E746" s="1248"/>
      <c r="F746" s="1248"/>
      <c r="G746" s="373"/>
      <c r="H746" s="373"/>
      <c r="I746" s="356" t="s">
        <v>690</v>
      </c>
      <c r="J746" s="373"/>
      <c r="K746" s="373"/>
    </row>
    <row r="747" spans="1:11" ht="10.5" customHeight="1">
      <c r="D747" s="1248"/>
      <c r="E747" s="1248"/>
      <c r="F747" s="1248"/>
      <c r="G747" s="373"/>
      <c r="H747" s="373"/>
      <c r="I747" s="356"/>
      <c r="J747" s="373"/>
      <c r="K747" s="373"/>
    </row>
    <row r="748" spans="1:11">
      <c r="D748" s="1248"/>
      <c r="E748" s="1248"/>
      <c r="F748" s="1248"/>
      <c r="G748" s="373"/>
      <c r="H748" s="373"/>
      <c r="I748" s="356"/>
      <c r="J748" s="373"/>
      <c r="K748" s="373"/>
    </row>
    <row r="749" spans="1:11">
      <c r="D749" s="1248"/>
      <c r="E749" s="1248"/>
      <c r="F749" s="1248"/>
      <c r="G749" s="373"/>
      <c r="H749" s="373"/>
      <c r="I749" s="356"/>
      <c r="J749" s="373"/>
      <c r="K749" s="373"/>
    </row>
    <row r="750" spans="1:11">
      <c r="D750" s="1248"/>
      <c r="E750" s="1248"/>
      <c r="F750" s="1248"/>
      <c r="G750" s="373"/>
      <c r="H750" s="373"/>
      <c r="I750" s="356"/>
      <c r="J750" s="373"/>
      <c r="K750" s="373"/>
    </row>
    <row r="751" spans="1:11" ht="15.75" customHeight="1">
      <c r="D751" s="1248"/>
      <c r="E751" s="1248"/>
      <c r="F751" s="1248"/>
      <c r="G751" s="373"/>
      <c r="H751" s="373"/>
      <c r="I751" s="356"/>
      <c r="J751" s="373"/>
      <c r="K751" s="373"/>
    </row>
    <row r="752" spans="1:11">
      <c r="D752" s="371"/>
      <c r="E752" s="1121"/>
      <c r="F752" s="1121"/>
      <c r="G752" s="373"/>
      <c r="H752" s="373"/>
      <c r="I752" s="356"/>
      <c r="J752" s="373"/>
      <c r="K752" s="373"/>
    </row>
    <row r="753" spans="1:11" s="377" customFormat="1">
      <c r="A753" s="375"/>
      <c r="B753" s="358" t="s">
        <v>529</v>
      </c>
      <c r="C753" s="376"/>
      <c r="D753" s="1248" t="s">
        <v>691</v>
      </c>
      <c r="E753" s="1248"/>
      <c r="F753" s="1248"/>
      <c r="I753" s="1026" t="s">
        <v>690</v>
      </c>
    </row>
    <row r="754" spans="1:11" s="377" customFormat="1">
      <c r="A754" s="376"/>
      <c r="B754" s="376"/>
      <c r="C754" s="376"/>
      <c r="D754" s="1248"/>
      <c r="E754" s="1248"/>
      <c r="F754" s="1248"/>
      <c r="I754" s="1026"/>
    </row>
    <row r="755" spans="1:11" s="377" customFormat="1">
      <c r="A755" s="376"/>
      <c r="B755" s="376"/>
      <c r="C755" s="376"/>
      <c r="D755" s="1248"/>
      <c r="E755" s="1248"/>
      <c r="F755" s="1248"/>
      <c r="I755" s="1026"/>
    </row>
    <row r="756" spans="1:11" s="377" customFormat="1">
      <c r="A756" s="376"/>
      <c r="B756" s="376"/>
      <c r="C756" s="376"/>
      <c r="D756" s="1248"/>
      <c r="E756" s="1248"/>
      <c r="F756" s="1248"/>
      <c r="I756" s="1026"/>
    </row>
    <row r="757" spans="1:11" s="377" customFormat="1">
      <c r="A757" s="376"/>
      <c r="B757" s="376"/>
      <c r="C757" s="376"/>
      <c r="D757" s="371"/>
      <c r="I757" s="1026"/>
    </row>
    <row r="758" spans="1:11" s="377" customFormat="1">
      <c r="A758" s="357"/>
      <c r="B758" s="358" t="s">
        <v>522</v>
      </c>
      <c r="C758" s="376"/>
      <c r="D758" s="1246" t="s">
        <v>692</v>
      </c>
      <c r="E758" s="1246"/>
      <c r="F758" s="1246"/>
      <c r="I758" s="1026" t="s">
        <v>693</v>
      </c>
    </row>
    <row r="759" spans="1:11" s="377" customFormat="1">
      <c r="A759" s="376"/>
      <c r="B759" s="376"/>
      <c r="C759" s="376"/>
      <c r="D759" s="1246"/>
      <c r="E759" s="1246"/>
      <c r="F759" s="1246"/>
      <c r="I759" s="1026"/>
    </row>
    <row r="760" spans="1:11" s="377" customFormat="1">
      <c r="A760" s="376"/>
      <c r="B760" s="376"/>
      <c r="C760" s="376"/>
      <c r="D760" s="1246"/>
      <c r="E760" s="1246"/>
      <c r="F760" s="1246"/>
      <c r="I760" s="1026"/>
    </row>
    <row r="761" spans="1:11">
      <c r="D761" s="371"/>
      <c r="E761" s="1121"/>
      <c r="F761" s="1121"/>
      <c r="G761" s="373"/>
      <c r="H761" s="373"/>
      <c r="I761" s="356"/>
      <c r="J761" s="373"/>
      <c r="K761" s="373"/>
    </row>
    <row r="762" spans="1:11">
      <c r="A762" s="357"/>
      <c r="B762" s="358" t="s">
        <v>529</v>
      </c>
      <c r="D762" s="1248" t="s">
        <v>694</v>
      </c>
      <c r="E762" s="1248"/>
      <c r="F762" s="1248"/>
      <c r="G762" s="373"/>
      <c r="H762" s="373"/>
      <c r="I762" s="356" t="s">
        <v>690</v>
      </c>
      <c r="J762" s="373"/>
      <c r="K762" s="373"/>
    </row>
    <row r="763" spans="1:11">
      <c r="D763" s="1248"/>
      <c r="E763" s="1248"/>
      <c r="F763" s="1248"/>
      <c r="G763" s="373"/>
      <c r="H763" s="373"/>
      <c r="I763" s="356"/>
      <c r="J763" s="373"/>
      <c r="K763" s="373"/>
    </row>
    <row r="764" spans="1:11">
      <c r="D764" s="1120"/>
      <c r="E764" s="1120"/>
      <c r="F764" s="1120"/>
      <c r="G764" s="373"/>
      <c r="H764" s="373"/>
      <c r="I764" s="356"/>
      <c r="J764" s="373"/>
      <c r="K764" s="373"/>
    </row>
    <row r="765" spans="1:11">
      <c r="B765" s="358" t="s">
        <v>529</v>
      </c>
      <c r="D765" s="1248" t="s">
        <v>695</v>
      </c>
      <c r="E765" s="1248"/>
      <c r="F765" s="1248"/>
      <c r="G765" s="373"/>
      <c r="H765" s="373"/>
      <c r="I765" s="356" t="s">
        <v>690</v>
      </c>
      <c r="J765" s="373"/>
      <c r="K765" s="373"/>
    </row>
    <row r="766" spans="1:11">
      <c r="D766" s="1248"/>
      <c r="E766" s="1248"/>
      <c r="F766" s="1248"/>
      <c r="G766" s="373"/>
      <c r="H766" s="373"/>
      <c r="I766" s="356"/>
      <c r="J766" s="373"/>
      <c r="K766" s="373"/>
    </row>
    <row r="767" spans="1:11">
      <c r="D767" s="1248"/>
      <c r="E767" s="1248"/>
      <c r="F767" s="1248"/>
      <c r="G767" s="373"/>
      <c r="H767" s="373"/>
      <c r="I767" s="356"/>
      <c r="J767" s="373"/>
      <c r="K767" s="373"/>
    </row>
    <row r="768" spans="1:11">
      <c r="D768" s="1120"/>
      <c r="E768" s="1120"/>
      <c r="F768" s="1120"/>
      <c r="G768" s="373"/>
      <c r="H768" s="373"/>
      <c r="I768" s="356"/>
      <c r="J768" s="373"/>
      <c r="K768" s="373"/>
    </row>
    <row r="769" spans="1:9">
      <c r="A769" s="1299" t="s">
        <v>696</v>
      </c>
      <c r="B769" s="1299"/>
      <c r="C769" s="1299"/>
      <c r="D769" s="1299"/>
      <c r="E769" s="1299"/>
      <c r="F769" s="1299"/>
      <c r="G769" s="1299"/>
      <c r="H769" s="836"/>
      <c r="I769" s="1021"/>
    </row>
    <row r="770" spans="1:9">
      <c r="A770" s="1118"/>
      <c r="B770" s="1118"/>
      <c r="C770" s="1148"/>
      <c r="D770" s="2"/>
      <c r="E770" s="2"/>
      <c r="F770" s="2"/>
      <c r="G770" s="2"/>
      <c r="I770" s="1142"/>
    </row>
    <row r="771" spans="1:9">
      <c r="A771" s="1118"/>
      <c r="B771" s="1118"/>
      <c r="C771" s="1148"/>
      <c r="D771" s="1288" t="s">
        <v>697</v>
      </c>
      <c r="E771" s="1288"/>
      <c r="F771" s="1288"/>
      <c r="G771" s="2"/>
      <c r="I771" s="1142"/>
    </row>
    <row r="772" spans="1:9">
      <c r="A772" s="1118"/>
      <c r="B772" s="1118"/>
      <c r="C772" s="1148"/>
      <c r="D772" s="1235" t="s">
        <v>698</v>
      </c>
      <c r="E772" s="1235"/>
      <c r="F772" s="1235"/>
      <c r="G772" s="2"/>
      <c r="I772" s="1142"/>
    </row>
    <row r="773" spans="1:9">
      <c r="A773" s="1118"/>
      <c r="B773" s="1118"/>
      <c r="C773" s="1148"/>
      <c r="D773" s="1115"/>
      <c r="E773" s="1115"/>
      <c r="F773" s="1115"/>
      <c r="G773" s="2"/>
      <c r="I773" s="1142"/>
    </row>
    <row r="774" spans="1:9">
      <c r="A774" s="1118"/>
      <c r="B774" s="358" t="s">
        <v>522</v>
      </c>
      <c r="C774" s="1148"/>
      <c r="D774" s="1261" t="s">
        <v>699</v>
      </c>
      <c r="E774" s="1261"/>
      <c r="F774" s="1261"/>
      <c r="G774" s="2"/>
      <c r="I774" s="356" t="s">
        <v>700</v>
      </c>
    </row>
    <row r="775" spans="1:9">
      <c r="A775" s="1118"/>
      <c r="B775" s="1118"/>
      <c r="C775" s="1148"/>
      <c r="D775" s="1261"/>
      <c r="E775" s="1261"/>
      <c r="F775" s="1261"/>
      <c r="G775" s="2"/>
      <c r="I775" s="1142"/>
    </row>
    <row r="776" spans="1:9">
      <c r="A776" s="98"/>
      <c r="B776" s="98"/>
      <c r="C776" s="98"/>
      <c r="D776" s="1261"/>
      <c r="E776" s="1261"/>
      <c r="F776" s="1261"/>
      <c r="G776" s="68"/>
      <c r="I776" s="1142"/>
    </row>
    <row r="777" spans="1:9">
      <c r="A777" s="1148"/>
      <c r="B777" s="1148"/>
      <c r="C777" s="1148"/>
      <c r="D777" s="1117"/>
      <c r="E777" s="2"/>
      <c r="F777" s="2"/>
      <c r="G777" s="2"/>
      <c r="I777" s="1142"/>
    </row>
    <row r="778" spans="1:9">
      <c r="A778" s="1125"/>
      <c r="B778" s="358" t="s">
        <v>529</v>
      </c>
      <c r="C778" s="1125"/>
      <c r="D778" s="1261" t="s">
        <v>701</v>
      </c>
      <c r="E778" s="1261"/>
      <c r="F778" s="1261"/>
      <c r="G778" s="2"/>
      <c r="I778" s="356" t="s">
        <v>700</v>
      </c>
    </row>
    <row r="779" spans="1:9">
      <c r="A779" s="1125"/>
      <c r="B779" s="1125"/>
      <c r="C779" s="1125"/>
      <c r="D779" s="1261"/>
      <c r="E779" s="1261"/>
      <c r="F779" s="1261"/>
      <c r="G779" s="2"/>
      <c r="I779" s="1142"/>
    </row>
    <row r="780" spans="1:9">
      <c r="A780" s="1125"/>
      <c r="B780" s="1125"/>
      <c r="C780" s="1125"/>
      <c r="D780" s="1261"/>
      <c r="E780" s="1261"/>
      <c r="F780" s="1261"/>
      <c r="G780" s="2"/>
      <c r="I780" s="1142"/>
    </row>
    <row r="781" spans="1:9">
      <c r="A781" s="98"/>
      <c r="B781" s="98"/>
      <c r="C781" s="98"/>
      <c r="D781" s="2"/>
      <c r="E781" s="805"/>
      <c r="F781" s="805"/>
      <c r="G781" s="805"/>
      <c r="I781" s="1142"/>
    </row>
    <row r="782" spans="1:9">
      <c r="A782" s="99"/>
      <c r="B782" s="358" t="s">
        <v>529</v>
      </c>
      <c r="C782" s="806"/>
      <c r="D782" s="1261" t="s">
        <v>702</v>
      </c>
      <c r="E782" s="1261"/>
      <c r="F782" s="1261"/>
      <c r="G782" s="805"/>
      <c r="I782" s="356" t="s">
        <v>700</v>
      </c>
    </row>
    <row r="783" spans="1:9">
      <c r="A783" s="99"/>
      <c r="B783" s="99"/>
      <c r="C783" s="806"/>
      <c r="D783" s="1261"/>
      <c r="E783" s="1261"/>
      <c r="F783" s="1261"/>
      <c r="G783" s="805"/>
      <c r="I783" s="1142"/>
    </row>
    <row r="784" spans="1:9">
      <c r="A784" s="99"/>
      <c r="B784" s="99"/>
      <c r="C784" s="806"/>
      <c r="D784" s="1261"/>
      <c r="E784" s="1261"/>
      <c r="F784" s="1261"/>
      <c r="G784" s="805"/>
      <c r="I784" s="1142"/>
    </row>
    <row r="785" spans="1:9">
      <c r="A785" s="99"/>
      <c r="B785" s="99"/>
      <c r="C785" s="806"/>
      <c r="D785" s="68"/>
      <c r="E785" s="2"/>
      <c r="F785" s="2"/>
      <c r="G785" s="805"/>
      <c r="I785" s="1142"/>
    </row>
    <row r="786" spans="1:9">
      <c r="A786" s="99"/>
      <c r="B786" s="358" t="s">
        <v>529</v>
      </c>
      <c r="C786" s="806"/>
      <c r="D786" s="1261" t="s">
        <v>703</v>
      </c>
      <c r="E786" s="1261"/>
      <c r="F786" s="1261"/>
      <c r="G786" s="805"/>
      <c r="I786" s="356" t="s">
        <v>700</v>
      </c>
    </row>
    <row r="787" spans="1:9">
      <c r="A787" s="99"/>
      <c r="B787" s="99"/>
      <c r="C787" s="806"/>
      <c r="D787" s="1261"/>
      <c r="E787" s="1261"/>
      <c r="F787" s="1261"/>
      <c r="G787" s="805"/>
      <c r="I787" s="1142"/>
    </row>
    <row r="788" spans="1:9">
      <c r="A788" s="99"/>
      <c r="B788" s="99"/>
      <c r="C788" s="806"/>
      <c r="D788" s="1261"/>
      <c r="E788" s="1261"/>
      <c r="F788" s="1261"/>
      <c r="G788" s="805"/>
      <c r="I788" s="1142"/>
    </row>
    <row r="789" spans="1:9">
      <c r="A789" s="99"/>
      <c r="B789" s="99"/>
      <c r="C789" s="806"/>
      <c r="D789" s="1261"/>
      <c r="E789" s="1261"/>
      <c r="F789" s="1261"/>
      <c r="G789" s="805"/>
      <c r="I789" s="1142"/>
    </row>
    <row r="790" spans="1:9">
      <c r="A790" s="99"/>
      <c r="B790" s="99"/>
      <c r="C790" s="806"/>
      <c r="D790" s="1261"/>
      <c r="E790" s="1261"/>
      <c r="F790" s="1261"/>
      <c r="G790" s="805"/>
      <c r="I790" s="1142"/>
    </row>
    <row r="791" spans="1:9">
      <c r="A791" s="99"/>
      <c r="B791" s="99"/>
      <c r="C791" s="806"/>
      <c r="D791" s="1261"/>
      <c r="E791" s="1261"/>
      <c r="F791" s="1261"/>
      <c r="G791" s="805"/>
      <c r="I791" s="1142"/>
    </row>
    <row r="792" spans="1:9">
      <c r="A792" s="99"/>
      <c r="B792" s="99"/>
      <c r="C792" s="806"/>
      <c r="D792" s="1261" t="s">
        <v>704</v>
      </c>
      <c r="E792" s="1261"/>
      <c r="F792" s="1261"/>
      <c r="G792" s="805"/>
      <c r="I792" s="1142"/>
    </row>
    <row r="793" spans="1:9">
      <c r="A793" s="99"/>
      <c r="B793" s="99"/>
      <c r="C793" s="806"/>
      <c r="D793" s="1261"/>
      <c r="E793" s="1261"/>
      <c r="F793" s="1261"/>
      <c r="G793" s="805"/>
      <c r="I793" s="1142"/>
    </row>
    <row r="794" spans="1:9">
      <c r="A794" s="99"/>
      <c r="B794" s="99"/>
      <c r="C794" s="806"/>
      <c r="D794" s="1261"/>
      <c r="E794" s="1261"/>
      <c r="F794" s="1261"/>
      <c r="G794" s="805"/>
      <c r="I794" s="1142"/>
    </row>
    <row r="795" spans="1:9">
      <c r="A795" s="99"/>
      <c r="B795" s="1148"/>
      <c r="C795" s="806"/>
      <c r="D795" s="807"/>
      <c r="E795" s="807"/>
      <c r="F795" s="807"/>
      <c r="G795" s="805"/>
      <c r="I795" s="1142"/>
    </row>
    <row r="796" spans="1:9">
      <c r="A796" s="99"/>
      <c r="B796" s="358" t="s">
        <v>529</v>
      </c>
      <c r="C796" s="806"/>
      <c r="D796" s="1261" t="s">
        <v>705</v>
      </c>
      <c r="E796" s="1261"/>
      <c r="F796" s="1261"/>
      <c r="G796" s="805"/>
      <c r="I796" s="356" t="s">
        <v>700</v>
      </c>
    </row>
    <row r="797" spans="1:9">
      <c r="A797" s="99"/>
      <c r="B797" s="99"/>
      <c r="C797" s="806"/>
      <c r="D797" s="1261"/>
      <c r="E797" s="1261"/>
      <c r="F797" s="1261"/>
      <c r="G797" s="805"/>
      <c r="I797" s="1142"/>
    </row>
    <row r="798" spans="1:9">
      <c r="A798" s="99"/>
      <c r="B798" s="99"/>
      <c r="C798" s="806"/>
      <c r="D798" s="1261"/>
      <c r="E798" s="1261"/>
      <c r="F798" s="1261"/>
      <c r="G798" s="805"/>
      <c r="I798" s="1142"/>
    </row>
    <row r="799" spans="1:9">
      <c r="A799" s="99"/>
      <c r="B799" s="99"/>
      <c r="C799" s="806"/>
      <c r="D799" s="1261"/>
      <c r="E799" s="1261"/>
      <c r="F799" s="1261"/>
      <c r="G799" s="805"/>
      <c r="I799" s="1142"/>
    </row>
    <row r="800" spans="1:9">
      <c r="A800" s="99"/>
      <c r="B800" s="99"/>
      <c r="C800" s="806"/>
      <c r="D800" s="1261"/>
      <c r="E800" s="1261"/>
      <c r="F800" s="1261"/>
      <c r="G800" s="805"/>
      <c r="I800" s="1142"/>
    </row>
    <row r="801" spans="1:9">
      <c r="A801" s="99"/>
      <c r="B801" s="99"/>
      <c r="C801" s="806"/>
      <c r="D801" s="1261"/>
      <c r="E801" s="1261"/>
      <c r="F801" s="1261"/>
      <c r="G801" s="805"/>
      <c r="I801" s="1142"/>
    </row>
    <row r="802" spans="1:9">
      <c r="A802" s="99"/>
      <c r="B802" s="99"/>
      <c r="C802" s="806"/>
      <c r="D802" s="1129"/>
      <c r="E802" s="1129"/>
      <c r="F802" s="1129"/>
      <c r="G802" s="805"/>
      <c r="I802" s="1142"/>
    </row>
    <row r="803" spans="1:9">
      <c r="A803" s="99"/>
      <c r="B803" s="358" t="s">
        <v>529</v>
      </c>
      <c r="C803" s="806"/>
      <c r="D803" s="1261" t="s">
        <v>706</v>
      </c>
      <c r="E803" s="1261"/>
      <c r="F803" s="1261"/>
      <c r="G803" s="805"/>
      <c r="I803" s="356" t="s">
        <v>700</v>
      </c>
    </row>
    <row r="804" spans="1:9">
      <c r="A804" s="99"/>
      <c r="B804" s="99"/>
      <c r="C804" s="806"/>
      <c r="D804" s="1261"/>
      <c r="E804" s="1261"/>
      <c r="F804" s="1261"/>
      <c r="G804" s="805"/>
      <c r="I804" s="1142"/>
    </row>
    <row r="805" spans="1:9">
      <c r="A805" s="99"/>
      <c r="B805" s="99"/>
      <c r="C805" s="806"/>
      <c r="D805" s="1261"/>
      <c r="E805" s="1261"/>
      <c r="F805" s="1261"/>
      <c r="G805" s="805"/>
      <c r="I805" s="1142"/>
    </row>
    <row r="806" spans="1:9">
      <c r="A806" s="99"/>
      <c r="B806" s="99"/>
      <c r="C806" s="806"/>
      <c r="D806" s="1261"/>
      <c r="E806" s="1261"/>
      <c r="F806" s="1261"/>
      <c r="G806" s="805"/>
      <c r="I806" s="1142"/>
    </row>
    <row r="807" spans="1:9">
      <c r="A807" s="99"/>
      <c r="B807" s="99"/>
      <c r="C807" s="806"/>
      <c r="D807" s="1261"/>
      <c r="E807" s="1261"/>
      <c r="F807" s="1261"/>
      <c r="G807" s="805"/>
      <c r="I807" s="1142"/>
    </row>
    <row r="808" spans="1:9">
      <c r="A808" s="99"/>
      <c r="B808" s="99"/>
      <c r="C808" s="806"/>
      <c r="D808" s="1261"/>
      <c r="E808" s="1261"/>
      <c r="F808" s="1261"/>
      <c r="G808" s="805"/>
      <c r="I808" s="1142"/>
    </row>
    <row r="809" spans="1:9">
      <c r="A809" s="99"/>
      <c r="B809" s="99"/>
      <c r="C809" s="806"/>
      <c r="D809" s="1129"/>
      <c r="E809" s="1129"/>
      <c r="F809" s="1129"/>
      <c r="G809" s="805"/>
      <c r="I809" s="1142"/>
    </row>
    <row r="810" spans="1:9">
      <c r="A810" s="99"/>
      <c r="B810" s="358" t="s">
        <v>529</v>
      </c>
      <c r="C810" s="806"/>
      <c r="D810" s="1258" t="s">
        <v>707</v>
      </c>
      <c r="E810" s="1258"/>
      <c r="F810" s="1258"/>
      <c r="G810" s="805"/>
      <c r="I810" s="356" t="s">
        <v>700</v>
      </c>
    </row>
    <row r="811" spans="1:9">
      <c r="A811" s="99"/>
      <c r="B811" s="99"/>
      <c r="C811" s="806"/>
      <c r="D811" s="1258"/>
      <c r="E811" s="1258"/>
      <c r="F811" s="1258"/>
      <c r="G811" s="805"/>
      <c r="I811" s="1142"/>
    </row>
    <row r="812" spans="1:9">
      <c r="A812" s="1127"/>
      <c r="B812" s="1127"/>
      <c r="C812" s="806"/>
      <c r="D812" s="1258"/>
      <c r="E812" s="1258"/>
      <c r="F812" s="1258"/>
      <c r="G812" s="805"/>
      <c r="I812" s="1142"/>
    </row>
    <row r="813" spans="1:9">
      <c r="A813" s="99"/>
      <c r="B813" s="1127"/>
      <c r="C813" s="806"/>
      <c r="D813" s="1258"/>
      <c r="E813" s="1258"/>
      <c r="F813" s="1258"/>
      <c r="G813" s="805"/>
      <c r="I813" s="1142"/>
    </row>
    <row r="814" spans="1:9" ht="12.75" customHeight="1">
      <c r="A814" s="99"/>
      <c r="B814" s="1127"/>
      <c r="C814" s="806"/>
      <c r="D814" s="1258"/>
      <c r="E814" s="1258"/>
      <c r="F814" s="1258"/>
      <c r="G814" s="805"/>
      <c r="I814" s="1142"/>
    </row>
    <row r="815" spans="1:9" ht="12.75" customHeight="1">
      <c r="A815" s="99"/>
      <c r="B815" s="1127"/>
      <c r="C815" s="806"/>
      <c r="D815" s="1258"/>
      <c r="E815" s="1258"/>
      <c r="F815" s="1258"/>
      <c r="G815" s="805"/>
      <c r="I815" s="1142"/>
    </row>
    <row r="816" spans="1:9" ht="12.75" customHeight="1">
      <c r="A816" s="1127"/>
      <c r="B816" s="1127"/>
      <c r="C816" s="806"/>
      <c r="D816" s="805"/>
      <c r="E816" s="2"/>
      <c r="F816" s="2"/>
      <c r="G816" s="805"/>
      <c r="I816" s="1142"/>
    </row>
    <row r="817" spans="1:9" ht="12.75" customHeight="1">
      <c r="A817" s="1265" t="s">
        <v>708</v>
      </c>
      <c r="B817" s="1265"/>
      <c r="C817" s="1265"/>
      <c r="D817" s="1265"/>
      <c r="E817" s="1265"/>
      <c r="F817" s="1265"/>
      <c r="G817" s="1265"/>
      <c r="H817" s="836"/>
      <c r="I817" s="1021"/>
    </row>
    <row r="818" spans="1:9" ht="12.75" customHeight="1">
      <c r="A818" s="1125"/>
      <c r="B818" s="1125"/>
      <c r="C818" s="806"/>
      <c r="D818" s="805"/>
      <c r="E818" s="805"/>
      <c r="F818" s="805"/>
      <c r="G818" s="805"/>
      <c r="I818" s="1142"/>
    </row>
    <row r="819" spans="1:9" ht="12.75" customHeight="1">
      <c r="A819" s="99"/>
      <c r="B819" s="99"/>
      <c r="C819" s="1148"/>
      <c r="D819" s="1254" t="s">
        <v>709</v>
      </c>
      <c r="E819" s="1254"/>
      <c r="F819" s="1254"/>
      <c r="G819" s="2"/>
      <c r="I819" s="1142"/>
    </row>
    <row r="820" spans="1:9" ht="14.25" customHeight="1">
      <c r="A820" s="99"/>
      <c r="B820" s="99"/>
      <c r="C820" s="1148"/>
      <c r="D820" s="1222" t="s">
        <v>710</v>
      </c>
      <c r="E820" s="1222"/>
      <c r="F820" s="1222"/>
      <c r="G820" s="2"/>
      <c r="I820" s="1142"/>
    </row>
    <row r="821" spans="1:9" ht="12.75" customHeight="1">
      <c r="A821" s="99"/>
      <c r="B821" s="99"/>
      <c r="C821" s="1148"/>
      <c r="D821" s="1109"/>
      <c r="E821" s="1109"/>
      <c r="F821" s="1109"/>
      <c r="G821" s="2"/>
      <c r="I821" s="1142"/>
    </row>
    <row r="822" spans="1:9" ht="12.75" customHeight="1">
      <c r="A822" s="1148"/>
      <c r="B822" s="358" t="s">
        <v>522</v>
      </c>
      <c r="C822" s="806"/>
      <c r="D822" s="1222" t="s">
        <v>711</v>
      </c>
      <c r="E822" s="1222"/>
      <c r="F822" s="1222"/>
      <c r="G822" s="2"/>
      <c r="I822" s="1142" t="s">
        <v>588</v>
      </c>
    </row>
    <row r="823" spans="1:9" ht="14.25" customHeight="1">
      <c r="A823" s="1127"/>
      <c r="B823" s="1127"/>
      <c r="C823" s="806"/>
      <c r="E823" s="844" t="s">
        <v>589</v>
      </c>
      <c r="F823" s="1138"/>
      <c r="G823" s="2"/>
      <c r="I823" s="1142"/>
    </row>
    <row r="824" spans="1:9" ht="12.75" customHeight="1">
      <c r="A824" s="1127"/>
      <c r="B824" s="1127"/>
      <c r="C824" s="806"/>
      <c r="D824" s="808"/>
      <c r="E824" s="2"/>
      <c r="F824" s="2"/>
      <c r="G824" s="2"/>
      <c r="I824" s="1142"/>
    </row>
    <row r="825" spans="1:9" ht="14.25" hidden="1" customHeight="1">
      <c r="A825" s="1127"/>
      <c r="B825" s="358" t="s">
        <v>294</v>
      </c>
      <c r="C825" s="806"/>
      <c r="D825" s="1290" t="s">
        <v>712</v>
      </c>
      <c r="E825" s="1290"/>
      <c r="F825" s="1290"/>
      <c r="G825" s="2"/>
      <c r="I825" s="1142"/>
    </row>
    <row r="826" spans="1:9" ht="12.75" hidden="1" customHeight="1">
      <c r="A826" s="1127"/>
      <c r="B826" s="1127"/>
      <c r="C826" s="806"/>
      <c r="D826" s="1290"/>
      <c r="E826" s="1290"/>
      <c r="F826" s="1290"/>
      <c r="G826" s="2"/>
      <c r="I826" s="1142"/>
    </row>
    <row r="827" spans="1:9" ht="12.75" hidden="1" customHeight="1">
      <c r="A827" s="1127"/>
      <c r="B827" s="1127"/>
      <c r="C827" s="806"/>
      <c r="D827" s="1290"/>
      <c r="E827" s="1290"/>
      <c r="F827" s="1290"/>
      <c r="G827" s="2"/>
      <c r="I827" s="1142"/>
    </row>
    <row r="828" spans="1:9" ht="12.75" hidden="1" customHeight="1">
      <c r="A828" s="1127"/>
      <c r="B828" s="1127"/>
      <c r="C828" s="806"/>
      <c r="D828" s="1290"/>
      <c r="E828" s="1290"/>
      <c r="F828" s="1290"/>
      <c r="G828" s="2"/>
      <c r="I828" s="1142"/>
    </row>
    <row r="829" spans="1:9" ht="12.75" hidden="1" customHeight="1">
      <c r="A829" s="1127"/>
      <c r="B829" s="1127"/>
      <c r="C829" s="806"/>
      <c r="D829" s="1290"/>
      <c r="E829" s="1290"/>
      <c r="F829" s="1290"/>
      <c r="G829" s="2"/>
      <c r="I829" s="1142"/>
    </row>
    <row r="830" spans="1:9" ht="12.75" hidden="1" customHeight="1">
      <c r="A830" s="1127"/>
      <c r="B830" s="1127"/>
      <c r="C830" s="806"/>
      <c r="D830" s="1290"/>
      <c r="E830" s="1290"/>
      <c r="F830" s="1290"/>
      <c r="G830" s="2"/>
      <c r="I830" s="1142"/>
    </row>
    <row r="831" spans="1:9" ht="12.75" hidden="1" customHeight="1">
      <c r="A831" s="1127"/>
      <c r="B831" s="1127"/>
      <c r="C831" s="806"/>
      <c r="D831" s="1290"/>
      <c r="E831" s="1290"/>
      <c r="F831" s="1290"/>
      <c r="G831" s="2"/>
      <c r="I831" s="1142"/>
    </row>
    <row r="832" spans="1:9" ht="12.75" hidden="1" customHeight="1">
      <c r="A832" s="1127"/>
      <c r="B832" s="1127"/>
      <c r="C832" s="806"/>
      <c r="D832" s="1290"/>
      <c r="E832" s="1290"/>
      <c r="F832" s="1290"/>
      <c r="G832" s="2"/>
      <c r="I832" s="1142"/>
    </row>
    <row r="833" spans="1:9" ht="12.75" hidden="1" customHeight="1">
      <c r="A833" s="1127"/>
      <c r="B833" s="1127"/>
      <c r="C833" s="806"/>
      <c r="D833" s="1290"/>
      <c r="E833" s="1290"/>
      <c r="F833" s="1290"/>
      <c r="G833" s="2"/>
      <c r="I833" s="1142"/>
    </row>
    <row r="834" spans="1:9" ht="12.75" hidden="1" customHeight="1">
      <c r="A834" s="1127"/>
      <c r="B834" s="1127"/>
      <c r="C834" s="806"/>
      <c r="D834" s="1290"/>
      <c r="E834" s="1290"/>
      <c r="F834" s="1290"/>
      <c r="G834" s="2"/>
      <c r="I834" s="1142"/>
    </row>
    <row r="835" spans="1:9" ht="12.75" hidden="1" customHeight="1">
      <c r="A835" s="1127"/>
      <c r="B835" s="1127"/>
      <c r="C835" s="806"/>
      <c r="D835" s="808"/>
      <c r="E835" s="2"/>
      <c r="F835" s="2"/>
      <c r="G835" s="2"/>
      <c r="I835" s="1142"/>
    </row>
    <row r="836" spans="1:9" ht="12.75" customHeight="1">
      <c r="A836" s="99"/>
      <c r="B836" s="358" t="s">
        <v>522</v>
      </c>
      <c r="C836" s="806"/>
      <c r="D836" s="1222" t="s">
        <v>713</v>
      </c>
      <c r="E836" s="1222"/>
      <c r="F836" s="1222"/>
      <c r="G836" s="2"/>
      <c r="I836" s="1142" t="s">
        <v>591</v>
      </c>
    </row>
    <row r="837" spans="1:9" ht="12.75" customHeight="1">
      <c r="A837" s="99"/>
      <c r="B837" s="99"/>
      <c r="C837" s="806"/>
      <c r="D837" s="1222"/>
      <c r="E837" s="1222"/>
      <c r="F837" s="1222"/>
      <c r="G837" s="2"/>
      <c r="I837" s="1142"/>
    </row>
    <row r="838" spans="1:9" ht="12.75" customHeight="1">
      <c r="A838" s="99"/>
      <c r="B838" s="99"/>
      <c r="C838" s="806"/>
      <c r="D838" s="1222"/>
      <c r="E838" s="1222"/>
      <c r="F838" s="1222"/>
      <c r="G838" s="2"/>
      <c r="I838" s="1142"/>
    </row>
    <row r="839" spans="1:9" ht="12.75" customHeight="1">
      <c r="A839" s="99"/>
      <c r="B839" s="99"/>
      <c r="C839" s="806"/>
      <c r="D839" s="68"/>
      <c r="E839" s="2"/>
      <c r="F839" s="2"/>
      <c r="G839" s="2"/>
      <c r="I839" s="1142"/>
    </row>
    <row r="840" spans="1:9" ht="12.75" customHeight="1">
      <c r="A840" s="809"/>
      <c r="B840" s="358" t="s">
        <v>529</v>
      </c>
      <c r="C840" s="806"/>
      <c r="D840" s="1254" t="s">
        <v>714</v>
      </c>
      <c r="E840" s="1254"/>
      <c r="F840" s="1254"/>
      <c r="G840" s="2"/>
      <c r="I840" s="1142"/>
    </row>
    <row r="841" spans="1:9" ht="12.75" customHeight="1">
      <c r="A841" s="1148"/>
      <c r="B841" s="809"/>
      <c r="C841" s="806"/>
      <c r="D841" s="1254"/>
      <c r="E841" s="1254"/>
      <c r="F841" s="1254"/>
      <c r="G841" s="2"/>
      <c r="I841" s="1142"/>
    </row>
    <row r="842" spans="1:9" ht="12.75" customHeight="1">
      <c r="A842" s="99"/>
      <c r="B842" s="1148"/>
      <c r="C842" s="806"/>
      <c r="D842" s="1222" t="s">
        <v>715</v>
      </c>
      <c r="E842" s="1222"/>
      <c r="F842" s="1222"/>
      <c r="G842" s="2"/>
      <c r="I842" s="1142"/>
    </row>
    <row r="843" spans="1:9" ht="12.75" customHeight="1">
      <c r="A843" s="99"/>
      <c r="B843" s="99"/>
      <c r="C843" s="806"/>
      <c r="D843" s="1222"/>
      <c r="E843" s="1222"/>
      <c r="F843" s="1222"/>
      <c r="G843" s="2"/>
      <c r="I843" s="1142"/>
    </row>
    <row r="844" spans="1:9" ht="12.75" customHeight="1">
      <c r="A844" s="99"/>
      <c r="B844" s="99"/>
      <c r="C844" s="806"/>
      <c r="D844" s="1222"/>
      <c r="E844" s="1222"/>
      <c r="F844" s="1222"/>
      <c r="G844" s="2"/>
      <c r="I844" s="1142"/>
    </row>
    <row r="845" spans="1:9" ht="12.75" customHeight="1">
      <c r="A845" s="99"/>
      <c r="B845" s="99"/>
      <c r="C845" s="806"/>
      <c r="D845" s="1222"/>
      <c r="E845" s="1222"/>
      <c r="F845" s="1222"/>
      <c r="G845" s="2"/>
      <c r="I845" s="1142"/>
    </row>
    <row r="846" spans="1:9" ht="12.75" customHeight="1">
      <c r="A846" s="99"/>
      <c r="B846" s="99"/>
      <c r="C846" s="806"/>
      <c r="D846" s="1222"/>
      <c r="E846" s="1222"/>
      <c r="F846" s="1222"/>
      <c r="G846" s="2"/>
      <c r="I846" s="1142"/>
    </row>
    <row r="847" spans="1:9" ht="12.75" customHeight="1">
      <c r="A847" s="99"/>
      <c r="B847" s="99"/>
      <c r="C847" s="806"/>
      <c r="D847" s="1222"/>
      <c r="E847" s="1222"/>
      <c r="F847" s="1222"/>
      <c r="G847" s="2"/>
      <c r="I847" s="1142"/>
    </row>
    <row r="848" spans="1:9" ht="12.75" customHeight="1">
      <c r="A848" s="99"/>
      <c r="B848" s="99"/>
      <c r="C848" s="806"/>
      <c r="D848" s="68"/>
      <c r="E848" s="2"/>
      <c r="F848" s="2"/>
      <c r="G848" s="2"/>
      <c r="I848" s="1142"/>
    </row>
    <row r="849" spans="1:9" ht="12.75" customHeight="1">
      <c r="A849" s="99"/>
      <c r="B849" s="358" t="s">
        <v>529</v>
      </c>
      <c r="C849" s="806"/>
      <c r="D849" s="1222" t="s">
        <v>716</v>
      </c>
      <c r="E849" s="1222"/>
      <c r="F849" s="1222"/>
      <c r="G849" s="2"/>
      <c r="I849" s="1142" t="s">
        <v>595</v>
      </c>
    </row>
    <row r="850" spans="1:9" ht="12.75" customHeight="1">
      <c r="A850" s="99"/>
      <c r="B850" s="99"/>
      <c r="C850" s="806"/>
      <c r="D850" s="1222" t="s">
        <v>717</v>
      </c>
      <c r="E850" s="1222"/>
      <c r="F850" s="1222"/>
      <c r="G850" s="2"/>
      <c r="I850" s="1142"/>
    </row>
    <row r="851" spans="1:9" ht="12.75" customHeight="1">
      <c r="A851" s="99"/>
      <c r="B851" s="99"/>
      <c r="C851" s="806"/>
      <c r="E851" s="844" t="s">
        <v>597</v>
      </c>
      <c r="F851" s="1138"/>
      <c r="G851" s="2"/>
      <c r="I851" s="1142"/>
    </row>
    <row r="852" spans="1:9" ht="12.75" customHeight="1">
      <c r="A852" s="99"/>
      <c r="B852" s="99"/>
      <c r="C852" s="806"/>
      <c r="D852" s="68"/>
      <c r="E852" s="2"/>
      <c r="F852" s="2"/>
      <c r="G852" s="2"/>
      <c r="I852" s="1142"/>
    </row>
    <row r="853" spans="1:9" ht="12.75" customHeight="1">
      <c r="A853" s="99"/>
      <c r="B853" s="358" t="s">
        <v>529</v>
      </c>
      <c r="C853" s="806"/>
      <c r="D853" s="1222" t="s">
        <v>718</v>
      </c>
      <c r="E853" s="1222"/>
      <c r="F853" s="1222"/>
      <c r="G853" s="2"/>
      <c r="I853" s="1142" t="s">
        <v>599</v>
      </c>
    </row>
    <row r="854" spans="1:9" ht="12.75" customHeight="1">
      <c r="A854" s="99"/>
      <c r="B854" s="99"/>
      <c r="C854" s="806"/>
      <c r="D854" s="1222"/>
      <c r="E854" s="1222"/>
      <c r="F854" s="1222"/>
      <c r="G854" s="2"/>
      <c r="I854" s="1142"/>
    </row>
    <row r="855" spans="1:9" ht="12.75" customHeight="1">
      <c r="A855" s="99"/>
      <c r="B855" s="99"/>
      <c r="C855" s="806"/>
      <c r="D855" s="1222"/>
      <c r="E855" s="1222"/>
      <c r="F855" s="1222"/>
      <c r="G855" s="2"/>
      <c r="I855" s="1142"/>
    </row>
    <row r="856" spans="1:9" ht="12.75" customHeight="1">
      <c r="A856" s="99"/>
      <c r="B856" s="99"/>
      <c r="C856" s="806"/>
      <c r="D856" s="1222"/>
      <c r="E856" s="1222"/>
      <c r="F856" s="1222"/>
      <c r="G856" s="2"/>
      <c r="I856" s="1142"/>
    </row>
    <row r="857" spans="1:9" ht="12.75" customHeight="1">
      <c r="A857" s="1125"/>
      <c r="B857" s="1125"/>
      <c r="C857" s="1125"/>
      <c r="D857" s="68"/>
      <c r="E857" s="2"/>
      <c r="F857" s="2"/>
      <c r="G857" s="2"/>
      <c r="I857" s="1142"/>
    </row>
    <row r="858" spans="1:9" ht="12.75" customHeight="1">
      <c r="A858" s="1132" t="s">
        <v>719</v>
      </c>
      <c r="B858" s="1132"/>
      <c r="C858" s="1169"/>
      <c r="D858" s="1169"/>
      <c r="E858" s="1169"/>
      <c r="F858" s="1169"/>
      <c r="G858" s="1169"/>
      <c r="H858" s="836"/>
      <c r="I858" s="1021"/>
    </row>
    <row r="859" spans="1:9" ht="12.75" customHeight="1">
      <c r="A859" s="1125"/>
      <c r="B859" s="1125"/>
      <c r="C859" s="1125"/>
      <c r="D859" s="810"/>
      <c r="E859" s="2"/>
      <c r="F859" s="2"/>
      <c r="G859" s="2"/>
      <c r="I859" s="1142"/>
    </row>
    <row r="860" spans="1:9" ht="12.75" customHeight="1">
      <c r="A860" s="1148"/>
      <c r="B860" s="1148"/>
      <c r="C860" s="98"/>
      <c r="D860" s="1238" t="s">
        <v>720</v>
      </c>
      <c r="E860" s="1238"/>
      <c r="F860" s="1238"/>
      <c r="G860" s="805"/>
      <c r="I860" s="1142"/>
    </row>
    <row r="861" spans="1:9" ht="12.75" customHeight="1">
      <c r="A861" s="1148"/>
      <c r="B861" s="1148"/>
      <c r="C861" s="98"/>
      <c r="D861" s="1289" t="s">
        <v>721</v>
      </c>
      <c r="E861" s="1289"/>
      <c r="F861" s="1289"/>
      <c r="G861" s="805"/>
      <c r="I861" s="1142"/>
    </row>
    <row r="862" spans="1:9" ht="12.75" customHeight="1">
      <c r="A862" s="1148"/>
      <c r="B862" s="1148"/>
      <c r="C862" s="98"/>
      <c r="D862" s="1141"/>
      <c r="E862" s="1141"/>
      <c r="F862" s="1141"/>
      <c r="G862" s="805"/>
      <c r="I862" s="1142"/>
    </row>
    <row r="863" spans="1:9" ht="12.75" customHeight="1">
      <c r="A863" s="99"/>
      <c r="B863" s="358" t="s">
        <v>522</v>
      </c>
      <c r="C863" s="1148"/>
      <c r="D863" s="1233" t="s">
        <v>722</v>
      </c>
      <c r="E863" s="1233"/>
      <c r="F863" s="1233"/>
      <c r="G863" s="805"/>
      <c r="I863" s="1142" t="s">
        <v>595</v>
      </c>
    </row>
    <row r="864" spans="1:9" ht="12.75" customHeight="1">
      <c r="A864" s="1148"/>
      <c r="B864" s="1148"/>
      <c r="C864" s="1148"/>
      <c r="D864" s="1" t="s">
        <v>567</v>
      </c>
      <c r="E864" s="844" t="s">
        <v>597</v>
      </c>
      <c r="F864" s="845"/>
      <c r="G864" s="805"/>
      <c r="I864" s="1142"/>
    </row>
    <row r="865" spans="1:9" ht="12.75" customHeight="1">
      <c r="A865" s="1148"/>
      <c r="B865" s="1148"/>
      <c r="C865" s="1148"/>
      <c r="D865" s="68"/>
      <c r="E865" s="805"/>
      <c r="F865" s="805"/>
      <c r="G865" s="805"/>
      <c r="I865" s="1142"/>
    </row>
    <row r="866" spans="1:9" ht="12.75" customHeight="1">
      <c r="A866" s="99"/>
      <c r="B866" s="358" t="s">
        <v>522</v>
      </c>
      <c r="C866" s="1148"/>
      <c r="D866" s="1222" t="s">
        <v>723</v>
      </c>
      <c r="E866" s="1240"/>
      <c r="F866" s="1240"/>
      <c r="G866" s="2"/>
      <c r="I866" s="1142" t="s">
        <v>599</v>
      </c>
    </row>
    <row r="867" spans="1:9" ht="12.75" customHeight="1">
      <c r="A867" s="1148"/>
      <c r="B867" s="1148"/>
      <c r="C867" s="1148"/>
      <c r="D867" s="1240"/>
      <c r="E867" s="1240"/>
      <c r="F867" s="1240"/>
      <c r="G867" s="2"/>
      <c r="I867" s="1142"/>
    </row>
    <row r="868" spans="1:9" ht="12.75" customHeight="1">
      <c r="A868" s="1148"/>
      <c r="B868" s="1148"/>
      <c r="C868" s="1148"/>
      <c r="D868" s="68"/>
      <c r="E868" s="2"/>
      <c r="F868" s="2"/>
      <c r="G868" s="2"/>
      <c r="I868" s="1142"/>
    </row>
    <row r="869" spans="1:9" ht="12.75" customHeight="1">
      <c r="A869" s="1148"/>
      <c r="B869" s="358" t="s">
        <v>529</v>
      </c>
      <c r="C869" s="1148"/>
      <c r="D869" s="1285" t="s">
        <v>724</v>
      </c>
      <c r="E869" s="1285"/>
      <c r="F869" s="1285"/>
      <c r="G869" s="805"/>
      <c r="I869" s="1142"/>
    </row>
    <row r="870" spans="1:9" ht="12.75" customHeight="1">
      <c r="A870" s="1148"/>
      <c r="B870" s="811"/>
      <c r="C870" s="1148"/>
      <c r="D870" s="1285"/>
      <c r="E870" s="1285"/>
      <c r="F870" s="1285"/>
      <c r="G870" s="805"/>
      <c r="I870" s="1142"/>
    </row>
    <row r="871" spans="1:9" ht="12.75" customHeight="1">
      <c r="A871" s="99"/>
      <c r="B871"/>
      <c r="C871" s="1148"/>
      <c r="D871" s="1222" t="s">
        <v>715</v>
      </c>
      <c r="E871" s="1222"/>
      <c r="F871" s="1222"/>
      <c r="G871" s="805"/>
      <c r="I871" s="1142"/>
    </row>
    <row r="872" spans="1:9" ht="12.75" customHeight="1">
      <c r="A872" s="99"/>
      <c r="B872" s="99"/>
      <c r="C872" s="1148"/>
      <c r="D872" s="1222"/>
      <c r="E872" s="1222"/>
      <c r="F872" s="1222"/>
      <c r="G872" s="805"/>
      <c r="I872" s="1142"/>
    </row>
    <row r="873" spans="1:9" ht="12.75" customHeight="1">
      <c r="A873" s="99"/>
      <c r="B873" s="99"/>
      <c r="C873" s="1148"/>
      <c r="D873" s="1222"/>
      <c r="E873" s="1222"/>
      <c r="F873" s="1222"/>
      <c r="G873" s="805"/>
      <c r="I873" s="1142"/>
    </row>
    <row r="874" spans="1:9" ht="12.75" customHeight="1">
      <c r="A874" s="99"/>
      <c r="B874" s="99"/>
      <c r="C874" s="1148"/>
      <c r="D874" s="1222"/>
      <c r="E874" s="1222"/>
      <c r="F874" s="1222"/>
      <c r="G874" s="805"/>
      <c r="I874" s="1142"/>
    </row>
    <row r="875" spans="1:9" ht="12.75" customHeight="1">
      <c r="A875" s="99"/>
      <c r="B875" s="99"/>
      <c r="C875" s="1148"/>
      <c r="D875" s="1222"/>
      <c r="E875" s="1222"/>
      <c r="F875" s="1222"/>
      <c r="G875" s="805"/>
      <c r="I875" s="1142"/>
    </row>
    <row r="876" spans="1:9" ht="12.75" customHeight="1">
      <c r="A876" s="99"/>
      <c r="B876" s="99"/>
      <c r="C876" s="1148"/>
      <c r="D876" s="1222"/>
      <c r="E876" s="1222"/>
      <c r="F876" s="1222"/>
      <c r="G876" s="805"/>
      <c r="I876" s="1142"/>
    </row>
    <row r="877" spans="1:9" ht="12.75" customHeight="1">
      <c r="A877" s="99"/>
      <c r="B877" s="99"/>
      <c r="C877" s="1148"/>
      <c r="D877" s="68"/>
      <c r="E877" s="805"/>
      <c r="F877" s="805"/>
      <c r="G877" s="805"/>
      <c r="I877" s="1142"/>
    </row>
    <row r="878" spans="1:9" ht="12.75" customHeight="1">
      <c r="A878" s="99"/>
      <c r="B878" s="358" t="s">
        <v>529</v>
      </c>
      <c r="C878" s="1148"/>
      <c r="D878" s="1253" t="s">
        <v>716</v>
      </c>
      <c r="E878" s="1253"/>
      <c r="F878" s="1253"/>
      <c r="G878" s="805"/>
      <c r="I878" s="1142" t="s">
        <v>595</v>
      </c>
    </row>
    <row r="879" spans="1:9" ht="12.75" customHeight="1">
      <c r="A879" s="99"/>
      <c r="B879" s="99"/>
      <c r="C879" s="1148"/>
      <c r="D879" s="1253" t="s">
        <v>717</v>
      </c>
      <c r="E879" s="1253"/>
      <c r="F879" s="1253"/>
      <c r="G879" s="805"/>
      <c r="I879" s="1142"/>
    </row>
    <row r="880" spans="1:9" ht="12.75" customHeight="1">
      <c r="A880" s="99"/>
      <c r="B880" s="99"/>
      <c r="C880" s="1148"/>
      <c r="D880" s="1" t="s">
        <v>725</v>
      </c>
      <c r="E880" s="844" t="s">
        <v>597</v>
      </c>
      <c r="F880" s="846"/>
      <c r="G880" s="805"/>
      <c r="I880" s="1142"/>
    </row>
    <row r="881" spans="1:9" ht="12.75" customHeight="1">
      <c r="A881" s="99"/>
      <c r="B881" s="99"/>
      <c r="C881" s="1148"/>
      <c r="D881" s="68"/>
      <c r="E881" s="805"/>
      <c r="F881" s="805"/>
      <c r="G881" s="805"/>
      <c r="I881" s="1142"/>
    </row>
    <row r="882" spans="1:9" ht="12.75" customHeight="1">
      <c r="A882" s="99"/>
      <c r="B882" s="358" t="s">
        <v>529</v>
      </c>
      <c r="C882" s="1148"/>
      <c r="D882" s="1222" t="s">
        <v>718</v>
      </c>
      <c r="E882" s="1222"/>
      <c r="F882" s="1222"/>
      <c r="G882" s="805"/>
      <c r="I882" s="1142" t="s">
        <v>599</v>
      </c>
    </row>
    <row r="883" spans="1:9" ht="12.75" customHeight="1">
      <c r="A883" s="99"/>
      <c r="B883" s="99"/>
      <c r="C883" s="1148"/>
      <c r="D883" s="1222"/>
      <c r="E883" s="1222"/>
      <c r="F883" s="1222"/>
      <c r="G883" s="805"/>
      <c r="I883" s="1142"/>
    </row>
    <row r="884" spans="1:9" ht="12.75" customHeight="1">
      <c r="A884" s="99"/>
      <c r="B884" s="99"/>
      <c r="C884" s="1148"/>
      <c r="D884" s="1222"/>
      <c r="E884" s="1222"/>
      <c r="F884" s="1222"/>
      <c r="G884" s="805"/>
      <c r="I884" s="1142"/>
    </row>
    <row r="885" spans="1:9" ht="12.75" customHeight="1">
      <c r="A885" s="99"/>
      <c r="B885" s="99"/>
      <c r="C885" s="1148"/>
      <c r="D885" s="1222"/>
      <c r="E885" s="1222"/>
      <c r="F885" s="1222"/>
      <c r="G885" s="805"/>
      <c r="I885" s="1142"/>
    </row>
    <row r="886" spans="1:9" ht="12.75" customHeight="1">
      <c r="A886" s="68"/>
      <c r="B886" s="68"/>
      <c r="C886" s="806"/>
      <c r="D886" s="805"/>
      <c r="E886" s="805"/>
      <c r="F886" s="805"/>
      <c r="G886" s="805"/>
      <c r="I886" s="1142"/>
    </row>
    <row r="887" spans="1:9" ht="12.75" customHeight="1">
      <c r="A887" s="1265" t="s">
        <v>726</v>
      </c>
      <c r="B887" s="1265"/>
      <c r="C887" s="1265"/>
      <c r="D887" s="1265"/>
      <c r="E887" s="1265"/>
      <c r="F887" s="1265"/>
      <c r="G887" s="1265"/>
      <c r="H887" s="836"/>
      <c r="I887" s="1021"/>
    </row>
    <row r="888" spans="1:9" ht="12.75" customHeight="1">
      <c r="A888" s="1118"/>
      <c r="B888" s="1118"/>
      <c r="C888" s="1118"/>
      <c r="D888" s="1118"/>
      <c r="E888" s="1118"/>
      <c r="F888" s="1118"/>
      <c r="G888" s="1118"/>
      <c r="I888" s="1142"/>
    </row>
    <row r="889" spans="1:9" ht="12.75" customHeight="1">
      <c r="A889" s="1118"/>
      <c r="B889" s="1118"/>
      <c r="C889" s="1118"/>
      <c r="D889" s="1260" t="s">
        <v>727</v>
      </c>
      <c r="E889" s="1260"/>
      <c r="F889" s="1260"/>
      <c r="G889" s="1118"/>
      <c r="I889" s="1142"/>
    </row>
    <row r="890" spans="1:9" ht="12.75" customHeight="1">
      <c r="A890" s="1118"/>
      <c r="B890" s="1118"/>
      <c r="C890" s="1118"/>
      <c r="D890" s="1128"/>
      <c r="E890" s="1128"/>
      <c r="F890" s="1128"/>
      <c r="G890" s="1118"/>
      <c r="I890" s="1142"/>
    </row>
    <row r="891" spans="1:9" ht="12.75" customHeight="1">
      <c r="A891" s="1118"/>
      <c r="B891" s="358" t="s">
        <v>522</v>
      </c>
      <c r="C891" s="1118"/>
      <c r="D891" s="1136" t="s">
        <v>728</v>
      </c>
      <c r="E891" s="1128"/>
      <c r="F891" s="1128"/>
      <c r="G891" s="1118"/>
      <c r="I891" s="1142" t="s">
        <v>729</v>
      </c>
    </row>
    <row r="892" spans="1:9" ht="12.75" customHeight="1">
      <c r="A892" s="1118"/>
      <c r="B892" s="1118"/>
      <c r="C892" s="1118"/>
      <c r="D892" s="1128"/>
      <c r="E892" s="1128"/>
      <c r="F892" s="1128"/>
      <c r="G892" s="1118"/>
      <c r="I892" s="1142"/>
    </row>
    <row r="893" spans="1:9" ht="12.75" customHeight="1">
      <c r="A893" s="1148"/>
      <c r="B893" s="1148"/>
      <c r="C893" s="806"/>
      <c r="D893" s="1260" t="s">
        <v>730</v>
      </c>
      <c r="E893" s="1260"/>
      <c r="F893" s="1260"/>
      <c r="G893" s="805"/>
      <c r="I893" s="1142"/>
    </row>
    <row r="894" spans="1:9" ht="12.75" customHeight="1">
      <c r="A894" s="1125"/>
      <c r="B894" s="1125"/>
      <c r="C894" s="1125"/>
      <c r="D894" s="1233" t="s">
        <v>731</v>
      </c>
      <c r="E894" s="1233"/>
      <c r="F894" s="1233"/>
      <c r="G894" s="805"/>
      <c r="I894" s="1142"/>
    </row>
    <row r="895" spans="1:9" ht="12.75" customHeight="1">
      <c r="A895" s="806"/>
      <c r="B895" s="806"/>
      <c r="C895" s="806"/>
      <c r="D895" s="1"/>
      <c r="E895" s="805"/>
      <c r="F895" s="805"/>
      <c r="G895" s="805"/>
      <c r="I895" s="1142"/>
    </row>
    <row r="896" spans="1:9" ht="12.75" customHeight="1">
      <c r="A896" s="99"/>
      <c r="B896" s="358" t="s">
        <v>522</v>
      </c>
      <c r="C896" s="1148"/>
      <c r="D896" s="1222" t="s">
        <v>732</v>
      </c>
      <c r="E896" s="1222"/>
      <c r="F896" s="1222"/>
      <c r="G896" s="2"/>
      <c r="I896" s="1142" t="s">
        <v>733</v>
      </c>
    </row>
    <row r="897" spans="1:9" ht="12.75" customHeight="1">
      <c r="A897" s="1148"/>
      <c r="B897" s="1148"/>
      <c r="C897" s="1148"/>
      <c r="D897" s="1222"/>
      <c r="E897" s="1222"/>
      <c r="F897" s="1222"/>
      <c r="G897" s="2"/>
      <c r="I897" s="1142"/>
    </row>
    <row r="898" spans="1:9" ht="12.75" customHeight="1">
      <c r="A898" s="1125"/>
      <c r="B898" s="1125"/>
      <c r="C898" s="1125"/>
      <c r="D898" s="1222" t="s">
        <v>734</v>
      </c>
      <c r="E898" s="1222"/>
      <c r="F898" s="1222"/>
      <c r="G898" s="805"/>
      <c r="I898" s="1142"/>
    </row>
    <row r="899" spans="1:9" ht="12.75" customHeight="1">
      <c r="A899" s="1125"/>
      <c r="B899" s="1125"/>
      <c r="C899" s="1125"/>
      <c r="D899" s="1222"/>
      <c r="E899" s="1222"/>
      <c r="F899" s="1222"/>
      <c r="G899" s="805"/>
      <c r="I899" s="1142"/>
    </row>
    <row r="900" spans="1:9" ht="12.75" customHeight="1">
      <c r="A900" s="1125"/>
      <c r="B900" s="1125"/>
      <c r="C900" s="1125"/>
      <c r="D900" s="2"/>
      <c r="E900" s="2"/>
      <c r="F900" s="805"/>
      <c r="G900" s="805"/>
      <c r="I900" s="1142"/>
    </row>
    <row r="901" spans="1:9" ht="12.75" customHeight="1">
      <c r="A901" s="99"/>
      <c r="B901" s="358" t="s">
        <v>522</v>
      </c>
      <c r="C901" s="98"/>
      <c r="D901" s="1232" t="s">
        <v>735</v>
      </c>
      <c r="E901" s="1232"/>
      <c r="F901" s="1232"/>
      <c r="G901" s="805"/>
      <c r="I901" s="1142" t="s">
        <v>736</v>
      </c>
    </row>
    <row r="902" spans="1:9" ht="12.75" customHeight="1">
      <c r="A902" s="99"/>
      <c r="B902" s="99"/>
      <c r="C902" s="98"/>
      <c r="D902" s="1232"/>
      <c r="E902" s="1232"/>
      <c r="F902" s="1232"/>
      <c r="G902" s="805"/>
      <c r="I902" s="1142"/>
    </row>
    <row r="903" spans="1:9" ht="12.75" customHeight="1">
      <c r="A903" s="99"/>
      <c r="B903" s="99"/>
      <c r="C903" s="98"/>
      <c r="D903" s="1232"/>
      <c r="E903" s="1232"/>
      <c r="F903" s="1232"/>
      <c r="G903" s="805"/>
      <c r="I903" s="1142"/>
    </row>
    <row r="904" spans="1:9" ht="12.75" customHeight="1">
      <c r="A904" s="99"/>
      <c r="B904" s="99"/>
      <c r="C904" s="98"/>
      <c r="D904" s="1232"/>
      <c r="E904" s="1232"/>
      <c r="F904" s="1232"/>
      <c r="G904" s="805"/>
      <c r="I904" s="1142"/>
    </row>
    <row r="905" spans="1:9" ht="12.75" customHeight="1">
      <c r="A905" s="99"/>
      <c r="B905" s="99"/>
      <c r="C905" s="98"/>
      <c r="D905" s="1232"/>
      <c r="E905" s="1232"/>
      <c r="F905" s="1232"/>
      <c r="G905" s="805"/>
      <c r="I905" s="1142"/>
    </row>
    <row r="906" spans="1:9" ht="12.75" customHeight="1">
      <c r="A906" s="98"/>
      <c r="B906" s="98"/>
      <c r="C906" s="98"/>
      <c r="D906" s="1232"/>
      <c r="E906" s="1232"/>
      <c r="F906" s="1232"/>
      <c r="G906" s="805"/>
      <c r="I906" s="1142"/>
    </row>
    <row r="907" spans="1:9" ht="12.75" customHeight="1">
      <c r="A907" s="98"/>
      <c r="B907" s="98"/>
      <c r="C907" s="98"/>
      <c r="D907" s="1232"/>
      <c r="E907" s="1232"/>
      <c r="F907" s="1232"/>
      <c r="G907" s="805"/>
      <c r="I907" s="1142"/>
    </row>
    <row r="908" spans="1:9" ht="12.75" customHeight="1">
      <c r="A908" s="98"/>
      <c r="B908" s="98"/>
      <c r="C908" s="98"/>
      <c r="D908" s="1232"/>
      <c r="E908" s="1232"/>
      <c r="F908" s="1232"/>
      <c r="G908" s="805"/>
      <c r="I908" s="1142"/>
    </row>
    <row r="909" spans="1:9" ht="12.75" customHeight="1">
      <c r="A909" s="98"/>
      <c r="B909" s="98"/>
      <c r="C909" s="98"/>
      <c r="D909" s="1114"/>
      <c r="E909" s="1114"/>
      <c r="F909" s="1114"/>
      <c r="G909" s="805"/>
      <c r="I909" s="1142"/>
    </row>
    <row r="910" spans="1:9" ht="12.75" customHeight="1">
      <c r="A910" s="806"/>
      <c r="B910" s="358" t="s">
        <v>522</v>
      </c>
      <c r="C910" s="806"/>
      <c r="D910" s="1222" t="s">
        <v>737</v>
      </c>
      <c r="E910" s="1222"/>
      <c r="F910" s="1222"/>
      <c r="G910" s="805"/>
      <c r="I910" s="1142"/>
    </row>
    <row r="911" spans="1:9" ht="12.75" customHeight="1">
      <c r="A911" s="806"/>
      <c r="B911" s="806"/>
      <c r="C911" s="806"/>
      <c r="D911" s="1222"/>
      <c r="E911" s="1222"/>
      <c r="F911" s="1222"/>
      <c r="G911" s="805"/>
      <c r="I911" s="1142"/>
    </row>
    <row r="912" spans="1:9" ht="12.75" customHeight="1">
      <c r="A912" s="806"/>
      <c r="B912" s="806"/>
      <c r="C912" s="806"/>
      <c r="D912" s="805"/>
      <c r="E912" s="805"/>
      <c r="F912" s="805"/>
      <c r="G912" s="805"/>
      <c r="I912" s="1142"/>
    </row>
    <row r="913" spans="1:9" ht="12.75" customHeight="1">
      <c r="A913" s="806"/>
      <c r="B913" s="358" t="s">
        <v>529</v>
      </c>
      <c r="C913" s="806"/>
      <c r="D913" s="1258" t="s">
        <v>738</v>
      </c>
      <c r="E913" s="1258"/>
      <c r="F913" s="1258"/>
      <c r="G913" s="805"/>
      <c r="I913" s="1142"/>
    </row>
    <row r="914" spans="1:9" ht="12.75" customHeight="1">
      <c r="A914" s="806"/>
      <c r="B914" s="806"/>
      <c r="C914" s="806"/>
      <c r="D914" s="1258"/>
      <c r="E914" s="1258"/>
      <c r="F914" s="1258"/>
      <c r="G914" s="805"/>
      <c r="I914" s="1142"/>
    </row>
    <row r="915" spans="1:9" ht="12.75" customHeight="1">
      <c r="A915" s="806"/>
      <c r="B915" s="806"/>
      <c r="C915" s="806"/>
      <c r="D915" s="1258"/>
      <c r="E915" s="1258"/>
      <c r="F915" s="1258"/>
      <c r="G915" s="805"/>
      <c r="I915" s="1142"/>
    </row>
    <row r="916" spans="1:9" ht="12.75" customHeight="1">
      <c r="A916" s="806"/>
      <c r="B916" s="806"/>
      <c r="C916" s="806"/>
      <c r="D916" s="1258"/>
      <c r="E916" s="1258"/>
      <c r="F916" s="1258"/>
      <c r="G916" s="805"/>
      <c r="I916" s="1142"/>
    </row>
    <row r="917" spans="1:9" ht="12.75" customHeight="1">
      <c r="A917" s="806"/>
      <c r="B917" s="806"/>
      <c r="C917" s="806"/>
      <c r="D917" s="68"/>
      <c r="E917" s="805"/>
      <c r="F917" s="805"/>
      <c r="G917" s="805"/>
      <c r="I917" s="1142"/>
    </row>
    <row r="918" spans="1:9" ht="12.75" customHeight="1">
      <c r="A918" s="806"/>
      <c r="B918" s="358" t="s">
        <v>529</v>
      </c>
      <c r="C918" s="806"/>
      <c r="D918" s="1233" t="s">
        <v>739</v>
      </c>
      <c r="E918" s="1233"/>
      <c r="F918" s="1233"/>
      <c r="G918" s="805"/>
      <c r="I918" s="1142"/>
    </row>
    <row r="919" spans="1:9" ht="12.75" customHeight="1">
      <c r="A919" s="806"/>
      <c r="B919" s="806"/>
      <c r="C919" s="806"/>
      <c r="D919" s="68"/>
      <c r="E919" s="805"/>
      <c r="F919" s="805"/>
      <c r="G919" s="805"/>
      <c r="I919" s="1142"/>
    </row>
    <row r="920" spans="1:9" ht="12.75" customHeight="1">
      <c r="A920" s="806"/>
      <c r="B920" s="358" t="s">
        <v>529</v>
      </c>
      <c r="C920" s="806"/>
      <c r="D920" s="1233" t="s">
        <v>740</v>
      </c>
      <c r="E920" s="1233"/>
      <c r="F920" s="1233"/>
      <c r="G920" s="805"/>
      <c r="I920" s="1142"/>
    </row>
    <row r="921" spans="1:9" ht="12.75" customHeight="1">
      <c r="A921" s="98"/>
      <c r="B921" s="98"/>
      <c r="C921" s="98"/>
      <c r="D921" s="1"/>
      <c r="E921" s="2"/>
      <c r="F921" s="805"/>
      <c r="G921" s="805"/>
      <c r="I921" s="1142"/>
    </row>
    <row r="922" spans="1:9" ht="12.75" customHeight="1">
      <c r="A922" s="812"/>
      <c r="B922" s="358" t="s">
        <v>522</v>
      </c>
      <c r="C922" s="813"/>
      <c r="D922" s="1232" t="s">
        <v>741</v>
      </c>
      <c r="E922" s="1232"/>
      <c r="F922" s="1232"/>
      <c r="G922" s="814"/>
      <c r="I922" s="1142" t="s">
        <v>742</v>
      </c>
    </row>
    <row r="923" spans="1:9" ht="12.75" customHeight="1">
      <c r="A923" s="812"/>
      <c r="B923" s="812"/>
      <c r="C923" s="813"/>
      <c r="D923" s="1232"/>
      <c r="E923" s="1232"/>
      <c r="F923" s="1232"/>
      <c r="G923" s="814"/>
      <c r="I923" s="1142"/>
    </row>
    <row r="924" spans="1:9" ht="12.75" customHeight="1">
      <c r="A924" s="812"/>
      <c r="B924" s="812"/>
      <c r="C924" s="813"/>
      <c r="D924" s="1232"/>
      <c r="E924" s="1232"/>
      <c r="F924" s="1232"/>
      <c r="G924" s="814"/>
      <c r="I924" s="1142"/>
    </row>
    <row r="925" spans="1:9" ht="12.75" customHeight="1">
      <c r="A925" s="812"/>
      <c r="B925" s="812"/>
      <c r="C925" s="813"/>
      <c r="D925" s="1232"/>
      <c r="E925" s="1232"/>
      <c r="F925" s="1232"/>
      <c r="G925" s="814"/>
      <c r="I925" s="1142"/>
    </row>
    <row r="926" spans="1:9" ht="12.75" customHeight="1">
      <c r="A926" s="812"/>
      <c r="B926" s="812"/>
      <c r="C926" s="813"/>
      <c r="D926" s="1232"/>
      <c r="E926" s="1232"/>
      <c r="F926" s="1232"/>
      <c r="G926" s="814"/>
      <c r="I926" s="1142"/>
    </row>
    <row r="927" spans="1:9" ht="12.75" customHeight="1">
      <c r="A927" s="812"/>
      <c r="B927" s="812"/>
      <c r="C927" s="813"/>
      <c r="D927" s="1232"/>
      <c r="E927" s="1232"/>
      <c r="F927" s="1232"/>
      <c r="G927" s="814"/>
      <c r="I927" s="1142"/>
    </row>
    <row r="928" spans="1:9" ht="12.75" customHeight="1">
      <c r="A928" s="812"/>
      <c r="B928" s="812"/>
      <c r="C928" s="813"/>
      <c r="D928" s="1232"/>
      <c r="E928" s="1232"/>
      <c r="F928" s="1232"/>
      <c r="G928" s="814"/>
      <c r="I928" s="1142"/>
    </row>
    <row r="929" spans="1:9" ht="12.75" customHeight="1">
      <c r="A929" s="812"/>
      <c r="B929" s="812"/>
      <c r="C929" s="813"/>
      <c r="D929" s="1232"/>
      <c r="E929" s="1232"/>
      <c r="F929" s="1232"/>
      <c r="G929" s="814"/>
      <c r="I929" s="1142"/>
    </row>
    <row r="930" spans="1:9" ht="12.75" customHeight="1">
      <c r="A930" s="812"/>
      <c r="B930" s="812"/>
      <c r="C930" s="813"/>
      <c r="D930" s="1232"/>
      <c r="E930" s="1232"/>
      <c r="F930" s="1232"/>
      <c r="G930" s="814"/>
      <c r="I930" s="1142"/>
    </row>
    <row r="931" spans="1:9" ht="12.75" customHeight="1">
      <c r="A931" s="98"/>
      <c r="B931" s="98"/>
      <c r="C931" s="98"/>
      <c r="D931" s="1"/>
      <c r="E931" s="2"/>
      <c r="F931" s="805"/>
      <c r="G931" s="805"/>
      <c r="I931" s="1142"/>
    </row>
    <row r="932" spans="1:9" ht="12.75" customHeight="1">
      <c r="A932" s="99"/>
      <c r="B932" s="358" t="s">
        <v>522</v>
      </c>
      <c r="C932" s="98"/>
      <c r="D932" s="1286" t="s">
        <v>743</v>
      </c>
      <c r="E932" s="1286"/>
      <c r="F932" s="1286"/>
      <c r="G932" s="805"/>
      <c r="I932" s="1142" t="s">
        <v>742</v>
      </c>
    </row>
    <row r="933" spans="1:9" ht="12.75" customHeight="1">
      <c r="A933" s="99"/>
      <c r="B933" s="99"/>
      <c r="C933" s="98"/>
      <c r="D933" s="1286"/>
      <c r="E933" s="1286"/>
      <c r="F933" s="1286"/>
      <c r="G933" s="805"/>
      <c r="I933" s="1142"/>
    </row>
    <row r="934" spans="1:9" ht="12.75" customHeight="1">
      <c r="A934" s="99"/>
      <c r="B934" s="99"/>
      <c r="C934" s="98"/>
      <c r="D934" s="1286"/>
      <c r="E934" s="1286"/>
      <c r="F934" s="1286"/>
      <c r="G934" s="805"/>
      <c r="I934" s="1142"/>
    </row>
    <row r="935" spans="1:9" ht="12.75" customHeight="1">
      <c r="A935" s="99"/>
      <c r="B935" s="99"/>
      <c r="C935" s="98"/>
      <c r="D935" s="1286"/>
      <c r="E935" s="1286"/>
      <c r="F935" s="1286"/>
      <c r="G935" s="805"/>
      <c r="I935" s="1142"/>
    </row>
    <row r="936" spans="1:9" ht="12.75" customHeight="1">
      <c r="A936" s="99"/>
      <c r="B936" s="99"/>
      <c r="C936" s="98"/>
      <c r="D936" s="1286"/>
      <c r="E936" s="1286"/>
      <c r="F936" s="1286"/>
      <c r="G936" s="805"/>
      <c r="I936" s="1142"/>
    </row>
    <row r="937" spans="1:9" ht="12.75" customHeight="1">
      <c r="A937" s="99"/>
      <c r="B937" s="99"/>
      <c r="C937" s="98"/>
      <c r="D937" s="1286"/>
      <c r="E937" s="1286"/>
      <c r="F937" s="1286"/>
      <c r="G937" s="805"/>
      <c r="I937" s="1142"/>
    </row>
    <row r="938" spans="1:9" ht="12.75" customHeight="1">
      <c r="A938" s="99"/>
      <c r="B938" s="99"/>
      <c r="C938" s="98"/>
      <c r="D938" s="1286"/>
      <c r="E938" s="1286"/>
      <c r="F938" s="1286"/>
      <c r="G938" s="805"/>
      <c r="I938" s="1142"/>
    </row>
    <row r="939" spans="1:9" ht="12.75" customHeight="1">
      <c r="A939" s="99"/>
      <c r="B939" s="99"/>
      <c r="C939" s="98"/>
      <c r="D939" s="1139"/>
      <c r="E939" s="1139"/>
      <c r="F939" s="1139"/>
      <c r="G939" s="805"/>
      <c r="I939" s="1142"/>
    </row>
    <row r="940" spans="1:9" ht="12.75" customHeight="1">
      <c r="A940" s="99"/>
      <c r="B940" s="358" t="s">
        <v>522</v>
      </c>
      <c r="C940" s="98"/>
      <c r="D940" s="1231" t="s">
        <v>744</v>
      </c>
      <c r="E940" s="1231"/>
      <c r="F940" s="1231"/>
      <c r="G940" s="805"/>
      <c r="I940" s="1142"/>
    </row>
    <row r="941" spans="1:9" ht="12.75" customHeight="1">
      <c r="A941" s="99"/>
      <c r="B941" s="99"/>
      <c r="C941" s="98"/>
      <c r="D941" s="1231"/>
      <c r="E941" s="1231"/>
      <c r="F941" s="1231"/>
      <c r="G941" s="805"/>
      <c r="I941" s="1142"/>
    </row>
    <row r="942" spans="1:9" ht="12.75" customHeight="1">
      <c r="A942" s="99"/>
      <c r="B942" s="99"/>
      <c r="C942" s="98"/>
      <c r="D942" s="1231"/>
      <c r="E942" s="1231"/>
      <c r="F942" s="1231"/>
      <c r="G942" s="805"/>
      <c r="I942" s="1142"/>
    </row>
    <row r="943" spans="1:9" ht="12.75" customHeight="1">
      <c r="A943" s="99"/>
      <c r="B943" s="99"/>
      <c r="C943" s="98"/>
      <c r="D943" s="1231"/>
      <c r="E943" s="1231"/>
      <c r="F943" s="1231"/>
      <c r="G943" s="805"/>
      <c r="I943" s="1142"/>
    </row>
    <row r="944" spans="1:9" ht="12.75" customHeight="1">
      <c r="A944" s="99"/>
      <c r="B944" s="99"/>
      <c r="C944" s="98"/>
      <c r="D944" s="1231"/>
      <c r="E944" s="1231"/>
      <c r="F944" s="1231"/>
      <c r="G944" s="805"/>
      <c r="I944" s="1142"/>
    </row>
    <row r="945" spans="1:9" ht="12.75" customHeight="1">
      <c r="A945" s="99"/>
      <c r="B945" s="99"/>
      <c r="C945" s="98"/>
      <c r="D945" s="1231"/>
      <c r="E945" s="1231"/>
      <c r="F945" s="1231"/>
      <c r="G945" s="805"/>
      <c r="I945" s="1142"/>
    </row>
    <row r="946" spans="1:9" ht="12.75" customHeight="1">
      <c r="A946" s="99"/>
      <c r="B946" s="99"/>
      <c r="C946" s="98"/>
      <c r="D946" s="1139"/>
      <c r="E946" s="1139"/>
      <c r="F946" s="1139"/>
      <c r="G946" s="805"/>
      <c r="I946" s="1142"/>
    </row>
    <row r="947" spans="1:9" ht="12.75" customHeight="1">
      <c r="A947" s="806"/>
      <c r="B947" s="358" t="s">
        <v>529</v>
      </c>
      <c r="C947" s="806"/>
      <c r="D947" s="1258" t="s">
        <v>745</v>
      </c>
      <c r="E947" s="1258"/>
      <c r="F947" s="1258"/>
      <c r="G947" s="805"/>
      <c r="I947" s="1142"/>
    </row>
    <row r="948" spans="1:9" ht="12.75" customHeight="1">
      <c r="A948" s="806"/>
      <c r="B948" s="806"/>
      <c r="C948" s="806"/>
      <c r="D948" s="1258"/>
      <c r="E948" s="1258"/>
      <c r="F948" s="1258"/>
      <c r="G948" s="805"/>
      <c r="I948" s="1142"/>
    </row>
    <row r="949" spans="1:9" ht="12.75" customHeight="1">
      <c r="A949" s="806"/>
      <c r="B949" s="806"/>
      <c r="C949" s="806"/>
      <c r="D949" s="1258"/>
      <c r="E949" s="1258"/>
      <c r="F949" s="1258"/>
      <c r="G949" s="805"/>
      <c r="I949" s="1142"/>
    </row>
    <row r="950" spans="1:9" ht="12.75" customHeight="1">
      <c r="A950" s="99"/>
      <c r="B950" s="99"/>
      <c r="C950" s="98"/>
      <c r="D950" s="1139"/>
      <c r="E950" s="1139"/>
      <c r="F950" s="1139"/>
      <c r="G950" s="805"/>
      <c r="I950" s="1142"/>
    </row>
    <row r="951" spans="1:9" ht="12.75" customHeight="1">
      <c r="A951" s="99"/>
      <c r="B951" s="99"/>
      <c r="C951" s="98"/>
      <c r="D951" s="688"/>
      <c r="E951" s="2"/>
      <c r="F951" s="805"/>
      <c r="G951" s="805"/>
      <c r="I951" s="1142"/>
    </row>
    <row r="952" spans="1:9" ht="12.75" customHeight="1">
      <c r="A952" s="99"/>
      <c r="B952" s="358" t="s">
        <v>529</v>
      </c>
      <c r="C952" s="98"/>
      <c r="D952" s="1232" t="s">
        <v>746</v>
      </c>
      <c r="E952" s="1232"/>
      <c r="F952" s="1232"/>
      <c r="G952" s="805"/>
      <c r="I952" s="1142" t="s">
        <v>742</v>
      </c>
    </row>
    <row r="953" spans="1:9" ht="12.75" customHeight="1">
      <c r="A953" s="99"/>
      <c r="B953" s="99"/>
      <c r="C953" s="98"/>
      <c r="D953" s="1232"/>
      <c r="E953" s="1232"/>
      <c r="F953" s="1232"/>
      <c r="G953" s="805"/>
      <c r="I953" s="1142"/>
    </row>
    <row r="954" spans="1:9" ht="12.75" customHeight="1">
      <c r="A954" s="99"/>
      <c r="B954" s="99"/>
      <c r="C954" s="98"/>
      <c r="D954" s="1232"/>
      <c r="E954" s="1232"/>
      <c r="F954" s="1232"/>
      <c r="G954" s="805"/>
      <c r="I954" s="1142"/>
    </row>
    <row r="955" spans="1:9" ht="12.75" customHeight="1">
      <c r="A955" s="99"/>
      <c r="B955" s="99"/>
      <c r="C955" s="98"/>
      <c r="D955" s="1232"/>
      <c r="E955" s="1232"/>
      <c r="F955" s="1232"/>
      <c r="G955" s="805"/>
      <c r="I955" s="1142"/>
    </row>
    <row r="956" spans="1:9" ht="12.75" customHeight="1">
      <c r="A956" s="806"/>
      <c r="B956" s="806"/>
      <c r="C956" s="806"/>
      <c r="D956" s="1111"/>
      <c r="E956" s="1111"/>
      <c r="F956" s="1111"/>
      <c r="G956" s="1111"/>
      <c r="I956" s="1142"/>
    </row>
    <row r="957" spans="1:9" ht="12.75" customHeight="1">
      <c r="A957" s="1148"/>
      <c r="B957" s="1148"/>
      <c r="C957" s="1148"/>
      <c r="D957" s="1238" t="s">
        <v>747</v>
      </c>
      <c r="E957" s="1238"/>
      <c r="F957" s="1238"/>
      <c r="G957" s="2"/>
      <c r="I957" s="1142"/>
    </row>
    <row r="958" spans="1:9" ht="12.75" customHeight="1">
      <c r="A958" s="99"/>
      <c r="B958" s="358" t="s">
        <v>529</v>
      </c>
      <c r="C958" s="1148"/>
      <c r="D958" s="1233" t="s">
        <v>748</v>
      </c>
      <c r="E958" s="1233"/>
      <c r="F958" s="1233"/>
      <c r="G958" s="2"/>
      <c r="I958" s="1142" t="s">
        <v>742</v>
      </c>
    </row>
    <row r="959" spans="1:9" ht="12.75" customHeight="1">
      <c r="A959" s="1148"/>
      <c r="B959" s="1148"/>
      <c r="C959" s="1148"/>
      <c r="D959" s="2"/>
      <c r="E959" s="2"/>
      <c r="F959" s="2"/>
      <c r="G959" s="2"/>
      <c r="I959" s="1142"/>
    </row>
    <row r="960" spans="1:9" ht="12.75" customHeight="1">
      <c r="A960" s="1148"/>
      <c r="B960" s="1148"/>
      <c r="C960" s="1148"/>
      <c r="D960" s="1238" t="s">
        <v>749</v>
      </c>
      <c r="E960" s="1238"/>
      <c r="F960" s="1238"/>
      <c r="G960"/>
      <c r="I960" s="1142"/>
    </row>
    <row r="961" spans="1:9" ht="12.75" customHeight="1">
      <c r="A961" s="99"/>
      <c r="B961" s="358" t="s">
        <v>529</v>
      </c>
      <c r="C961" s="1148"/>
      <c r="D961" s="1222" t="s">
        <v>750</v>
      </c>
      <c r="E961" s="1222"/>
      <c r="F961" s="1222"/>
      <c r="G961"/>
      <c r="I961" s="1142" t="s">
        <v>742</v>
      </c>
    </row>
    <row r="962" spans="1:9" ht="12.75" customHeight="1">
      <c r="A962" s="99"/>
      <c r="B962" s="99"/>
      <c r="C962" s="1148"/>
      <c r="D962" s="1222"/>
      <c r="E962" s="1222"/>
      <c r="F962" s="1222"/>
      <c r="G962"/>
      <c r="I962" s="1142"/>
    </row>
    <row r="963" spans="1:9" ht="12.75" customHeight="1">
      <c r="A963" s="99"/>
      <c r="B963" s="99"/>
      <c r="C963" s="1148"/>
      <c r="D963" s="1222"/>
      <c r="E963" s="1222"/>
      <c r="F963" s="1222"/>
      <c r="G963"/>
      <c r="I963" s="1142"/>
    </row>
    <row r="964" spans="1:9" ht="12.75" customHeight="1">
      <c r="A964" s="99"/>
      <c r="B964" s="99"/>
      <c r="C964" s="1148"/>
      <c r="D964" s="1222"/>
      <c r="E964" s="1222"/>
      <c r="F964" s="1222"/>
      <c r="G964"/>
      <c r="I964" s="1142"/>
    </row>
    <row r="965" spans="1:9" ht="12.75" customHeight="1">
      <c r="A965" s="99"/>
      <c r="B965" s="99"/>
      <c r="C965" s="1148"/>
      <c r="D965" s="1222"/>
      <c r="E965" s="1222"/>
      <c r="F965" s="1222"/>
      <c r="G965"/>
      <c r="I965" s="1142"/>
    </row>
    <row r="966" spans="1:9" ht="12.75" customHeight="1">
      <c r="A966" s="99"/>
      <c r="B966" s="99"/>
      <c r="C966" s="1148"/>
      <c r="D966" s="1222"/>
      <c r="E966" s="1222"/>
      <c r="F966" s="1222"/>
      <c r="G966"/>
      <c r="I966" s="1142"/>
    </row>
    <row r="967" spans="1:9" ht="12.75" customHeight="1">
      <c r="A967" s="99"/>
      <c r="B967" s="99"/>
      <c r="C967" s="1148"/>
      <c r="D967" s="1222"/>
      <c r="E967" s="1222"/>
      <c r="F967" s="1222"/>
      <c r="G967"/>
      <c r="I967" s="1142"/>
    </row>
    <row r="968" spans="1:9" ht="12.75" customHeight="1">
      <c r="A968" s="99"/>
      <c r="B968" s="99"/>
      <c r="C968" s="1148"/>
      <c r="D968" s="1222"/>
      <c r="E968" s="1222"/>
      <c r="F968" s="1222"/>
      <c r="G968"/>
      <c r="I968" s="1142"/>
    </row>
    <row r="969" spans="1:9" ht="12.75" customHeight="1">
      <c r="A969" s="99"/>
      <c r="B969" s="99"/>
      <c r="C969" s="1148"/>
      <c r="D969" s="1222"/>
      <c r="E969" s="1222"/>
      <c r="F969" s="1222"/>
      <c r="G969"/>
      <c r="I969" s="1142"/>
    </row>
    <row r="970" spans="1:9" ht="12.75" customHeight="1">
      <c r="A970" s="99"/>
      <c r="B970" s="99"/>
      <c r="C970" s="1148"/>
      <c r="D970" s="1222"/>
      <c r="E970" s="1222"/>
      <c r="F970" s="1222"/>
      <c r="G970"/>
      <c r="I970" s="1142"/>
    </row>
    <row r="971" spans="1:9" ht="12.75" customHeight="1">
      <c r="A971" s="99"/>
      <c r="B971" s="99"/>
      <c r="C971" s="1148"/>
      <c r="D971" s="1222"/>
      <c r="E971" s="1222"/>
      <c r="F971" s="1222"/>
      <c r="G971"/>
      <c r="I971" s="1142"/>
    </row>
    <row r="972" spans="1:9" ht="12.75" customHeight="1">
      <c r="A972" s="99"/>
      <c r="B972" s="99"/>
      <c r="C972" s="1148"/>
      <c r="D972" s="1222"/>
      <c r="E972" s="1222"/>
      <c r="F972" s="1222"/>
      <c r="G972"/>
      <c r="I972" s="1142"/>
    </row>
    <row r="973" spans="1:9" ht="12.75" customHeight="1">
      <c r="A973" s="99"/>
      <c r="B973" s="99"/>
      <c r="C973" s="1148"/>
      <c r="D973" s="1222"/>
      <c r="E973" s="1222"/>
      <c r="F973" s="1222"/>
      <c r="G973"/>
      <c r="I973" s="1142"/>
    </row>
    <row r="974" spans="1:9" ht="12.75" customHeight="1">
      <c r="A974" s="99"/>
      <c r="B974" s="99"/>
      <c r="C974" s="1148"/>
      <c r="D974" s="1222"/>
      <c r="E974" s="1222"/>
      <c r="F974" s="1222"/>
      <c r="G974"/>
      <c r="I974" s="1142"/>
    </row>
    <row r="975" spans="1:9" ht="12.75" customHeight="1">
      <c r="A975" s="99"/>
      <c r="B975" s="99"/>
      <c r="C975" s="1148"/>
      <c r="D975" s="1222"/>
      <c r="E975" s="1222"/>
      <c r="F975" s="1222"/>
      <c r="G975" s="2"/>
      <c r="I975" s="1142"/>
    </row>
    <row r="976" spans="1:9" ht="12.75" customHeight="1">
      <c r="A976" s="1148"/>
      <c r="B976" s="1148"/>
      <c r="C976" s="1148"/>
      <c r="D976" s="2"/>
      <c r="E976" s="2"/>
      <c r="F976" s="2"/>
      <c r="G976" s="2"/>
      <c r="I976" s="1142"/>
    </row>
    <row r="977" spans="1:9" ht="12.75" customHeight="1">
      <c r="A977" s="1265" t="s">
        <v>751</v>
      </c>
      <c r="B977" s="1265"/>
      <c r="C977" s="1265"/>
      <c r="D977" s="1265"/>
      <c r="E977" s="1265"/>
      <c r="F977" s="1265"/>
      <c r="G977" s="1265"/>
      <c r="H977" s="836"/>
      <c r="I977" s="1021"/>
    </row>
    <row r="978" spans="1:9" ht="12.75" customHeight="1">
      <c r="A978" s="68"/>
      <c r="B978" s="68"/>
      <c r="C978" s="1148"/>
      <c r="D978" s="2"/>
      <c r="E978" s="2"/>
      <c r="F978" s="2"/>
      <c r="G978" s="2"/>
      <c r="I978" s="1142"/>
    </row>
    <row r="979" spans="1:9" ht="12.75" customHeight="1">
      <c r="A979" s="1148"/>
      <c r="B979" s="1148"/>
      <c r="C979" s="806"/>
      <c r="D979" s="1238" t="s">
        <v>752</v>
      </c>
      <c r="E979" s="1238"/>
      <c r="F979" s="1238"/>
      <c r="G979" s="2"/>
      <c r="I979" s="1142"/>
    </row>
    <row r="980" spans="1:9" ht="12.75" customHeight="1">
      <c r="A980" s="1125"/>
      <c r="B980" s="1125"/>
      <c r="C980" s="1125"/>
      <c r="D980" s="1233" t="s">
        <v>753</v>
      </c>
      <c r="E980" s="1233"/>
      <c r="F980" s="1233"/>
      <c r="G980" s="2"/>
      <c r="I980" s="1142"/>
    </row>
    <row r="981" spans="1:9" ht="12.75" customHeight="1">
      <c r="A981" s="1125"/>
      <c r="B981" s="1125"/>
      <c r="C981" s="1125"/>
      <c r="D981" s="2"/>
      <c r="E981" s="2"/>
      <c r="F981" s="805"/>
      <c r="G981"/>
      <c r="I981" s="1142"/>
    </row>
    <row r="982" spans="1:9" ht="12.75" customHeight="1">
      <c r="A982" s="1148"/>
      <c r="B982" s="358" t="s">
        <v>522</v>
      </c>
      <c r="C982" s="1148"/>
      <c r="D982" s="1284" t="s">
        <v>754</v>
      </c>
      <c r="E982" s="1284"/>
      <c r="F982" s="1284"/>
      <c r="G982"/>
      <c r="I982" s="1142" t="s">
        <v>755</v>
      </c>
    </row>
    <row r="983" spans="1:9" ht="12.75" customHeight="1">
      <c r="A983" s="1148"/>
      <c r="B983" s="1148"/>
      <c r="C983" s="1148"/>
      <c r="D983" s="1284"/>
      <c r="E983" s="1284"/>
      <c r="F983" s="1284"/>
      <c r="G983"/>
      <c r="I983" s="1142"/>
    </row>
    <row r="984" spans="1:9" ht="12.75" customHeight="1">
      <c r="A984" s="1148"/>
      <c r="B984" s="1148"/>
      <c r="C984" s="1148"/>
      <c r="D984" s="1138"/>
      <c r="E984" s="844" t="s">
        <v>756</v>
      </c>
      <c r="F984" s="1138"/>
      <c r="G984"/>
      <c r="I984" s="1142"/>
    </row>
    <row r="985" spans="1:9" ht="12.75" customHeight="1">
      <c r="A985" s="1148"/>
      <c r="B985" s="1148"/>
      <c r="C985" s="1148"/>
      <c r="D985" s="1226" t="s">
        <v>757</v>
      </c>
      <c r="E985" s="1226"/>
      <c r="F985" s="1226"/>
      <c r="G985"/>
      <c r="I985" s="1142"/>
    </row>
    <row r="986" spans="1:9" ht="12.75" customHeight="1">
      <c r="A986" s="1148"/>
      <c r="B986" s="1148"/>
      <c r="C986" s="1148"/>
      <c r="D986" s="1226"/>
      <c r="E986" s="1226"/>
      <c r="F986" s="1226"/>
      <c r="G986"/>
      <c r="I986" s="1142"/>
    </row>
    <row r="987" spans="1:9" ht="12.75" customHeight="1">
      <c r="A987" s="98"/>
      <c r="B987" s="98"/>
      <c r="C987" s="98"/>
      <c r="D987" s="1226"/>
      <c r="E987" s="1226"/>
      <c r="F987" s="1226"/>
      <c r="G987"/>
      <c r="I987" s="1142"/>
    </row>
    <row r="988" spans="1:9" ht="12.75" customHeight="1">
      <c r="A988" s="98"/>
      <c r="B988" s="98"/>
      <c r="C988" s="98"/>
      <c r="D988" s="1226"/>
      <c r="E988" s="1226"/>
      <c r="F988" s="1226"/>
      <c r="G988"/>
      <c r="I988" s="1142"/>
    </row>
    <row r="989" spans="1:9" ht="12.75" customHeight="1">
      <c r="A989" s="98"/>
      <c r="B989" s="98"/>
      <c r="C989" s="98"/>
      <c r="D989" s="1114"/>
      <c r="E989" s="1114"/>
      <c r="F989" s="1114"/>
      <c r="G989"/>
      <c r="I989" s="1142"/>
    </row>
    <row r="990" spans="1:9" ht="12.75" customHeight="1">
      <c r="A990" s="98"/>
      <c r="B990" s="358" t="s">
        <v>529</v>
      </c>
      <c r="C990" s="98"/>
      <c r="D990" s="1222" t="s">
        <v>758</v>
      </c>
      <c r="E990" s="1222"/>
      <c r="F990" s="1222"/>
      <c r="G990"/>
      <c r="I990" s="1142"/>
    </row>
    <row r="991" spans="1:9" ht="12.75" customHeight="1">
      <c r="A991" s="98"/>
      <c r="B991" s="98"/>
      <c r="C991" s="98"/>
      <c r="D991" s="1222"/>
      <c r="E991" s="1222"/>
      <c r="F991" s="1222"/>
      <c r="G991"/>
      <c r="I991" s="1142"/>
    </row>
    <row r="992" spans="1:9" ht="12.75" customHeight="1">
      <c r="A992" s="98"/>
      <c r="B992" s="98"/>
      <c r="C992" s="98"/>
      <c r="D992" s="1222"/>
      <c r="E992" s="1222"/>
      <c r="F992" s="1222"/>
      <c r="G992"/>
      <c r="I992" s="1142"/>
    </row>
    <row r="993" spans="1:9" ht="12.75" customHeight="1">
      <c r="A993" s="98"/>
      <c r="B993" s="98"/>
      <c r="C993" s="98"/>
      <c r="D993" s="1222"/>
      <c r="E993" s="1222"/>
      <c r="F993" s="1222"/>
      <c r="G993"/>
      <c r="I993" s="1142"/>
    </row>
    <row r="994" spans="1:9" ht="12.75" customHeight="1">
      <c r="A994" s="98"/>
      <c r="B994" s="98"/>
      <c r="C994" s="98"/>
      <c r="D994" s="1109"/>
      <c r="E994" s="1109"/>
      <c r="F994" s="1109"/>
      <c r="G994"/>
      <c r="I994" s="1142"/>
    </row>
    <row r="995" spans="1:9" ht="12.75" customHeight="1">
      <c r="A995" s="98"/>
      <c r="B995" s="358" t="s">
        <v>529</v>
      </c>
      <c r="C995" s="98"/>
      <c r="D995" s="1222" t="s">
        <v>759</v>
      </c>
      <c r="E995" s="1222"/>
      <c r="F995" s="1222"/>
      <c r="G995"/>
      <c r="I995" s="1142"/>
    </row>
    <row r="996" spans="1:9" ht="12.75" customHeight="1">
      <c r="A996" s="98"/>
      <c r="B996" s="98"/>
      <c r="C996" s="98"/>
      <c r="D996" s="1222"/>
      <c r="E996" s="1222"/>
      <c r="F996" s="1222"/>
      <c r="G996"/>
      <c r="I996" s="1142"/>
    </row>
    <row r="997" spans="1:9" ht="12.75" customHeight="1">
      <c r="A997" s="98"/>
      <c r="B997" s="98"/>
      <c r="C997" s="98"/>
      <c r="D997" s="1109"/>
      <c r="E997" s="1109"/>
      <c r="F997" s="1109"/>
      <c r="G997"/>
      <c r="I997" s="1142"/>
    </row>
    <row r="998" spans="1:9" ht="12.75" customHeight="1">
      <c r="A998" s="99"/>
      <c r="B998" s="358" t="s">
        <v>522</v>
      </c>
      <c r="C998" s="1148"/>
      <c r="D998" s="1233" t="s">
        <v>760</v>
      </c>
      <c r="E998" s="1233"/>
      <c r="F998" s="1233"/>
      <c r="G998"/>
      <c r="I998" s="1142"/>
    </row>
    <row r="999" spans="1:9" ht="12.75" customHeight="1">
      <c r="A999" s="1148"/>
      <c r="B999" s="1148"/>
      <c r="C999" s="1148"/>
      <c r="D999" s="2"/>
      <c r="E999" s="2"/>
      <c r="F999" s="2"/>
      <c r="G999"/>
      <c r="I999" s="1142"/>
    </row>
    <row r="1000" spans="1:9" ht="12.75" customHeight="1">
      <c r="A1000" s="99"/>
      <c r="B1000" s="358" t="s">
        <v>529</v>
      </c>
      <c r="C1000" s="1148"/>
      <c r="D1000" s="1233" t="s">
        <v>761</v>
      </c>
      <c r="E1000" s="1233"/>
      <c r="F1000" s="1233"/>
      <c r="G1000"/>
      <c r="I1000" s="1142"/>
    </row>
    <row r="1001" spans="1:9" ht="12.75" customHeight="1">
      <c r="A1001" s="1148"/>
      <c r="B1001" s="1148"/>
      <c r="C1001" s="1148"/>
      <c r="D1001" s="68"/>
      <c r="E1001" s="2"/>
      <c r="F1001" s="2"/>
      <c r="G1001"/>
      <c r="I1001" s="1142"/>
    </row>
    <row r="1002" spans="1:9" ht="12.75" customHeight="1">
      <c r="A1002" s="99"/>
      <c r="B1002" s="358" t="s">
        <v>522</v>
      </c>
      <c r="C1002" s="1148"/>
      <c r="D1002" s="1233" t="s">
        <v>762</v>
      </c>
      <c r="E1002" s="1233"/>
      <c r="F1002" s="1233"/>
      <c r="G1002"/>
      <c r="I1002" s="1142"/>
    </row>
    <row r="1003" spans="1:9" ht="12.75" customHeight="1">
      <c r="A1003" s="1148"/>
      <c r="B1003" s="1148"/>
      <c r="C1003" s="1148"/>
      <c r="D1003" s="68"/>
      <c r="E1003" s="2"/>
      <c r="F1003" s="2"/>
      <c r="G1003"/>
      <c r="I1003" s="1142"/>
    </row>
    <row r="1004" spans="1:9" ht="12.75" customHeight="1">
      <c r="A1004" s="99"/>
      <c r="B1004" s="358" t="s">
        <v>529</v>
      </c>
      <c r="C1004" s="1148"/>
      <c r="D1004" s="1222" t="s">
        <v>763</v>
      </c>
      <c r="E1004" s="1222"/>
      <c r="F1004" s="1222"/>
      <c r="G1004"/>
      <c r="I1004" s="1142"/>
    </row>
    <row r="1005" spans="1:9" ht="12.75" customHeight="1">
      <c r="A1005" s="99"/>
      <c r="B1005" s="99"/>
      <c r="C1005" s="1148"/>
      <c r="D1005" s="1222"/>
      <c r="E1005" s="1222"/>
      <c r="F1005" s="1222"/>
      <c r="G1005"/>
      <c r="I1005" s="1142"/>
    </row>
    <row r="1006" spans="1:9" ht="12.75" customHeight="1">
      <c r="A1006" s="99"/>
      <c r="B1006" s="99"/>
      <c r="C1006" s="1148"/>
      <c r="D1006" s="68"/>
      <c r="E1006" s="2"/>
      <c r="F1006" s="2"/>
      <c r="G1006" s="2"/>
      <c r="I1006" s="1142"/>
    </row>
    <row r="1007" spans="1:9" ht="12.75" customHeight="1">
      <c r="A1007" s="153"/>
      <c r="B1007" s="358" t="s">
        <v>529</v>
      </c>
      <c r="C1007" s="815"/>
      <c r="D1007" s="1261" t="s">
        <v>764</v>
      </c>
      <c r="E1007" s="1261"/>
      <c r="F1007" s="1261"/>
      <c r="G1007" s="816"/>
      <c r="I1007" s="1142"/>
    </row>
    <row r="1008" spans="1:9" ht="12.75" customHeight="1">
      <c r="A1008" s="815"/>
      <c r="B1008" s="815"/>
      <c r="C1008" s="815"/>
      <c r="D1008" s="1261"/>
      <c r="E1008" s="1261"/>
      <c r="F1008" s="1261"/>
      <c r="G1008" s="816"/>
      <c r="I1008" s="1142"/>
    </row>
    <row r="1009" spans="1:9" ht="12.75" customHeight="1">
      <c r="A1009" s="815"/>
      <c r="B1009" s="815"/>
      <c r="C1009" s="815"/>
      <c r="D1009" s="1136"/>
      <c r="E1009" s="816"/>
      <c r="F1009" s="816"/>
      <c r="G1009" s="816"/>
      <c r="I1009" s="1142"/>
    </row>
    <row r="1010" spans="1:9" ht="12.75" customHeight="1">
      <c r="A1010" s="153"/>
      <c r="B1010" s="358" t="s">
        <v>522</v>
      </c>
      <c r="C1010" s="815"/>
      <c r="D1010" s="1278" t="s">
        <v>765</v>
      </c>
      <c r="E1010" s="1278"/>
      <c r="F1010" s="1278"/>
      <c r="G1010" s="816"/>
      <c r="I1010" s="1142"/>
    </row>
    <row r="1011" spans="1:9" ht="12.75" customHeight="1">
      <c r="A1011" s="815"/>
      <c r="B1011" s="815"/>
      <c r="C1011" s="815"/>
      <c r="D1011" s="1136"/>
      <c r="E1011" s="816"/>
      <c r="F1011" s="816"/>
      <c r="G1011" s="816"/>
      <c r="I1011" s="1142"/>
    </row>
    <row r="1012" spans="1:9" ht="12.75" customHeight="1">
      <c r="A1012" s="99"/>
      <c r="B1012" s="358" t="s">
        <v>529</v>
      </c>
      <c r="C1012" s="1148"/>
      <c r="D1012" s="1233" t="s">
        <v>766</v>
      </c>
      <c r="E1012" s="1233"/>
      <c r="F1012" s="1233"/>
      <c r="G1012" s="2"/>
      <c r="I1012" s="1142"/>
    </row>
    <row r="1013" spans="1:9" ht="12.75" customHeight="1">
      <c r="A1013" s="99"/>
      <c r="B1013" s="99"/>
      <c r="C1013" s="1148"/>
      <c r="D1013" s="68"/>
      <c r="E1013" s="2"/>
      <c r="F1013" s="2"/>
      <c r="G1013" s="2"/>
      <c r="I1013" s="1142"/>
    </row>
    <row r="1014" spans="1:9" ht="12.75" customHeight="1">
      <c r="A1014" s="99"/>
      <c r="B1014" s="358" t="s">
        <v>529</v>
      </c>
      <c r="C1014" s="1148"/>
      <c r="D1014" s="1222" t="s">
        <v>767</v>
      </c>
      <c r="E1014" s="1222"/>
      <c r="F1014" s="1222"/>
      <c r="G1014" s="2"/>
      <c r="I1014" s="1142"/>
    </row>
    <row r="1015" spans="1:9" ht="12.75" customHeight="1">
      <c r="A1015" s="99"/>
      <c r="B1015" s="99"/>
      <c r="C1015" s="1148"/>
      <c r="D1015" s="1222"/>
      <c r="E1015" s="1222"/>
      <c r="F1015" s="1222"/>
      <c r="G1015" s="2"/>
      <c r="I1015" s="1142"/>
    </row>
    <row r="1016" spans="1:9" ht="12.75" customHeight="1">
      <c r="A1016" s="1148"/>
      <c r="B1016" s="1148"/>
      <c r="C1016" s="1148"/>
      <c r="D1016" s="2"/>
      <c r="E1016" s="2"/>
      <c r="F1016" s="2"/>
      <c r="G1016" s="2"/>
      <c r="I1016" s="1142"/>
    </row>
    <row r="1017" spans="1:9" ht="12.75" customHeight="1">
      <c r="A1017" s="1265" t="s">
        <v>768</v>
      </c>
      <c r="B1017" s="1265"/>
      <c r="C1017" s="1265"/>
      <c r="D1017" s="1265"/>
      <c r="E1017" s="1265"/>
      <c r="F1017" s="1265"/>
      <c r="G1017" s="1265"/>
      <c r="H1017" s="836"/>
      <c r="I1017" s="1021"/>
    </row>
    <row r="1018" spans="1:9" ht="12.75" customHeight="1">
      <c r="A1018" s="1148"/>
      <c r="B1018" s="1148"/>
      <c r="C1018" s="1148"/>
      <c r="D1018" s="2"/>
      <c r="E1018" s="2"/>
      <c r="F1018" s="2"/>
      <c r="G1018" s="2"/>
      <c r="I1018" s="1142"/>
    </row>
    <row r="1019" spans="1:9" ht="12.75" customHeight="1">
      <c r="A1019" s="1148"/>
      <c r="B1019" s="1148"/>
      <c r="C1019" s="1148"/>
      <c r="D1019" s="1260" t="s">
        <v>769</v>
      </c>
      <c r="E1019" s="1260"/>
      <c r="F1019" s="1260"/>
      <c r="G1019" s="2"/>
      <c r="I1019" s="1142"/>
    </row>
    <row r="1020" spans="1:9" ht="12.75" customHeight="1">
      <c r="A1020" s="1148"/>
      <c r="B1020" s="1148"/>
      <c r="C1020" s="1148"/>
      <c r="D1020" s="1278" t="s">
        <v>770</v>
      </c>
      <c r="E1020" s="1278"/>
      <c r="F1020" s="1278"/>
      <c r="G1020" s="2"/>
      <c r="I1020" s="1142"/>
    </row>
    <row r="1021" spans="1:9" ht="12.75" customHeight="1">
      <c r="A1021" s="1125"/>
      <c r="B1021" s="1125"/>
      <c r="C1021" s="1125"/>
      <c r="D1021" s="2"/>
      <c r="E1021" s="2"/>
      <c r="F1021" s="2"/>
      <c r="G1021" s="2"/>
      <c r="I1021" s="1142"/>
    </row>
    <row r="1022" spans="1:9" ht="12.75" customHeight="1">
      <c r="A1022" s="99"/>
      <c r="B1022" s="99"/>
      <c r="C1022" s="98"/>
      <c r="D1022" s="1260" t="s">
        <v>771</v>
      </c>
      <c r="E1022" s="1260"/>
      <c r="F1022" s="1260"/>
      <c r="G1022" s="2"/>
      <c r="I1022" s="1142" t="s">
        <v>772</v>
      </c>
    </row>
    <row r="1023" spans="1:9" ht="12.75" customHeight="1">
      <c r="A1023" s="1148"/>
      <c r="B1023" s="358" t="s">
        <v>522</v>
      </c>
      <c r="C1023" s="1148"/>
      <c r="D1023" s="1278" t="s">
        <v>773</v>
      </c>
      <c r="E1023" s="1278"/>
      <c r="F1023" s="1278"/>
      <c r="G1023" s="2"/>
      <c r="I1023" s="1142"/>
    </row>
    <row r="1024" spans="1:9" ht="12.75" customHeight="1">
      <c r="A1024" s="1148"/>
      <c r="B1024" s="99"/>
      <c r="C1024" s="1148"/>
      <c r="D1024" s="1278" t="s">
        <v>774</v>
      </c>
      <c r="E1024" s="1278"/>
      <c r="F1024" s="1278"/>
      <c r="G1024" s="2"/>
      <c r="I1024" s="1142"/>
    </row>
    <row r="1025" spans="1:9" ht="12.75" customHeight="1">
      <c r="A1025" s="1148"/>
      <c r="B1025" s="1148"/>
      <c r="C1025" s="1148"/>
      <c r="D1025" s="1278"/>
      <c r="E1025" s="1278"/>
      <c r="F1025" s="1278"/>
      <c r="G1025" s="2"/>
      <c r="I1025" s="1142"/>
    </row>
    <row r="1026" spans="1:9" ht="12.75" customHeight="1">
      <c r="A1026" s="1265" t="s">
        <v>775</v>
      </c>
      <c r="B1026" s="1265"/>
      <c r="C1026" s="1265"/>
      <c r="D1026" s="1265"/>
      <c r="E1026" s="1265"/>
      <c r="F1026" s="1265"/>
      <c r="G1026" s="1265"/>
      <c r="H1026" s="836"/>
      <c r="I1026" s="1021"/>
    </row>
    <row r="1027" spans="1:9" ht="12.75" customHeight="1">
      <c r="A1027" s="68"/>
      <c r="B1027" s="68"/>
      <c r="C1027" s="1148"/>
      <c r="D1027" s="2"/>
      <c r="E1027" s="2"/>
      <c r="F1027" s="2"/>
      <c r="G1027" s="2"/>
      <c r="I1027" s="1142"/>
    </row>
    <row r="1028" spans="1:9" ht="12.75" hidden="1" customHeight="1">
      <c r="A1028" s="68"/>
      <c r="B1028" s="291"/>
      <c r="D1028" s="1267" t="s">
        <v>776</v>
      </c>
      <c r="E1028" s="1267"/>
      <c r="F1028" s="1267"/>
      <c r="G1028" s="2"/>
      <c r="I1028" s="1142"/>
    </row>
    <row r="1029" spans="1:9" ht="12.75" hidden="1" customHeight="1">
      <c r="A1029" s="68"/>
      <c r="B1029" s="358" t="s">
        <v>294</v>
      </c>
      <c r="D1029" s="1269" t="s">
        <v>773</v>
      </c>
      <c r="E1029" s="1269"/>
      <c r="F1029" s="1269"/>
      <c r="G1029" s="2"/>
      <c r="I1029" s="1142"/>
    </row>
    <row r="1030" spans="1:9" ht="12.75" hidden="1" customHeight="1">
      <c r="A1030" s="68"/>
      <c r="B1030" s="291"/>
      <c r="D1030" s="1269" t="s">
        <v>777</v>
      </c>
      <c r="E1030" s="1269"/>
      <c r="F1030" s="1269"/>
      <c r="G1030" s="2"/>
      <c r="I1030" s="1142"/>
    </row>
    <row r="1031" spans="1:9" ht="12.75" hidden="1" customHeight="1">
      <c r="A1031" s="68"/>
      <c r="B1031" s="291"/>
      <c r="D1031" s="1133"/>
      <c r="E1031" s="1133"/>
      <c r="F1031" s="1133"/>
      <c r="G1031" s="2"/>
      <c r="I1031" s="1142"/>
    </row>
    <row r="1032" spans="1:9" ht="12.75" customHeight="1">
      <c r="A1032" s="68"/>
      <c r="B1032" s="68"/>
      <c r="C1032" s="1148"/>
      <c r="D1032" s="1279" t="s">
        <v>494</v>
      </c>
      <c r="E1032" s="1279"/>
      <c r="F1032" s="1279"/>
      <c r="G1032" s="2"/>
      <c r="I1032" s="1142" t="s">
        <v>778</v>
      </c>
    </row>
    <row r="1033" spans="1:9" ht="12.75" customHeight="1">
      <c r="A1033" s="213"/>
      <c r="B1033" s="213"/>
      <c r="C1033" s="213"/>
      <c r="D1033" s="1253" t="s">
        <v>495</v>
      </c>
      <c r="E1033" s="1253"/>
      <c r="F1033" s="1253"/>
      <c r="G1033" s="57"/>
      <c r="I1033" s="1142"/>
    </row>
    <row r="1034" spans="1:9" ht="12.75" customHeight="1">
      <c r="A1034" s="99"/>
      <c r="B1034" s="358" t="s">
        <v>522</v>
      </c>
      <c r="C1034" s="1148"/>
      <c r="D1034" s="1253" t="s">
        <v>496</v>
      </c>
      <c r="E1034" s="1253"/>
      <c r="F1034" s="1253"/>
      <c r="G1034" s="2"/>
      <c r="I1034" s="1142"/>
    </row>
    <row r="1035" spans="1:9" ht="12.75" customHeight="1">
      <c r="A1035" s="1148"/>
      <c r="B1035" s="1148"/>
      <c r="C1035" s="1148"/>
      <c r="D1035" s="844" t="s">
        <v>779</v>
      </c>
      <c r="E1035" s="55"/>
      <c r="F1035" s="55"/>
      <c r="G1035" s="2"/>
      <c r="I1035" s="1142"/>
    </row>
    <row r="1036" spans="1:9">
      <c r="A1036" s="291"/>
      <c r="B1036" s="291"/>
      <c r="C1036" s="291"/>
      <c r="I1036" s="1142"/>
    </row>
    <row r="1037" spans="1:9">
      <c r="A1037" s="1265" t="s">
        <v>780</v>
      </c>
      <c r="B1037" s="1265"/>
      <c r="C1037" s="1265"/>
      <c r="D1037" s="1265"/>
      <c r="E1037" s="1265"/>
      <c r="F1037" s="1265"/>
      <c r="G1037" s="1265"/>
      <c r="H1037" s="836"/>
      <c r="I1037" s="1021"/>
    </row>
    <row r="1038" spans="1:9">
      <c r="A1038" s="291"/>
      <c r="B1038" s="291"/>
      <c r="C1038" s="291"/>
      <c r="I1038" s="1142"/>
    </row>
    <row r="1039" spans="1:9">
      <c r="A1039" s="291"/>
      <c r="B1039" s="291"/>
      <c r="C1039" s="291"/>
      <c r="D1039" s="293" t="s">
        <v>781</v>
      </c>
      <c r="I1039" s="1142"/>
    </row>
    <row r="1040" spans="1:9">
      <c r="A1040" s="291"/>
      <c r="B1040" s="291"/>
      <c r="C1040" s="291"/>
      <c r="D1040" s="291" t="s">
        <v>782</v>
      </c>
      <c r="I1040" s="1142"/>
    </row>
    <row r="1041" spans="1:9">
      <c r="A1041" s="291"/>
      <c r="B1041" s="291"/>
      <c r="C1041" s="291"/>
      <c r="D1041" s="293"/>
      <c r="I1041" s="1142"/>
    </row>
    <row r="1042" spans="1:9">
      <c r="A1042" s="291"/>
      <c r="B1042" s="358" t="s">
        <v>529</v>
      </c>
      <c r="C1042" s="291"/>
      <c r="D1042" s="1281" t="s">
        <v>783</v>
      </c>
      <c r="E1042" s="1281"/>
      <c r="F1042" s="1281"/>
      <c r="I1042" s="1142" t="s">
        <v>784</v>
      </c>
    </row>
    <row r="1043" spans="1:9">
      <c r="A1043" s="291"/>
      <c r="B1043" s="291"/>
      <c r="C1043" s="291"/>
      <c r="D1043" s="1281"/>
      <c r="E1043" s="1281"/>
      <c r="F1043" s="1281"/>
      <c r="I1043" s="1142"/>
    </row>
    <row r="1044" spans="1:9">
      <c r="A1044" s="291"/>
      <c r="B1044" s="291"/>
      <c r="C1044" s="291"/>
      <c r="D1044" s="1281"/>
      <c r="E1044" s="1281"/>
      <c r="F1044" s="1281"/>
      <c r="I1044" s="1142"/>
    </row>
    <row r="1045" spans="1:9">
      <c r="A1045" s="291"/>
      <c r="B1045" s="291"/>
      <c r="C1045" s="291"/>
      <c r="D1045" s="1281"/>
      <c r="E1045" s="1281"/>
      <c r="F1045" s="1281"/>
      <c r="I1045" s="1142"/>
    </row>
    <row r="1046" spans="1:9">
      <c r="A1046" s="291"/>
      <c r="B1046" s="291"/>
      <c r="C1046" s="291"/>
      <c r="I1046" s="1142"/>
    </row>
    <row r="1047" spans="1:9">
      <c r="A1047" s="291"/>
      <c r="B1047" s="291"/>
      <c r="C1047" s="291"/>
      <c r="D1047" s="293" t="s">
        <v>785</v>
      </c>
      <c r="I1047" s="1142"/>
    </row>
    <row r="1048" spans="1:9">
      <c r="A1048" s="291"/>
      <c r="B1048" s="291"/>
      <c r="C1048" s="291"/>
      <c r="D1048" s="291" t="s">
        <v>786</v>
      </c>
      <c r="I1048" s="1142"/>
    </row>
    <row r="1049" spans="1:9">
      <c r="A1049" s="291"/>
      <c r="B1049" s="291"/>
      <c r="C1049" s="291"/>
      <c r="I1049" s="1142"/>
    </row>
    <row r="1050" spans="1:9">
      <c r="A1050" s="291"/>
      <c r="B1050" s="358" t="s">
        <v>522</v>
      </c>
      <c r="C1050" s="291"/>
      <c r="D1050" s="291" t="s">
        <v>728</v>
      </c>
      <c r="I1050" s="1142" t="s">
        <v>787</v>
      </c>
    </row>
    <row r="1051" spans="1:9">
      <c r="A1051" s="291"/>
      <c r="B1051" s="291"/>
      <c r="C1051" s="291"/>
      <c r="I1051" s="1142"/>
    </row>
    <row r="1052" spans="1:9">
      <c r="A1052" s="291"/>
      <c r="B1052" s="358" t="s">
        <v>522</v>
      </c>
      <c r="C1052" s="291"/>
      <c r="D1052" s="1281" t="s">
        <v>788</v>
      </c>
      <c r="E1052" s="1281"/>
      <c r="F1052" s="1281"/>
      <c r="I1052" s="1142" t="s">
        <v>789</v>
      </c>
    </row>
    <row r="1053" spans="1:9">
      <c r="A1053" s="291"/>
      <c r="B1053" s="291"/>
      <c r="C1053" s="291"/>
      <c r="D1053" s="1281"/>
      <c r="E1053" s="1281"/>
      <c r="F1053" s="1281"/>
      <c r="I1053" s="1142"/>
    </row>
    <row r="1054" spans="1:9">
      <c r="A1054" s="291"/>
      <c r="B1054" s="291"/>
      <c r="C1054" s="291"/>
      <c r="D1054" s="1281"/>
      <c r="E1054" s="1281"/>
      <c r="F1054" s="1281"/>
      <c r="I1054" s="1142"/>
    </row>
    <row r="1055" spans="1:9">
      <c r="A1055" s="291"/>
      <c r="B1055" s="291"/>
      <c r="C1055" s="291"/>
      <c r="D1055" s="1281"/>
      <c r="E1055" s="1281"/>
      <c r="F1055" s="1281"/>
      <c r="I1055" s="1142"/>
    </row>
    <row r="1056" spans="1:9">
      <c r="A1056" s="291"/>
      <c r="B1056" s="291"/>
      <c r="C1056" s="291"/>
      <c r="D1056" s="1281"/>
      <c r="E1056" s="1281"/>
      <c r="F1056" s="1281"/>
      <c r="I1056" s="1142"/>
    </row>
    <row r="1057" spans="1:9">
      <c r="A1057" s="291"/>
      <c r="B1057" s="291"/>
      <c r="C1057" s="291"/>
      <c r="I1057" s="1142"/>
    </row>
    <row r="1058" spans="1:9">
      <c r="A1058" s="1265" t="s">
        <v>790</v>
      </c>
      <c r="B1058" s="1265"/>
      <c r="C1058" s="1265"/>
      <c r="D1058" s="1265"/>
      <c r="E1058" s="1265"/>
      <c r="F1058" s="1265"/>
      <c r="G1058" s="1265"/>
      <c r="H1058" s="836"/>
      <c r="I1058" s="1021"/>
    </row>
    <row r="1059" spans="1:9">
      <c r="A1059" s="291"/>
      <c r="B1059" s="291"/>
      <c r="C1059" s="291"/>
      <c r="I1059" s="1142"/>
    </row>
    <row r="1060" spans="1:9">
      <c r="A1060" s="291"/>
      <c r="B1060" s="291"/>
      <c r="C1060" s="291"/>
      <c r="I1060" s="1142"/>
    </row>
    <row r="1061" spans="1:9">
      <c r="A1061" s="291"/>
      <c r="B1061" s="358" t="s">
        <v>522</v>
      </c>
      <c r="C1061" s="291"/>
      <c r="D1061" s="396" t="s">
        <v>791</v>
      </c>
      <c r="I1061" s="1142" t="s">
        <v>792</v>
      </c>
    </row>
    <row r="1062" spans="1:9">
      <c r="A1062" s="291"/>
      <c r="B1062" s="291"/>
      <c r="C1062" s="291"/>
      <c r="D1062" s="396" t="s">
        <v>793</v>
      </c>
      <c r="I1062" s="1142"/>
    </row>
    <row r="1063" spans="1:9">
      <c r="A1063" s="291"/>
      <c r="B1063" s="291"/>
      <c r="C1063" s="291"/>
      <c r="D1063" s="396"/>
      <c r="I1063" s="1142"/>
    </row>
    <row r="1064" spans="1:9">
      <c r="A1064" s="291"/>
      <c r="B1064" s="358" t="s">
        <v>529</v>
      </c>
      <c r="C1064" s="291"/>
      <c r="D1064" s="396" t="s">
        <v>794</v>
      </c>
      <c r="I1064" s="1142" t="s">
        <v>795</v>
      </c>
    </row>
    <row r="1065" spans="1:9">
      <c r="A1065" s="291"/>
      <c r="B1065" s="291"/>
      <c r="C1065" s="291"/>
      <c r="D1065" s="396" t="s">
        <v>796</v>
      </c>
      <c r="I1065" s="1142"/>
    </row>
    <row r="1066" spans="1:9">
      <c r="A1066" s="291"/>
      <c r="B1066" s="291"/>
      <c r="C1066" s="291"/>
      <c r="D1066" s="396"/>
      <c r="I1066" s="1142"/>
    </row>
    <row r="1067" spans="1:9">
      <c r="A1067" s="291"/>
      <c r="B1067" s="358" t="s">
        <v>529</v>
      </c>
      <c r="C1067" s="291"/>
      <c r="D1067" s="69" t="s">
        <v>797</v>
      </c>
      <c r="I1067" s="1142" t="s">
        <v>798</v>
      </c>
    </row>
    <row r="1068" spans="1:9">
      <c r="A1068" s="291"/>
      <c r="B1068" s="291"/>
      <c r="C1068" s="291"/>
      <c r="D1068" s="1222" t="s">
        <v>799</v>
      </c>
      <c r="E1068" s="1222"/>
      <c r="F1068" s="1222"/>
      <c r="I1068" s="1142"/>
    </row>
    <row r="1069" spans="1:9">
      <c r="A1069" s="291"/>
      <c r="B1069" s="291"/>
      <c r="C1069" s="291"/>
      <c r="D1069" s="1222"/>
      <c r="E1069" s="1222"/>
      <c r="F1069" s="1222"/>
      <c r="I1069" s="1142"/>
    </row>
    <row r="1070" spans="1:9">
      <c r="A1070" s="291"/>
      <c r="B1070" s="291"/>
      <c r="C1070" s="291"/>
      <c r="D1070" s="1222"/>
      <c r="E1070" s="1222"/>
      <c r="F1070" s="1222"/>
      <c r="I1070" s="1142"/>
    </row>
    <row r="1071" spans="1:9">
      <c r="A1071" s="291"/>
      <c r="B1071" s="291"/>
      <c r="C1071" s="291"/>
      <c r="D1071" s="1222"/>
      <c r="E1071" s="1222"/>
      <c r="F1071" s="1222"/>
      <c r="I1071" s="1142"/>
    </row>
    <row r="1072" spans="1:9">
      <c r="A1072" s="291"/>
      <c r="B1072" s="291"/>
      <c r="C1072" s="291"/>
      <c r="D1072" s="69" t="s">
        <v>800</v>
      </c>
      <c r="I1072" s="1142"/>
    </row>
    <row r="1073" spans="1:9">
      <c r="A1073" s="291"/>
      <c r="B1073" s="291"/>
      <c r="C1073" s="291"/>
      <c r="D1073" s="69"/>
      <c r="I1073" s="1142"/>
    </row>
    <row r="1074" spans="1:9">
      <c r="A1074" s="291"/>
      <c r="B1074" s="291"/>
      <c r="C1074" s="291"/>
      <c r="D1074" s="396" t="s">
        <v>801</v>
      </c>
      <c r="I1074" s="1142" t="s">
        <v>802</v>
      </c>
    </row>
    <row r="1075" spans="1:9">
      <c r="A1075" s="291"/>
      <c r="B1075" s="358" t="s">
        <v>529</v>
      </c>
      <c r="C1075" s="291"/>
      <c r="D1075" s="1280" t="s">
        <v>803</v>
      </c>
      <c r="E1075" s="1280"/>
      <c r="F1075" s="1280"/>
      <c r="I1075" s="1142"/>
    </row>
    <row r="1076" spans="1:9">
      <c r="A1076" s="291"/>
      <c r="B1076" s="291"/>
      <c r="C1076" s="291"/>
      <c r="D1076" s="1280"/>
      <c r="E1076" s="1280"/>
      <c r="F1076" s="1280"/>
      <c r="I1076" s="1142"/>
    </row>
    <row r="1077" spans="1:9">
      <c r="A1077" s="291"/>
      <c r="B1077" s="291"/>
      <c r="C1077" s="291"/>
      <c r="D1077" s="1280"/>
      <c r="E1077" s="1280"/>
      <c r="F1077" s="1280"/>
      <c r="I1077" s="1142"/>
    </row>
    <row r="1078" spans="1:9">
      <c r="A1078" s="291"/>
      <c r="B1078" s="291"/>
      <c r="C1078" s="291"/>
      <c r="D1078" s="1280"/>
      <c r="E1078" s="1280"/>
      <c r="F1078" s="1280"/>
      <c r="I1078" s="1142"/>
    </row>
    <row r="1079" spans="1:9">
      <c r="A1079" s="291"/>
      <c r="B1079" s="291"/>
      <c r="C1079" s="291"/>
      <c r="D1079" s="1280"/>
      <c r="E1079" s="1280"/>
      <c r="F1079" s="1280"/>
      <c r="I1079" s="1142"/>
    </row>
    <row r="1080" spans="1:9">
      <c r="A1080" s="291"/>
      <c r="B1080" s="291"/>
      <c r="C1080" s="291"/>
      <c r="D1080" s="396" t="s">
        <v>804</v>
      </c>
      <c r="I1080" s="1142"/>
    </row>
    <row r="1081" spans="1:9">
      <c r="A1081" s="291"/>
      <c r="B1081" s="291"/>
      <c r="C1081" s="291"/>
      <c r="I1081" s="1142"/>
    </row>
    <row r="1082" spans="1:9">
      <c r="A1082" s="1265" t="s">
        <v>805</v>
      </c>
      <c r="B1082" s="1265"/>
      <c r="C1082" s="1265"/>
      <c r="D1082" s="1265"/>
      <c r="E1082" s="1265"/>
      <c r="F1082" s="1265"/>
      <c r="G1082" s="1265"/>
      <c r="H1082" s="836"/>
      <c r="I1082" s="1021"/>
    </row>
    <row r="1083" spans="1:9">
      <c r="A1083" s="291"/>
      <c r="B1083" s="291"/>
      <c r="C1083" s="291"/>
      <c r="I1083" s="1142"/>
    </row>
    <row r="1084" spans="1:9">
      <c r="A1084" s="291"/>
      <c r="B1084" s="291"/>
      <c r="C1084" s="291"/>
      <c r="I1084" s="1142"/>
    </row>
    <row r="1085" spans="1:9" ht="12.75" customHeight="1">
      <c r="A1085" s="291"/>
      <c r="B1085" s="358" t="s">
        <v>522</v>
      </c>
      <c r="C1085" s="291"/>
      <c r="D1085" s="1282" t="s">
        <v>806</v>
      </c>
      <c r="E1085" s="1282"/>
      <c r="F1085" s="1282"/>
      <c r="I1085" s="1142" t="s">
        <v>807</v>
      </c>
    </row>
    <row r="1086" spans="1:9">
      <c r="A1086" s="291"/>
      <c r="B1086" s="291"/>
      <c r="C1086" s="291"/>
      <c r="D1086" s="1282"/>
      <c r="E1086" s="1282"/>
      <c r="F1086" s="1282"/>
      <c r="I1086" s="1142"/>
    </row>
    <row r="1087" spans="1:9">
      <c r="A1087" s="291"/>
      <c r="B1087" s="291"/>
      <c r="C1087" s="291"/>
      <c r="D1087" s="1283" t="s">
        <v>808</v>
      </c>
      <c r="E1087" s="1222"/>
      <c r="F1087" s="1222"/>
      <c r="I1087" s="1142"/>
    </row>
    <row r="1088" spans="1:9">
      <c r="A1088" s="291"/>
      <c r="B1088" s="291"/>
      <c r="C1088" s="291"/>
      <c r="D1088" s="396"/>
      <c r="I1088" s="1142"/>
    </row>
    <row r="1089" spans="1:9">
      <c r="A1089" s="291"/>
      <c r="B1089" s="358" t="s">
        <v>529</v>
      </c>
      <c r="C1089" s="291"/>
      <c r="D1089" s="1280" t="s">
        <v>809</v>
      </c>
      <c r="E1089" s="1280"/>
      <c r="F1089" s="1280"/>
      <c r="I1089" s="1142" t="s">
        <v>810</v>
      </c>
    </row>
    <row r="1090" spans="1:9">
      <c r="A1090" s="291"/>
      <c r="B1090" s="291"/>
      <c r="C1090" s="291"/>
      <c r="D1090" s="1280"/>
      <c r="E1090" s="1280"/>
      <c r="F1090" s="1280"/>
      <c r="I1090" s="1142"/>
    </row>
    <row r="1091" spans="1:9">
      <c r="A1091" s="291"/>
      <c r="B1091" s="291"/>
      <c r="C1091" s="291"/>
      <c r="D1091" s="396"/>
      <c r="I1091" s="1142"/>
    </row>
    <row r="1092" spans="1:9">
      <c r="A1092" s="291"/>
      <c r="B1092" s="358" t="s">
        <v>529</v>
      </c>
      <c r="C1092" s="291"/>
      <c r="D1092" s="1280" t="s">
        <v>811</v>
      </c>
      <c r="E1092" s="1280"/>
      <c r="F1092" s="1280"/>
      <c r="I1092" s="1142" t="s">
        <v>812</v>
      </c>
    </row>
    <row r="1093" spans="1:9">
      <c r="A1093" s="291"/>
      <c r="B1093" s="291"/>
      <c r="C1093" s="291"/>
      <c r="D1093" s="1280"/>
      <c r="E1093" s="1280"/>
      <c r="F1093" s="1280"/>
      <c r="I1093" s="1142"/>
    </row>
    <row r="1094" spans="1:9">
      <c r="A1094" s="291"/>
      <c r="B1094" s="291"/>
      <c r="C1094" s="291"/>
      <c r="D1094" s="1280"/>
      <c r="E1094" s="1280"/>
      <c r="F1094" s="1280"/>
      <c r="I1094" s="1142"/>
    </row>
    <row r="1095" spans="1:9">
      <c r="A1095" s="291"/>
      <c r="B1095" s="291"/>
      <c r="C1095" s="291"/>
      <c r="D1095" s="1280"/>
      <c r="E1095" s="1280"/>
      <c r="F1095" s="1280"/>
      <c r="I1095" s="1142"/>
    </row>
    <row r="1096" spans="1:9">
      <c r="A1096" s="291"/>
      <c r="B1096" s="291"/>
      <c r="C1096" s="291"/>
      <c r="D1096" s="1280"/>
      <c r="E1096" s="1280"/>
      <c r="F1096" s="1280"/>
      <c r="I1096" s="1142"/>
    </row>
    <row r="1097" spans="1:9">
      <c r="A1097" s="291"/>
      <c r="B1097" s="291"/>
      <c r="C1097" s="291"/>
      <c r="D1097" s="1280"/>
      <c r="E1097" s="1280"/>
      <c r="F1097" s="1280"/>
      <c r="I1097" s="1142"/>
    </row>
    <row r="1098" spans="1:9" ht="12.5">
      <c r="A1098" s="291"/>
      <c r="B1098" s="291"/>
      <c r="C1098" s="291"/>
      <c r="D1098" s="396" t="s">
        <v>813</v>
      </c>
      <c r="I1098" s="355"/>
    </row>
    <row r="1099" spans="1:9">
      <c r="A1099" s="291"/>
      <c r="B1099" s="358" t="s">
        <v>529</v>
      </c>
      <c r="C1099" s="291"/>
      <c r="D1099" s="1280" t="s">
        <v>814</v>
      </c>
      <c r="E1099" s="1280"/>
      <c r="F1099" s="1280"/>
      <c r="I1099" s="1142" t="s">
        <v>815</v>
      </c>
    </row>
    <row r="1100" spans="1:9">
      <c r="A1100" s="291"/>
      <c r="B1100" s="291"/>
      <c r="C1100" s="291"/>
      <c r="D1100" s="1280"/>
      <c r="E1100" s="1280"/>
      <c r="F1100" s="1280"/>
      <c r="I1100" s="1142"/>
    </row>
    <row r="1101" spans="1:9">
      <c r="A1101" s="291"/>
      <c r="B1101" s="291"/>
      <c r="C1101" s="291"/>
      <c r="D1101" s="1280"/>
      <c r="E1101" s="1280"/>
      <c r="F1101" s="1280"/>
      <c r="I1101" s="1142"/>
    </row>
    <row r="1102" spans="1:9">
      <c r="A1102" s="291"/>
      <c r="B1102" s="291"/>
      <c r="C1102" s="291"/>
      <c r="D1102" s="396"/>
      <c r="I1102" s="1142"/>
    </row>
    <row r="1103" spans="1:9">
      <c r="A1103" s="291"/>
      <c r="B1103" s="358" t="s">
        <v>529</v>
      </c>
      <c r="C1103" s="291"/>
      <c r="D1103" s="1226" t="s">
        <v>816</v>
      </c>
      <c r="E1103" s="1226"/>
      <c r="F1103" s="1226"/>
      <c r="I1103" s="1142" t="s">
        <v>688</v>
      </c>
    </row>
    <row r="1104" spans="1:9">
      <c r="A1104" s="291"/>
      <c r="B1104" s="291"/>
      <c r="C1104" s="291"/>
      <c r="D1104" s="1226"/>
      <c r="E1104" s="1226"/>
      <c r="F1104" s="1226"/>
      <c r="I1104" s="1142"/>
    </row>
    <row r="1105" spans="1:9">
      <c r="A1105" s="291"/>
      <c r="B1105" s="291"/>
      <c r="C1105" s="291"/>
      <c r="D1105" s="1226"/>
      <c r="E1105" s="1226"/>
      <c r="F1105" s="1226"/>
      <c r="I1105" s="1142"/>
    </row>
    <row r="1106" spans="1:9">
      <c r="A1106" s="291"/>
      <c r="B1106" s="291"/>
      <c r="C1106" s="291"/>
      <c r="D1106" s="1111"/>
      <c r="E1106" s="1111"/>
      <c r="F1106" s="1111"/>
      <c r="I1106" s="1142"/>
    </row>
    <row r="1107" spans="1:9" ht="15.75" customHeight="1">
      <c r="A1107" s="291"/>
      <c r="B1107" s="358" t="s">
        <v>529</v>
      </c>
      <c r="C1107" s="291"/>
      <c r="D1107" s="1222" t="s">
        <v>817</v>
      </c>
      <c r="E1107" s="1222"/>
      <c r="F1107" s="1222"/>
      <c r="I1107" s="1142" t="s">
        <v>818</v>
      </c>
    </row>
    <row r="1108" spans="1:9">
      <c r="A1108" s="291"/>
      <c r="B1108" s="291"/>
      <c r="C1108" s="291"/>
      <c r="D1108" s="1222"/>
      <c r="E1108" s="1222"/>
      <c r="F1108" s="1222"/>
      <c r="I1108" s="1142"/>
    </row>
    <row r="1109" spans="1:9">
      <c r="A1109" s="291"/>
      <c r="B1109" s="291"/>
      <c r="C1109" s="291"/>
      <c r="D1109" s="1222"/>
      <c r="E1109" s="1222"/>
      <c r="F1109" s="1222"/>
      <c r="I1109" s="1142"/>
    </row>
    <row r="1110" spans="1:9">
      <c r="A1110" s="291"/>
      <c r="B1110" s="291"/>
      <c r="C1110" s="291"/>
      <c r="D1110" s="1222"/>
      <c r="E1110" s="1222"/>
      <c r="F1110" s="1222"/>
      <c r="I1110" s="1142"/>
    </row>
    <row r="1111" spans="1:9">
      <c r="A1111" s="291"/>
      <c r="B1111" s="291"/>
      <c r="C1111" s="291"/>
      <c r="D1111" s="1111"/>
      <c r="E1111" s="1111"/>
      <c r="F1111" s="1111"/>
      <c r="I1111" s="1142"/>
    </row>
    <row r="1112" spans="1:9" ht="37.5">
      <c r="A1112" s="291"/>
      <c r="B1112" s="291"/>
      <c r="C1112" s="291"/>
      <c r="I1112" s="1027" t="s">
        <v>819</v>
      </c>
    </row>
    <row r="1113" spans="1:9">
      <c r="A1113" s="291"/>
      <c r="B1113" s="291"/>
      <c r="C1113" s="291"/>
      <c r="I1113" s="1142"/>
    </row>
    <row r="1114" spans="1:9">
      <c r="A1114" s="291"/>
      <c r="B1114" s="291"/>
      <c r="C1114" s="291"/>
      <c r="I1114" s="1142"/>
    </row>
    <row r="1115" spans="1:9">
      <c r="A1115" s="291"/>
      <c r="B1115" s="291"/>
      <c r="C1115" s="291"/>
    </row>
    <row r="1116" spans="1:9">
      <c r="A1116" s="291"/>
      <c r="B1116" s="291"/>
      <c r="C1116" s="291"/>
    </row>
    <row r="1117" spans="1:9">
      <c r="A1117" s="291"/>
      <c r="B1117" s="291"/>
      <c r="C1117" s="291"/>
    </row>
    <row r="1118" spans="1:9">
      <c r="A1118" s="291"/>
      <c r="B1118" s="291"/>
      <c r="C1118" s="291"/>
    </row>
    <row r="1119" spans="1:9">
      <c r="A1119" s="291"/>
      <c r="B1119" s="291"/>
      <c r="C1119" s="291"/>
    </row>
    <row r="1120" spans="1:9">
      <c r="A1120" s="291"/>
      <c r="B1120" s="291"/>
      <c r="C1120" s="291"/>
    </row>
    <row r="1121" spans="1:3">
      <c r="A1121" s="291"/>
      <c r="B1121" s="291"/>
      <c r="C1121" s="291"/>
    </row>
    <row r="1122" spans="1:3">
      <c r="A1122" s="291"/>
      <c r="B1122" s="291"/>
      <c r="C1122" s="291"/>
    </row>
    <row r="1123" spans="1:3">
      <c r="A1123" s="291"/>
      <c r="B1123" s="291"/>
      <c r="C1123" s="291"/>
    </row>
    <row r="1124" spans="1:3">
      <c r="A1124" s="291"/>
      <c r="B1124" s="291"/>
      <c r="C1124" s="291"/>
    </row>
    <row r="1125" spans="1:3">
      <c r="A1125" s="291"/>
      <c r="B1125" s="291"/>
      <c r="C1125" s="291"/>
    </row>
    <row r="1126" spans="1:3">
      <c r="A1126" s="291"/>
      <c r="B1126" s="291"/>
      <c r="C1126" s="291"/>
    </row>
    <row r="1127" spans="1:3">
      <c r="A1127" s="291"/>
      <c r="B1127" s="291"/>
      <c r="C1127" s="291"/>
    </row>
    <row r="1128" spans="1:3">
      <c r="A1128" s="291"/>
      <c r="B1128" s="291"/>
      <c r="C1128" s="291"/>
    </row>
    <row r="1129" spans="1:3">
      <c r="A1129" s="291"/>
      <c r="B1129" s="291"/>
      <c r="C1129" s="291"/>
    </row>
    <row r="1130" spans="1:3"/>
    <row r="1131" spans="1:3"/>
    <row r="1132" spans="1:3"/>
    <row r="1133" spans="1:3"/>
    <row r="1134" spans="1:3"/>
    <row r="1135" spans="1:3"/>
    <row r="1136" spans="1:3"/>
    <row r="1137" spans="1:3">
      <c r="A1137" s="291"/>
      <c r="B1137" s="291"/>
      <c r="C1137" s="291"/>
    </row>
    <row r="1138" spans="1:3">
      <c r="A1138" s="291"/>
      <c r="B1138" s="291"/>
      <c r="C1138" s="291"/>
    </row>
    <row r="1139" spans="1:3">
      <c r="A1139" s="291"/>
      <c r="B1139" s="291"/>
      <c r="C1139" s="291"/>
    </row>
    <row r="1140" spans="1:3">
      <c r="A1140" s="291"/>
      <c r="B1140" s="291"/>
      <c r="C1140" s="291"/>
    </row>
    <row r="1141" spans="1:3">
      <c r="A1141" s="291"/>
      <c r="B1141" s="291"/>
      <c r="C1141" s="291"/>
    </row>
    <row r="1142" spans="1:3">
      <c r="A1142" s="291"/>
      <c r="B1142" s="291"/>
      <c r="C1142" s="291"/>
    </row>
    <row r="1143" spans="1:3">
      <c r="A1143" s="291"/>
      <c r="B1143" s="291"/>
      <c r="C1143" s="291"/>
    </row>
    <row r="1144" spans="1:3">
      <c r="A1144" s="291"/>
      <c r="B1144" s="291"/>
      <c r="C1144" s="291"/>
    </row>
    <row r="1145" spans="1:3">
      <c r="A1145" s="291"/>
      <c r="B1145" s="291"/>
      <c r="C1145" s="291"/>
    </row>
    <row r="1146" spans="1:3">
      <c r="A1146" s="291"/>
      <c r="B1146" s="291"/>
      <c r="C1146" s="291"/>
    </row>
    <row r="1147" spans="1:3">
      <c r="A1147" s="291"/>
      <c r="B1147" s="291"/>
      <c r="C1147" s="291"/>
    </row>
    <row r="1148" spans="1:3">
      <c r="A1148" s="291"/>
      <c r="B1148" s="291"/>
      <c r="C1148" s="291"/>
    </row>
    <row r="1149" spans="1:3">
      <c r="A1149" s="291"/>
      <c r="B1149" s="291"/>
      <c r="C1149" s="291"/>
    </row>
    <row r="1150" spans="1:3">
      <c r="A1150" s="291"/>
      <c r="B1150" s="291"/>
      <c r="C1150" s="291"/>
    </row>
    <row r="1151" spans="1:3">
      <c r="A1151" s="291"/>
      <c r="B1151" s="291"/>
      <c r="C1151" s="291"/>
    </row>
    <row r="1152" spans="1:3">
      <c r="A1152" s="291"/>
      <c r="B1152" s="291"/>
      <c r="C1152" s="291"/>
    </row>
    <row r="1153" spans="1:3">
      <c r="A1153" s="291"/>
      <c r="B1153" s="291"/>
      <c r="C1153" s="291"/>
    </row>
    <row r="1154" spans="1:3">
      <c r="A1154" s="291"/>
      <c r="B1154" s="291"/>
      <c r="C1154" s="291"/>
    </row>
    <row r="1155" spans="1:3">
      <c r="A1155" s="291"/>
      <c r="B1155" s="291"/>
      <c r="C1155" s="291"/>
    </row>
    <row r="1156" spans="1:3">
      <c r="A1156" s="291"/>
      <c r="B1156" s="291"/>
      <c r="C1156" s="291"/>
    </row>
    <row r="1157" spans="1:3">
      <c r="A1157" s="291"/>
      <c r="B1157" s="291"/>
      <c r="C1157" s="291"/>
    </row>
    <row r="1158" spans="1:3">
      <c r="A1158" s="291"/>
      <c r="B1158" s="291"/>
      <c r="C1158" s="291"/>
    </row>
    <row r="1159" spans="1:3">
      <c r="A1159" s="291"/>
      <c r="B1159" s="291"/>
      <c r="C1159" s="291"/>
    </row>
    <row r="1160" spans="1:3">
      <c r="A1160" s="291"/>
      <c r="B1160" s="291"/>
      <c r="C1160" s="291"/>
    </row>
    <row r="1161" spans="1:3">
      <c r="A1161" s="291"/>
      <c r="B1161" s="291"/>
      <c r="C1161" s="291"/>
    </row>
    <row r="1162" spans="1:3">
      <c r="A1162" s="291"/>
      <c r="B1162" s="291"/>
      <c r="C1162" s="291"/>
    </row>
    <row r="1163" spans="1:3">
      <c r="A1163" s="291"/>
      <c r="B1163" s="291"/>
      <c r="C1163" s="291"/>
    </row>
    <row r="1164" spans="1:3">
      <c r="A1164" s="291"/>
      <c r="B1164" s="291"/>
      <c r="C1164" s="291"/>
    </row>
    <row r="1165" spans="1:3">
      <c r="A1165" s="291"/>
      <c r="B1165" s="291"/>
      <c r="C1165" s="291"/>
    </row>
    <row r="1166" spans="1:3">
      <c r="A1166" s="291"/>
      <c r="B1166" s="291"/>
      <c r="C1166" s="291"/>
    </row>
    <row r="1167" spans="1:3">
      <c r="A1167" s="291"/>
      <c r="B1167" s="291"/>
      <c r="C1167" s="291"/>
    </row>
    <row r="1168" spans="1:3">
      <c r="A1168" s="291"/>
      <c r="B1168" s="291"/>
      <c r="C1168" s="291"/>
    </row>
    <row r="1169" spans="1:3">
      <c r="A1169" s="291"/>
      <c r="B1169" s="291"/>
      <c r="C1169" s="291"/>
    </row>
    <row r="1170" spans="1:3">
      <c r="A1170" s="291"/>
      <c r="B1170" s="291"/>
      <c r="C1170" s="291"/>
    </row>
    <row r="1171" spans="1:3">
      <c r="A1171" s="291"/>
      <c r="B1171" s="291"/>
      <c r="C1171" s="291"/>
    </row>
    <row r="1172" spans="1:3">
      <c r="A1172" s="291"/>
      <c r="B1172" s="291"/>
      <c r="C1172" s="291"/>
    </row>
    <row r="1173" spans="1:3">
      <c r="A1173" s="291"/>
      <c r="B1173" s="291"/>
      <c r="C1173" s="291"/>
    </row>
    <row r="1174" spans="1:3">
      <c r="A1174" s="291"/>
      <c r="B1174" s="291"/>
      <c r="C1174" s="291"/>
    </row>
    <row r="1175" spans="1:3">
      <c r="A1175" s="291"/>
      <c r="B1175" s="291"/>
      <c r="C1175" s="291"/>
    </row>
    <row r="1176" spans="1:3">
      <c r="A1176" s="291"/>
      <c r="B1176" s="291"/>
      <c r="C1176" s="291"/>
    </row>
    <row r="1177" spans="1:3">
      <c r="A1177" s="291"/>
      <c r="B1177" s="291"/>
      <c r="C1177" s="291"/>
    </row>
    <row r="1178" spans="1:3">
      <c r="A1178" s="291"/>
      <c r="B1178" s="291"/>
      <c r="C1178" s="291"/>
    </row>
    <row r="1179" spans="1:3">
      <c r="A1179" s="291"/>
      <c r="B1179" s="291"/>
      <c r="C1179" s="291"/>
    </row>
    <row r="1180" spans="1:3">
      <c r="A1180" s="291"/>
      <c r="B1180" s="291"/>
      <c r="C1180" s="291"/>
    </row>
    <row r="1181" spans="1:3">
      <c r="A1181" s="291"/>
      <c r="B1181" s="291"/>
      <c r="C1181" s="291"/>
    </row>
    <row r="1182" spans="1:3">
      <c r="A1182" s="291"/>
      <c r="B1182" s="291"/>
      <c r="C1182" s="291"/>
    </row>
    <row r="1183" spans="1:3">
      <c r="A1183" s="291"/>
      <c r="B1183" s="291"/>
      <c r="C1183" s="291"/>
    </row>
    <row r="1184" spans="1:3">
      <c r="A1184" s="291"/>
      <c r="B1184" s="291"/>
      <c r="C1184" s="291"/>
    </row>
    <row r="1185" spans="1:3">
      <c r="A1185" s="291"/>
      <c r="B1185" s="291"/>
      <c r="C1185" s="291"/>
    </row>
    <row r="1186" spans="1:3">
      <c r="A1186" s="291"/>
      <c r="B1186" s="291"/>
      <c r="C1186" s="291"/>
    </row>
    <row r="1187" spans="1:3">
      <c r="A1187" s="291"/>
      <c r="B1187" s="291"/>
      <c r="C1187" s="291"/>
    </row>
    <row r="1188" spans="1:3">
      <c r="A1188" s="291"/>
      <c r="B1188" s="291"/>
      <c r="C1188" s="291"/>
    </row>
    <row r="1189" spans="1:3">
      <c r="A1189" s="291"/>
      <c r="B1189" s="291"/>
      <c r="C1189" s="291"/>
    </row>
    <row r="1190" spans="1:3">
      <c r="A1190" s="291"/>
      <c r="B1190" s="291"/>
      <c r="C1190" s="291"/>
    </row>
    <row r="1191" spans="1:3">
      <c r="A1191" s="291"/>
      <c r="B1191" s="291"/>
      <c r="C1191" s="291"/>
    </row>
    <row r="1192" spans="1:3">
      <c r="A1192" s="291"/>
      <c r="B1192" s="291"/>
      <c r="C1192" s="291"/>
    </row>
    <row r="1193" spans="1:3">
      <c r="A1193" s="291"/>
      <c r="B1193" s="291"/>
      <c r="C1193" s="291"/>
    </row>
    <row r="1194" spans="1:3">
      <c r="A1194" s="291"/>
      <c r="B1194" s="291"/>
      <c r="C1194" s="291"/>
    </row>
    <row r="1195" spans="1:3">
      <c r="A1195" s="291"/>
      <c r="B1195" s="291"/>
      <c r="C1195" s="291"/>
    </row>
    <row r="1196" spans="1:3">
      <c r="A1196" s="291"/>
      <c r="B1196" s="291"/>
      <c r="C1196" s="291"/>
    </row>
    <row r="1197" spans="1:3">
      <c r="A1197" s="291"/>
      <c r="B1197" s="291"/>
      <c r="C1197" s="291"/>
    </row>
    <row r="1198" spans="1:3">
      <c r="A1198" s="291"/>
      <c r="B1198" s="291"/>
      <c r="C1198" s="291"/>
    </row>
    <row r="1199" spans="1:3">
      <c r="A1199" s="291"/>
      <c r="B1199" s="291"/>
      <c r="C1199" s="291"/>
    </row>
    <row r="1200" spans="1:3">
      <c r="A1200" s="291"/>
      <c r="B1200" s="291"/>
      <c r="C1200" s="291"/>
    </row>
    <row r="1201" spans="1:3">
      <c r="A1201" s="291"/>
      <c r="B1201" s="291"/>
      <c r="C1201" s="291"/>
    </row>
    <row r="1202" spans="1:3">
      <c r="A1202" s="291"/>
      <c r="B1202" s="291"/>
      <c r="C1202" s="291"/>
    </row>
    <row r="1203" spans="1:3">
      <c r="A1203" s="291"/>
      <c r="B1203" s="291"/>
      <c r="C1203" s="291"/>
    </row>
    <row r="1204" spans="1:3">
      <c r="A1204" s="291"/>
      <c r="B1204" s="291"/>
      <c r="C1204" s="291"/>
    </row>
    <row r="1205" spans="1:3">
      <c r="A1205" s="291"/>
      <c r="B1205" s="291"/>
      <c r="C1205" s="291"/>
    </row>
    <row r="1206" spans="1:3">
      <c r="A1206" s="291"/>
      <c r="B1206" s="291"/>
      <c r="C1206" s="291"/>
    </row>
    <row r="1207" spans="1:3">
      <c r="A1207" s="291"/>
      <c r="B1207" s="291"/>
      <c r="C1207" s="291"/>
    </row>
    <row r="1208" spans="1:3">
      <c r="A1208" s="291"/>
      <c r="B1208" s="291"/>
      <c r="C1208" s="291"/>
    </row>
    <row r="1209" spans="1:3">
      <c r="A1209" s="291"/>
      <c r="B1209" s="291"/>
      <c r="C1209" s="291"/>
    </row>
    <row r="1210" spans="1:3">
      <c r="A1210" s="291"/>
      <c r="B1210" s="291"/>
      <c r="C1210" s="291"/>
    </row>
    <row r="1211" spans="1:3">
      <c r="A1211" s="291"/>
      <c r="B1211" s="291"/>
      <c r="C1211" s="291"/>
    </row>
    <row r="1212" spans="1:3">
      <c r="A1212" s="291"/>
      <c r="B1212" s="291"/>
      <c r="C1212" s="291"/>
    </row>
    <row r="1213" spans="1:3">
      <c r="A1213" s="291"/>
      <c r="B1213" s="291"/>
      <c r="C1213" s="291"/>
    </row>
    <row r="1214" spans="1:3">
      <c r="A1214" s="291"/>
      <c r="B1214" s="291"/>
      <c r="C1214" s="291"/>
    </row>
    <row r="1215" spans="1:3">
      <c r="A1215" s="291"/>
      <c r="B1215" s="291"/>
      <c r="C1215" s="291"/>
    </row>
    <row r="1216" spans="1:3">
      <c r="A1216" s="291"/>
      <c r="B1216" s="291"/>
      <c r="C1216" s="291"/>
    </row>
    <row r="1217" spans="1:3">
      <c r="A1217" s="291"/>
      <c r="B1217" s="291"/>
      <c r="C1217" s="291"/>
    </row>
    <row r="1218" spans="1:3">
      <c r="A1218" s="291"/>
      <c r="B1218" s="291"/>
      <c r="C1218" s="291"/>
    </row>
    <row r="1219" spans="1:3">
      <c r="A1219" s="291"/>
      <c r="B1219" s="291"/>
      <c r="C1219" s="291"/>
    </row>
    <row r="1220" spans="1:3">
      <c r="A1220" s="291"/>
      <c r="B1220" s="291"/>
      <c r="C1220" s="291"/>
    </row>
    <row r="1221" spans="1:3">
      <c r="A1221" s="291"/>
      <c r="B1221" s="291"/>
      <c r="C1221" s="291"/>
    </row>
    <row r="1222" spans="1:3">
      <c r="A1222" s="291"/>
      <c r="B1222" s="291"/>
      <c r="C1222" s="291"/>
    </row>
    <row r="1223" spans="1:3">
      <c r="A1223" s="291"/>
      <c r="B1223" s="291"/>
      <c r="C1223" s="291"/>
    </row>
    <row r="1224" spans="1:3">
      <c r="A1224" s="291"/>
      <c r="B1224" s="291"/>
      <c r="C1224" s="291"/>
    </row>
    <row r="1225" spans="1:3">
      <c r="A1225" s="291"/>
      <c r="B1225" s="291"/>
      <c r="C1225" s="291"/>
    </row>
    <row r="1226" spans="1:3">
      <c r="A1226" s="291"/>
      <c r="B1226" s="291"/>
      <c r="C1226" s="291"/>
    </row>
    <row r="1227" spans="1:3">
      <c r="A1227" s="291"/>
      <c r="B1227" s="291"/>
      <c r="C1227" s="291"/>
    </row>
    <row r="1228" spans="1:3">
      <c r="A1228" s="291"/>
      <c r="B1228" s="291"/>
      <c r="C1228" s="291"/>
    </row>
    <row r="1229" spans="1:3">
      <c r="A1229" s="291"/>
      <c r="B1229" s="291"/>
      <c r="C1229" s="291"/>
    </row>
    <row r="1230" spans="1:3">
      <c r="A1230" s="291"/>
      <c r="B1230" s="291"/>
      <c r="C1230" s="291"/>
    </row>
    <row r="1231" spans="1:3">
      <c r="A1231" s="291"/>
      <c r="B1231" s="291"/>
      <c r="C1231" s="291"/>
    </row>
    <row r="1232" spans="1:3">
      <c r="A1232" s="291"/>
      <c r="B1232" s="291"/>
      <c r="C1232" s="291"/>
    </row>
    <row r="1233" spans="1:3">
      <c r="A1233" s="291"/>
      <c r="B1233" s="291"/>
      <c r="C1233" s="291"/>
    </row>
    <row r="1234" spans="1:3">
      <c r="A1234" s="291"/>
      <c r="B1234" s="291"/>
      <c r="C1234" s="291"/>
    </row>
    <row r="1235" spans="1:3">
      <c r="A1235" s="291"/>
      <c r="B1235" s="291"/>
      <c r="C1235" s="291"/>
    </row>
    <row r="1236" spans="1:3">
      <c r="A1236" s="291"/>
      <c r="B1236" s="291"/>
      <c r="C1236" s="291"/>
    </row>
    <row r="1237" spans="1:3">
      <c r="A1237" s="291"/>
      <c r="B1237" s="291"/>
      <c r="C1237" s="291"/>
    </row>
    <row r="1238" spans="1:3">
      <c r="A1238" s="291"/>
      <c r="B1238" s="291"/>
      <c r="C1238" s="291"/>
    </row>
    <row r="1239" spans="1:3">
      <c r="A1239" s="291"/>
      <c r="B1239" s="291"/>
      <c r="C1239" s="291"/>
    </row>
    <row r="1240" spans="1:3">
      <c r="A1240" s="291"/>
      <c r="B1240" s="291"/>
      <c r="C1240" s="291"/>
    </row>
    <row r="1241" spans="1:3">
      <c r="A1241" s="291"/>
      <c r="B1241" s="291"/>
      <c r="C1241" s="291"/>
    </row>
    <row r="1242" spans="1:3">
      <c r="A1242" s="291"/>
      <c r="B1242" s="291"/>
      <c r="C1242" s="291"/>
    </row>
    <row r="1243" spans="1:3">
      <c r="A1243" s="291"/>
      <c r="B1243" s="291"/>
      <c r="C1243" s="291"/>
    </row>
    <row r="1244" spans="1:3">
      <c r="A1244" s="291"/>
      <c r="B1244" s="291"/>
      <c r="C1244" s="291"/>
    </row>
    <row r="1245" spans="1:3">
      <c r="A1245" s="291"/>
      <c r="B1245" s="291"/>
      <c r="C1245" s="291"/>
    </row>
    <row r="1246" spans="1:3">
      <c r="A1246" s="291"/>
      <c r="B1246" s="291"/>
      <c r="C1246" s="291"/>
    </row>
    <row r="1247" spans="1:3">
      <c r="A1247" s="291"/>
      <c r="B1247" s="291"/>
      <c r="C1247" s="291"/>
    </row>
    <row r="1248" spans="1:3">
      <c r="A1248" s="291"/>
      <c r="B1248" s="291"/>
      <c r="C1248" s="291"/>
    </row>
    <row r="1249" spans="1:3">
      <c r="A1249" s="291"/>
      <c r="B1249" s="291"/>
      <c r="C1249" s="291"/>
    </row>
    <row r="1250" spans="1:3">
      <c r="A1250" s="291"/>
      <c r="B1250" s="291"/>
      <c r="C1250" s="291"/>
    </row>
    <row r="1251" spans="1:3">
      <c r="A1251" s="291"/>
      <c r="B1251" s="291"/>
      <c r="C1251" s="291"/>
    </row>
    <row r="1252" spans="1:3">
      <c r="A1252" s="291"/>
      <c r="B1252" s="291"/>
      <c r="C1252" s="291"/>
    </row>
    <row r="1253" spans="1:3">
      <c r="A1253" s="291"/>
      <c r="B1253" s="291"/>
      <c r="C1253" s="291"/>
    </row>
    <row r="1254" spans="1:3">
      <c r="A1254" s="291"/>
      <c r="B1254" s="291"/>
      <c r="C1254" s="291"/>
    </row>
    <row r="1255" spans="1:3">
      <c r="A1255" s="291"/>
      <c r="B1255" s="291"/>
      <c r="C1255" s="291"/>
    </row>
    <row r="1256" spans="1:3">
      <c r="A1256" s="291"/>
      <c r="B1256" s="291"/>
      <c r="C1256" s="291"/>
    </row>
    <row r="1257" spans="1:3">
      <c r="A1257" s="291"/>
      <c r="B1257" s="291"/>
      <c r="C1257" s="291"/>
    </row>
    <row r="1258" spans="1:3">
      <c r="A1258" s="291"/>
      <c r="B1258" s="291"/>
      <c r="C1258" s="291"/>
    </row>
    <row r="1259" spans="1:3">
      <c r="A1259" s="291"/>
      <c r="B1259" s="291"/>
      <c r="C1259" s="291"/>
    </row>
    <row r="1260" spans="1:3">
      <c r="A1260" s="291"/>
      <c r="B1260" s="291"/>
      <c r="C1260" s="291"/>
    </row>
    <row r="1261" spans="1:3">
      <c r="A1261" s="291"/>
      <c r="B1261" s="291"/>
      <c r="C1261" s="291"/>
    </row>
    <row r="1262" spans="1:3">
      <c r="A1262" s="291"/>
      <c r="B1262" s="291"/>
      <c r="C1262" s="291"/>
    </row>
    <row r="1263" spans="1:3">
      <c r="A1263" s="291"/>
      <c r="B1263" s="291"/>
      <c r="C1263" s="291"/>
    </row>
    <row r="1264" spans="1:3">
      <c r="A1264" s="291"/>
      <c r="B1264" s="291"/>
      <c r="C1264" s="291"/>
    </row>
    <row r="1265" spans="1:3">
      <c r="A1265" s="291"/>
      <c r="B1265" s="291"/>
      <c r="C1265" s="291"/>
    </row>
    <row r="1266" spans="1:3">
      <c r="A1266" s="291"/>
      <c r="B1266" s="291"/>
      <c r="C1266" s="291"/>
    </row>
    <row r="1267" spans="1:3">
      <c r="A1267" s="291"/>
      <c r="B1267" s="291"/>
      <c r="C1267" s="291"/>
    </row>
    <row r="1268" spans="1:3">
      <c r="A1268" s="291"/>
      <c r="B1268" s="291"/>
      <c r="C1268" s="291"/>
    </row>
    <row r="1269" spans="1:3">
      <c r="A1269" s="291"/>
      <c r="B1269" s="291"/>
      <c r="C1269" s="291"/>
    </row>
    <row r="1270" spans="1:3">
      <c r="A1270" s="291"/>
      <c r="B1270" s="291"/>
      <c r="C1270" s="291"/>
    </row>
    <row r="1271" spans="1:3">
      <c r="A1271" s="291"/>
      <c r="B1271" s="291"/>
      <c r="C1271" s="291"/>
    </row>
    <row r="1272" spans="1:3">
      <c r="A1272" s="291"/>
      <c r="B1272" s="291"/>
      <c r="C1272" s="291"/>
    </row>
    <row r="1273" spans="1:3">
      <c r="A1273" s="291"/>
      <c r="B1273" s="291"/>
      <c r="C1273" s="291"/>
    </row>
    <row r="1274" spans="1:3">
      <c r="A1274" s="291"/>
      <c r="B1274" s="291"/>
      <c r="C1274" s="291"/>
    </row>
    <row r="1275" spans="1:3">
      <c r="A1275" s="291"/>
      <c r="B1275" s="291"/>
      <c r="C1275" s="291"/>
    </row>
    <row r="1276" spans="1:3">
      <c r="A1276" s="291"/>
      <c r="B1276" s="291"/>
      <c r="C1276" s="291"/>
    </row>
    <row r="1277" spans="1:3">
      <c r="A1277" s="291"/>
      <c r="B1277" s="291"/>
      <c r="C1277" s="291"/>
    </row>
    <row r="1278" spans="1:3">
      <c r="A1278" s="291"/>
      <c r="B1278" s="291"/>
      <c r="C1278" s="291"/>
    </row>
    <row r="1279" spans="1:3">
      <c r="A1279" s="291"/>
      <c r="B1279" s="291"/>
      <c r="C1279" s="291"/>
    </row>
    <row r="1280" spans="1:3">
      <c r="A1280" s="291"/>
      <c r="B1280" s="291"/>
      <c r="C1280" s="291"/>
    </row>
    <row r="1281" spans="1:3">
      <c r="A1281" s="291"/>
      <c r="B1281" s="291"/>
      <c r="C1281" s="291"/>
    </row>
    <row r="1282" spans="1:3">
      <c r="A1282" s="291"/>
      <c r="B1282" s="291"/>
      <c r="C1282" s="291"/>
    </row>
    <row r="1283" spans="1:3">
      <c r="A1283" s="291"/>
      <c r="B1283" s="291"/>
      <c r="C1283" s="291"/>
    </row>
    <row r="1284" spans="1:3">
      <c r="A1284" s="291"/>
      <c r="B1284" s="291"/>
      <c r="C1284" s="291"/>
    </row>
    <row r="1285" spans="1:3">
      <c r="A1285" s="291"/>
      <c r="B1285" s="291"/>
      <c r="C1285" s="291"/>
    </row>
    <row r="1286" spans="1:3">
      <c r="A1286" s="291"/>
      <c r="B1286" s="291"/>
      <c r="C1286" s="291"/>
    </row>
    <row r="1287" spans="1:3">
      <c r="A1287" s="291"/>
      <c r="B1287" s="291"/>
      <c r="C1287" s="291"/>
    </row>
    <row r="1288" spans="1:3">
      <c r="A1288" s="291"/>
      <c r="B1288" s="291"/>
      <c r="C1288" s="291"/>
    </row>
    <row r="1289" spans="1:3">
      <c r="A1289" s="291"/>
      <c r="B1289" s="291"/>
      <c r="C1289" s="291"/>
    </row>
    <row r="1290" spans="1:3">
      <c r="A1290" s="291"/>
      <c r="B1290" s="291"/>
      <c r="C1290" s="291"/>
    </row>
    <row r="1291" spans="1:3">
      <c r="A1291" s="291"/>
      <c r="B1291" s="291"/>
      <c r="C1291" s="291"/>
    </row>
    <row r="1292" spans="1:3">
      <c r="A1292" s="291"/>
      <c r="B1292" s="291"/>
      <c r="C1292" s="291"/>
    </row>
    <row r="1293" spans="1:3">
      <c r="A1293" s="291"/>
      <c r="B1293" s="291"/>
      <c r="C1293" s="291"/>
    </row>
    <row r="1294" spans="1:3">
      <c r="A1294" s="291"/>
      <c r="B1294" s="291"/>
      <c r="C1294" s="291"/>
    </row>
    <row r="1295" spans="1:3">
      <c r="A1295" s="291"/>
      <c r="B1295" s="291"/>
      <c r="C1295" s="291"/>
    </row>
    <row r="1296" spans="1:3">
      <c r="A1296" s="291"/>
      <c r="B1296" s="291"/>
      <c r="C1296" s="291"/>
    </row>
    <row r="1297" spans="1:3">
      <c r="A1297" s="291"/>
      <c r="B1297" s="291"/>
      <c r="C1297" s="291"/>
    </row>
    <row r="1298" spans="1:3">
      <c r="A1298" s="291"/>
      <c r="B1298" s="291"/>
      <c r="C1298" s="291"/>
    </row>
    <row r="1299" spans="1:3">
      <c r="A1299" s="291"/>
      <c r="B1299" s="291"/>
      <c r="C1299" s="291"/>
    </row>
    <row r="1300" spans="1:3">
      <c r="A1300" s="291"/>
      <c r="B1300" s="291"/>
      <c r="C1300" s="291"/>
    </row>
    <row r="1301" spans="1:3">
      <c r="A1301" s="291"/>
      <c r="B1301" s="291"/>
      <c r="C1301" s="291"/>
    </row>
    <row r="1302" spans="1:3">
      <c r="A1302" s="291"/>
      <c r="B1302" s="291"/>
      <c r="C1302" s="291"/>
    </row>
    <row r="1303" spans="1:3">
      <c r="A1303" s="291"/>
      <c r="B1303" s="291"/>
      <c r="C1303" s="291"/>
    </row>
    <row r="1304" spans="1:3">
      <c r="A1304" s="291"/>
      <c r="B1304" s="291"/>
      <c r="C1304" s="291"/>
    </row>
    <row r="1305" spans="1:3">
      <c r="A1305" s="291"/>
      <c r="B1305" s="291"/>
      <c r="C1305" s="291"/>
    </row>
    <row r="1306" spans="1:3">
      <c r="A1306" s="291"/>
      <c r="B1306" s="291"/>
      <c r="C1306" s="291"/>
    </row>
    <row r="1307" spans="1:3">
      <c r="A1307" s="291"/>
      <c r="B1307" s="291"/>
      <c r="C1307" s="291"/>
    </row>
    <row r="1308" spans="1:3">
      <c r="A1308" s="291"/>
      <c r="B1308" s="291"/>
      <c r="C1308" s="291"/>
    </row>
    <row r="1309" spans="1:3">
      <c r="A1309" s="291"/>
      <c r="B1309" s="291"/>
      <c r="C1309" s="291"/>
    </row>
    <row r="1310" spans="1:3">
      <c r="A1310" s="291"/>
      <c r="B1310" s="291"/>
      <c r="C1310" s="291"/>
    </row>
    <row r="1311" spans="1:3">
      <c r="A1311" s="291"/>
      <c r="B1311" s="291"/>
      <c r="C1311" s="291"/>
    </row>
    <row r="1312" spans="1:3">
      <c r="A1312" s="291"/>
      <c r="B1312" s="291"/>
      <c r="C1312" s="291"/>
    </row>
    <row r="1313" spans="1:3">
      <c r="A1313" s="291"/>
      <c r="B1313" s="291"/>
      <c r="C1313" s="291"/>
    </row>
    <row r="1314" spans="1:3">
      <c r="A1314" s="291"/>
      <c r="B1314" s="291"/>
      <c r="C1314" s="291"/>
    </row>
    <row r="1315" spans="1:3">
      <c r="A1315" s="291"/>
      <c r="B1315" s="291"/>
      <c r="C1315" s="291"/>
    </row>
    <row r="1316" spans="1:3">
      <c r="A1316" s="291"/>
      <c r="B1316" s="291"/>
      <c r="C1316" s="291"/>
    </row>
    <row r="1317" spans="1:3">
      <c r="A1317" s="291"/>
      <c r="B1317" s="291"/>
      <c r="C1317" s="291"/>
    </row>
    <row r="1318" spans="1:3">
      <c r="A1318" s="291"/>
      <c r="B1318" s="291"/>
      <c r="C1318" s="291"/>
    </row>
    <row r="1319" spans="1:3">
      <c r="A1319" s="291"/>
      <c r="B1319" s="291"/>
      <c r="C1319" s="291"/>
    </row>
    <row r="1320" spans="1:3">
      <c r="A1320" s="291"/>
      <c r="B1320" s="291"/>
      <c r="C1320" s="291"/>
    </row>
    <row r="1321" spans="1:3">
      <c r="A1321" s="291"/>
      <c r="B1321" s="291"/>
      <c r="C1321" s="291"/>
    </row>
    <row r="1322" spans="1:3">
      <c r="A1322" s="291"/>
      <c r="B1322" s="291"/>
      <c r="C1322" s="291"/>
    </row>
    <row r="1323" spans="1:3">
      <c r="A1323" s="291"/>
      <c r="B1323" s="291"/>
      <c r="C1323" s="291"/>
    </row>
    <row r="1324" spans="1:3">
      <c r="A1324" s="291"/>
      <c r="B1324" s="291"/>
      <c r="C1324" s="291"/>
    </row>
    <row r="1325" spans="1:3">
      <c r="A1325" s="291"/>
      <c r="B1325" s="291"/>
      <c r="C1325" s="291"/>
    </row>
    <row r="1326" spans="1:3">
      <c r="A1326" s="291"/>
      <c r="B1326" s="291"/>
      <c r="C1326" s="291"/>
    </row>
    <row r="1327" spans="1:3">
      <c r="A1327" s="291"/>
      <c r="B1327" s="291"/>
      <c r="C1327" s="291"/>
    </row>
    <row r="1328" spans="1:3">
      <c r="A1328" s="291"/>
      <c r="B1328" s="291"/>
      <c r="C1328" s="291"/>
    </row>
    <row r="1329" spans="1:3">
      <c r="A1329" s="291"/>
      <c r="B1329" s="291"/>
      <c r="C1329" s="291"/>
    </row>
    <row r="1330" spans="1:3">
      <c r="A1330" s="291"/>
      <c r="B1330" s="291"/>
      <c r="C1330" s="291"/>
    </row>
    <row r="1331" spans="1:3">
      <c r="A1331" s="291"/>
      <c r="B1331" s="291"/>
      <c r="C1331" s="291"/>
    </row>
    <row r="1332" spans="1:3">
      <c r="A1332" s="291"/>
      <c r="B1332" s="291"/>
      <c r="C1332" s="291"/>
    </row>
    <row r="1333" spans="1:3">
      <c r="A1333" s="291"/>
      <c r="B1333" s="291"/>
      <c r="C1333" s="291"/>
    </row>
    <row r="1334" spans="1:3">
      <c r="A1334" s="291"/>
      <c r="B1334" s="291"/>
      <c r="C1334" s="291"/>
    </row>
    <row r="1335" spans="1:3">
      <c r="A1335" s="291"/>
      <c r="B1335" s="291"/>
      <c r="C1335" s="291"/>
    </row>
    <row r="1336" spans="1:3">
      <c r="A1336" s="291"/>
      <c r="B1336" s="291"/>
      <c r="C1336" s="291"/>
    </row>
    <row r="1337" spans="1:3">
      <c r="A1337" s="291"/>
      <c r="B1337" s="291"/>
      <c r="C1337" s="291"/>
    </row>
    <row r="1338" spans="1:3">
      <c r="A1338" s="291"/>
      <c r="B1338" s="291"/>
      <c r="C1338" s="291"/>
    </row>
    <row r="1339" spans="1:3">
      <c r="A1339" s="291"/>
      <c r="B1339" s="291"/>
      <c r="C1339" s="291"/>
    </row>
    <row r="1340" spans="1:3">
      <c r="A1340" s="291"/>
      <c r="B1340" s="291"/>
      <c r="C1340" s="291"/>
    </row>
    <row r="1341" spans="1:3">
      <c r="A1341" s="291"/>
      <c r="B1341" s="291"/>
      <c r="C1341" s="291"/>
    </row>
    <row r="1342" spans="1:3">
      <c r="A1342" s="291"/>
      <c r="B1342" s="291"/>
      <c r="C1342" s="291"/>
    </row>
    <row r="1343" spans="1:3">
      <c r="A1343" s="291"/>
      <c r="B1343" s="291"/>
      <c r="C1343" s="291"/>
    </row>
    <row r="1344" spans="1:3">
      <c r="A1344" s="291"/>
      <c r="B1344" s="291"/>
      <c r="C1344" s="291"/>
    </row>
    <row r="1345" spans="1:3">
      <c r="A1345" s="291"/>
      <c r="B1345" s="291"/>
      <c r="C1345" s="291"/>
    </row>
    <row r="1346" spans="1:3">
      <c r="A1346" s="291"/>
      <c r="B1346" s="291"/>
      <c r="C1346" s="291"/>
    </row>
    <row r="1347" spans="1:3">
      <c r="A1347" s="291"/>
      <c r="B1347" s="291"/>
      <c r="C1347" s="291"/>
    </row>
    <row r="1348" spans="1:3">
      <c r="A1348" s="291"/>
      <c r="B1348" s="291"/>
      <c r="C1348" s="291"/>
    </row>
    <row r="1349" spans="1:3">
      <c r="A1349" s="291"/>
      <c r="B1349" s="291"/>
      <c r="C1349" s="291"/>
    </row>
    <row r="1350" spans="1:3">
      <c r="A1350" s="291"/>
      <c r="B1350" s="291"/>
      <c r="C1350" s="291"/>
    </row>
    <row r="1351" spans="1:3">
      <c r="A1351" s="291"/>
      <c r="B1351" s="291"/>
      <c r="C1351" s="291"/>
    </row>
    <row r="1352" spans="1:3">
      <c r="A1352" s="291"/>
      <c r="B1352" s="291"/>
      <c r="C1352" s="291"/>
    </row>
    <row r="1353" spans="1:3">
      <c r="A1353" s="291"/>
      <c r="B1353" s="291"/>
      <c r="C1353" s="291"/>
    </row>
    <row r="1354" spans="1:3">
      <c r="A1354" s="291"/>
      <c r="B1354" s="291"/>
      <c r="C1354" s="291"/>
    </row>
    <row r="1355" spans="1:3">
      <c r="A1355" s="291"/>
      <c r="B1355" s="291"/>
      <c r="C1355" s="291"/>
    </row>
    <row r="1356" spans="1:3">
      <c r="A1356" s="291"/>
      <c r="B1356" s="291"/>
      <c r="C1356" s="291"/>
    </row>
    <row r="1357" spans="1:3">
      <c r="A1357" s="291"/>
      <c r="B1357" s="291"/>
      <c r="C1357" s="291"/>
    </row>
    <row r="1358" spans="1:3">
      <c r="A1358" s="291"/>
      <c r="B1358" s="291"/>
      <c r="C1358" s="291"/>
    </row>
    <row r="1359" spans="1:3">
      <c r="A1359" s="291"/>
      <c r="B1359" s="291"/>
      <c r="C1359" s="291"/>
    </row>
    <row r="1360" spans="1:3">
      <c r="A1360" s="291"/>
      <c r="B1360" s="291"/>
      <c r="C1360" s="291"/>
    </row>
    <row r="1361" spans="1:3">
      <c r="A1361" s="291"/>
      <c r="B1361" s="291"/>
      <c r="C1361" s="291"/>
    </row>
    <row r="1362" spans="1:3">
      <c r="A1362" s="291"/>
      <c r="B1362" s="291"/>
      <c r="C1362" s="291"/>
    </row>
    <row r="1363" spans="1:3">
      <c r="A1363" s="291"/>
      <c r="B1363" s="291"/>
      <c r="C1363" s="291"/>
    </row>
    <row r="1364" spans="1:3">
      <c r="A1364" s="291"/>
      <c r="B1364" s="291"/>
      <c r="C1364" s="291"/>
    </row>
    <row r="1365" spans="1:3">
      <c r="A1365" s="291"/>
      <c r="B1365" s="291"/>
      <c r="C1365" s="291"/>
    </row>
    <row r="1366" spans="1:3">
      <c r="A1366" s="291"/>
      <c r="B1366" s="291"/>
      <c r="C1366" s="291"/>
    </row>
    <row r="1367" spans="1:3">
      <c r="A1367" s="291"/>
      <c r="B1367" s="291"/>
      <c r="C1367" s="291"/>
    </row>
    <row r="1368" spans="1:3">
      <c r="A1368" s="291"/>
      <c r="B1368" s="291"/>
      <c r="C1368" s="291"/>
    </row>
    <row r="1369" spans="1:3">
      <c r="A1369" s="291"/>
      <c r="B1369" s="291"/>
      <c r="C1369" s="291"/>
    </row>
    <row r="1370" spans="1:3">
      <c r="A1370" s="291"/>
      <c r="B1370" s="291"/>
      <c r="C1370" s="291"/>
    </row>
    <row r="1371" spans="1:3">
      <c r="A1371" s="291"/>
      <c r="B1371" s="291"/>
      <c r="C1371" s="291"/>
    </row>
    <row r="1372" spans="1:3">
      <c r="A1372" s="291"/>
      <c r="B1372" s="291"/>
      <c r="C1372" s="291"/>
    </row>
    <row r="1373" spans="1:3">
      <c r="A1373" s="291"/>
      <c r="B1373" s="291"/>
      <c r="C1373" s="291"/>
    </row>
    <row r="1374" spans="1:3">
      <c r="A1374" s="291"/>
      <c r="B1374" s="291"/>
      <c r="C1374" s="291"/>
    </row>
    <row r="1375" spans="1:3">
      <c r="A1375" s="291"/>
      <c r="B1375" s="291"/>
      <c r="C1375" s="291"/>
    </row>
    <row r="1376" spans="1:3">
      <c r="A1376" s="291"/>
      <c r="B1376" s="291"/>
      <c r="C1376" s="291"/>
    </row>
    <row r="1377" spans="1:3"/>
    <row r="1378" spans="1:3"/>
    <row r="1379" spans="1:3">
      <c r="A1379" s="291"/>
      <c r="B1379" s="291"/>
      <c r="C1379" s="291"/>
    </row>
    <row r="1380" spans="1:3">
      <c r="A1380" s="291"/>
      <c r="B1380" s="291"/>
      <c r="C1380" s="291"/>
    </row>
    <row r="1381" spans="1:3">
      <c r="A1381" s="291"/>
      <c r="B1381" s="291"/>
      <c r="C1381" s="291"/>
    </row>
    <row r="1382" spans="1:3">
      <c r="A1382" s="291"/>
      <c r="B1382" s="291"/>
      <c r="C1382" s="291"/>
    </row>
    <row r="1383" spans="1:3">
      <c r="A1383" s="291"/>
      <c r="B1383" s="291"/>
      <c r="C1383" s="291"/>
    </row>
    <row r="1384" spans="1:3">
      <c r="A1384" s="291"/>
      <c r="B1384" s="291"/>
      <c r="C1384" s="291"/>
    </row>
    <row r="1385" spans="1:3">
      <c r="A1385" s="291"/>
      <c r="B1385" s="291"/>
      <c r="C1385" s="291"/>
    </row>
    <row r="1386" spans="1:3">
      <c r="A1386" s="291"/>
      <c r="B1386" s="291"/>
      <c r="C1386" s="291"/>
    </row>
    <row r="1387" spans="1:3">
      <c r="A1387" s="291"/>
      <c r="B1387" s="291"/>
      <c r="C1387" s="291"/>
    </row>
    <row r="1388" spans="1:3">
      <c r="A1388" s="291"/>
      <c r="B1388" s="291"/>
      <c r="C1388" s="291"/>
    </row>
    <row r="1389" spans="1:3">
      <c r="A1389" s="291"/>
      <c r="B1389" s="291"/>
      <c r="C1389" s="291"/>
    </row>
    <row r="1390" spans="1:3">
      <c r="A1390" s="291"/>
      <c r="B1390" s="291"/>
      <c r="C1390" s="291"/>
    </row>
    <row r="1391" spans="1:3">
      <c r="A1391" s="291"/>
      <c r="B1391" s="291"/>
      <c r="C1391" s="291"/>
    </row>
    <row r="1392" spans="1:3">
      <c r="A1392" s="291"/>
      <c r="B1392" s="291"/>
      <c r="C1392" s="291"/>
    </row>
    <row r="1393" spans="1:3">
      <c r="A1393" s="291"/>
      <c r="B1393" s="291"/>
      <c r="C1393" s="291"/>
    </row>
    <row r="1394" spans="1:3">
      <c r="A1394" s="291"/>
      <c r="B1394" s="291"/>
      <c r="C1394" s="291"/>
    </row>
    <row r="1395" spans="1:3">
      <c r="A1395" s="291"/>
      <c r="B1395" s="291"/>
      <c r="C1395" s="291"/>
    </row>
    <row r="1396" spans="1:3">
      <c r="A1396" s="291"/>
      <c r="B1396" s="291"/>
      <c r="C1396" s="291"/>
    </row>
    <row r="1397" spans="1:3">
      <c r="A1397" s="291"/>
      <c r="B1397" s="291"/>
      <c r="C1397" s="291"/>
    </row>
    <row r="1398" spans="1:3">
      <c r="A1398" s="291"/>
      <c r="B1398" s="291"/>
      <c r="C1398" s="291"/>
    </row>
    <row r="1399" spans="1:3">
      <c r="A1399" s="291"/>
      <c r="B1399" s="291"/>
      <c r="C1399" s="291"/>
    </row>
    <row r="1400" spans="1:3">
      <c r="A1400" s="291"/>
      <c r="B1400" s="291"/>
      <c r="C1400" s="291"/>
    </row>
    <row r="1401" spans="1:3">
      <c r="A1401" s="291"/>
      <c r="B1401" s="291"/>
      <c r="C1401" s="291"/>
    </row>
    <row r="1402" spans="1:3">
      <c r="A1402" s="291"/>
      <c r="B1402" s="291"/>
      <c r="C1402" s="291"/>
    </row>
    <row r="1403" spans="1:3">
      <c r="A1403" s="291"/>
      <c r="B1403" s="291"/>
      <c r="C1403" s="291"/>
    </row>
    <row r="1404" spans="1:3">
      <c r="A1404" s="291"/>
      <c r="B1404" s="291"/>
      <c r="C1404" s="291"/>
    </row>
    <row r="1405" spans="1:3">
      <c r="A1405" s="291"/>
      <c r="B1405" s="291"/>
      <c r="C1405" s="291"/>
    </row>
    <row r="1406" spans="1:3">
      <c r="A1406" s="291"/>
      <c r="B1406" s="291"/>
      <c r="C1406" s="291"/>
    </row>
    <row r="1407" spans="1:3">
      <c r="A1407" s="291"/>
      <c r="B1407" s="291"/>
      <c r="C1407" s="291"/>
    </row>
    <row r="1408" spans="1:3">
      <c r="A1408" s="291"/>
      <c r="B1408" s="291"/>
      <c r="C1408" s="291"/>
    </row>
    <row r="1409" spans="1:3">
      <c r="A1409" s="291"/>
      <c r="B1409" s="291"/>
      <c r="C1409" s="291"/>
    </row>
    <row r="1410" spans="1:3">
      <c r="A1410" s="291"/>
      <c r="B1410" s="291"/>
      <c r="C1410" s="291"/>
    </row>
    <row r="1411" spans="1:3">
      <c r="A1411" s="291"/>
      <c r="B1411" s="291"/>
      <c r="C1411" s="291"/>
    </row>
    <row r="1412" spans="1:3">
      <c r="A1412" s="291"/>
      <c r="B1412" s="291"/>
      <c r="C1412" s="291"/>
    </row>
    <row r="1413" spans="1:3">
      <c r="A1413" s="291"/>
      <c r="B1413" s="291"/>
      <c r="C1413" s="291"/>
    </row>
    <row r="1414" spans="1:3">
      <c r="A1414" s="291"/>
      <c r="B1414" s="291"/>
      <c r="C1414" s="291"/>
    </row>
    <row r="1415" spans="1:3">
      <c r="A1415" s="291"/>
      <c r="B1415" s="291"/>
      <c r="C1415" s="291"/>
    </row>
    <row r="1416" spans="1:3">
      <c r="A1416" s="291"/>
      <c r="B1416" s="291"/>
      <c r="C1416" s="291"/>
    </row>
    <row r="1417" spans="1:3">
      <c r="A1417" s="291"/>
      <c r="B1417" s="291"/>
      <c r="C1417" s="291"/>
    </row>
    <row r="1418" spans="1:3">
      <c r="A1418" s="291"/>
      <c r="B1418" s="291"/>
      <c r="C1418" s="291"/>
    </row>
    <row r="1419" spans="1:3">
      <c r="A1419" s="291"/>
      <c r="B1419" s="291"/>
      <c r="C1419" s="291"/>
    </row>
    <row r="1420" spans="1:3">
      <c r="A1420" s="291"/>
      <c r="B1420" s="291"/>
      <c r="C1420" s="291"/>
    </row>
    <row r="1421" spans="1:3">
      <c r="A1421" s="291"/>
      <c r="B1421" s="291"/>
      <c r="C1421" s="291"/>
    </row>
    <row r="1422" spans="1:3">
      <c r="A1422" s="291"/>
      <c r="B1422" s="291"/>
      <c r="C1422" s="291"/>
    </row>
    <row r="1423" spans="1:3">
      <c r="A1423" s="291"/>
      <c r="B1423" s="291"/>
      <c r="C1423" s="291"/>
    </row>
    <row r="1424" spans="1:3">
      <c r="A1424" s="291"/>
      <c r="B1424" s="291"/>
      <c r="C1424" s="291"/>
    </row>
    <row r="1425" spans="1:3">
      <c r="A1425" s="291"/>
      <c r="B1425" s="291"/>
      <c r="C1425" s="291"/>
    </row>
    <row r="1426" spans="1:3">
      <c r="A1426" s="291"/>
      <c r="B1426" s="291"/>
      <c r="C1426" s="291"/>
    </row>
    <row r="1427" spans="1:3">
      <c r="A1427" s="291"/>
      <c r="B1427" s="291"/>
      <c r="C1427" s="291"/>
    </row>
    <row r="1428" spans="1:3">
      <c r="A1428" s="291"/>
      <c r="B1428" s="291"/>
      <c r="C1428" s="291"/>
    </row>
    <row r="1429" spans="1:3">
      <c r="A1429" s="291"/>
      <c r="B1429" s="291"/>
      <c r="C1429" s="291"/>
    </row>
    <row r="1430" spans="1:3">
      <c r="A1430" s="291"/>
      <c r="B1430" s="291"/>
      <c r="C1430" s="291"/>
    </row>
    <row r="1431" spans="1:3">
      <c r="A1431" s="291"/>
      <c r="B1431" s="291"/>
      <c r="C1431" s="291"/>
    </row>
    <row r="1432" spans="1:3">
      <c r="A1432" s="291"/>
      <c r="B1432" s="291"/>
      <c r="C1432" s="291"/>
    </row>
    <row r="1433" spans="1:3">
      <c r="A1433" s="291"/>
      <c r="B1433" s="291"/>
      <c r="C1433" s="291"/>
    </row>
    <row r="1434" spans="1:3">
      <c r="A1434" s="291"/>
      <c r="B1434" s="291"/>
      <c r="C1434" s="291"/>
    </row>
    <row r="1435" spans="1:3">
      <c r="A1435" s="291"/>
      <c r="B1435" s="291"/>
      <c r="C1435" s="291"/>
    </row>
    <row r="1436" spans="1:3">
      <c r="A1436" s="291"/>
      <c r="B1436" s="291"/>
      <c r="C1436" s="291"/>
    </row>
    <row r="1437" spans="1:3">
      <c r="A1437" s="291"/>
      <c r="B1437" s="291"/>
      <c r="C1437" s="291"/>
    </row>
    <row r="1438" spans="1:3">
      <c r="A1438" s="291"/>
      <c r="B1438" s="291"/>
      <c r="C1438" s="291"/>
    </row>
    <row r="1439" spans="1:3">
      <c r="A1439" s="291"/>
      <c r="B1439" s="291"/>
      <c r="C1439" s="291"/>
    </row>
    <row r="1440" spans="1:3">
      <c r="A1440" s="291"/>
      <c r="B1440" s="291"/>
      <c r="C1440" s="291"/>
    </row>
    <row r="1441" spans="1:3">
      <c r="A1441" s="291"/>
      <c r="B1441" s="291"/>
      <c r="C1441" s="291"/>
    </row>
    <row r="1442" spans="1:3">
      <c r="A1442" s="291"/>
      <c r="B1442" s="291"/>
      <c r="C1442" s="291"/>
    </row>
    <row r="1443" spans="1:3">
      <c r="A1443" s="291"/>
      <c r="B1443" s="291"/>
      <c r="C1443" s="291"/>
    </row>
    <row r="1444" spans="1:3">
      <c r="A1444" s="291"/>
      <c r="B1444" s="291"/>
      <c r="C1444" s="291"/>
    </row>
    <row r="1445" spans="1:3">
      <c r="A1445" s="291"/>
      <c r="B1445" s="291"/>
      <c r="C1445" s="291"/>
    </row>
    <row r="1446" spans="1:3">
      <c r="A1446" s="291"/>
      <c r="B1446" s="291"/>
      <c r="C1446" s="291"/>
    </row>
    <row r="1447" spans="1:3">
      <c r="A1447" s="291"/>
      <c r="B1447" s="291"/>
      <c r="C1447" s="291"/>
    </row>
    <row r="1448" spans="1:3">
      <c r="A1448" s="291"/>
      <c r="B1448" s="291"/>
      <c r="C1448" s="291"/>
    </row>
    <row r="1449" spans="1:3">
      <c r="A1449" s="291"/>
      <c r="B1449" s="291"/>
      <c r="C1449" s="291"/>
    </row>
    <row r="1450" spans="1:3">
      <c r="A1450" s="291"/>
      <c r="B1450" s="291"/>
      <c r="C1450" s="291"/>
    </row>
    <row r="1451" spans="1:3">
      <c r="A1451" s="291"/>
      <c r="B1451" s="291"/>
      <c r="C1451" s="291"/>
    </row>
    <row r="1452" spans="1:3">
      <c r="A1452" s="291"/>
      <c r="B1452" s="291"/>
      <c r="C1452" s="291"/>
    </row>
    <row r="1453" spans="1:3">
      <c r="A1453" s="291"/>
      <c r="B1453" s="291"/>
      <c r="C1453" s="291"/>
    </row>
    <row r="1454" spans="1:3">
      <c r="A1454" s="291"/>
      <c r="B1454" s="291"/>
      <c r="C1454" s="291"/>
    </row>
    <row r="1455" spans="1:3">
      <c r="A1455" s="291"/>
      <c r="B1455" s="291"/>
      <c r="C1455" s="291"/>
    </row>
    <row r="1456" spans="1:3">
      <c r="A1456" s="291"/>
      <c r="B1456" s="291"/>
      <c r="C1456" s="291"/>
    </row>
    <row r="1457" spans="1:3">
      <c r="A1457" s="291"/>
      <c r="B1457" s="291"/>
      <c r="C1457" s="291"/>
    </row>
    <row r="1458" spans="1:3">
      <c r="A1458" s="291"/>
      <c r="B1458" s="291"/>
      <c r="C1458" s="291"/>
    </row>
    <row r="1459" spans="1:3">
      <c r="A1459" s="291"/>
      <c r="B1459" s="291"/>
      <c r="C1459" s="291"/>
    </row>
    <row r="1460" spans="1:3">
      <c r="A1460" s="291"/>
      <c r="B1460" s="291"/>
      <c r="C1460" s="291"/>
    </row>
    <row r="1461" spans="1:3">
      <c r="A1461" s="291"/>
      <c r="B1461" s="291"/>
      <c r="C1461" s="291"/>
    </row>
    <row r="1462" spans="1:3">
      <c r="A1462" s="291"/>
      <c r="B1462" s="291"/>
      <c r="C1462" s="291"/>
    </row>
    <row r="1463" spans="1:3">
      <c r="A1463" s="291"/>
      <c r="B1463" s="291"/>
      <c r="C1463" s="291"/>
    </row>
    <row r="1464" spans="1:3">
      <c r="A1464" s="291"/>
      <c r="B1464" s="291"/>
      <c r="C1464" s="291"/>
    </row>
    <row r="1465" spans="1:3">
      <c r="A1465" s="291"/>
      <c r="B1465" s="291"/>
      <c r="C1465" s="291"/>
    </row>
    <row r="1466" spans="1:3">
      <c r="A1466" s="291"/>
      <c r="B1466" s="291"/>
      <c r="C1466" s="291"/>
    </row>
    <row r="1467" spans="1:3">
      <c r="A1467" s="291"/>
      <c r="B1467" s="291"/>
      <c r="C1467" s="291"/>
    </row>
    <row r="1468" spans="1:3">
      <c r="A1468" s="291"/>
      <c r="B1468" s="291"/>
      <c r="C1468" s="291"/>
    </row>
    <row r="1469" spans="1:3">
      <c r="A1469" s="291"/>
      <c r="B1469" s="291"/>
      <c r="C1469" s="291"/>
    </row>
    <row r="1470" spans="1:3">
      <c r="A1470" s="291"/>
      <c r="B1470" s="291"/>
      <c r="C1470" s="291"/>
    </row>
    <row r="1471" spans="1:3">
      <c r="A1471" s="291"/>
      <c r="B1471" s="291"/>
      <c r="C1471" s="291"/>
    </row>
    <row r="1472" spans="1:3">
      <c r="A1472" s="291"/>
      <c r="B1472" s="291"/>
      <c r="C1472" s="291"/>
    </row>
    <row r="1473" spans="1:3">
      <c r="A1473" s="291"/>
      <c r="B1473" s="291"/>
      <c r="C1473" s="291"/>
    </row>
    <row r="1474" spans="1:3">
      <c r="A1474" s="291"/>
      <c r="B1474" s="291"/>
      <c r="C1474" s="291"/>
    </row>
    <row r="1475" spans="1:3">
      <c r="A1475" s="291"/>
      <c r="B1475" s="291"/>
      <c r="C1475" s="291"/>
    </row>
    <row r="1476" spans="1:3">
      <c r="A1476" s="291"/>
      <c r="B1476" s="291"/>
      <c r="C1476" s="291"/>
    </row>
    <row r="1477" spans="1:3">
      <c r="A1477" s="291"/>
      <c r="B1477" s="291"/>
      <c r="C1477" s="291"/>
    </row>
    <row r="1478" spans="1:3">
      <c r="A1478" s="291"/>
      <c r="B1478" s="291"/>
      <c r="C1478" s="291"/>
    </row>
    <row r="1479" spans="1:3">
      <c r="A1479" s="291"/>
      <c r="B1479" s="291"/>
      <c r="C1479" s="291"/>
    </row>
    <row r="1480" spans="1:3">
      <c r="A1480" s="291"/>
      <c r="B1480" s="291"/>
      <c r="C1480" s="291"/>
    </row>
    <row r="1481" spans="1:3">
      <c r="A1481" s="291"/>
      <c r="B1481" s="291"/>
      <c r="C1481" s="291"/>
    </row>
    <row r="1482" spans="1:3">
      <c r="A1482" s="291"/>
      <c r="B1482" s="291"/>
      <c r="C1482" s="291"/>
    </row>
    <row r="1483" spans="1:3">
      <c r="A1483" s="291"/>
      <c r="B1483" s="291"/>
      <c r="C1483" s="291"/>
    </row>
    <row r="1484" spans="1:3">
      <c r="A1484" s="291"/>
      <c r="B1484" s="291"/>
      <c r="C1484" s="291"/>
    </row>
    <row r="1485" spans="1:3">
      <c r="A1485" s="291"/>
      <c r="B1485" s="291"/>
      <c r="C1485" s="291"/>
    </row>
    <row r="1486" spans="1:3">
      <c r="A1486" s="291"/>
      <c r="B1486" s="291"/>
      <c r="C1486" s="291"/>
    </row>
    <row r="1487" spans="1:3">
      <c r="A1487" s="291"/>
      <c r="B1487" s="291"/>
      <c r="C1487" s="291"/>
    </row>
    <row r="1488" spans="1:3">
      <c r="A1488" s="291"/>
      <c r="B1488" s="291"/>
      <c r="C1488" s="291"/>
    </row>
    <row r="1489" spans="1:3">
      <c r="A1489" s="291"/>
      <c r="B1489" s="291"/>
      <c r="C1489" s="291"/>
    </row>
    <row r="1490" spans="1:3">
      <c r="A1490" s="291"/>
      <c r="B1490" s="291"/>
      <c r="C1490" s="291"/>
    </row>
    <row r="1491" spans="1:3">
      <c r="A1491" s="291"/>
      <c r="B1491" s="291"/>
      <c r="C1491" s="291"/>
    </row>
    <row r="1492" spans="1:3">
      <c r="A1492" s="291"/>
      <c r="B1492" s="291"/>
      <c r="C1492" s="291"/>
    </row>
    <row r="1493" spans="1:3">
      <c r="A1493" s="291"/>
      <c r="B1493" s="291"/>
      <c r="C1493" s="291"/>
    </row>
    <row r="1494" spans="1:3">
      <c r="A1494" s="291"/>
      <c r="B1494" s="291"/>
      <c r="C1494" s="291"/>
    </row>
    <row r="1495" spans="1:3">
      <c r="A1495" s="291"/>
      <c r="B1495" s="291"/>
      <c r="C1495" s="291"/>
    </row>
    <row r="1496" spans="1:3">
      <c r="A1496" s="291"/>
      <c r="B1496" s="291"/>
      <c r="C1496" s="291"/>
    </row>
    <row r="1497" spans="1:3">
      <c r="A1497" s="291"/>
      <c r="B1497" s="291"/>
      <c r="C1497" s="291"/>
    </row>
    <row r="1498" spans="1:3">
      <c r="A1498" s="291"/>
      <c r="B1498" s="291"/>
      <c r="C1498" s="291"/>
    </row>
    <row r="1499" spans="1:3">
      <c r="A1499" s="291"/>
      <c r="B1499" s="291"/>
      <c r="C1499" s="291"/>
    </row>
    <row r="1500" spans="1:3">
      <c r="A1500" s="291"/>
      <c r="B1500" s="291"/>
      <c r="C1500" s="291"/>
    </row>
    <row r="1501" spans="1:3">
      <c r="A1501" s="291"/>
      <c r="B1501" s="291"/>
      <c r="C1501" s="291"/>
    </row>
    <row r="1502" spans="1:3">
      <c r="A1502" s="291"/>
      <c r="B1502" s="291"/>
      <c r="C1502" s="291"/>
    </row>
    <row r="1503" spans="1:3">
      <c r="A1503" s="291"/>
      <c r="B1503" s="291"/>
      <c r="C1503" s="291"/>
    </row>
    <row r="1504" spans="1:3">
      <c r="A1504" s="291"/>
      <c r="B1504" s="291"/>
      <c r="C1504" s="291"/>
    </row>
    <row r="1505" spans="1:3">
      <c r="A1505" s="291"/>
      <c r="B1505" s="291"/>
      <c r="C1505" s="291"/>
    </row>
    <row r="1506" spans="1:3">
      <c r="A1506" s="291"/>
      <c r="B1506" s="291"/>
      <c r="C1506" s="291"/>
    </row>
    <row r="1507" spans="1:3">
      <c r="A1507" s="291"/>
      <c r="B1507" s="291"/>
      <c r="C1507" s="291"/>
    </row>
    <row r="1508" spans="1:3">
      <c r="A1508" s="291"/>
      <c r="B1508" s="291"/>
      <c r="C1508" s="291"/>
    </row>
    <row r="1509" spans="1:3">
      <c r="A1509" s="291"/>
      <c r="B1509" s="291"/>
      <c r="C1509" s="291"/>
    </row>
    <row r="1510" spans="1:3">
      <c r="A1510" s="291"/>
      <c r="B1510" s="291"/>
      <c r="C1510" s="291"/>
    </row>
    <row r="1511" spans="1:3">
      <c r="A1511" s="291"/>
      <c r="B1511" s="291"/>
      <c r="C1511" s="291"/>
    </row>
    <row r="1512" spans="1:3">
      <c r="A1512" s="291"/>
      <c r="B1512" s="291"/>
      <c r="C1512" s="291"/>
    </row>
    <row r="1513" spans="1:3">
      <c r="A1513" s="291"/>
      <c r="B1513" s="291"/>
      <c r="C1513" s="291"/>
    </row>
    <row r="1514" spans="1:3">
      <c r="A1514" s="291"/>
      <c r="B1514" s="291"/>
      <c r="C1514" s="291"/>
    </row>
    <row r="1515" spans="1:3">
      <c r="A1515" s="291"/>
      <c r="B1515" s="291"/>
      <c r="C1515" s="291"/>
    </row>
    <row r="1516" spans="1:3">
      <c r="A1516" s="291"/>
      <c r="B1516" s="291"/>
      <c r="C1516" s="291"/>
    </row>
    <row r="1517" spans="1:3">
      <c r="A1517" s="291"/>
      <c r="B1517" s="291"/>
      <c r="C1517" s="291"/>
    </row>
    <row r="1518" spans="1:3">
      <c r="A1518" s="291"/>
      <c r="B1518" s="291"/>
      <c r="C1518" s="291"/>
    </row>
    <row r="1519" spans="1:3">
      <c r="A1519" s="291"/>
      <c r="B1519" s="291"/>
      <c r="C1519" s="291"/>
    </row>
    <row r="1520" spans="1:3">
      <c r="A1520" s="291"/>
      <c r="B1520" s="291"/>
      <c r="C1520" s="291"/>
    </row>
    <row r="1521" spans="1:9">
      <c r="A1521" s="291"/>
      <c r="B1521" s="291"/>
      <c r="C1521" s="291"/>
    </row>
    <row r="1522" spans="1:9"/>
    <row r="1523" spans="1:9"/>
    <row r="1524" spans="1:9"/>
    <row r="1525" spans="1:9">
      <c r="G1525" s="1247"/>
      <c r="H1525" s="1247"/>
      <c r="I1525" s="124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618" zoomScaleNormal="100" workbookViewId="0">
      <selection activeCell="AF628" sqref="AF628:AJ628"/>
    </sheetView>
  </sheetViews>
  <sheetFormatPr defaultColWidth="0" defaultRowHeight="0" customHeight="1" zeroHeight="1"/>
  <cols>
    <col min="1" max="36" width="2.453125" customWidth="1"/>
    <col min="37" max="37" width="2.81640625" customWidth="1"/>
    <col min="38" max="45" width="2.45312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3" customHeight="1">
      <c r="J1" s="59"/>
      <c r="AS1" s="839">
        <v>4</v>
      </c>
    </row>
    <row r="2" spans="1:51" ht="13" customHeight="1"/>
    <row r="3" spans="1:51" ht="13" customHeight="1"/>
    <row r="4" spans="1:51" ht="13" customHeight="1"/>
    <row r="5" spans="1:51" ht="13" customHeight="1"/>
    <row r="6" spans="1:51" ht="13" customHeight="1"/>
    <row r="7" spans="1:51" ht="13" customHeight="1"/>
    <row r="8" spans="1:51" ht="26.25" customHeight="1">
      <c r="A8" s="1375" t="s">
        <v>820</v>
      </c>
      <c r="B8" s="1375"/>
      <c r="C8" s="1375"/>
      <c r="D8" s="1375"/>
      <c r="E8" s="1375"/>
      <c r="F8" s="1375"/>
      <c r="G8" s="1375"/>
      <c r="H8" s="1375"/>
      <c r="I8" s="1375"/>
      <c r="J8" s="1375"/>
      <c r="K8" s="1375"/>
      <c r="L8" s="1375"/>
      <c r="M8" s="1375"/>
      <c r="N8" s="1375"/>
      <c r="O8" s="1375"/>
      <c r="P8" s="1375"/>
      <c r="Q8" s="1375"/>
      <c r="R8" s="1375"/>
      <c r="S8" s="1375"/>
      <c r="T8" s="1375"/>
      <c r="U8" s="1375"/>
      <c r="V8" s="1375"/>
      <c r="W8" s="1375"/>
      <c r="X8" s="1375"/>
      <c r="Y8" s="1375"/>
      <c r="Z8" s="1375"/>
      <c r="AA8" s="1375"/>
      <c r="AB8" s="1375"/>
      <c r="AC8" s="1375"/>
      <c r="AD8" s="1375"/>
      <c r="AE8" s="1375"/>
      <c r="AF8" s="1375"/>
      <c r="AG8" s="1375"/>
      <c r="AH8" s="1375"/>
      <c r="AI8" s="1375"/>
      <c r="AJ8" s="1375"/>
      <c r="AK8" s="1375"/>
      <c r="AL8" s="1375"/>
      <c r="AM8" s="1375"/>
      <c r="AN8" s="1375"/>
      <c r="AO8" s="1375"/>
      <c r="AP8" s="1375"/>
      <c r="AQ8" s="1375"/>
      <c r="AR8" s="1375"/>
      <c r="AS8" s="1375"/>
      <c r="AT8" s="1375"/>
      <c r="AU8" s="1147"/>
      <c r="AV8" s="1147"/>
      <c r="AW8" s="1147"/>
      <c r="AX8" s="1147"/>
      <c r="AY8" s="1147"/>
    </row>
    <row r="9" spans="1:51" ht="13" customHeight="1">
      <c r="A9" s="1257" t="s">
        <v>821</v>
      </c>
      <c r="B9" s="1257"/>
      <c r="C9" s="1257"/>
      <c r="D9" s="1257"/>
      <c r="E9" s="1257"/>
      <c r="F9" s="1257"/>
      <c r="G9" s="1257"/>
      <c r="H9" s="1257"/>
      <c r="I9" s="1257"/>
      <c r="J9" s="1257"/>
      <c r="K9" s="1257"/>
      <c r="L9" s="1257"/>
      <c r="M9" s="1257"/>
      <c r="N9" s="1257"/>
      <c r="O9" s="1257"/>
      <c r="P9" s="1257"/>
      <c r="Q9" s="1257"/>
      <c r="R9" s="1257"/>
      <c r="S9" s="1257"/>
      <c r="T9" s="1257"/>
      <c r="U9" s="1257"/>
      <c r="V9" s="1257"/>
      <c r="W9" s="1257"/>
      <c r="X9" s="1257"/>
      <c r="Y9" s="1257"/>
      <c r="Z9" s="1257"/>
      <c r="AA9" s="1257"/>
      <c r="AB9" s="1257"/>
      <c r="AC9" s="1257"/>
      <c r="AD9" s="1257"/>
      <c r="AE9" s="1257"/>
      <c r="AF9" s="1257"/>
      <c r="AG9" s="1257"/>
      <c r="AH9" s="1257"/>
      <c r="AI9" s="1257"/>
      <c r="AJ9" s="1257"/>
      <c r="AK9" s="1257"/>
      <c r="AL9" s="1257"/>
      <c r="AM9" s="1257"/>
      <c r="AN9" s="1257"/>
      <c r="AO9" s="1257"/>
      <c r="AP9" s="1257"/>
      <c r="AQ9" s="1257"/>
      <c r="AR9" s="1257"/>
      <c r="AS9" s="1257"/>
      <c r="AT9" s="1257"/>
      <c r="AU9" s="1127"/>
      <c r="AV9" s="1127"/>
      <c r="AW9" s="1127"/>
      <c r="AX9" s="1127"/>
      <c r="AY9" s="1127"/>
    </row>
    <row r="10" spans="1:51" ht="13" customHeight="1">
      <c r="A10" s="1257" t="s">
        <v>822</v>
      </c>
      <c r="B10" s="1257"/>
      <c r="C10" s="1257"/>
      <c r="D10" s="1257"/>
      <c r="E10" s="1257"/>
      <c r="F10" s="1257"/>
      <c r="G10" s="1257"/>
      <c r="H10" s="1257"/>
      <c r="I10" s="1257"/>
      <c r="J10" s="1257"/>
      <c r="K10" s="1257"/>
      <c r="L10" s="1257"/>
      <c r="M10" s="1257"/>
      <c r="N10" s="1257"/>
      <c r="O10" s="1257"/>
      <c r="P10" s="1257"/>
      <c r="Q10" s="1257"/>
      <c r="R10" s="1257"/>
      <c r="S10" s="1257"/>
      <c r="T10" s="1257"/>
      <c r="U10" s="1257"/>
      <c r="V10" s="1257"/>
      <c r="W10" s="1257"/>
      <c r="X10" s="1257"/>
      <c r="Y10" s="1257"/>
      <c r="Z10" s="1257"/>
      <c r="AA10" s="1257"/>
      <c r="AB10" s="1257"/>
      <c r="AC10" s="1257"/>
      <c r="AD10" s="1257"/>
      <c r="AE10" s="1257"/>
      <c r="AF10" s="1257"/>
      <c r="AG10" s="1257"/>
      <c r="AH10" s="1257"/>
      <c r="AI10" s="1257"/>
      <c r="AJ10" s="1257"/>
      <c r="AK10" s="1257"/>
      <c r="AL10" s="1257"/>
      <c r="AM10" s="1257"/>
      <c r="AN10" s="1257"/>
      <c r="AO10" s="1257"/>
      <c r="AP10" s="1257"/>
      <c r="AQ10" s="1257"/>
      <c r="AR10" s="1257"/>
      <c r="AS10" s="1257"/>
      <c r="AT10" s="1257"/>
      <c r="AU10" s="1127"/>
      <c r="AV10" s="1127"/>
      <c r="AW10" s="1127"/>
      <c r="AX10" s="1127"/>
      <c r="AY10" s="1127"/>
    </row>
    <row r="11" spans="1:51" ht="13" customHeight="1">
      <c r="A11" s="1257" t="s">
        <v>823</v>
      </c>
      <c r="B11" s="1257"/>
      <c r="C11" s="1257"/>
      <c r="D11" s="1257"/>
      <c r="E11" s="1257"/>
      <c r="F11" s="1257"/>
      <c r="G11" s="1257"/>
      <c r="H11" s="1257"/>
      <c r="I11" s="1257"/>
      <c r="J11" s="1257"/>
      <c r="K11" s="1257"/>
      <c r="L11" s="1257"/>
      <c r="M11" s="1257"/>
      <c r="N11" s="1257"/>
      <c r="O11" s="1257"/>
      <c r="P11" s="1257"/>
      <c r="Q11" s="1257"/>
      <c r="R11" s="1257"/>
      <c r="S11" s="1257"/>
      <c r="T11" s="1257"/>
      <c r="U11" s="1257"/>
      <c r="V11" s="1257"/>
      <c r="W11" s="1257"/>
      <c r="X11" s="1257"/>
      <c r="Y11" s="1257"/>
      <c r="Z11" s="1257"/>
      <c r="AA11" s="1257"/>
      <c r="AB11" s="1257"/>
      <c r="AC11" s="1257"/>
      <c r="AD11" s="1257"/>
      <c r="AE11" s="1257"/>
      <c r="AF11" s="1257"/>
      <c r="AG11" s="1257"/>
      <c r="AH11" s="1257"/>
      <c r="AI11" s="1257"/>
      <c r="AJ11" s="1257"/>
      <c r="AK11" s="1257"/>
      <c r="AL11" s="1257"/>
      <c r="AM11" s="1257"/>
      <c r="AN11" s="1257"/>
      <c r="AO11" s="1257"/>
      <c r="AP11" s="1257"/>
      <c r="AQ11" s="1257"/>
      <c r="AR11" s="1257"/>
      <c r="AS11" s="1257"/>
      <c r="AT11" s="1257"/>
      <c r="AU11" s="1127"/>
      <c r="AV11" s="1127"/>
      <c r="AW11" s="1127"/>
      <c r="AX11" s="1127"/>
      <c r="AY11" s="1127"/>
    </row>
    <row r="12" spans="1:51" ht="13" customHeight="1">
      <c r="A12" s="1376" t="s">
        <v>824</v>
      </c>
      <c r="B12" s="1376"/>
      <c r="C12" s="1376"/>
      <c r="D12" s="1376"/>
      <c r="E12" s="1376"/>
      <c r="F12" s="1376"/>
      <c r="G12" s="1376"/>
      <c r="H12" s="1376"/>
      <c r="I12" s="1376"/>
      <c r="J12" s="1376"/>
      <c r="K12" s="1376"/>
      <c r="L12" s="1376"/>
      <c r="M12" s="1376"/>
      <c r="N12" s="1376"/>
      <c r="O12" s="1376"/>
      <c r="P12" s="1376"/>
      <c r="Q12" s="1376"/>
      <c r="R12" s="1376"/>
      <c r="S12" s="1376"/>
      <c r="T12" s="1376"/>
      <c r="U12" s="1376"/>
      <c r="V12" s="1376"/>
      <c r="W12" s="1376"/>
      <c r="X12" s="1376"/>
      <c r="Y12" s="1376"/>
      <c r="Z12" s="1376"/>
      <c r="AA12" s="1376"/>
      <c r="AB12" s="1376"/>
      <c r="AC12" s="1376"/>
      <c r="AD12" s="1376"/>
      <c r="AE12" s="1376"/>
      <c r="AF12" s="1376"/>
      <c r="AG12" s="1376"/>
      <c r="AH12" s="1376"/>
      <c r="AI12" s="1376"/>
      <c r="AJ12" s="1376"/>
      <c r="AK12" s="1376"/>
      <c r="AL12" s="1376"/>
      <c r="AM12" s="1376"/>
      <c r="AN12" s="1376"/>
      <c r="AO12" s="1376"/>
      <c r="AP12" s="1376"/>
      <c r="AQ12" s="1376"/>
      <c r="AR12" s="1376"/>
      <c r="AS12" s="1376"/>
      <c r="AT12" s="1376"/>
      <c r="AU12" s="1148"/>
      <c r="AV12" s="1148"/>
      <c r="AW12" s="1148"/>
      <c r="AX12" s="1148"/>
      <c r="AY12" s="1148"/>
    </row>
    <row r="13" spans="1:51" ht="13" customHeight="1">
      <c r="A13" s="1220" t="s">
        <v>825</v>
      </c>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731"/>
      <c r="AV13" s="731"/>
      <c r="AW13" s="731"/>
      <c r="AX13" s="731"/>
      <c r="AY13" s="731"/>
    </row>
    <row r="14" spans="1:51" ht="13" customHeight="1">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731"/>
      <c r="AV14" s="731"/>
      <c r="AW14" s="731"/>
      <c r="AX14" s="731"/>
      <c r="AY14" s="731"/>
    </row>
    <row r="15" spans="1:51" ht="13" customHeight="1">
      <c r="A15" s="55"/>
      <c r="B15" s="55"/>
      <c r="C15" s="55"/>
      <c r="D15" s="55"/>
      <c r="E15" s="55"/>
      <c r="F15" s="55"/>
      <c r="G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row>
    <row r="16" spans="1:51" ht="13" customHeight="1">
      <c r="A16" s="1118" t="s">
        <v>826</v>
      </c>
      <c r="C16" s="2"/>
      <c r="D16" s="2"/>
      <c r="E16" s="2"/>
      <c r="F16" s="2"/>
      <c r="G16" s="2"/>
      <c r="H16" s="1383" t="s">
        <v>827</v>
      </c>
      <c r="I16" s="1383"/>
      <c r="J16" s="1383"/>
      <c r="K16" s="1383"/>
      <c r="L16" s="1383"/>
      <c r="M16" s="1383"/>
      <c r="N16" s="1383"/>
      <c r="O16" s="1383"/>
      <c r="P16" s="1383"/>
      <c r="Q16" s="1383"/>
      <c r="R16" s="1383"/>
      <c r="S16" s="1383"/>
      <c r="T16" s="1383"/>
      <c r="U16" s="1383"/>
      <c r="V16" s="1383"/>
      <c r="W16" s="1383"/>
      <c r="X16" s="1383"/>
      <c r="Y16" s="1383"/>
      <c r="Z16" s="1383"/>
      <c r="AA16" s="1383"/>
      <c r="AB16" s="1383"/>
      <c r="AC16" s="1383"/>
      <c r="AD16" s="1383"/>
      <c r="AE16" s="1383"/>
      <c r="AF16" s="1383"/>
      <c r="AG16" s="1383"/>
      <c r="AH16" s="1383"/>
      <c r="AI16" s="1383"/>
      <c r="AJ16" s="1383"/>
    </row>
    <row r="17" spans="1:52" ht="13" customHeight="1"/>
    <row r="18" spans="1:52" ht="13" customHeight="1">
      <c r="A18" s="1118" t="s">
        <v>828</v>
      </c>
      <c r="C18" s="2"/>
      <c r="D18" s="2"/>
      <c r="E18" s="2"/>
      <c r="F18" s="2"/>
      <c r="G18" s="2"/>
      <c r="H18" s="1380" t="s">
        <v>829</v>
      </c>
      <c r="I18" s="1380"/>
      <c r="J18" s="1380"/>
      <c r="K18" s="1380"/>
      <c r="L18" s="1380"/>
      <c r="M18" s="1380"/>
      <c r="N18" s="1380"/>
      <c r="O18" s="1380"/>
      <c r="P18" s="1380"/>
      <c r="Q18" s="1380"/>
      <c r="R18" s="1380"/>
      <c r="S18" s="1380"/>
      <c r="T18" s="1380"/>
      <c r="U18" s="1380"/>
      <c r="V18" s="1380"/>
      <c r="W18" s="1380"/>
      <c r="X18" s="1380"/>
      <c r="Y18" s="1380"/>
      <c r="Z18" s="1380"/>
      <c r="AA18" s="1380"/>
      <c r="AB18" s="1380"/>
      <c r="AC18" s="1380"/>
      <c r="AD18" s="1380"/>
      <c r="AE18" s="1380"/>
      <c r="AF18" s="1380"/>
      <c r="AG18" s="1380"/>
      <c r="AH18" s="1380"/>
      <c r="AI18" s="1380"/>
      <c r="AJ18" s="1380"/>
    </row>
    <row r="19" spans="1:52" ht="13" customHeight="1"/>
    <row r="20" spans="1:52" ht="13" customHeight="1">
      <c r="A20" s="1377" t="s">
        <v>830</v>
      </c>
      <c r="B20" s="1377"/>
      <c r="C20" s="1377"/>
      <c r="D20" s="1377"/>
      <c r="E20" s="1377"/>
      <c r="F20" s="1377"/>
      <c r="G20" s="1377"/>
      <c r="H20" s="1377"/>
      <c r="I20" s="1377"/>
      <c r="J20" s="1377"/>
      <c r="K20" s="1377"/>
      <c r="L20" s="1377"/>
      <c r="M20" s="1377"/>
      <c r="N20" s="1377"/>
      <c r="O20" s="1377"/>
      <c r="P20" s="1377"/>
      <c r="Q20" s="1377"/>
      <c r="R20" s="1377"/>
      <c r="S20" s="1377"/>
      <c r="T20" s="1377"/>
      <c r="U20" s="1377"/>
      <c r="V20" s="1377"/>
      <c r="W20" s="1377"/>
      <c r="X20" s="1377"/>
      <c r="Y20" s="1377"/>
      <c r="Z20" s="1377"/>
      <c r="AA20" s="1377"/>
      <c r="AB20" s="1377"/>
      <c r="AC20" s="1377"/>
      <c r="AD20" s="1377"/>
      <c r="AE20" s="1377"/>
      <c r="AF20" s="1377"/>
      <c r="AG20" s="1377"/>
      <c r="AH20" s="1377"/>
      <c r="AI20" s="1377"/>
      <c r="AJ20" s="1377"/>
      <c r="AK20" s="1377"/>
      <c r="AL20" s="1377"/>
      <c r="AM20" s="1377"/>
      <c r="AN20" s="1377"/>
      <c r="AO20" s="1377"/>
      <c r="AP20" s="1377"/>
      <c r="AQ20" s="1377"/>
      <c r="AR20" s="1377"/>
      <c r="AS20" s="1377"/>
      <c r="AT20" s="1377"/>
      <c r="AU20" s="1149"/>
      <c r="AV20" s="1149"/>
      <c r="AW20" s="1149"/>
      <c r="AX20" s="1149"/>
      <c r="AY20" s="1149"/>
    </row>
    <row r="21" spans="1:52" ht="13" customHeight="1">
      <c r="A21" s="1384" t="s">
        <v>831</v>
      </c>
      <c r="B21" s="1384"/>
      <c r="C21" s="1384"/>
      <c r="D21" s="1384"/>
      <c r="E21" s="1384"/>
      <c r="F21" s="1384"/>
      <c r="G21" s="1384"/>
      <c r="H21" s="1384"/>
      <c r="I21" s="1384"/>
      <c r="J21" s="1384"/>
      <c r="K21" s="1384"/>
      <c r="L21" s="1384"/>
      <c r="M21" s="1384"/>
      <c r="N21" s="1384"/>
      <c r="O21" s="1384"/>
      <c r="P21" s="1384"/>
      <c r="Q21" s="1384"/>
      <c r="R21" s="1384"/>
      <c r="S21" s="1384"/>
      <c r="T21" s="1384"/>
      <c r="U21" s="1384"/>
      <c r="V21" s="1384"/>
      <c r="W21" s="1384"/>
      <c r="X21" s="1384"/>
      <c r="Y21" s="1384"/>
      <c r="Z21" s="1384"/>
      <c r="AA21" s="1384"/>
      <c r="AB21" s="1384"/>
      <c r="AC21" s="1384"/>
      <c r="AD21" s="1384"/>
      <c r="AE21" s="1384"/>
      <c r="AF21" s="1384"/>
      <c r="AG21" s="1384"/>
      <c r="AH21" s="1384"/>
      <c r="AI21" s="1384"/>
      <c r="AJ21" s="1384"/>
      <c r="AK21" s="1384"/>
      <c r="AL21" s="1384"/>
      <c r="AM21" s="1151"/>
      <c r="AN21" s="1151"/>
      <c r="AO21" s="1151"/>
      <c r="AP21" s="1151"/>
      <c r="AQ21" s="1151"/>
      <c r="AR21" s="1151"/>
      <c r="AS21" s="1151"/>
      <c r="AT21" s="1151"/>
      <c r="AU21" s="1151"/>
      <c r="AV21" s="1151"/>
      <c r="AW21" s="1151"/>
      <c r="AX21" s="1151"/>
      <c r="AY21" s="1151"/>
    </row>
    <row r="22" spans="1:52" ht="13" customHeight="1">
      <c r="A22" s="13"/>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row>
    <row r="23" spans="1:52" ht="13" customHeight="1">
      <c r="A23" s="1282" t="s">
        <v>832</v>
      </c>
      <c r="B23" s="1282"/>
      <c r="C23" s="1282"/>
      <c r="D23" s="1282"/>
      <c r="E23" s="1282"/>
      <c r="F23" s="1282"/>
      <c r="G23" s="1282"/>
      <c r="H23" s="1282"/>
      <c r="I23" s="1282"/>
      <c r="J23" s="1282"/>
      <c r="K23" s="1282"/>
      <c r="L23" s="1282"/>
      <c r="M23" s="1282"/>
      <c r="N23" s="1282"/>
      <c r="O23" s="1282"/>
      <c r="P23" s="1282"/>
      <c r="Q23" s="1282"/>
      <c r="R23" s="1282"/>
      <c r="S23" s="1282"/>
      <c r="T23" s="1282"/>
      <c r="U23" s="1282"/>
      <c r="V23" s="1282"/>
      <c r="W23" s="1282"/>
      <c r="X23" s="1282"/>
      <c r="Y23" s="1282"/>
      <c r="Z23" s="1282"/>
      <c r="AA23" s="1282"/>
      <c r="AB23" s="1282"/>
      <c r="AC23" s="1282"/>
      <c r="AD23" s="1282"/>
      <c r="AE23" s="1282"/>
      <c r="AF23" s="1282"/>
      <c r="AG23" s="1282"/>
      <c r="AH23" s="1282"/>
      <c r="AI23" s="1282"/>
      <c r="AJ23" s="1282"/>
      <c r="AK23" s="1282"/>
      <c r="AL23" s="1282"/>
      <c r="AM23" s="1282"/>
      <c r="AN23" s="1282"/>
      <c r="AO23" s="1282"/>
      <c r="AP23" s="1282"/>
      <c r="AQ23" s="1282"/>
      <c r="AR23" s="1282"/>
      <c r="AS23" s="1282"/>
      <c r="AT23" s="1282"/>
      <c r="AU23" s="15"/>
      <c r="AV23" s="15"/>
      <c r="AW23" s="15"/>
      <c r="AX23" s="15"/>
      <c r="AY23" s="15"/>
      <c r="AZ23" s="15"/>
    </row>
    <row r="24" spans="1:52" ht="13" customHeight="1">
      <c r="A24" s="1282"/>
      <c r="B24" s="1282"/>
      <c r="C24" s="1282"/>
      <c r="D24" s="1282"/>
      <c r="E24" s="1282"/>
      <c r="F24" s="1282"/>
      <c r="G24" s="1282"/>
      <c r="H24" s="1282"/>
      <c r="I24" s="1282"/>
      <c r="J24" s="1282"/>
      <c r="K24" s="1282"/>
      <c r="L24" s="1282"/>
      <c r="M24" s="1282"/>
      <c r="N24" s="1282"/>
      <c r="O24" s="1282"/>
      <c r="P24" s="1282"/>
      <c r="Q24" s="1282"/>
      <c r="R24" s="1282"/>
      <c r="S24" s="1282"/>
      <c r="T24" s="1282"/>
      <c r="U24" s="1282"/>
      <c r="V24" s="1282"/>
      <c r="W24" s="1282"/>
      <c r="X24" s="1282"/>
      <c r="Y24" s="1282"/>
      <c r="Z24" s="1282"/>
      <c r="AA24" s="1282"/>
      <c r="AB24" s="1282"/>
      <c r="AC24" s="1282"/>
      <c r="AD24" s="1282"/>
      <c r="AE24" s="1282"/>
      <c r="AF24" s="1282"/>
      <c r="AG24" s="1282"/>
      <c r="AH24" s="1282"/>
      <c r="AI24" s="1282"/>
      <c r="AJ24" s="1282"/>
      <c r="AK24" s="1282"/>
      <c r="AL24" s="1282"/>
      <c r="AM24" s="1282"/>
      <c r="AN24" s="1282"/>
      <c r="AO24" s="1282"/>
      <c r="AP24" s="1282"/>
      <c r="AQ24" s="1282"/>
      <c r="AR24" s="1282"/>
      <c r="AS24" s="1282"/>
      <c r="AT24" s="1282"/>
      <c r="AU24" s="15"/>
      <c r="AV24" s="15"/>
      <c r="AW24" s="15"/>
      <c r="AX24" s="15"/>
      <c r="AY24" s="15"/>
      <c r="AZ24" s="15"/>
    </row>
    <row r="25" spans="1:52" ht="13" customHeight="1">
      <c r="A25" s="1109"/>
      <c r="C25" s="1109"/>
      <c r="D25" s="1109"/>
      <c r="E25" s="1109"/>
      <c r="F25" s="1109"/>
      <c r="G25" s="1109"/>
      <c r="H25" s="1109"/>
      <c r="I25" s="1109"/>
      <c r="J25" s="1109"/>
      <c r="K25" s="1109"/>
      <c r="L25" s="1109"/>
      <c r="M25" s="1109"/>
      <c r="N25" s="1109"/>
      <c r="O25" s="1109"/>
      <c r="P25" s="1109"/>
      <c r="Q25" s="1109"/>
      <c r="R25" s="1109"/>
      <c r="S25" s="1109"/>
      <c r="T25" s="1109"/>
      <c r="U25" s="1109"/>
      <c r="V25" s="1109"/>
      <c r="W25" s="1109"/>
      <c r="X25" s="1109"/>
      <c r="Y25" s="1109"/>
      <c r="Z25" s="1109"/>
      <c r="AA25" s="1109"/>
      <c r="AB25" s="1109"/>
      <c r="AC25" s="1109"/>
      <c r="AD25" s="1109"/>
      <c r="AE25" s="1109"/>
      <c r="AF25" s="1109"/>
      <c r="AG25" s="1109"/>
      <c r="AH25" s="1109"/>
      <c r="AI25" s="1109"/>
      <c r="AJ25" s="1109"/>
      <c r="AK25" s="2"/>
    </row>
    <row r="26" spans="1:52" ht="13" customHeight="1">
      <c r="A26" s="2"/>
      <c r="C26" s="2"/>
      <c r="D26" s="2"/>
      <c r="E26" s="2"/>
      <c r="F26" s="2"/>
      <c r="G26" s="2"/>
      <c r="H26" s="2"/>
      <c r="I26" s="2"/>
      <c r="J26" s="2"/>
      <c r="K26" s="2"/>
      <c r="L26" s="2"/>
      <c r="M26" s="1382">
        <f>'Basis &amp; Credits'!AB56</f>
        <v>2215161</v>
      </c>
      <c r="N26" s="1382"/>
      <c r="O26" s="1382"/>
      <c r="P26" s="1382"/>
      <c r="Q26" s="1382"/>
      <c r="R26" s="2" t="s">
        <v>833</v>
      </c>
      <c r="S26" s="2"/>
      <c r="T26" s="2"/>
      <c r="U26" s="2"/>
      <c r="V26" s="2"/>
      <c r="W26" s="2"/>
      <c r="X26" s="2"/>
      <c r="Y26" s="2"/>
      <c r="Z26" s="2"/>
      <c r="AF26" s="2"/>
      <c r="AG26" s="2"/>
      <c r="AH26" s="2"/>
      <c r="AI26" s="2"/>
      <c r="AJ26" s="2"/>
      <c r="AK26" s="2"/>
    </row>
    <row r="27" spans="1:52" ht="13" customHeight="1">
      <c r="A27" s="2"/>
      <c r="C27" s="2"/>
      <c r="D27" s="2"/>
      <c r="E27" s="2"/>
      <c r="F27" s="2"/>
      <c r="G27" s="2"/>
      <c r="H27" s="2"/>
      <c r="I27" s="2"/>
      <c r="J27" s="2"/>
      <c r="K27" s="2"/>
      <c r="L27" s="2"/>
      <c r="M27" s="1341">
        <f>'Basis &amp; Credits'!AB78</f>
        <v>5090591</v>
      </c>
      <c r="N27" s="1341"/>
      <c r="O27" s="1341"/>
      <c r="P27" s="1341"/>
      <c r="Q27" s="1341"/>
      <c r="R27" s="2" t="s">
        <v>834</v>
      </c>
      <c r="S27" s="2"/>
      <c r="T27" s="2"/>
      <c r="U27" s="2"/>
      <c r="V27" s="2"/>
      <c r="W27" s="2"/>
      <c r="X27" s="2"/>
      <c r="Y27" s="2"/>
      <c r="Z27" s="2"/>
      <c r="AF27" s="2"/>
      <c r="AG27" s="2"/>
      <c r="AH27" s="2"/>
      <c r="AI27" s="2"/>
      <c r="AJ27" s="2"/>
      <c r="AK27" s="2"/>
    </row>
    <row r="28" spans="1:52" ht="13" customHeight="1">
      <c r="A28" s="2"/>
      <c r="C28" s="2"/>
      <c r="D28" s="2"/>
      <c r="E28" s="2"/>
      <c r="F28" s="2"/>
      <c r="G28" s="2"/>
      <c r="H28" s="2"/>
      <c r="I28" s="2"/>
      <c r="J28" s="2"/>
      <c r="K28" s="2"/>
      <c r="L28" s="2"/>
      <c r="M28" s="2"/>
      <c r="N28" s="2"/>
      <c r="O28" s="2"/>
      <c r="P28" s="2"/>
      <c r="Q28" s="2"/>
      <c r="R28" s="2"/>
      <c r="S28" s="2"/>
      <c r="T28" s="2"/>
      <c r="U28" s="2"/>
      <c r="V28" s="2"/>
      <c r="W28" s="2"/>
      <c r="X28" s="2"/>
      <c r="Y28" s="2"/>
      <c r="Z28" s="2"/>
      <c r="AF28" s="2"/>
      <c r="AG28" s="2"/>
      <c r="AH28" s="2"/>
      <c r="AI28" s="2"/>
      <c r="AJ28" s="2"/>
      <c r="AK28" s="2"/>
    </row>
    <row r="29" spans="1:52" ht="13" customHeight="1">
      <c r="A29" s="1378" t="s">
        <v>835</v>
      </c>
      <c r="B29" s="1378"/>
      <c r="C29" s="1378"/>
      <c r="D29" s="1378"/>
      <c r="E29" s="1378"/>
      <c r="F29" s="1378"/>
      <c r="G29" s="1378"/>
      <c r="H29" s="1378"/>
      <c r="I29" s="1378"/>
      <c r="J29" s="1378"/>
      <c r="K29" s="1378"/>
      <c r="L29" s="1378"/>
      <c r="M29" s="1378"/>
      <c r="N29" s="1378"/>
      <c r="O29" s="1378"/>
      <c r="P29" s="1378"/>
      <c r="Q29" s="1378"/>
      <c r="R29" s="1378"/>
      <c r="S29" s="1378"/>
      <c r="T29" s="1378"/>
      <c r="U29" s="1378"/>
      <c r="V29" s="1378"/>
      <c r="W29" s="1378"/>
      <c r="X29" s="1378"/>
      <c r="Y29" s="1378"/>
      <c r="Z29" s="1378"/>
      <c r="AA29" s="1378"/>
      <c r="AB29" s="1378"/>
      <c r="AC29" s="1378"/>
      <c r="AD29" s="1378"/>
      <c r="AE29" s="1378"/>
      <c r="AF29" s="1378"/>
      <c r="AG29" s="1378"/>
      <c r="AH29" s="1378"/>
      <c r="AI29" s="1378"/>
      <c r="AJ29" s="1378"/>
      <c r="AK29" s="1378"/>
      <c r="AL29" s="1378"/>
      <c r="AM29" s="1378"/>
      <c r="AN29" s="1378"/>
      <c r="AO29" s="1378"/>
      <c r="AP29" s="1378"/>
      <c r="AQ29" s="1378"/>
      <c r="AR29" s="1378"/>
      <c r="AS29" s="1378"/>
      <c r="AT29" s="1378"/>
    </row>
    <row r="30" spans="1:52" ht="13" customHeight="1">
      <c r="A30" s="1378"/>
      <c r="B30" s="1378"/>
      <c r="C30" s="1378"/>
      <c r="D30" s="1378"/>
      <c r="E30" s="1378"/>
      <c r="F30" s="1378"/>
      <c r="G30" s="1378"/>
      <c r="H30" s="1378"/>
      <c r="I30" s="1378"/>
      <c r="J30" s="1378"/>
      <c r="K30" s="1378"/>
      <c r="L30" s="1378"/>
      <c r="M30" s="1378"/>
      <c r="N30" s="1378"/>
      <c r="O30" s="1378"/>
      <c r="P30" s="1378"/>
      <c r="Q30" s="1378"/>
      <c r="R30" s="1378"/>
      <c r="S30" s="1378"/>
      <c r="T30" s="1378"/>
      <c r="U30" s="1378"/>
      <c r="V30" s="1378"/>
      <c r="W30" s="1378"/>
      <c r="X30" s="1378"/>
      <c r="Y30" s="1378"/>
      <c r="Z30" s="1378"/>
      <c r="AA30" s="1378"/>
      <c r="AB30" s="1378"/>
      <c r="AC30" s="1378"/>
      <c r="AD30" s="1378"/>
      <c r="AE30" s="1378"/>
      <c r="AF30" s="1378"/>
      <c r="AG30" s="1378"/>
      <c r="AH30" s="1378"/>
      <c r="AI30" s="1378"/>
      <c r="AJ30" s="1378"/>
      <c r="AK30" s="1378"/>
      <c r="AL30" s="1378"/>
      <c r="AM30" s="1378"/>
      <c r="AN30" s="1378"/>
      <c r="AO30" s="1378"/>
      <c r="AP30" s="1378"/>
      <c r="AQ30" s="1378"/>
      <c r="AR30" s="1378"/>
      <c r="AS30" s="1378"/>
      <c r="AT30" s="1378"/>
      <c r="AZ30" s="16"/>
    </row>
    <row r="31" spans="1:52" ht="13" customHeight="1">
      <c r="A31" s="1378"/>
      <c r="B31" s="1378"/>
      <c r="C31" s="1378"/>
      <c r="D31" s="1378"/>
      <c r="E31" s="1378"/>
      <c r="F31" s="1378"/>
      <c r="G31" s="1378"/>
      <c r="H31" s="1378"/>
      <c r="I31" s="1378"/>
      <c r="J31" s="1378"/>
      <c r="K31" s="1378"/>
      <c r="L31" s="1378"/>
      <c r="M31" s="1378"/>
      <c r="N31" s="1378"/>
      <c r="O31" s="1378"/>
      <c r="P31" s="1378"/>
      <c r="Q31" s="1378"/>
      <c r="R31" s="1378"/>
      <c r="S31" s="1378"/>
      <c r="T31" s="1378"/>
      <c r="U31" s="1378"/>
      <c r="V31" s="1378"/>
      <c r="W31" s="1378"/>
      <c r="X31" s="1378"/>
      <c r="Y31" s="1378"/>
      <c r="Z31" s="1378"/>
      <c r="AA31" s="1378"/>
      <c r="AB31" s="1378"/>
      <c r="AC31" s="1378"/>
      <c r="AD31" s="1378"/>
      <c r="AE31" s="1378"/>
      <c r="AF31" s="1378"/>
      <c r="AG31" s="1378"/>
      <c r="AH31" s="1378"/>
      <c r="AI31" s="1378"/>
      <c r="AJ31" s="1378"/>
      <c r="AK31" s="1378"/>
      <c r="AL31" s="1378"/>
      <c r="AM31" s="1378"/>
      <c r="AN31" s="1378"/>
      <c r="AO31" s="1378"/>
      <c r="AP31" s="1378"/>
      <c r="AQ31" s="1378"/>
      <c r="AR31" s="1378"/>
      <c r="AS31" s="1378"/>
      <c r="AT31" s="1378"/>
      <c r="AU31" s="16"/>
      <c r="AV31" s="16"/>
      <c r="AW31" s="16"/>
      <c r="AX31" s="16"/>
      <c r="AY31" s="16"/>
      <c r="AZ31" s="16"/>
    </row>
    <row r="32" spans="1:52" ht="13" customHeight="1">
      <c r="A32" s="1124"/>
      <c r="C32" s="1124"/>
      <c r="D32" s="1124"/>
      <c r="E32" s="1124"/>
      <c r="F32" s="1124"/>
      <c r="G32" s="1124"/>
      <c r="H32" s="1124"/>
      <c r="I32" s="1124"/>
      <c r="J32" s="1124"/>
      <c r="K32" s="1124"/>
      <c r="L32" s="1124"/>
      <c r="M32" s="1124"/>
      <c r="N32" s="1124"/>
      <c r="O32" s="1124"/>
      <c r="P32" s="1124"/>
      <c r="Q32" s="1124"/>
      <c r="R32" s="1124"/>
      <c r="S32" s="1124"/>
      <c r="T32" s="1124"/>
      <c r="U32" s="1124"/>
      <c r="V32" s="1124"/>
      <c r="W32" s="1124"/>
      <c r="X32" s="1124"/>
      <c r="Y32" s="1124"/>
      <c r="Z32" s="1124"/>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row>
    <row r="33" spans="1:52" ht="13" customHeight="1">
      <c r="A33" s="1124" t="s">
        <v>836</v>
      </c>
      <c r="C33" s="1124"/>
      <c r="D33" s="1124"/>
      <c r="E33" s="1124"/>
      <c r="F33" s="1124"/>
      <c r="G33" s="1124"/>
      <c r="H33" s="1124"/>
      <c r="I33" s="1124"/>
      <c r="J33" s="1124"/>
      <c r="K33" s="1124"/>
      <c r="L33" s="1124"/>
      <c r="M33" s="1124"/>
      <c r="N33" s="1124"/>
      <c r="O33" s="1381" t="s">
        <v>837</v>
      </c>
      <c r="P33" s="1381"/>
      <c r="Q33" s="1379" t="s">
        <v>838</v>
      </c>
      <c r="R33" s="1379"/>
      <c r="S33" s="1379"/>
      <c r="T33" s="1379"/>
      <c r="U33" s="1379"/>
      <c r="V33" s="1379"/>
      <c r="W33" s="1379"/>
      <c r="X33" s="1379"/>
      <c r="Y33" s="1379"/>
      <c r="Z33" s="1379"/>
      <c r="AA33" s="1379"/>
      <c r="AB33" s="1379"/>
      <c r="AC33" s="1379"/>
      <c r="AD33" s="1379"/>
      <c r="AE33" s="1379"/>
      <c r="AF33" s="1379"/>
      <c r="AG33" s="1379"/>
      <c r="AH33" s="1379"/>
      <c r="AI33" s="1379"/>
      <c r="AJ33" s="1379"/>
      <c r="AK33" s="1379"/>
      <c r="AL33" s="1379"/>
      <c r="AM33" s="1379"/>
      <c r="AN33" s="1379"/>
      <c r="AO33" s="1379"/>
      <c r="AP33" s="1379"/>
      <c r="AQ33" s="1379"/>
      <c r="AR33" s="1379"/>
      <c r="AS33" s="1379"/>
      <c r="AT33" s="1379"/>
      <c r="AU33" s="16"/>
      <c r="AV33" s="16"/>
      <c r="AW33" s="16"/>
      <c r="AX33" s="16"/>
      <c r="AY33" s="16"/>
    </row>
    <row r="34" spans="1:52" ht="13" customHeight="1">
      <c r="A34" s="1378" t="s">
        <v>839</v>
      </c>
      <c r="B34" s="1378"/>
      <c r="C34" s="1378"/>
      <c r="D34" s="1378"/>
      <c r="E34" s="1378"/>
      <c r="F34" s="1378"/>
      <c r="G34" s="1378"/>
      <c r="H34" s="1378"/>
      <c r="I34" s="1378"/>
      <c r="J34" s="1378"/>
      <c r="K34" s="1378"/>
      <c r="L34" s="1378"/>
      <c r="M34" s="1378"/>
      <c r="N34" s="1378"/>
      <c r="O34" s="1378"/>
      <c r="P34" s="1378"/>
      <c r="Q34" s="1378"/>
      <c r="R34" s="1378"/>
      <c r="S34" s="1378"/>
      <c r="T34" s="1378"/>
      <c r="U34" s="1378"/>
      <c r="V34" s="1378"/>
      <c r="W34" s="1378"/>
      <c r="X34" s="1378"/>
      <c r="Y34" s="1378"/>
      <c r="Z34" s="1378"/>
      <c r="AA34" s="1378"/>
      <c r="AB34" s="1378"/>
      <c r="AC34" s="1378"/>
      <c r="AD34" s="1378"/>
      <c r="AE34" s="1378"/>
      <c r="AF34" s="1378"/>
      <c r="AG34" s="1378"/>
      <c r="AH34" s="1378"/>
      <c r="AI34" s="1378"/>
      <c r="AJ34" s="1378"/>
      <c r="AK34" s="1378"/>
      <c r="AL34" s="1378"/>
      <c r="AM34" s="1378"/>
      <c r="AN34" s="1378"/>
      <c r="AO34" s="1378"/>
      <c r="AP34" s="1378"/>
      <c r="AQ34" s="1378"/>
      <c r="AR34" s="1378"/>
      <c r="AS34" s="1378"/>
      <c r="AT34" s="1378"/>
      <c r="AU34" s="16"/>
      <c r="AV34" s="16"/>
      <c r="AW34" s="16"/>
      <c r="AX34" s="16"/>
      <c r="AY34" s="16"/>
      <c r="AZ34" s="16"/>
    </row>
    <row r="35" spans="1:52" ht="13" customHeight="1">
      <c r="A35" s="1378"/>
      <c r="B35" s="1378"/>
      <c r="C35" s="1378"/>
      <c r="D35" s="1378"/>
      <c r="E35" s="1378"/>
      <c r="F35" s="1378"/>
      <c r="G35" s="1378"/>
      <c r="H35" s="1378"/>
      <c r="I35" s="1378"/>
      <c r="J35" s="1378"/>
      <c r="K35" s="1378"/>
      <c r="L35" s="1378"/>
      <c r="M35" s="1378"/>
      <c r="N35" s="1378"/>
      <c r="O35" s="1378"/>
      <c r="P35" s="1378"/>
      <c r="Q35" s="1378"/>
      <c r="R35" s="1378"/>
      <c r="S35" s="1378"/>
      <c r="T35" s="1378"/>
      <c r="U35" s="1378"/>
      <c r="V35" s="1378"/>
      <c r="W35" s="1378"/>
      <c r="X35" s="1378"/>
      <c r="Y35" s="1378"/>
      <c r="Z35" s="1378"/>
      <c r="AA35" s="1378"/>
      <c r="AB35" s="1378"/>
      <c r="AC35" s="1378"/>
      <c r="AD35" s="1378"/>
      <c r="AE35" s="1378"/>
      <c r="AF35" s="1378"/>
      <c r="AG35" s="1378"/>
      <c r="AH35" s="1378"/>
      <c r="AI35" s="1378"/>
      <c r="AJ35" s="1378"/>
      <c r="AK35" s="1378"/>
      <c r="AL35" s="1378"/>
      <c r="AM35" s="1378"/>
      <c r="AN35" s="1378"/>
      <c r="AO35" s="1378"/>
      <c r="AP35" s="1378"/>
      <c r="AQ35" s="1378"/>
      <c r="AR35" s="1378"/>
      <c r="AS35" s="1378"/>
      <c r="AT35" s="1378"/>
      <c r="AU35" s="16"/>
      <c r="AV35" s="16"/>
      <c r="AW35" s="16"/>
      <c r="AX35" s="16"/>
      <c r="AY35" s="16"/>
      <c r="AZ35" s="16"/>
    </row>
    <row r="36" spans="1:52" ht="13" customHeight="1">
      <c r="A36" s="1378"/>
      <c r="B36" s="1378"/>
      <c r="C36" s="1378"/>
      <c r="D36" s="1378"/>
      <c r="E36" s="1378"/>
      <c r="F36" s="1378"/>
      <c r="G36" s="1378"/>
      <c r="H36" s="1378"/>
      <c r="I36" s="1378"/>
      <c r="J36" s="1378"/>
      <c r="K36" s="1378"/>
      <c r="L36" s="1378"/>
      <c r="M36" s="1378"/>
      <c r="N36" s="1378"/>
      <c r="O36" s="1378"/>
      <c r="P36" s="1378"/>
      <c r="Q36" s="1378"/>
      <c r="R36" s="1378"/>
      <c r="S36" s="1378"/>
      <c r="T36" s="1378"/>
      <c r="U36" s="1378"/>
      <c r="V36" s="1378"/>
      <c r="W36" s="1378"/>
      <c r="X36" s="1378"/>
      <c r="Y36" s="1378"/>
      <c r="Z36" s="1378"/>
      <c r="AA36" s="1378"/>
      <c r="AB36" s="1378"/>
      <c r="AC36" s="1378"/>
      <c r="AD36" s="1378"/>
      <c r="AE36" s="1378"/>
      <c r="AF36" s="1378"/>
      <c r="AG36" s="1378"/>
      <c r="AH36" s="1378"/>
      <c r="AI36" s="1378"/>
      <c r="AJ36" s="1378"/>
      <c r="AK36" s="1378"/>
      <c r="AL36" s="1378"/>
      <c r="AM36" s="1378"/>
      <c r="AN36" s="1378"/>
      <c r="AO36" s="1378"/>
      <c r="AP36" s="1378"/>
      <c r="AQ36" s="1378"/>
      <c r="AR36" s="1378"/>
      <c r="AS36" s="1378"/>
      <c r="AT36" s="1378"/>
      <c r="AU36" s="16"/>
      <c r="AV36" s="16"/>
      <c r="AW36" s="16"/>
      <c r="AX36" s="16"/>
      <c r="AY36" s="16"/>
      <c r="AZ36" s="16"/>
    </row>
    <row r="37" spans="1:52" ht="13" customHeight="1">
      <c r="A37" s="1378"/>
      <c r="B37" s="1378"/>
      <c r="C37" s="1378"/>
      <c r="D37" s="1378"/>
      <c r="E37" s="1378"/>
      <c r="F37" s="1378"/>
      <c r="G37" s="1378"/>
      <c r="H37" s="1378"/>
      <c r="I37" s="1378"/>
      <c r="J37" s="1378"/>
      <c r="K37" s="1378"/>
      <c r="L37" s="1378"/>
      <c r="M37" s="1378"/>
      <c r="N37" s="1378"/>
      <c r="O37" s="1378"/>
      <c r="P37" s="1378"/>
      <c r="Q37" s="1378"/>
      <c r="R37" s="1378"/>
      <c r="S37" s="1378"/>
      <c r="T37" s="1378"/>
      <c r="U37" s="1378"/>
      <c r="V37" s="1378"/>
      <c r="W37" s="1378"/>
      <c r="X37" s="1378"/>
      <c r="Y37" s="1378"/>
      <c r="Z37" s="1378"/>
      <c r="AA37" s="1378"/>
      <c r="AB37" s="1378"/>
      <c r="AC37" s="1378"/>
      <c r="AD37" s="1378"/>
      <c r="AE37" s="1378"/>
      <c r="AF37" s="1378"/>
      <c r="AG37" s="1378"/>
      <c r="AH37" s="1378"/>
      <c r="AI37" s="1378"/>
      <c r="AJ37" s="1378"/>
      <c r="AK37" s="1378"/>
      <c r="AL37" s="1378"/>
      <c r="AM37" s="1378"/>
      <c r="AN37" s="1378"/>
      <c r="AO37" s="1378"/>
      <c r="AP37" s="1378"/>
      <c r="AQ37" s="1378"/>
      <c r="AR37" s="1378"/>
      <c r="AS37" s="1378"/>
      <c r="AT37" s="1378"/>
      <c r="AZ37" s="16"/>
    </row>
    <row r="38" spans="1:52" ht="13" customHeight="1">
      <c r="A38" s="2"/>
      <c r="AZ38" s="16"/>
    </row>
    <row r="39" spans="1:52" ht="13" customHeight="1">
      <c r="A39" s="1222" t="s">
        <v>840</v>
      </c>
      <c r="B39" s="1222"/>
      <c r="C39" s="1222"/>
      <c r="D39" s="1222"/>
      <c r="E39" s="1222"/>
      <c r="F39" s="1222"/>
      <c r="G39" s="1222"/>
      <c r="H39" s="1222"/>
      <c r="I39" s="1222"/>
      <c r="J39" s="1222"/>
      <c r="K39" s="1222"/>
      <c r="L39" s="1222"/>
      <c r="M39" s="1222"/>
      <c r="N39" s="1222"/>
      <c r="O39" s="1222"/>
      <c r="P39" s="1222"/>
      <c r="Q39" s="1222"/>
      <c r="R39" s="1222"/>
      <c r="S39" s="1222"/>
      <c r="T39" s="1222"/>
      <c r="U39" s="1222"/>
      <c r="V39" s="1222"/>
      <c r="W39" s="1222"/>
      <c r="X39" s="1222"/>
      <c r="Y39" s="1222"/>
      <c r="Z39" s="1222"/>
      <c r="AA39" s="1222"/>
      <c r="AB39" s="1222"/>
      <c r="AC39" s="1222"/>
      <c r="AD39" s="1222"/>
      <c r="AE39" s="1222"/>
      <c r="AF39" s="1222"/>
      <c r="AG39" s="1222"/>
      <c r="AH39" s="1222"/>
      <c r="AI39" s="1222"/>
      <c r="AJ39" s="1222"/>
      <c r="AK39" s="1222"/>
      <c r="AL39" s="1222"/>
      <c r="AM39" s="1222"/>
      <c r="AN39" s="1222"/>
      <c r="AO39" s="1222"/>
      <c r="AP39" s="1222"/>
      <c r="AQ39" s="1222"/>
      <c r="AR39" s="1222"/>
      <c r="AS39" s="1222"/>
      <c r="AT39" s="1222"/>
      <c r="AZ39" s="16"/>
    </row>
    <row r="40" spans="1:52" ht="13" customHeight="1">
      <c r="A40" s="1222"/>
      <c r="B40" s="1222"/>
      <c r="C40" s="1222"/>
      <c r="D40" s="1222"/>
      <c r="E40" s="1222"/>
      <c r="F40" s="1222"/>
      <c r="G40" s="1222"/>
      <c r="H40" s="1222"/>
      <c r="I40" s="1222"/>
      <c r="J40" s="1222"/>
      <c r="K40" s="1222"/>
      <c r="L40" s="1222"/>
      <c r="M40" s="1222"/>
      <c r="N40" s="1222"/>
      <c r="O40" s="1222"/>
      <c r="P40" s="1222"/>
      <c r="Q40" s="1222"/>
      <c r="R40" s="1222"/>
      <c r="S40" s="1222"/>
      <c r="T40" s="1222"/>
      <c r="U40" s="1222"/>
      <c r="V40" s="1222"/>
      <c r="W40" s="1222"/>
      <c r="X40" s="1222"/>
      <c r="Y40" s="1222"/>
      <c r="Z40" s="1222"/>
      <c r="AA40" s="1222"/>
      <c r="AB40" s="1222"/>
      <c r="AC40" s="1222"/>
      <c r="AD40" s="1222"/>
      <c r="AE40" s="1222"/>
      <c r="AF40" s="1222"/>
      <c r="AG40" s="1222"/>
      <c r="AH40" s="1222"/>
      <c r="AI40" s="1222"/>
      <c r="AJ40" s="1222"/>
      <c r="AK40" s="1222"/>
      <c r="AL40" s="1222"/>
      <c r="AM40" s="1222"/>
      <c r="AN40" s="1222"/>
      <c r="AO40" s="1222"/>
      <c r="AP40" s="1222"/>
      <c r="AQ40" s="1222"/>
      <c r="AR40" s="1222"/>
      <c r="AS40" s="1222"/>
      <c r="AT40" s="1222"/>
      <c r="AU40" s="16"/>
      <c r="AV40" s="16"/>
      <c r="AW40" s="16"/>
      <c r="AX40" s="16"/>
      <c r="AY40" s="16"/>
      <c r="AZ40" s="16"/>
    </row>
    <row r="41" spans="1:52" ht="13" customHeight="1">
      <c r="A41" s="1222"/>
      <c r="B41" s="1222"/>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6"/>
      <c r="AV41" s="16"/>
      <c r="AW41" s="16"/>
      <c r="AX41" s="16"/>
      <c r="AY41" s="16"/>
      <c r="AZ41" s="16"/>
    </row>
    <row r="42" spans="1:52" ht="13" customHeight="1">
      <c r="A42" s="1222"/>
      <c r="B42" s="1222"/>
      <c r="C42" s="1222"/>
      <c r="D42" s="1222"/>
      <c r="E42" s="1222"/>
      <c r="F42" s="1222"/>
      <c r="G42" s="1222"/>
      <c r="H42" s="1222"/>
      <c r="I42" s="1222"/>
      <c r="J42" s="1222"/>
      <c r="K42" s="1222"/>
      <c r="L42" s="1222"/>
      <c r="M42" s="1222"/>
      <c r="N42" s="1222"/>
      <c r="O42" s="1222"/>
      <c r="P42" s="1222"/>
      <c r="Q42" s="1222"/>
      <c r="R42" s="1222"/>
      <c r="S42" s="1222"/>
      <c r="T42" s="1222"/>
      <c r="U42" s="1222"/>
      <c r="V42" s="1222"/>
      <c r="W42" s="1222"/>
      <c r="X42" s="1222"/>
      <c r="Y42" s="1222"/>
      <c r="Z42" s="1222"/>
      <c r="AA42" s="1222"/>
      <c r="AB42" s="1222"/>
      <c r="AC42" s="1222"/>
      <c r="AD42" s="1222"/>
      <c r="AE42" s="1222"/>
      <c r="AF42" s="1222"/>
      <c r="AG42" s="1222"/>
      <c r="AH42" s="1222"/>
      <c r="AI42" s="1222"/>
      <c r="AJ42" s="1222"/>
      <c r="AK42" s="1222"/>
      <c r="AL42" s="1222"/>
      <c r="AM42" s="1222"/>
      <c r="AN42" s="1222"/>
      <c r="AO42" s="1222"/>
      <c r="AP42" s="1222"/>
      <c r="AQ42" s="1222"/>
      <c r="AR42" s="1222"/>
      <c r="AS42" s="1222"/>
      <c r="AT42" s="1222"/>
      <c r="AZ42" s="16"/>
    </row>
    <row r="43" spans="1:52" ht="13" customHeight="1">
      <c r="A43" s="1222"/>
      <c r="B43" s="1222"/>
      <c r="C43" s="1222"/>
      <c r="D43" s="1222"/>
      <c r="E43" s="1222"/>
      <c r="F43" s="1222"/>
      <c r="G43" s="1222"/>
      <c r="H43" s="1222"/>
      <c r="I43" s="1222"/>
      <c r="J43" s="1222"/>
      <c r="K43" s="1222"/>
      <c r="L43" s="1222"/>
      <c r="M43" s="1222"/>
      <c r="N43" s="1222"/>
      <c r="O43" s="1222"/>
      <c r="P43" s="1222"/>
      <c r="Q43" s="1222"/>
      <c r="R43" s="1222"/>
      <c r="S43" s="1222"/>
      <c r="T43" s="1222"/>
      <c r="U43" s="1222"/>
      <c r="V43" s="1222"/>
      <c r="W43" s="1222"/>
      <c r="X43" s="1222"/>
      <c r="Y43" s="1222"/>
      <c r="Z43" s="1222"/>
      <c r="AA43" s="1222"/>
      <c r="AB43" s="1222"/>
      <c r="AC43" s="1222"/>
      <c r="AD43" s="1222"/>
      <c r="AE43" s="1222"/>
      <c r="AF43" s="1222"/>
      <c r="AG43" s="1222"/>
      <c r="AH43" s="1222"/>
      <c r="AI43" s="1222"/>
      <c r="AJ43" s="1222"/>
      <c r="AK43" s="1222"/>
      <c r="AL43" s="1222"/>
      <c r="AM43" s="1222"/>
      <c r="AN43" s="1222"/>
      <c r="AO43" s="1222"/>
      <c r="AP43" s="1222"/>
      <c r="AQ43" s="1222"/>
      <c r="AR43" s="1222"/>
      <c r="AS43" s="1222"/>
      <c r="AT43" s="1222"/>
      <c r="AU43" s="16"/>
      <c r="AV43" s="16"/>
      <c r="AW43" s="16"/>
      <c r="AX43" s="16"/>
      <c r="AY43" s="16"/>
      <c r="AZ43" s="16"/>
    </row>
    <row r="44" spans="1:52" ht="13" customHeight="1">
      <c r="A44" s="1222"/>
      <c r="B44" s="1222"/>
      <c r="C44" s="1222"/>
      <c r="D44" s="1222"/>
      <c r="E44" s="1222"/>
      <c r="F44" s="1222"/>
      <c r="G44" s="1222"/>
      <c r="H44" s="1222"/>
      <c r="I44" s="1222"/>
      <c r="J44" s="1222"/>
      <c r="K44" s="1222"/>
      <c r="L44" s="1222"/>
      <c r="M44" s="1222"/>
      <c r="N44" s="1222"/>
      <c r="O44" s="1222"/>
      <c r="P44" s="1222"/>
      <c r="Q44" s="1222"/>
      <c r="R44" s="1222"/>
      <c r="S44" s="1222"/>
      <c r="T44" s="1222"/>
      <c r="U44" s="1222"/>
      <c r="V44" s="1222"/>
      <c r="W44" s="1222"/>
      <c r="X44" s="1222"/>
      <c r="Y44" s="1222"/>
      <c r="Z44" s="1222"/>
      <c r="AA44" s="1222"/>
      <c r="AB44" s="1222"/>
      <c r="AC44" s="1222"/>
      <c r="AD44" s="1222"/>
      <c r="AE44" s="1222"/>
      <c r="AF44" s="1222"/>
      <c r="AG44" s="1222"/>
      <c r="AH44" s="1222"/>
      <c r="AI44" s="1222"/>
      <c r="AJ44" s="1222"/>
      <c r="AK44" s="1222"/>
      <c r="AL44" s="1222"/>
      <c r="AM44" s="1222"/>
      <c r="AN44" s="1222"/>
      <c r="AO44" s="1222"/>
      <c r="AP44" s="1222"/>
      <c r="AQ44" s="1222"/>
      <c r="AR44" s="1222"/>
      <c r="AS44" s="1222"/>
      <c r="AT44" s="1222"/>
      <c r="AU44" s="16"/>
      <c r="AV44" s="16"/>
      <c r="AW44" s="16"/>
      <c r="AX44" s="16"/>
      <c r="AY44" s="16"/>
      <c r="AZ44" s="16"/>
    </row>
    <row r="45" spans="1:52" ht="13" customHeight="1">
      <c r="A45" s="1124"/>
      <c r="C45" s="1124"/>
      <c r="D45" s="1124"/>
      <c r="E45" s="1124"/>
      <c r="F45" s="1124"/>
      <c r="G45" s="1124"/>
      <c r="H45" s="1124"/>
      <c r="I45" s="1124"/>
      <c r="J45" s="1124"/>
      <c r="K45" s="1124"/>
      <c r="L45" s="1124"/>
      <c r="M45" s="1124"/>
      <c r="N45" s="1124"/>
      <c r="O45" s="1124"/>
      <c r="P45" s="1124"/>
      <c r="Q45" s="1124"/>
      <c r="R45" s="1124"/>
      <c r="S45" s="1124"/>
      <c r="T45" s="1124"/>
      <c r="U45" s="1124"/>
      <c r="V45" s="1124"/>
      <c r="W45" s="1124"/>
      <c r="X45" s="1124"/>
      <c r="Y45" s="1124"/>
      <c r="Z45" s="1124"/>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row>
    <row r="46" spans="1:52" ht="13" customHeight="1">
      <c r="A46" s="1282" t="s">
        <v>841</v>
      </c>
      <c r="B46" s="1282"/>
      <c r="C46" s="1282"/>
      <c r="D46" s="1282"/>
      <c r="E46" s="1282"/>
      <c r="F46" s="1282"/>
      <c r="G46" s="1282"/>
      <c r="H46" s="1282"/>
      <c r="I46" s="1282"/>
      <c r="J46" s="1282"/>
      <c r="K46" s="1282"/>
      <c r="L46" s="1282"/>
      <c r="M46" s="1282"/>
      <c r="N46" s="1282"/>
      <c r="O46" s="1282"/>
      <c r="P46" s="1282"/>
      <c r="Q46" s="1282"/>
      <c r="R46" s="1282"/>
      <c r="S46" s="1282"/>
      <c r="T46" s="1282"/>
      <c r="U46" s="1282"/>
      <c r="V46" s="1282"/>
      <c r="W46" s="1282"/>
      <c r="X46" s="1282"/>
      <c r="Y46" s="1282"/>
      <c r="Z46" s="1282"/>
      <c r="AA46" s="1282"/>
      <c r="AB46" s="1282"/>
      <c r="AC46" s="1282"/>
      <c r="AD46" s="1282"/>
      <c r="AE46" s="1282"/>
      <c r="AF46" s="1282"/>
      <c r="AG46" s="1282"/>
      <c r="AH46" s="1282"/>
      <c r="AI46" s="1282"/>
      <c r="AJ46" s="1282"/>
      <c r="AK46" s="1282"/>
      <c r="AL46" s="1282"/>
      <c r="AM46" s="1282"/>
      <c r="AN46" s="1282"/>
      <c r="AO46" s="1282"/>
      <c r="AP46" s="1282"/>
      <c r="AQ46" s="1282"/>
      <c r="AR46" s="1282"/>
      <c r="AS46" s="1282"/>
      <c r="AT46" s="1282"/>
      <c r="AU46" s="16"/>
      <c r="AV46" s="16"/>
      <c r="AW46" s="16"/>
      <c r="AX46" s="16"/>
      <c r="AY46" s="16"/>
      <c r="AZ46" s="16"/>
    </row>
    <row r="47" spans="1:52" ht="13" customHeight="1">
      <c r="A47" s="1282"/>
      <c r="B47" s="1282"/>
      <c r="C47" s="1282"/>
      <c r="D47" s="1282"/>
      <c r="E47" s="1282"/>
      <c r="F47" s="1282"/>
      <c r="G47" s="1282"/>
      <c r="H47" s="1282"/>
      <c r="I47" s="1282"/>
      <c r="J47" s="1282"/>
      <c r="K47" s="1282"/>
      <c r="L47" s="1282"/>
      <c r="M47" s="1282"/>
      <c r="N47" s="1282"/>
      <c r="O47" s="1282"/>
      <c r="P47" s="1282"/>
      <c r="Q47" s="1282"/>
      <c r="R47" s="1282"/>
      <c r="S47" s="1282"/>
      <c r="T47" s="1282"/>
      <c r="U47" s="1282"/>
      <c r="V47" s="1282"/>
      <c r="W47" s="1282"/>
      <c r="X47" s="1282"/>
      <c r="Y47" s="1282"/>
      <c r="Z47" s="1282"/>
      <c r="AA47" s="1282"/>
      <c r="AB47" s="1282"/>
      <c r="AC47" s="1282"/>
      <c r="AD47" s="1282"/>
      <c r="AE47" s="1282"/>
      <c r="AF47" s="1282"/>
      <c r="AG47" s="1282"/>
      <c r="AH47" s="1282"/>
      <c r="AI47" s="1282"/>
      <c r="AJ47" s="1282"/>
      <c r="AK47" s="1282"/>
      <c r="AL47" s="1282"/>
      <c r="AM47" s="1282"/>
      <c r="AN47" s="1282"/>
      <c r="AO47" s="1282"/>
      <c r="AP47" s="1282"/>
      <c r="AQ47" s="1282"/>
      <c r="AR47" s="1282"/>
      <c r="AS47" s="1282"/>
      <c r="AT47" s="1282"/>
      <c r="AU47" s="16"/>
      <c r="AV47" s="16"/>
      <c r="AW47" s="16"/>
      <c r="AX47" s="16"/>
      <c r="AY47" s="16"/>
      <c r="AZ47" s="16"/>
    </row>
    <row r="48" spans="1:52" ht="13" customHeight="1">
      <c r="A48" s="1282"/>
      <c r="B48" s="1282"/>
      <c r="C48" s="1282"/>
      <c r="D48" s="1282"/>
      <c r="E48" s="1282"/>
      <c r="F48" s="1282"/>
      <c r="G48" s="1282"/>
      <c r="H48" s="1282"/>
      <c r="I48" s="1282"/>
      <c r="J48" s="1282"/>
      <c r="K48" s="1282"/>
      <c r="L48" s="1282"/>
      <c r="M48" s="1282"/>
      <c r="N48" s="1282"/>
      <c r="O48" s="1282"/>
      <c r="P48" s="1282"/>
      <c r="Q48" s="1282"/>
      <c r="R48" s="1282"/>
      <c r="S48" s="1282"/>
      <c r="T48" s="1282"/>
      <c r="U48" s="1282"/>
      <c r="V48" s="1282"/>
      <c r="W48" s="1282"/>
      <c r="X48" s="1282"/>
      <c r="Y48" s="1282"/>
      <c r="Z48" s="1282"/>
      <c r="AA48" s="1282"/>
      <c r="AB48" s="1282"/>
      <c r="AC48" s="1282"/>
      <c r="AD48" s="1282"/>
      <c r="AE48" s="1282"/>
      <c r="AF48" s="1282"/>
      <c r="AG48" s="1282"/>
      <c r="AH48" s="1282"/>
      <c r="AI48" s="1282"/>
      <c r="AJ48" s="1282"/>
      <c r="AK48" s="1282"/>
      <c r="AL48" s="1282"/>
      <c r="AM48" s="1282"/>
      <c r="AN48" s="1282"/>
      <c r="AO48" s="1282"/>
      <c r="AP48" s="1282"/>
      <c r="AQ48" s="1282"/>
      <c r="AR48" s="1282"/>
      <c r="AS48" s="1282"/>
      <c r="AT48" s="1282"/>
      <c r="AU48" s="16"/>
      <c r="AV48" s="16"/>
      <c r="AW48" s="16"/>
      <c r="AX48" s="16"/>
      <c r="AY48" s="16"/>
      <c r="AZ48" s="16"/>
    </row>
    <row r="49" spans="1:52" ht="13" customHeight="1">
      <c r="A49" s="1282"/>
      <c r="B49" s="1282"/>
      <c r="C49" s="1282"/>
      <c r="D49" s="1282"/>
      <c r="E49" s="1282"/>
      <c r="F49" s="1282"/>
      <c r="G49" s="1282"/>
      <c r="H49" s="1282"/>
      <c r="I49" s="1282"/>
      <c r="J49" s="1282"/>
      <c r="K49" s="1282"/>
      <c r="L49" s="1282"/>
      <c r="M49" s="1282"/>
      <c r="N49" s="1282"/>
      <c r="O49" s="1282"/>
      <c r="P49" s="1282"/>
      <c r="Q49" s="1282"/>
      <c r="R49" s="1282"/>
      <c r="S49" s="1282"/>
      <c r="T49" s="1282"/>
      <c r="U49" s="1282"/>
      <c r="V49" s="1282"/>
      <c r="W49" s="1282"/>
      <c r="X49" s="1282"/>
      <c r="Y49" s="1282"/>
      <c r="Z49" s="1282"/>
      <c r="AA49" s="1282"/>
      <c r="AB49" s="1282"/>
      <c r="AC49" s="1282"/>
      <c r="AD49" s="1282"/>
      <c r="AE49" s="1282"/>
      <c r="AF49" s="1282"/>
      <c r="AG49" s="1282"/>
      <c r="AH49" s="1282"/>
      <c r="AI49" s="1282"/>
      <c r="AJ49" s="1282"/>
      <c r="AK49" s="1282"/>
      <c r="AL49" s="1282"/>
      <c r="AM49" s="1282"/>
      <c r="AN49" s="1282"/>
      <c r="AO49" s="1282"/>
      <c r="AP49" s="1282"/>
      <c r="AQ49" s="1282"/>
      <c r="AR49" s="1282"/>
      <c r="AS49" s="1282"/>
      <c r="AT49" s="1282"/>
      <c r="AU49" s="16"/>
      <c r="AV49" s="16"/>
      <c r="AW49" s="16"/>
      <c r="AX49" s="16"/>
      <c r="AY49" s="16"/>
      <c r="AZ49" s="16"/>
    </row>
    <row r="50" spans="1:52" ht="13" customHeight="1">
      <c r="A50" s="1137"/>
      <c r="B50" s="1137"/>
      <c r="C50" s="1137"/>
      <c r="D50" s="1137"/>
      <c r="E50" s="1137"/>
      <c r="F50" s="1137"/>
      <c r="G50" s="1137"/>
      <c r="H50" s="1137"/>
      <c r="I50" s="1137"/>
      <c r="J50" s="1137"/>
      <c r="K50" s="1137"/>
      <c r="L50" s="1137"/>
      <c r="M50" s="1137"/>
      <c r="N50" s="1137"/>
      <c r="O50" s="1137"/>
      <c r="P50" s="1137"/>
      <c r="Q50" s="1137"/>
      <c r="R50" s="1137"/>
      <c r="S50" s="1137"/>
      <c r="T50" s="1137"/>
      <c r="U50" s="1137"/>
      <c r="V50" s="1137"/>
      <c r="W50" s="1137"/>
      <c r="X50" s="1137"/>
      <c r="Y50" s="1137"/>
      <c r="Z50" s="1137"/>
      <c r="AA50" s="1137"/>
      <c r="AB50" s="1137"/>
      <c r="AC50" s="1137"/>
      <c r="AD50" s="1137"/>
      <c r="AE50" s="1137"/>
      <c r="AF50" s="1137"/>
      <c r="AG50" s="1137"/>
      <c r="AH50" s="1137"/>
      <c r="AI50" s="1137"/>
      <c r="AJ50" s="1137"/>
      <c r="AK50" s="1137"/>
      <c r="AL50" s="1137"/>
      <c r="AM50" s="1137"/>
      <c r="AN50" s="1137"/>
      <c r="AO50" s="1137"/>
      <c r="AP50" s="1137"/>
      <c r="AQ50" s="1137"/>
      <c r="AR50" s="1137"/>
      <c r="AS50" s="1137"/>
      <c r="AT50" s="1137"/>
      <c r="AU50" s="16"/>
      <c r="AV50" s="16"/>
      <c r="AW50" s="16"/>
      <c r="AX50" s="16"/>
      <c r="AY50" s="16"/>
      <c r="AZ50" s="16"/>
    </row>
    <row r="51" spans="1:52" ht="13" customHeight="1">
      <c r="A51" s="1222" t="s">
        <v>842</v>
      </c>
      <c r="B51" s="1222"/>
      <c r="C51" s="1222"/>
      <c r="D51" s="1222"/>
      <c r="E51" s="1222"/>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c r="AL51" s="1222"/>
      <c r="AM51" s="1222"/>
      <c r="AN51" s="1222"/>
      <c r="AO51" s="1222"/>
      <c r="AP51" s="1222"/>
      <c r="AQ51" s="1222"/>
      <c r="AR51" s="1222"/>
      <c r="AS51" s="1222"/>
      <c r="AT51" s="1222"/>
      <c r="AU51" s="16"/>
      <c r="AV51" s="16"/>
      <c r="AW51" s="16"/>
      <c r="AX51" s="16"/>
      <c r="AY51" s="16"/>
      <c r="AZ51" s="16"/>
    </row>
    <row r="52" spans="1:52" ht="13" customHeight="1">
      <c r="A52" s="1222"/>
      <c r="B52" s="1222"/>
      <c r="C52" s="1222"/>
      <c r="D52" s="1222"/>
      <c r="E52" s="1222"/>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c r="AL52" s="1222"/>
      <c r="AM52" s="1222"/>
      <c r="AN52" s="1222"/>
      <c r="AO52" s="1222"/>
      <c r="AP52" s="1222"/>
      <c r="AQ52" s="1222"/>
      <c r="AR52" s="1222"/>
      <c r="AS52" s="1222"/>
      <c r="AT52" s="1222"/>
      <c r="AU52" s="16"/>
      <c r="AV52" s="16"/>
      <c r="AW52" s="16"/>
      <c r="AX52" s="16"/>
      <c r="AY52" s="16"/>
      <c r="AZ52" s="16"/>
    </row>
    <row r="53" spans="1:52" ht="13" customHeight="1">
      <c r="C53" s="1124"/>
      <c r="D53" s="1124"/>
      <c r="E53" s="1124"/>
      <c r="F53" s="1124"/>
      <c r="G53" s="1124"/>
      <c r="H53" s="1124"/>
      <c r="I53" s="1124"/>
      <c r="J53" s="1124"/>
      <c r="K53" s="1124"/>
      <c r="L53" s="1124"/>
      <c r="M53" s="1124"/>
      <c r="N53" s="1124"/>
      <c r="O53" s="1124"/>
      <c r="P53" s="1124"/>
      <c r="Q53" s="1124"/>
      <c r="R53" s="1124"/>
      <c r="S53" s="1124"/>
      <c r="T53" s="1124"/>
      <c r="U53" s="1124"/>
      <c r="V53" s="1124"/>
      <c r="W53" s="1124"/>
      <c r="X53" s="1124"/>
      <c r="Y53" s="1124"/>
      <c r="Z53" s="1124"/>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row>
    <row r="54" spans="1:52" ht="13" customHeight="1">
      <c r="A54" s="1222" t="s">
        <v>843</v>
      </c>
      <c r="B54" s="1222"/>
      <c r="C54" s="1222"/>
      <c r="D54" s="1222"/>
      <c r="E54" s="1222"/>
      <c r="F54" s="1222"/>
      <c r="G54" s="1222"/>
      <c r="H54" s="1222"/>
      <c r="I54" s="1222"/>
      <c r="J54" s="1222"/>
      <c r="K54" s="1222"/>
      <c r="L54" s="1222"/>
      <c r="M54" s="1222"/>
      <c r="N54" s="1222"/>
      <c r="O54" s="1222"/>
      <c r="P54" s="1222"/>
      <c r="Q54" s="1222"/>
      <c r="R54" s="1222"/>
      <c r="S54" s="1222"/>
      <c r="T54" s="1222"/>
      <c r="U54" s="1222"/>
      <c r="V54" s="1222"/>
      <c r="W54" s="1222"/>
      <c r="X54" s="1222"/>
      <c r="Y54" s="1222"/>
      <c r="Z54" s="1222"/>
      <c r="AA54" s="1222"/>
      <c r="AB54" s="1222"/>
      <c r="AC54" s="1222"/>
      <c r="AD54" s="1222"/>
      <c r="AE54" s="1222"/>
      <c r="AF54" s="1222"/>
      <c r="AG54" s="1222"/>
      <c r="AH54" s="1222"/>
      <c r="AI54" s="1222"/>
      <c r="AJ54" s="1222"/>
      <c r="AK54" s="1222"/>
      <c r="AL54" s="1222"/>
      <c r="AM54" s="1222"/>
      <c r="AN54" s="1222"/>
      <c r="AO54" s="1222"/>
      <c r="AP54" s="1222"/>
      <c r="AQ54" s="1222"/>
      <c r="AR54" s="1222"/>
      <c r="AS54" s="1222"/>
      <c r="AT54" s="1222"/>
      <c r="AU54" s="16"/>
      <c r="AV54" s="16"/>
      <c r="AW54" s="16"/>
      <c r="AX54" s="16"/>
      <c r="AY54" s="16"/>
      <c r="AZ54" s="17"/>
    </row>
    <row r="55" spans="1:52" ht="13" customHeight="1">
      <c r="A55" s="1222"/>
      <c r="B55" s="1222"/>
      <c r="C55" s="1222"/>
      <c r="D55" s="1222"/>
      <c r="E55" s="1222"/>
      <c r="F55" s="1222"/>
      <c r="G55" s="1222"/>
      <c r="H55" s="1222"/>
      <c r="I55" s="1222"/>
      <c r="J55" s="1222"/>
      <c r="K55" s="1222"/>
      <c r="L55" s="1222"/>
      <c r="M55" s="1222"/>
      <c r="N55" s="1222"/>
      <c r="O55" s="1222"/>
      <c r="P55" s="1222"/>
      <c r="Q55" s="1222"/>
      <c r="R55" s="1222"/>
      <c r="S55" s="1222"/>
      <c r="T55" s="1222"/>
      <c r="U55" s="1222"/>
      <c r="V55" s="1222"/>
      <c r="W55" s="1222"/>
      <c r="X55" s="1222"/>
      <c r="Y55" s="1222"/>
      <c r="Z55" s="1222"/>
      <c r="AA55" s="1222"/>
      <c r="AB55" s="1222"/>
      <c r="AC55" s="1222"/>
      <c r="AD55" s="1222"/>
      <c r="AE55" s="1222"/>
      <c r="AF55" s="1222"/>
      <c r="AG55" s="1222"/>
      <c r="AH55" s="1222"/>
      <c r="AI55" s="1222"/>
      <c r="AJ55" s="1222"/>
      <c r="AK55" s="1222"/>
      <c r="AL55" s="1222"/>
      <c r="AM55" s="1222"/>
      <c r="AN55" s="1222"/>
      <c r="AO55" s="1222"/>
      <c r="AP55" s="1222"/>
      <c r="AQ55" s="1222"/>
      <c r="AR55" s="1222"/>
      <c r="AS55" s="1222"/>
      <c r="AT55" s="1222"/>
      <c r="AZ55" s="17"/>
    </row>
    <row r="56" spans="1:52" ht="13" customHeight="1">
      <c r="A56" s="1222"/>
      <c r="B56" s="1222"/>
      <c r="C56" s="1222"/>
      <c r="D56" s="1222"/>
      <c r="E56" s="1222"/>
      <c r="F56" s="1222"/>
      <c r="G56" s="1222"/>
      <c r="H56" s="1222"/>
      <c r="I56" s="1222"/>
      <c r="J56" s="1222"/>
      <c r="K56" s="1222"/>
      <c r="L56" s="1222"/>
      <c r="M56" s="1222"/>
      <c r="N56" s="1222"/>
      <c r="O56" s="1222"/>
      <c r="P56" s="1222"/>
      <c r="Q56" s="1222"/>
      <c r="R56" s="1222"/>
      <c r="S56" s="1222"/>
      <c r="T56" s="1222"/>
      <c r="U56" s="1222"/>
      <c r="V56" s="1222"/>
      <c r="W56" s="1222"/>
      <c r="X56" s="1222"/>
      <c r="Y56" s="1222"/>
      <c r="Z56" s="1222"/>
      <c r="AA56" s="1222"/>
      <c r="AB56" s="1222"/>
      <c r="AC56" s="1222"/>
      <c r="AD56" s="1222"/>
      <c r="AE56" s="1222"/>
      <c r="AF56" s="1222"/>
      <c r="AG56" s="1222"/>
      <c r="AH56" s="1222"/>
      <c r="AI56" s="1222"/>
      <c r="AJ56" s="1222"/>
      <c r="AK56" s="1222"/>
      <c r="AL56" s="1222"/>
      <c r="AM56" s="1222"/>
      <c r="AN56" s="1222"/>
      <c r="AO56" s="1222"/>
      <c r="AP56" s="1222"/>
      <c r="AQ56" s="1222"/>
      <c r="AR56" s="1222"/>
      <c r="AS56" s="1222"/>
      <c r="AT56" s="1222"/>
    </row>
    <row r="57" spans="1:52" ht="13" customHeight="1">
      <c r="A57" s="1222"/>
      <c r="B57" s="1222"/>
      <c r="C57" s="1222"/>
      <c r="D57" s="1222"/>
      <c r="E57" s="1222"/>
      <c r="F57" s="1222"/>
      <c r="G57" s="1222"/>
      <c r="H57" s="1222"/>
      <c r="I57" s="1222"/>
      <c r="J57" s="1222"/>
      <c r="K57" s="1222"/>
      <c r="L57" s="1222"/>
      <c r="M57" s="1222"/>
      <c r="N57" s="1222"/>
      <c r="O57" s="1222"/>
      <c r="P57" s="1222"/>
      <c r="Q57" s="1222"/>
      <c r="R57" s="1222"/>
      <c r="S57" s="1222"/>
      <c r="T57" s="1222"/>
      <c r="U57" s="1222"/>
      <c r="V57" s="1222"/>
      <c r="W57" s="1222"/>
      <c r="X57" s="1222"/>
      <c r="Y57" s="1222"/>
      <c r="Z57" s="1222"/>
      <c r="AA57" s="1222"/>
      <c r="AB57" s="1222"/>
      <c r="AC57" s="1222"/>
      <c r="AD57" s="1222"/>
      <c r="AE57" s="1222"/>
      <c r="AF57" s="1222"/>
      <c r="AG57" s="1222"/>
      <c r="AH57" s="1222"/>
      <c r="AI57" s="1222"/>
      <c r="AJ57" s="1222"/>
      <c r="AK57" s="1222"/>
      <c r="AL57" s="1222"/>
      <c r="AM57" s="1222"/>
      <c r="AN57" s="1222"/>
      <c r="AO57" s="1222"/>
      <c r="AP57" s="1222"/>
      <c r="AQ57" s="1222"/>
      <c r="AR57" s="1222"/>
      <c r="AS57" s="1222"/>
      <c r="AT57" s="1222"/>
    </row>
    <row r="58" spans="1:52" ht="13" customHeight="1">
      <c r="A58" s="1222"/>
      <c r="B58" s="1222"/>
      <c r="C58" s="1222"/>
      <c r="D58" s="1222"/>
      <c r="E58" s="1222"/>
      <c r="F58" s="1222"/>
      <c r="G58" s="1222"/>
      <c r="H58" s="1222"/>
      <c r="I58" s="1222"/>
      <c r="J58" s="1222"/>
      <c r="K58" s="1222"/>
      <c r="L58" s="1222"/>
      <c r="M58" s="1222"/>
      <c r="N58" s="1222"/>
      <c r="O58" s="1222"/>
      <c r="P58" s="1222"/>
      <c r="Q58" s="1222"/>
      <c r="R58" s="1222"/>
      <c r="S58" s="1222"/>
      <c r="T58" s="1222"/>
      <c r="U58" s="1222"/>
      <c r="V58" s="1222"/>
      <c r="W58" s="1222"/>
      <c r="X58" s="1222"/>
      <c r="Y58" s="1222"/>
      <c r="Z58" s="1222"/>
      <c r="AA58" s="1222"/>
      <c r="AB58" s="1222"/>
      <c r="AC58" s="1222"/>
      <c r="AD58" s="1222"/>
      <c r="AE58" s="1222"/>
      <c r="AF58" s="1222"/>
      <c r="AG58" s="1222"/>
      <c r="AH58" s="1222"/>
      <c r="AI58" s="1222"/>
      <c r="AJ58" s="1222"/>
      <c r="AK58" s="1222"/>
      <c r="AL58" s="1222"/>
      <c r="AM58" s="1222"/>
      <c r="AN58" s="1222"/>
      <c r="AO58" s="1222"/>
      <c r="AP58" s="1222"/>
      <c r="AQ58" s="1222"/>
      <c r="AR58" s="1222"/>
      <c r="AS58" s="1222"/>
      <c r="AT58" s="1222"/>
    </row>
    <row r="59" spans="1:52" ht="13" customHeight="1">
      <c r="A59" s="1124"/>
      <c r="C59" s="1124"/>
      <c r="D59" s="1124"/>
      <c r="E59" s="1124"/>
      <c r="F59" s="1124"/>
      <c r="G59" s="1124"/>
      <c r="H59" s="1124"/>
      <c r="I59" s="1124"/>
      <c r="J59" s="1124"/>
      <c r="K59" s="1124"/>
      <c r="L59" s="1124"/>
      <c r="M59" s="1124"/>
      <c r="N59" s="1124"/>
      <c r="O59" s="1124"/>
      <c r="P59" s="1124"/>
      <c r="Q59" s="1124"/>
      <c r="R59" s="1124"/>
      <c r="S59" s="1124"/>
      <c r="T59" s="1124"/>
      <c r="U59" s="1124"/>
      <c r="V59" s="1124"/>
      <c r="W59" s="1124"/>
      <c r="X59" s="1124"/>
      <c r="Y59" s="1124"/>
      <c r="Z59" s="1124"/>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row>
    <row r="60" spans="1:52" ht="13" customHeight="1">
      <c r="A60" s="1222" t="s">
        <v>844</v>
      </c>
      <c r="B60" s="1222"/>
      <c r="C60" s="1222"/>
      <c r="D60" s="1222"/>
      <c r="E60" s="1222"/>
      <c r="F60" s="1222"/>
      <c r="G60" s="1222"/>
      <c r="H60" s="1222"/>
      <c r="I60" s="1222"/>
      <c r="J60" s="1222"/>
      <c r="K60" s="1222"/>
      <c r="L60" s="1222"/>
      <c r="M60" s="1222"/>
      <c r="N60" s="1222"/>
      <c r="O60" s="1222"/>
      <c r="P60" s="1222"/>
      <c r="Q60" s="1222"/>
      <c r="R60" s="1222"/>
      <c r="S60" s="1222"/>
      <c r="T60" s="1222"/>
      <c r="U60" s="1222"/>
      <c r="V60" s="1222"/>
      <c r="W60" s="1222"/>
      <c r="X60" s="1222"/>
      <c r="Y60" s="1222"/>
      <c r="Z60" s="1222"/>
      <c r="AA60" s="1222"/>
      <c r="AB60" s="1222"/>
      <c r="AC60" s="1222"/>
      <c r="AD60" s="1222"/>
      <c r="AE60" s="1222"/>
      <c r="AF60" s="1222"/>
      <c r="AG60" s="1222"/>
      <c r="AH60" s="1222"/>
      <c r="AI60" s="1222"/>
      <c r="AJ60" s="1222"/>
      <c r="AK60" s="1222"/>
      <c r="AL60" s="1222"/>
      <c r="AM60" s="1222"/>
      <c r="AN60" s="1222"/>
      <c r="AO60" s="1222"/>
      <c r="AP60" s="1222"/>
      <c r="AQ60" s="1222"/>
      <c r="AR60" s="1222"/>
      <c r="AS60" s="1222"/>
      <c r="AT60" s="1222"/>
      <c r="AU60" s="16"/>
      <c r="AV60" s="16"/>
      <c r="AW60" s="16"/>
      <c r="AX60" s="16"/>
      <c r="AY60" s="16"/>
      <c r="AZ60" s="16"/>
    </row>
    <row r="61" spans="1:52" ht="13" customHeight="1">
      <c r="A61" s="1222"/>
      <c r="B61" s="1222"/>
      <c r="C61" s="1222"/>
      <c r="D61" s="1222"/>
      <c r="E61" s="1222"/>
      <c r="F61" s="1222"/>
      <c r="G61" s="1222"/>
      <c r="H61" s="1222"/>
      <c r="I61" s="1222"/>
      <c r="J61" s="1222"/>
      <c r="K61" s="1222"/>
      <c r="L61" s="1222"/>
      <c r="M61" s="1222"/>
      <c r="N61" s="1222"/>
      <c r="O61" s="1222"/>
      <c r="P61" s="1222"/>
      <c r="Q61" s="1222"/>
      <c r="R61" s="1222"/>
      <c r="S61" s="1222"/>
      <c r="T61" s="1222"/>
      <c r="U61" s="1222"/>
      <c r="V61" s="1222"/>
      <c r="W61" s="1222"/>
      <c r="X61" s="1222"/>
      <c r="Y61" s="1222"/>
      <c r="Z61" s="1222"/>
      <c r="AA61" s="1222"/>
      <c r="AB61" s="1222"/>
      <c r="AC61" s="1222"/>
      <c r="AD61" s="1222"/>
      <c r="AE61" s="1222"/>
      <c r="AF61" s="1222"/>
      <c r="AG61" s="1222"/>
      <c r="AH61" s="1222"/>
      <c r="AI61" s="1222"/>
      <c r="AJ61" s="1222"/>
      <c r="AK61" s="1222"/>
      <c r="AL61" s="1222"/>
      <c r="AM61" s="1222"/>
      <c r="AN61" s="1222"/>
      <c r="AO61" s="1222"/>
      <c r="AP61" s="1222"/>
      <c r="AQ61" s="1222"/>
      <c r="AR61" s="1222"/>
      <c r="AS61" s="1222"/>
      <c r="AT61" s="1222"/>
      <c r="AU61" s="16"/>
      <c r="AV61" s="16"/>
      <c r="AW61" s="16"/>
      <c r="AX61" s="16"/>
      <c r="AY61" s="16"/>
      <c r="AZ61" s="16"/>
    </row>
    <row r="62" spans="1:52" ht="13" customHeight="1">
      <c r="A62" s="1124"/>
      <c r="C62" s="1124"/>
      <c r="D62" s="1124"/>
      <c r="E62" s="1124"/>
      <c r="F62" s="1124"/>
      <c r="G62" s="1124"/>
      <c r="H62" s="1124"/>
      <c r="I62" s="1124"/>
      <c r="J62" s="1124"/>
      <c r="K62" s="1124"/>
      <c r="L62" s="1124"/>
      <c r="M62" s="1124"/>
      <c r="N62" s="1124"/>
      <c r="O62" s="1124"/>
      <c r="P62" s="1124"/>
      <c r="Q62" s="1124"/>
      <c r="R62" s="1124"/>
      <c r="S62" s="1124"/>
      <c r="T62" s="1124"/>
      <c r="U62" s="1124"/>
      <c r="V62" s="1124"/>
      <c r="W62" s="1124"/>
      <c r="X62" s="1124"/>
      <c r="Y62" s="1124"/>
      <c r="Z62" s="1124"/>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row>
    <row r="63" spans="1:52" ht="13" customHeight="1">
      <c r="A63" s="1124" t="s">
        <v>845</v>
      </c>
      <c r="C63" s="1124"/>
      <c r="D63" s="1124"/>
      <c r="E63" s="1124"/>
      <c r="F63" s="1124"/>
      <c r="G63" s="1124"/>
      <c r="H63" s="1124"/>
      <c r="I63" s="1124"/>
      <c r="J63" s="1124"/>
      <c r="K63" s="1124"/>
      <c r="L63" s="1124"/>
      <c r="M63" s="1124"/>
      <c r="N63" s="1124"/>
      <c r="O63" s="1124"/>
      <c r="P63" s="1124"/>
      <c r="Q63" s="1124"/>
      <c r="R63" s="1124"/>
      <c r="S63" s="1124"/>
      <c r="T63" s="1124"/>
      <c r="U63" s="1124"/>
      <c r="V63" s="1124"/>
      <c r="W63" s="1124"/>
      <c r="X63" s="1124"/>
      <c r="Y63" s="1124"/>
      <c r="Z63" s="1124"/>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row>
    <row r="64" spans="1:52" ht="13" customHeight="1">
      <c r="C64" s="1124"/>
      <c r="D64" s="1124"/>
      <c r="E64" s="1124"/>
      <c r="F64" s="1124"/>
      <c r="G64" s="1124"/>
      <c r="H64" s="1124"/>
      <c r="I64" s="1124"/>
      <c r="J64" s="1124"/>
      <c r="K64" s="1124"/>
      <c r="L64" s="1124"/>
      <c r="M64" s="1124"/>
      <c r="N64" s="1124"/>
      <c r="O64" s="1124"/>
      <c r="P64" s="1124"/>
      <c r="Q64" s="1124"/>
      <c r="R64" s="1124"/>
      <c r="S64" s="1124"/>
      <c r="T64" s="1124"/>
      <c r="U64" s="1124"/>
      <c r="V64" s="1124"/>
      <c r="W64" s="1124"/>
      <c r="X64" s="1124"/>
      <c r="Y64" s="1124"/>
      <c r="Z64" s="1124"/>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row>
    <row r="65" spans="1:52" ht="13" customHeight="1">
      <c r="A65" s="1222" t="s">
        <v>846</v>
      </c>
      <c r="B65" s="1222"/>
      <c r="C65" s="1222"/>
      <c r="D65" s="1222"/>
      <c r="E65" s="1222"/>
      <c r="F65" s="1222"/>
      <c r="G65" s="1222"/>
      <c r="H65" s="1222"/>
      <c r="I65" s="1222"/>
      <c r="J65" s="1222"/>
      <c r="K65" s="1222"/>
      <c r="L65" s="1222"/>
      <c r="M65" s="1222"/>
      <c r="N65" s="1222"/>
      <c r="O65" s="1222"/>
      <c r="P65" s="1222"/>
      <c r="Q65" s="1222"/>
      <c r="R65" s="1222"/>
      <c r="S65" s="1222"/>
      <c r="T65" s="1222"/>
      <c r="U65" s="1222"/>
      <c r="V65" s="1222"/>
      <c r="W65" s="1222"/>
      <c r="X65" s="1222"/>
      <c r="Y65" s="1222"/>
      <c r="Z65" s="1222"/>
      <c r="AA65" s="1222"/>
      <c r="AB65" s="1222"/>
      <c r="AC65" s="1222"/>
      <c r="AD65" s="1222"/>
      <c r="AE65" s="1222"/>
      <c r="AF65" s="1222"/>
      <c r="AG65" s="1222"/>
      <c r="AH65" s="1222"/>
      <c r="AI65" s="1222"/>
      <c r="AJ65" s="1222"/>
      <c r="AK65" s="1222"/>
      <c r="AL65" s="1222"/>
      <c r="AM65" s="1222"/>
      <c r="AN65" s="1222"/>
      <c r="AO65" s="1222"/>
      <c r="AP65" s="1222"/>
      <c r="AQ65" s="1222"/>
      <c r="AR65" s="1222"/>
      <c r="AS65" s="1222"/>
      <c r="AT65" s="1222"/>
      <c r="AU65" s="17"/>
      <c r="AV65" s="17"/>
      <c r="AW65" s="17"/>
      <c r="AX65" s="17"/>
      <c r="AY65" s="17"/>
      <c r="AZ65" s="16"/>
    </row>
    <row r="66" spans="1:52" ht="13" customHeight="1">
      <c r="A66" s="1222"/>
      <c r="B66" s="1222"/>
      <c r="C66" s="1222"/>
      <c r="D66" s="1222"/>
      <c r="E66" s="1222"/>
      <c r="F66" s="1222"/>
      <c r="G66" s="1222"/>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c r="AL66" s="1222"/>
      <c r="AM66" s="1222"/>
      <c r="AN66" s="1222"/>
      <c r="AO66" s="1222"/>
      <c r="AP66" s="1222"/>
      <c r="AQ66" s="1222"/>
      <c r="AR66" s="1222"/>
      <c r="AS66" s="1222"/>
      <c r="AT66" s="1222"/>
      <c r="AU66" s="17"/>
      <c r="AV66" s="17"/>
      <c r="AW66" s="17"/>
      <c r="AX66" s="17"/>
      <c r="AY66" s="17"/>
      <c r="AZ66" s="16"/>
    </row>
    <row r="67" spans="1:52" ht="13" customHeight="1">
      <c r="A67" s="1222"/>
      <c r="B67" s="1222"/>
      <c r="C67" s="1222"/>
      <c r="D67" s="1222"/>
      <c r="E67" s="1222"/>
      <c r="F67" s="1222"/>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c r="AL67" s="1222"/>
      <c r="AM67" s="1222"/>
      <c r="AN67" s="1222"/>
      <c r="AO67" s="1222"/>
      <c r="AP67" s="1222"/>
      <c r="AQ67" s="1222"/>
      <c r="AR67" s="1222"/>
      <c r="AS67" s="1222"/>
      <c r="AT67" s="1222"/>
      <c r="AZ67" s="16"/>
    </row>
    <row r="68" spans="1:52" ht="13" customHeight="1">
      <c r="A68" s="68"/>
      <c r="C68" s="2"/>
      <c r="D68" s="2"/>
      <c r="E68" s="2"/>
      <c r="F68" s="2"/>
      <c r="G68" s="2"/>
      <c r="H68" s="2"/>
      <c r="I68" s="2"/>
      <c r="J68" s="2"/>
      <c r="K68" s="2"/>
      <c r="L68" s="2"/>
      <c r="M68" s="2"/>
      <c r="N68" s="2"/>
      <c r="O68" s="2"/>
      <c r="P68" s="2"/>
      <c r="Q68" s="2"/>
      <c r="R68" s="2"/>
      <c r="S68" s="2"/>
      <c r="T68" s="2"/>
      <c r="U68" s="2"/>
      <c r="V68" s="2"/>
      <c r="W68" s="2"/>
      <c r="X68" s="2"/>
      <c r="Y68" s="2"/>
      <c r="Z68" s="2"/>
      <c r="AZ68" s="16"/>
    </row>
    <row r="69" spans="1:52" ht="13" customHeight="1">
      <c r="A69" s="1222" t="s">
        <v>847</v>
      </c>
      <c r="B69" s="1222"/>
      <c r="C69" s="1222"/>
      <c r="D69" s="1222"/>
      <c r="E69" s="1222"/>
      <c r="F69" s="1222"/>
      <c r="G69" s="1222"/>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c r="AL69" s="1222"/>
      <c r="AM69" s="1222"/>
      <c r="AN69" s="1222"/>
      <c r="AO69" s="1222"/>
      <c r="AP69" s="1222"/>
      <c r="AQ69" s="1222"/>
      <c r="AR69" s="1222"/>
      <c r="AS69" s="1222"/>
      <c r="AT69" s="1222"/>
      <c r="AZ69" s="16"/>
    </row>
    <row r="70" spans="1:52" ht="13" customHeight="1">
      <c r="A70" s="1222"/>
      <c r="B70" s="1222"/>
      <c r="C70" s="1222"/>
      <c r="D70" s="1222"/>
      <c r="E70" s="1222"/>
      <c r="F70" s="1222"/>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c r="AL70" s="1222"/>
      <c r="AM70" s="1222"/>
      <c r="AN70" s="1222"/>
      <c r="AO70" s="1222"/>
      <c r="AP70" s="1222"/>
      <c r="AQ70" s="1222"/>
      <c r="AR70" s="1222"/>
      <c r="AS70" s="1222"/>
      <c r="AT70" s="1222"/>
      <c r="AU70" s="16"/>
      <c r="AV70" s="16"/>
      <c r="AW70" s="16"/>
      <c r="AX70" s="16"/>
      <c r="AY70" s="16"/>
      <c r="AZ70" s="16"/>
    </row>
    <row r="71" spans="1:52" ht="13" customHeight="1">
      <c r="A71" s="1124"/>
      <c r="C71" s="1124"/>
      <c r="D71" s="1124"/>
      <c r="E71" s="1124"/>
      <c r="F71" s="1124"/>
      <c r="G71" s="1124"/>
      <c r="H71" s="1124"/>
      <c r="I71" s="1124"/>
      <c r="J71" s="1124"/>
      <c r="K71" s="1124"/>
      <c r="L71" s="1124"/>
      <c r="M71" s="1124"/>
      <c r="N71" s="1124"/>
      <c r="O71" s="1124"/>
      <c r="P71" s="1124"/>
      <c r="Q71" s="1124"/>
      <c r="R71" s="1124"/>
      <c r="S71" s="1124"/>
      <c r="T71" s="1124"/>
      <c r="U71" s="1124"/>
      <c r="V71" s="1124"/>
      <c r="W71" s="1124"/>
      <c r="X71" s="1124"/>
      <c r="Y71" s="1124"/>
      <c r="Z71" s="1124"/>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row>
    <row r="72" spans="1:52" ht="13" customHeight="1">
      <c r="A72" s="1378" t="s">
        <v>848</v>
      </c>
      <c r="B72" s="1378"/>
      <c r="C72" s="1378"/>
      <c r="D72" s="1378"/>
      <c r="E72" s="1378"/>
      <c r="F72" s="1378"/>
      <c r="G72" s="1378"/>
      <c r="H72" s="1378"/>
      <c r="I72" s="1378"/>
      <c r="J72" s="1378"/>
      <c r="K72" s="1378"/>
      <c r="L72" s="1378"/>
      <c r="M72" s="1378"/>
      <c r="N72" s="1378"/>
      <c r="O72" s="1378"/>
      <c r="P72" s="1378"/>
      <c r="Q72" s="1378"/>
      <c r="R72" s="1378"/>
      <c r="S72" s="1378"/>
      <c r="T72" s="1378"/>
      <c r="U72" s="1378"/>
      <c r="V72" s="1378"/>
      <c r="W72" s="1378"/>
      <c r="X72" s="1378"/>
      <c r="Y72" s="1378"/>
      <c r="Z72" s="1378"/>
      <c r="AA72" s="1378"/>
      <c r="AB72" s="1378"/>
      <c r="AC72" s="1378"/>
      <c r="AD72" s="1378"/>
      <c r="AE72" s="1378"/>
      <c r="AF72" s="1378"/>
      <c r="AG72" s="1378"/>
      <c r="AH72" s="1378"/>
      <c r="AI72" s="1378"/>
      <c r="AJ72" s="1378"/>
      <c r="AK72" s="1378"/>
      <c r="AL72" s="1378"/>
      <c r="AM72" s="1378"/>
      <c r="AN72" s="1378"/>
      <c r="AO72" s="1378"/>
      <c r="AP72" s="1378"/>
      <c r="AQ72" s="1378"/>
      <c r="AR72" s="1378"/>
      <c r="AS72" s="1378"/>
      <c r="AT72" s="1378"/>
      <c r="AU72" s="16"/>
      <c r="AV72" s="16"/>
      <c r="AW72" s="16"/>
      <c r="AX72" s="16"/>
      <c r="AY72" s="16"/>
      <c r="AZ72" s="16"/>
    </row>
    <row r="73" spans="1:52" ht="13" customHeight="1">
      <c r="A73" s="1378"/>
      <c r="B73" s="1378"/>
      <c r="C73" s="1378"/>
      <c r="D73" s="1378"/>
      <c r="E73" s="1378"/>
      <c r="F73" s="1378"/>
      <c r="G73" s="1378"/>
      <c r="H73" s="1378"/>
      <c r="I73" s="1378"/>
      <c r="J73" s="1378"/>
      <c r="K73" s="1378"/>
      <c r="L73" s="1378"/>
      <c r="M73" s="1378"/>
      <c r="N73" s="1378"/>
      <c r="O73" s="1378"/>
      <c r="P73" s="1378"/>
      <c r="Q73" s="1378"/>
      <c r="R73" s="1378"/>
      <c r="S73" s="1378"/>
      <c r="T73" s="1378"/>
      <c r="U73" s="1378"/>
      <c r="V73" s="1378"/>
      <c r="W73" s="1378"/>
      <c r="X73" s="1378"/>
      <c r="Y73" s="1378"/>
      <c r="Z73" s="1378"/>
      <c r="AA73" s="1378"/>
      <c r="AB73" s="1378"/>
      <c r="AC73" s="1378"/>
      <c r="AD73" s="1378"/>
      <c r="AE73" s="1378"/>
      <c r="AF73" s="1378"/>
      <c r="AG73" s="1378"/>
      <c r="AH73" s="1378"/>
      <c r="AI73" s="1378"/>
      <c r="AJ73" s="1378"/>
      <c r="AK73" s="1378"/>
      <c r="AL73" s="1378"/>
      <c r="AM73" s="1378"/>
      <c r="AN73" s="1378"/>
      <c r="AO73" s="1378"/>
      <c r="AP73" s="1378"/>
      <c r="AQ73" s="1378"/>
      <c r="AR73" s="1378"/>
      <c r="AS73" s="1378"/>
      <c r="AT73" s="1378"/>
      <c r="AU73" s="16"/>
      <c r="AV73" s="16"/>
      <c r="AW73" s="16"/>
      <c r="AX73" s="16"/>
      <c r="AY73" s="16"/>
      <c r="AZ73" s="16"/>
    </row>
    <row r="74" spans="1:52" ht="13" customHeight="1">
      <c r="A74" s="1124"/>
      <c r="C74" s="1124"/>
      <c r="D74" s="1124"/>
      <c r="E74" s="1124"/>
      <c r="F74" s="1124"/>
      <c r="G74" s="1124"/>
      <c r="H74" s="1124"/>
      <c r="I74" s="1124"/>
      <c r="J74" s="1124"/>
      <c r="K74" s="1124"/>
      <c r="L74" s="1124"/>
      <c r="M74" s="1124"/>
      <c r="N74" s="1124"/>
      <c r="O74" s="1124"/>
      <c r="P74" s="1124"/>
      <c r="Q74" s="1124"/>
      <c r="R74" s="1124"/>
      <c r="S74" s="1124"/>
      <c r="T74" s="1124"/>
      <c r="U74" s="1124"/>
      <c r="V74" s="1124"/>
      <c r="W74" s="1124"/>
      <c r="X74" s="1124"/>
      <c r="Y74" s="1124"/>
      <c r="Z74" s="1124"/>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row>
    <row r="75" spans="1:52" ht="13" customHeight="1">
      <c r="A75" s="1736" t="s">
        <v>849</v>
      </c>
      <c r="B75" s="1736"/>
      <c r="C75" s="1736"/>
      <c r="D75" s="1736"/>
      <c r="E75" s="1736"/>
      <c r="F75" s="1736"/>
      <c r="G75" s="1736"/>
      <c r="H75" s="1736"/>
      <c r="I75" s="1736"/>
      <c r="J75" s="1736"/>
      <c r="K75" s="1736"/>
      <c r="L75" s="1736"/>
      <c r="M75" s="1736"/>
      <c r="N75" s="1736"/>
      <c r="O75" s="1736"/>
      <c r="P75" s="1736"/>
      <c r="Q75" s="1736"/>
      <c r="R75" s="1736"/>
      <c r="S75" s="1736"/>
      <c r="T75" s="1736"/>
      <c r="U75" s="1736"/>
      <c r="V75" s="1736"/>
      <c r="W75" s="1736"/>
      <c r="X75" s="1736"/>
      <c r="Y75" s="1736"/>
      <c r="Z75" s="1736"/>
      <c r="AA75" s="1736"/>
      <c r="AB75" s="1736"/>
      <c r="AC75" s="1736"/>
      <c r="AD75" s="1736"/>
      <c r="AE75" s="1736"/>
      <c r="AF75" s="1736"/>
      <c r="AG75" s="1736"/>
      <c r="AH75" s="1736"/>
      <c r="AI75" s="1736"/>
      <c r="AJ75" s="1736"/>
      <c r="AK75" s="1736"/>
      <c r="AL75" s="1736"/>
      <c r="AM75" s="1736"/>
      <c r="AN75" s="1736"/>
      <c r="AO75" s="1736"/>
      <c r="AP75" s="1736"/>
      <c r="AQ75" s="1736"/>
      <c r="AR75" s="1736"/>
      <c r="AS75" s="1736"/>
      <c r="AT75" s="1736"/>
      <c r="AU75" s="16"/>
      <c r="AV75" s="16"/>
      <c r="AW75" s="16"/>
      <c r="AX75" s="16"/>
      <c r="AY75" s="16"/>
      <c r="AZ75" s="16"/>
    </row>
    <row r="76" spans="1:52" ht="13" customHeight="1">
      <c r="A76" s="1736"/>
      <c r="B76" s="1736"/>
      <c r="C76" s="1736"/>
      <c r="D76" s="1736"/>
      <c r="E76" s="1736"/>
      <c r="F76" s="1736"/>
      <c r="G76" s="1736"/>
      <c r="H76" s="1736"/>
      <c r="I76" s="1736"/>
      <c r="J76" s="1736"/>
      <c r="K76" s="1736"/>
      <c r="L76" s="1736"/>
      <c r="M76" s="1736"/>
      <c r="N76" s="1736"/>
      <c r="O76" s="1736"/>
      <c r="P76" s="1736"/>
      <c r="Q76" s="1736"/>
      <c r="R76" s="1736"/>
      <c r="S76" s="1736"/>
      <c r="T76" s="1736"/>
      <c r="U76" s="1736"/>
      <c r="V76" s="1736"/>
      <c r="W76" s="1736"/>
      <c r="X76" s="1736"/>
      <c r="Y76" s="1736"/>
      <c r="Z76" s="1736"/>
      <c r="AA76" s="1736"/>
      <c r="AB76" s="1736"/>
      <c r="AC76" s="1736"/>
      <c r="AD76" s="1736"/>
      <c r="AE76" s="1736"/>
      <c r="AF76" s="1736"/>
      <c r="AG76" s="1736"/>
      <c r="AH76" s="1736"/>
      <c r="AI76" s="1736"/>
      <c r="AJ76" s="1736"/>
      <c r="AK76" s="1736"/>
      <c r="AL76" s="1736"/>
      <c r="AM76" s="1736"/>
      <c r="AN76" s="1736"/>
      <c r="AO76" s="1736"/>
      <c r="AP76" s="1736"/>
      <c r="AQ76" s="1736"/>
      <c r="AR76" s="1736"/>
      <c r="AS76" s="1736"/>
      <c r="AT76" s="1736"/>
      <c r="AU76" s="16"/>
      <c r="AV76" s="16"/>
      <c r="AW76" s="16"/>
      <c r="AX76" s="16"/>
      <c r="AY76" s="16"/>
      <c r="AZ76" s="14"/>
    </row>
    <row r="77" spans="1:52" ht="13" customHeight="1">
      <c r="A77" s="1736"/>
      <c r="B77" s="1736"/>
      <c r="C77" s="1736"/>
      <c r="D77" s="1736"/>
      <c r="E77" s="1736"/>
      <c r="F77" s="1736"/>
      <c r="G77" s="1736"/>
      <c r="H77" s="1736"/>
      <c r="I77" s="1736"/>
      <c r="J77" s="1736"/>
      <c r="K77" s="1736"/>
      <c r="L77" s="1736"/>
      <c r="M77" s="1736"/>
      <c r="N77" s="1736"/>
      <c r="O77" s="1736"/>
      <c r="P77" s="1736"/>
      <c r="Q77" s="1736"/>
      <c r="R77" s="1736"/>
      <c r="S77" s="1736"/>
      <c r="T77" s="1736"/>
      <c r="U77" s="1736"/>
      <c r="V77" s="1736"/>
      <c r="W77" s="1736"/>
      <c r="X77" s="1736"/>
      <c r="Y77" s="1736"/>
      <c r="Z77" s="1736"/>
      <c r="AA77" s="1736"/>
      <c r="AB77" s="1736"/>
      <c r="AC77" s="1736"/>
      <c r="AD77" s="1736"/>
      <c r="AE77" s="1736"/>
      <c r="AF77" s="1736"/>
      <c r="AG77" s="1736"/>
      <c r="AH77" s="1736"/>
      <c r="AI77" s="1736"/>
      <c r="AJ77" s="1736"/>
      <c r="AK77" s="1736"/>
      <c r="AL77" s="1736"/>
      <c r="AM77" s="1736"/>
      <c r="AN77" s="1736"/>
      <c r="AO77" s="1736"/>
      <c r="AP77" s="1736"/>
      <c r="AQ77" s="1736"/>
      <c r="AR77" s="1736"/>
      <c r="AS77" s="1736"/>
      <c r="AT77" s="1736"/>
      <c r="AU77" s="16"/>
      <c r="AV77" s="16"/>
      <c r="AW77" s="16"/>
      <c r="AX77" s="16"/>
      <c r="AY77" s="16"/>
      <c r="AZ77" s="14"/>
    </row>
    <row r="78" spans="1:52" ht="13" customHeight="1">
      <c r="C78" s="1124"/>
      <c r="D78" s="1124"/>
      <c r="E78" s="1124"/>
      <c r="F78" s="1124"/>
      <c r="G78" s="1124"/>
      <c r="H78" s="1124"/>
      <c r="I78" s="1124"/>
      <c r="J78" s="1124"/>
      <c r="K78" s="1124"/>
      <c r="L78" s="1124"/>
      <c r="M78" s="1124"/>
      <c r="N78" s="1124"/>
      <c r="O78" s="1124"/>
      <c r="P78" s="1124"/>
      <c r="Q78" s="1124"/>
      <c r="R78" s="1124"/>
      <c r="S78" s="1124"/>
      <c r="T78" s="1124"/>
      <c r="U78" s="1124"/>
      <c r="V78" s="1124"/>
      <c r="W78" s="1124"/>
      <c r="X78" s="1124"/>
      <c r="Y78" s="1124"/>
      <c r="Z78" s="1124"/>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4"/>
    </row>
    <row r="79" spans="1:52" ht="13" customHeight="1">
      <c r="A79" s="1222" t="s">
        <v>850</v>
      </c>
      <c r="B79" s="1222"/>
      <c r="C79" s="1222"/>
      <c r="D79" s="1222"/>
      <c r="E79" s="1222"/>
      <c r="F79" s="1222"/>
      <c r="G79" s="1222"/>
      <c r="H79" s="1222"/>
      <c r="I79" s="1222"/>
      <c r="J79" s="1222"/>
      <c r="K79" s="1222"/>
      <c r="L79" s="1222"/>
      <c r="M79" s="1222"/>
      <c r="N79" s="1222"/>
      <c r="O79" s="1222"/>
      <c r="P79" s="1222"/>
      <c r="Q79" s="1222"/>
      <c r="R79" s="1222"/>
      <c r="S79" s="1222"/>
      <c r="T79" s="1222"/>
      <c r="U79" s="1222"/>
      <c r="V79" s="1222"/>
      <c r="W79" s="1222"/>
      <c r="X79" s="1222"/>
      <c r="Y79" s="1222"/>
      <c r="Z79" s="1222"/>
      <c r="AA79" s="1222"/>
      <c r="AB79" s="1222"/>
      <c r="AC79" s="1222"/>
      <c r="AD79" s="1222"/>
      <c r="AE79" s="1222"/>
      <c r="AF79" s="1222"/>
      <c r="AG79" s="1222"/>
      <c r="AH79" s="1222"/>
      <c r="AI79" s="1222"/>
      <c r="AJ79" s="1222"/>
      <c r="AK79" s="1222"/>
      <c r="AL79" s="1222"/>
      <c r="AM79" s="1222"/>
      <c r="AN79" s="1222"/>
      <c r="AO79" s="1222"/>
      <c r="AP79" s="1222"/>
      <c r="AQ79" s="1222"/>
      <c r="AR79" s="1222"/>
      <c r="AS79" s="1222"/>
      <c r="AT79" s="1222"/>
      <c r="AU79" s="16"/>
      <c r="AV79" s="16"/>
      <c r="AW79" s="16"/>
      <c r="AX79" s="16"/>
      <c r="AY79" s="16"/>
      <c r="AZ79" s="16"/>
    </row>
    <row r="80" spans="1:52" ht="13" customHeight="1">
      <c r="A80" s="1222"/>
      <c r="B80" s="1222"/>
      <c r="C80" s="1222"/>
      <c r="D80" s="1222"/>
      <c r="E80" s="1222"/>
      <c r="F80" s="1222"/>
      <c r="G80" s="1222"/>
      <c r="H80" s="1222"/>
      <c r="I80" s="1222"/>
      <c r="J80" s="1222"/>
      <c r="K80" s="1222"/>
      <c r="L80" s="1222"/>
      <c r="M80" s="1222"/>
      <c r="N80" s="1222"/>
      <c r="O80" s="1222"/>
      <c r="P80" s="1222"/>
      <c r="Q80" s="1222"/>
      <c r="R80" s="1222"/>
      <c r="S80" s="1222"/>
      <c r="T80" s="1222"/>
      <c r="U80" s="1222"/>
      <c r="V80" s="1222"/>
      <c r="W80" s="1222"/>
      <c r="X80" s="1222"/>
      <c r="Y80" s="1222"/>
      <c r="Z80" s="1222"/>
      <c r="AA80" s="1222"/>
      <c r="AB80" s="1222"/>
      <c r="AC80" s="1222"/>
      <c r="AD80" s="1222"/>
      <c r="AE80" s="1222"/>
      <c r="AF80" s="1222"/>
      <c r="AG80" s="1222"/>
      <c r="AH80" s="1222"/>
      <c r="AI80" s="1222"/>
      <c r="AJ80" s="1222"/>
      <c r="AK80" s="1222"/>
      <c r="AL80" s="1222"/>
      <c r="AM80" s="1222"/>
      <c r="AN80" s="1222"/>
      <c r="AO80" s="1222"/>
      <c r="AP80" s="1222"/>
      <c r="AQ80" s="1222"/>
      <c r="AR80" s="1222"/>
      <c r="AS80" s="1222"/>
      <c r="AT80" s="1222"/>
      <c r="AU80" s="16"/>
      <c r="AV80" s="16"/>
      <c r="AW80" s="16"/>
      <c r="AX80" s="16"/>
      <c r="AY80" s="16"/>
      <c r="AZ80" s="16"/>
    </row>
    <row r="81" spans="1:52" ht="13" customHeight="1">
      <c r="A81" s="1222"/>
      <c r="B81" s="1222"/>
      <c r="C81" s="1222"/>
      <c r="D81" s="1222"/>
      <c r="E81" s="1222"/>
      <c r="F81" s="1222"/>
      <c r="G81" s="1222"/>
      <c r="H81" s="1222"/>
      <c r="I81" s="1222"/>
      <c r="J81" s="1222"/>
      <c r="K81" s="1222"/>
      <c r="L81" s="1222"/>
      <c r="M81" s="1222"/>
      <c r="N81" s="1222"/>
      <c r="O81" s="1222"/>
      <c r="P81" s="1222"/>
      <c r="Q81" s="1222"/>
      <c r="R81" s="1222"/>
      <c r="S81" s="1222"/>
      <c r="T81" s="1222"/>
      <c r="U81" s="1222"/>
      <c r="V81" s="1222"/>
      <c r="W81" s="1222"/>
      <c r="X81" s="1222"/>
      <c r="Y81" s="1222"/>
      <c r="Z81" s="1222"/>
      <c r="AA81" s="1222"/>
      <c r="AB81" s="1222"/>
      <c r="AC81" s="1222"/>
      <c r="AD81" s="1222"/>
      <c r="AE81" s="1222"/>
      <c r="AF81" s="1222"/>
      <c r="AG81" s="1222"/>
      <c r="AH81" s="1222"/>
      <c r="AI81" s="1222"/>
      <c r="AJ81" s="1222"/>
      <c r="AK81" s="1222"/>
      <c r="AL81" s="1222"/>
      <c r="AM81" s="1222"/>
      <c r="AN81" s="1222"/>
      <c r="AO81" s="1222"/>
      <c r="AP81" s="1222"/>
      <c r="AQ81" s="1222"/>
      <c r="AR81" s="1222"/>
      <c r="AS81" s="1222"/>
      <c r="AT81" s="1222"/>
      <c r="AU81" s="16"/>
      <c r="AV81" s="16"/>
      <c r="AW81" s="16"/>
      <c r="AX81" s="16"/>
      <c r="AY81" s="16"/>
      <c r="AZ81" s="16"/>
    </row>
    <row r="82" spans="1:52" ht="13" customHeight="1">
      <c r="A82" s="1124"/>
      <c r="C82" s="1124"/>
      <c r="D82" s="1124"/>
      <c r="E82" s="1124"/>
      <c r="F82" s="1124"/>
      <c r="G82" s="1124"/>
      <c r="H82" s="1124"/>
      <c r="I82" s="1124"/>
      <c r="J82" s="1124"/>
      <c r="K82" s="1124"/>
      <c r="L82" s="1124"/>
      <c r="M82" s="1124"/>
      <c r="N82" s="1124"/>
      <c r="O82" s="1124"/>
      <c r="P82" s="1124"/>
      <c r="Q82" s="1124"/>
      <c r="R82" s="1124"/>
      <c r="S82" s="1124"/>
      <c r="T82" s="1124"/>
      <c r="U82" s="1124"/>
      <c r="V82" s="1124"/>
      <c r="W82" s="1124"/>
      <c r="X82" s="1124"/>
      <c r="Y82" s="1124"/>
      <c r="Z82" s="1124"/>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row>
    <row r="83" spans="1:52" ht="13" customHeight="1">
      <c r="A83" s="1222" t="s">
        <v>851</v>
      </c>
      <c r="B83" s="1222"/>
      <c r="C83" s="1222"/>
      <c r="D83" s="1222"/>
      <c r="E83" s="1222"/>
      <c r="F83" s="1222"/>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c r="AL83" s="1222"/>
      <c r="AM83" s="1222"/>
      <c r="AN83" s="1222"/>
      <c r="AO83" s="1222"/>
      <c r="AP83" s="1222"/>
      <c r="AQ83" s="1222"/>
      <c r="AR83" s="1222"/>
      <c r="AS83" s="1222"/>
      <c r="AT83" s="1222"/>
      <c r="AU83" s="16"/>
      <c r="AV83" s="16"/>
      <c r="AW83" s="16"/>
      <c r="AX83" s="16"/>
      <c r="AY83" s="16"/>
      <c r="AZ83" s="16"/>
    </row>
    <row r="84" spans="1:52" ht="13" customHeight="1">
      <c r="A84" s="1222"/>
      <c r="B84" s="1222"/>
      <c r="C84" s="1222"/>
      <c r="D84" s="1222"/>
      <c r="E84" s="1222"/>
      <c r="F84" s="1222"/>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c r="AL84" s="1222"/>
      <c r="AM84" s="1222"/>
      <c r="AN84" s="1222"/>
      <c r="AO84" s="1222"/>
      <c r="AP84" s="1222"/>
      <c r="AQ84" s="1222"/>
      <c r="AR84" s="1222"/>
      <c r="AS84" s="1222"/>
      <c r="AT84" s="1222"/>
      <c r="AU84" s="16"/>
      <c r="AV84" s="16"/>
      <c r="AW84" s="16"/>
      <c r="AX84" s="16"/>
      <c r="AY84" s="16"/>
      <c r="AZ84" s="16"/>
    </row>
    <row r="85" spans="1:52" ht="13" customHeight="1">
      <c r="C85" s="1124"/>
      <c r="D85" s="1124"/>
      <c r="E85" s="1124"/>
      <c r="F85" s="1124"/>
      <c r="G85" s="1124"/>
      <c r="H85" s="1124"/>
      <c r="I85" s="1124"/>
      <c r="J85" s="1124"/>
      <c r="K85" s="1124"/>
      <c r="L85" s="1124"/>
      <c r="M85" s="1124"/>
      <c r="N85" s="1124"/>
      <c r="O85" s="1124"/>
      <c r="P85" s="1124"/>
      <c r="Q85" s="1124"/>
      <c r="R85" s="1124"/>
      <c r="S85" s="1124"/>
      <c r="T85" s="1124"/>
      <c r="U85" s="1124"/>
      <c r="V85" s="1124"/>
      <c r="W85" s="1124"/>
      <c r="X85" s="1124"/>
      <c r="Y85" s="1124"/>
      <c r="Z85" s="1124"/>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row>
    <row r="86" spans="1:52" ht="13" customHeight="1">
      <c r="A86" s="1222" t="s">
        <v>852</v>
      </c>
      <c r="B86" s="1222"/>
      <c r="C86" s="1222"/>
      <c r="D86" s="1222"/>
      <c r="E86" s="1222"/>
      <c r="F86" s="1222"/>
      <c r="G86" s="1222"/>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c r="AL86" s="1222"/>
      <c r="AM86" s="1222"/>
      <c r="AN86" s="1222"/>
      <c r="AO86" s="1222"/>
      <c r="AP86" s="1222"/>
      <c r="AQ86" s="1222"/>
      <c r="AR86" s="1222"/>
      <c r="AS86" s="1222"/>
      <c r="AT86" s="1222"/>
      <c r="AU86" s="16"/>
      <c r="AV86" s="16"/>
      <c r="AW86" s="16"/>
      <c r="AX86" s="16"/>
      <c r="AY86" s="16"/>
      <c r="AZ86" s="16"/>
    </row>
    <row r="87" spans="1:52" ht="13" customHeight="1">
      <c r="A87" s="1222"/>
      <c r="B87" s="1222"/>
      <c r="C87" s="1222"/>
      <c r="D87" s="1222"/>
      <c r="E87" s="1222"/>
      <c r="F87" s="1222"/>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c r="AL87" s="1222"/>
      <c r="AM87" s="1222"/>
      <c r="AN87" s="1222"/>
      <c r="AO87" s="1222"/>
      <c r="AP87" s="1222"/>
      <c r="AQ87" s="1222"/>
      <c r="AR87" s="1222"/>
      <c r="AS87" s="1222"/>
      <c r="AT87" s="1222"/>
      <c r="AU87" s="16"/>
      <c r="AV87" s="16"/>
      <c r="AW87" s="16"/>
      <c r="AX87" s="16"/>
      <c r="AY87" s="16"/>
      <c r="AZ87" s="16"/>
    </row>
    <row r="88" spans="1:52" ht="13" customHeight="1">
      <c r="A88" s="1124"/>
      <c r="C88" s="1124"/>
      <c r="D88" s="1124"/>
      <c r="E88" s="1124"/>
      <c r="F88" s="1124"/>
      <c r="G88" s="1124"/>
      <c r="H88" s="1124"/>
      <c r="I88" s="1124"/>
      <c r="J88" s="1124"/>
      <c r="K88" s="1124"/>
      <c r="L88" s="1124"/>
      <c r="M88" s="1124"/>
      <c r="N88" s="1124"/>
      <c r="O88" s="1124"/>
      <c r="P88" s="1124"/>
      <c r="Q88" s="1124"/>
      <c r="R88" s="1124"/>
      <c r="S88" s="1124"/>
      <c r="T88" s="1124"/>
      <c r="U88" s="1124"/>
      <c r="V88" s="1124"/>
      <c r="W88" s="1124"/>
      <c r="X88" s="1124"/>
      <c r="Y88" s="1124"/>
      <c r="Z88" s="1124"/>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row>
    <row r="89" spans="1:52" ht="13" customHeight="1">
      <c r="A89" s="1751" t="s">
        <v>853</v>
      </c>
      <c r="B89" s="1751"/>
      <c r="C89" s="1751"/>
      <c r="D89" s="1751"/>
      <c r="E89" s="1751"/>
      <c r="F89" s="1751"/>
      <c r="G89" s="1751"/>
      <c r="H89" s="1751"/>
      <c r="I89" s="1751"/>
      <c r="J89" s="1751"/>
      <c r="K89" s="1751"/>
      <c r="L89" s="1751"/>
      <c r="M89" s="1751"/>
      <c r="N89" s="1751"/>
      <c r="O89" s="1751"/>
      <c r="P89" s="1751"/>
      <c r="Q89" s="1751"/>
      <c r="R89" s="1751"/>
      <c r="S89" s="1751"/>
      <c r="T89" s="1751"/>
      <c r="U89" s="1751"/>
      <c r="V89" s="1751"/>
      <c r="W89" s="1751"/>
      <c r="X89" s="1751"/>
      <c r="Y89" s="1751"/>
      <c r="Z89" s="1751"/>
      <c r="AA89" s="1751"/>
      <c r="AB89" s="1751"/>
      <c r="AC89" s="1751"/>
      <c r="AD89" s="1751"/>
      <c r="AE89" s="1751"/>
      <c r="AF89" s="1751"/>
      <c r="AG89" s="1751"/>
      <c r="AH89" s="1751"/>
      <c r="AI89" s="1751"/>
      <c r="AJ89" s="1751"/>
      <c r="AK89" s="1751"/>
      <c r="AL89" s="1751"/>
      <c r="AM89" s="1751"/>
      <c r="AN89" s="1751"/>
      <c r="AO89" s="1751"/>
      <c r="AP89" s="1751"/>
      <c r="AQ89" s="1751"/>
      <c r="AR89" s="1751"/>
      <c r="AS89" s="1751"/>
      <c r="AT89" s="1751"/>
      <c r="AU89" s="14"/>
      <c r="AV89" s="14"/>
      <c r="AW89" s="14"/>
      <c r="AX89" s="14"/>
      <c r="AY89" s="14"/>
      <c r="AZ89" s="16"/>
    </row>
    <row r="90" spans="1:52" ht="13" customHeight="1">
      <c r="A90" s="1751"/>
      <c r="B90" s="1751"/>
      <c r="C90" s="1751"/>
      <c r="D90" s="1751"/>
      <c r="E90" s="1751"/>
      <c r="F90" s="1751"/>
      <c r="G90" s="1751"/>
      <c r="H90" s="1751"/>
      <c r="I90" s="1751"/>
      <c r="J90" s="1751"/>
      <c r="K90" s="1751"/>
      <c r="L90" s="1751"/>
      <c r="M90" s="1751"/>
      <c r="N90" s="1751"/>
      <c r="O90" s="1751"/>
      <c r="P90" s="1751"/>
      <c r="Q90" s="1751"/>
      <c r="R90" s="1751"/>
      <c r="S90" s="1751"/>
      <c r="T90" s="1751"/>
      <c r="U90" s="1751"/>
      <c r="V90" s="1751"/>
      <c r="W90" s="1751"/>
      <c r="X90" s="1751"/>
      <c r="Y90" s="1751"/>
      <c r="Z90" s="1751"/>
      <c r="AA90" s="1751"/>
      <c r="AB90" s="1751"/>
      <c r="AC90" s="1751"/>
      <c r="AD90" s="1751"/>
      <c r="AE90" s="1751"/>
      <c r="AF90" s="1751"/>
      <c r="AG90" s="1751"/>
      <c r="AH90" s="1751"/>
      <c r="AI90" s="1751"/>
      <c r="AJ90" s="1751"/>
      <c r="AK90" s="1751"/>
      <c r="AL90" s="1751"/>
      <c r="AM90" s="1751"/>
      <c r="AN90" s="1751"/>
      <c r="AO90" s="1751"/>
      <c r="AP90" s="1751"/>
      <c r="AQ90" s="1751"/>
      <c r="AR90" s="1751"/>
      <c r="AS90" s="1751"/>
      <c r="AT90" s="1751"/>
      <c r="AU90" s="14"/>
      <c r="AV90" s="14"/>
      <c r="AW90" s="14"/>
      <c r="AX90" s="14"/>
      <c r="AY90" s="14"/>
      <c r="AZ90" s="16"/>
    </row>
    <row r="91" spans="1:52" ht="13" customHeight="1">
      <c r="A91" s="1124"/>
      <c r="C91" s="69"/>
      <c r="D91" s="69"/>
      <c r="E91" s="69"/>
      <c r="F91" s="69"/>
      <c r="G91" s="69"/>
      <c r="H91" s="69"/>
      <c r="I91" s="69"/>
      <c r="J91" s="69"/>
      <c r="K91" s="69"/>
      <c r="L91" s="69"/>
      <c r="M91" s="69"/>
      <c r="N91" s="69"/>
      <c r="O91" s="69"/>
      <c r="P91" s="69"/>
      <c r="Q91" s="69"/>
      <c r="R91" s="69"/>
      <c r="S91" s="69"/>
      <c r="T91" s="69"/>
      <c r="U91" s="69"/>
      <c r="V91" s="69"/>
      <c r="W91" s="69"/>
      <c r="X91" s="69"/>
      <c r="Y91" s="69"/>
      <c r="Z91" s="69"/>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6"/>
    </row>
    <row r="92" spans="1:52" ht="13" customHeight="1">
      <c r="A92" s="1736" t="s">
        <v>854</v>
      </c>
      <c r="B92" s="1736"/>
      <c r="C92" s="1736"/>
      <c r="D92" s="1736"/>
      <c r="E92" s="1736"/>
      <c r="F92" s="1736"/>
      <c r="G92" s="1736"/>
      <c r="H92" s="1736"/>
      <c r="I92" s="1736"/>
      <c r="J92" s="1736"/>
      <c r="K92" s="1736"/>
      <c r="L92" s="1736"/>
      <c r="M92" s="1736"/>
      <c r="N92" s="1736"/>
      <c r="O92" s="1736"/>
      <c r="P92" s="1736"/>
      <c r="Q92" s="1736"/>
      <c r="R92" s="1736"/>
      <c r="S92" s="1736"/>
      <c r="T92" s="1736"/>
      <c r="U92" s="1736"/>
      <c r="V92" s="1736"/>
      <c r="W92" s="1736"/>
      <c r="X92" s="1736"/>
      <c r="Y92" s="1736"/>
      <c r="Z92" s="1736"/>
      <c r="AA92" s="1736"/>
      <c r="AB92" s="1736"/>
      <c r="AC92" s="1736"/>
      <c r="AD92" s="1736"/>
      <c r="AE92" s="1736"/>
      <c r="AF92" s="1736"/>
      <c r="AG92" s="1736"/>
      <c r="AH92" s="1736"/>
      <c r="AI92" s="1736"/>
      <c r="AJ92" s="1736"/>
      <c r="AK92" s="1736"/>
      <c r="AL92" s="1736"/>
      <c r="AM92" s="1736"/>
      <c r="AN92" s="1736"/>
      <c r="AO92" s="1736"/>
      <c r="AP92" s="1736"/>
      <c r="AQ92" s="1736"/>
      <c r="AR92" s="1736"/>
      <c r="AS92" s="1736"/>
      <c r="AT92" s="1736"/>
      <c r="AU92" s="16"/>
      <c r="AV92" s="16"/>
      <c r="AW92" s="16"/>
      <c r="AX92" s="16"/>
      <c r="AY92" s="16"/>
      <c r="AZ92" s="16"/>
    </row>
    <row r="93" spans="1:52" ht="13" customHeight="1">
      <c r="A93" s="1736"/>
      <c r="B93" s="1736"/>
      <c r="C93" s="1736"/>
      <c r="D93" s="1736"/>
      <c r="E93" s="1736"/>
      <c r="F93" s="1736"/>
      <c r="G93" s="1736"/>
      <c r="H93" s="1736"/>
      <c r="I93" s="1736"/>
      <c r="J93" s="1736"/>
      <c r="K93" s="1736"/>
      <c r="L93" s="1736"/>
      <c r="M93" s="1736"/>
      <c r="N93" s="1736"/>
      <c r="O93" s="1736"/>
      <c r="P93" s="1736"/>
      <c r="Q93" s="1736"/>
      <c r="R93" s="1736"/>
      <c r="S93" s="1736"/>
      <c r="T93" s="1736"/>
      <c r="U93" s="1736"/>
      <c r="V93" s="1736"/>
      <c r="W93" s="1736"/>
      <c r="X93" s="1736"/>
      <c r="Y93" s="1736"/>
      <c r="Z93" s="1736"/>
      <c r="AA93" s="1736"/>
      <c r="AB93" s="1736"/>
      <c r="AC93" s="1736"/>
      <c r="AD93" s="1736"/>
      <c r="AE93" s="1736"/>
      <c r="AF93" s="1736"/>
      <c r="AG93" s="1736"/>
      <c r="AH93" s="1736"/>
      <c r="AI93" s="1736"/>
      <c r="AJ93" s="1736"/>
      <c r="AK93" s="1736"/>
      <c r="AL93" s="1736"/>
      <c r="AM93" s="1736"/>
      <c r="AN93" s="1736"/>
      <c r="AO93" s="1736"/>
      <c r="AP93" s="1736"/>
      <c r="AQ93" s="1736"/>
      <c r="AR93" s="1736"/>
      <c r="AS93" s="1736"/>
      <c r="AT93" s="1736"/>
      <c r="AU93" s="16"/>
      <c r="AV93" s="16"/>
      <c r="AW93" s="16"/>
      <c r="AX93" s="16"/>
      <c r="AY93" s="16"/>
      <c r="AZ93" s="16"/>
    </row>
    <row r="94" spans="1:52" ht="13" customHeight="1">
      <c r="A94" s="1736"/>
      <c r="B94" s="1736"/>
      <c r="C94" s="1736"/>
      <c r="D94" s="1736"/>
      <c r="E94" s="1736"/>
      <c r="F94" s="1736"/>
      <c r="G94" s="1736"/>
      <c r="H94" s="1736"/>
      <c r="I94" s="1736"/>
      <c r="J94" s="1736"/>
      <c r="K94" s="1736"/>
      <c r="L94" s="1736"/>
      <c r="M94" s="1736"/>
      <c r="N94" s="1736"/>
      <c r="O94" s="1736"/>
      <c r="P94" s="1736"/>
      <c r="Q94" s="1736"/>
      <c r="R94" s="1736"/>
      <c r="S94" s="1736"/>
      <c r="T94" s="1736"/>
      <c r="U94" s="1736"/>
      <c r="V94" s="1736"/>
      <c r="W94" s="1736"/>
      <c r="X94" s="1736"/>
      <c r="Y94" s="1736"/>
      <c r="Z94" s="1736"/>
      <c r="AA94" s="1736"/>
      <c r="AB94" s="1736"/>
      <c r="AC94" s="1736"/>
      <c r="AD94" s="1736"/>
      <c r="AE94" s="1736"/>
      <c r="AF94" s="1736"/>
      <c r="AG94" s="1736"/>
      <c r="AH94" s="1736"/>
      <c r="AI94" s="1736"/>
      <c r="AJ94" s="1736"/>
      <c r="AK94" s="1736"/>
      <c r="AL94" s="1736"/>
      <c r="AM94" s="1736"/>
      <c r="AN94" s="1736"/>
      <c r="AO94" s="1736"/>
      <c r="AP94" s="1736"/>
      <c r="AQ94" s="1736"/>
      <c r="AR94" s="1736"/>
      <c r="AS94" s="1736"/>
      <c r="AT94" s="1736"/>
      <c r="AU94" s="16"/>
      <c r="AV94" s="16"/>
      <c r="AW94" s="16"/>
      <c r="AX94" s="16"/>
      <c r="AY94" s="16"/>
      <c r="AZ94" s="16"/>
    </row>
    <row r="95" spans="1:52" ht="13" customHeight="1">
      <c r="A95" s="1736"/>
      <c r="B95" s="1736"/>
      <c r="C95" s="1736"/>
      <c r="D95" s="1736"/>
      <c r="E95" s="1736"/>
      <c r="F95" s="1736"/>
      <c r="G95" s="1736"/>
      <c r="H95" s="1736"/>
      <c r="I95" s="1736"/>
      <c r="J95" s="1736"/>
      <c r="K95" s="1736"/>
      <c r="L95" s="1736"/>
      <c r="M95" s="1736"/>
      <c r="N95" s="1736"/>
      <c r="O95" s="1736"/>
      <c r="P95" s="1736"/>
      <c r="Q95" s="1736"/>
      <c r="R95" s="1736"/>
      <c r="S95" s="1736"/>
      <c r="T95" s="1736"/>
      <c r="U95" s="1736"/>
      <c r="V95" s="1736"/>
      <c r="W95" s="1736"/>
      <c r="X95" s="1736"/>
      <c r="Y95" s="1736"/>
      <c r="Z95" s="1736"/>
      <c r="AA95" s="1736"/>
      <c r="AB95" s="1736"/>
      <c r="AC95" s="1736"/>
      <c r="AD95" s="1736"/>
      <c r="AE95" s="1736"/>
      <c r="AF95" s="1736"/>
      <c r="AG95" s="1736"/>
      <c r="AH95" s="1736"/>
      <c r="AI95" s="1736"/>
      <c r="AJ95" s="1736"/>
      <c r="AK95" s="1736"/>
      <c r="AL95" s="1736"/>
      <c r="AM95" s="1736"/>
      <c r="AN95" s="1736"/>
      <c r="AO95" s="1736"/>
      <c r="AP95" s="1736"/>
      <c r="AQ95" s="1736"/>
      <c r="AR95" s="1736"/>
      <c r="AS95" s="1736"/>
      <c r="AT95" s="1736"/>
      <c r="AU95" s="16"/>
      <c r="AV95" s="16"/>
      <c r="AW95" s="16"/>
      <c r="AX95" s="16"/>
      <c r="AY95" s="16"/>
      <c r="AZ95" s="16"/>
    </row>
    <row r="96" spans="1:52" ht="13" customHeight="1">
      <c r="A96" s="1736"/>
      <c r="B96" s="1736"/>
      <c r="C96" s="1736"/>
      <c r="D96" s="1736"/>
      <c r="E96" s="1736"/>
      <c r="F96" s="1736"/>
      <c r="G96" s="1736"/>
      <c r="H96" s="1736"/>
      <c r="I96" s="1736"/>
      <c r="J96" s="1736"/>
      <c r="K96" s="1736"/>
      <c r="L96" s="1736"/>
      <c r="M96" s="1736"/>
      <c r="N96" s="1736"/>
      <c r="O96" s="1736"/>
      <c r="P96" s="1736"/>
      <c r="Q96" s="1736"/>
      <c r="R96" s="1736"/>
      <c r="S96" s="1736"/>
      <c r="T96" s="1736"/>
      <c r="U96" s="1736"/>
      <c r="V96" s="1736"/>
      <c r="W96" s="1736"/>
      <c r="X96" s="1736"/>
      <c r="Y96" s="1736"/>
      <c r="Z96" s="1736"/>
      <c r="AA96" s="1736"/>
      <c r="AB96" s="1736"/>
      <c r="AC96" s="1736"/>
      <c r="AD96" s="1736"/>
      <c r="AE96" s="1736"/>
      <c r="AF96" s="1736"/>
      <c r="AG96" s="1736"/>
      <c r="AH96" s="1736"/>
      <c r="AI96" s="1736"/>
      <c r="AJ96" s="1736"/>
      <c r="AK96" s="1736"/>
      <c r="AL96" s="1736"/>
      <c r="AM96" s="1736"/>
      <c r="AN96" s="1736"/>
      <c r="AO96" s="1736"/>
      <c r="AP96" s="1736"/>
      <c r="AQ96" s="1736"/>
      <c r="AR96" s="1736"/>
      <c r="AS96" s="1736"/>
      <c r="AT96" s="1736"/>
      <c r="AU96" s="16"/>
      <c r="AV96" s="16"/>
      <c r="AW96" s="16"/>
      <c r="AX96" s="16"/>
      <c r="AY96" s="16"/>
      <c r="AZ96" s="16"/>
    </row>
    <row r="97" spans="1:52" ht="13" customHeight="1">
      <c r="A97" s="1736"/>
      <c r="B97" s="1736"/>
      <c r="C97" s="1736"/>
      <c r="D97" s="1736"/>
      <c r="E97" s="1736"/>
      <c r="F97" s="1736"/>
      <c r="G97" s="1736"/>
      <c r="H97" s="1736"/>
      <c r="I97" s="1736"/>
      <c r="J97" s="1736"/>
      <c r="K97" s="1736"/>
      <c r="L97" s="1736"/>
      <c r="M97" s="1736"/>
      <c r="N97" s="1736"/>
      <c r="O97" s="1736"/>
      <c r="P97" s="1736"/>
      <c r="Q97" s="1736"/>
      <c r="R97" s="1736"/>
      <c r="S97" s="1736"/>
      <c r="T97" s="1736"/>
      <c r="U97" s="1736"/>
      <c r="V97" s="1736"/>
      <c r="W97" s="1736"/>
      <c r="X97" s="1736"/>
      <c r="Y97" s="1736"/>
      <c r="Z97" s="1736"/>
      <c r="AA97" s="1736"/>
      <c r="AB97" s="1736"/>
      <c r="AC97" s="1736"/>
      <c r="AD97" s="1736"/>
      <c r="AE97" s="1736"/>
      <c r="AF97" s="1736"/>
      <c r="AG97" s="1736"/>
      <c r="AH97" s="1736"/>
      <c r="AI97" s="1736"/>
      <c r="AJ97" s="1736"/>
      <c r="AK97" s="1736"/>
      <c r="AL97" s="1736"/>
      <c r="AM97" s="1736"/>
      <c r="AN97" s="1736"/>
      <c r="AO97" s="1736"/>
      <c r="AP97" s="1736"/>
      <c r="AQ97" s="1736"/>
      <c r="AR97" s="1736"/>
      <c r="AS97" s="1736"/>
      <c r="AT97" s="1736"/>
      <c r="AU97" s="16"/>
      <c r="AV97" s="16"/>
      <c r="AW97" s="16"/>
      <c r="AX97" s="16"/>
      <c r="AY97" s="16"/>
      <c r="AZ97" s="16"/>
    </row>
    <row r="98" spans="1:52" ht="13" customHeight="1">
      <c r="A98" s="1736"/>
      <c r="B98" s="1736"/>
      <c r="C98" s="1736"/>
      <c r="D98" s="1736"/>
      <c r="E98" s="1736"/>
      <c r="F98" s="1736"/>
      <c r="G98" s="1736"/>
      <c r="H98" s="1736"/>
      <c r="I98" s="1736"/>
      <c r="J98" s="1736"/>
      <c r="K98" s="1736"/>
      <c r="L98" s="1736"/>
      <c r="M98" s="1736"/>
      <c r="N98" s="1736"/>
      <c r="O98" s="1736"/>
      <c r="P98" s="1736"/>
      <c r="Q98" s="1736"/>
      <c r="R98" s="1736"/>
      <c r="S98" s="1736"/>
      <c r="T98" s="1736"/>
      <c r="U98" s="1736"/>
      <c r="V98" s="1736"/>
      <c r="W98" s="1736"/>
      <c r="X98" s="1736"/>
      <c r="Y98" s="1736"/>
      <c r="Z98" s="1736"/>
      <c r="AA98" s="1736"/>
      <c r="AB98" s="1736"/>
      <c r="AC98" s="1736"/>
      <c r="AD98" s="1736"/>
      <c r="AE98" s="1736"/>
      <c r="AF98" s="1736"/>
      <c r="AG98" s="1736"/>
      <c r="AH98" s="1736"/>
      <c r="AI98" s="1736"/>
      <c r="AJ98" s="1736"/>
      <c r="AK98" s="1736"/>
      <c r="AL98" s="1736"/>
      <c r="AM98" s="1736"/>
      <c r="AN98" s="1736"/>
      <c r="AO98" s="1736"/>
      <c r="AP98" s="1736"/>
      <c r="AQ98" s="1736"/>
      <c r="AR98" s="1736"/>
      <c r="AS98" s="1736"/>
      <c r="AT98" s="1736"/>
      <c r="AU98" s="16"/>
      <c r="AV98" s="16"/>
      <c r="AW98" s="16"/>
      <c r="AX98" s="16"/>
      <c r="AY98" s="16"/>
      <c r="AZ98" s="16"/>
    </row>
    <row r="99" spans="1:52" ht="13" customHeight="1">
      <c r="C99" s="1124"/>
      <c r="D99" s="1124"/>
      <c r="E99" s="1124"/>
      <c r="F99" s="1124"/>
      <c r="G99" s="1124"/>
      <c r="H99" s="1124"/>
      <c r="I99" s="1124"/>
      <c r="J99" s="1124"/>
      <c r="K99" s="1124"/>
      <c r="L99" s="1124"/>
      <c r="M99" s="1124"/>
      <c r="N99" s="1124"/>
      <c r="O99" s="1124"/>
      <c r="P99" s="1124"/>
      <c r="Q99" s="1124"/>
      <c r="R99" s="1124"/>
      <c r="S99" s="1124"/>
      <c r="T99" s="1124"/>
      <c r="U99" s="1124"/>
      <c r="V99" s="1124"/>
      <c r="W99" s="1124"/>
      <c r="X99" s="1124"/>
      <c r="Y99" s="1124"/>
      <c r="Z99" s="1124"/>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row>
    <row r="100" spans="1:52" ht="13" customHeight="1">
      <c r="A100" s="1252" t="s">
        <v>855</v>
      </c>
      <c r="B100" s="1252"/>
      <c r="C100" s="1252"/>
      <c r="D100" s="1252"/>
      <c r="E100" s="1252"/>
      <c r="F100" s="1252"/>
      <c r="G100" s="1252"/>
      <c r="H100" s="1252"/>
      <c r="I100" s="1252"/>
      <c r="J100" s="1252"/>
      <c r="K100" s="1252"/>
      <c r="L100" s="1252"/>
      <c r="M100" s="1252"/>
      <c r="N100" s="1252"/>
      <c r="O100" s="1252"/>
      <c r="P100" s="1252"/>
      <c r="Q100" s="1252"/>
      <c r="R100" s="1252"/>
      <c r="S100" s="1252"/>
      <c r="T100" s="1252"/>
      <c r="U100" s="1252"/>
      <c r="V100" s="1252"/>
      <c r="W100" s="1252"/>
      <c r="X100" s="1252"/>
      <c r="Y100" s="1252"/>
      <c r="Z100" s="1252"/>
      <c r="AA100" s="1252"/>
      <c r="AB100" s="1252"/>
      <c r="AC100" s="1252"/>
      <c r="AD100" s="1252"/>
      <c r="AE100" s="1252"/>
      <c r="AF100" s="1252"/>
      <c r="AG100" s="1252"/>
      <c r="AH100" s="1252"/>
      <c r="AI100" s="1252"/>
      <c r="AJ100" s="1252"/>
      <c r="AK100" s="1252"/>
      <c r="AL100" s="1252"/>
      <c r="AM100" s="1252"/>
      <c r="AN100" s="1252"/>
      <c r="AO100" s="1252"/>
      <c r="AP100" s="1252"/>
      <c r="AQ100" s="1252"/>
      <c r="AR100" s="1252"/>
      <c r="AS100" s="1252"/>
      <c r="AT100" s="1252"/>
      <c r="AU100" s="16"/>
      <c r="AV100" s="16"/>
      <c r="AW100" s="16"/>
      <c r="AX100" s="16"/>
      <c r="AY100" s="16"/>
      <c r="AZ100" s="16"/>
    </row>
    <row r="101" spans="1:52" ht="13" customHeight="1">
      <c r="A101" s="1252"/>
      <c r="B101" s="1252"/>
      <c r="C101" s="1252"/>
      <c r="D101" s="1252"/>
      <c r="E101" s="1252"/>
      <c r="F101" s="1252"/>
      <c r="G101" s="1252"/>
      <c r="H101" s="1252"/>
      <c r="I101" s="1252"/>
      <c r="J101" s="1252"/>
      <c r="K101" s="1252"/>
      <c r="L101" s="1252"/>
      <c r="M101" s="1252"/>
      <c r="N101" s="1252"/>
      <c r="O101" s="1252"/>
      <c r="P101" s="1252"/>
      <c r="Q101" s="1252"/>
      <c r="R101" s="1252"/>
      <c r="S101" s="1252"/>
      <c r="T101" s="1252"/>
      <c r="U101" s="1252"/>
      <c r="V101" s="1252"/>
      <c r="W101" s="1252"/>
      <c r="X101" s="1252"/>
      <c r="Y101" s="1252"/>
      <c r="Z101" s="1252"/>
      <c r="AA101" s="1252"/>
      <c r="AB101" s="1252"/>
      <c r="AC101" s="1252"/>
      <c r="AD101" s="1252"/>
      <c r="AE101" s="1252"/>
      <c r="AF101" s="1252"/>
      <c r="AG101" s="1252"/>
      <c r="AH101" s="1252"/>
      <c r="AI101" s="1252"/>
      <c r="AJ101" s="1252"/>
      <c r="AK101" s="1252"/>
      <c r="AL101" s="1252"/>
      <c r="AM101" s="1252"/>
      <c r="AN101" s="1252"/>
      <c r="AO101" s="1252"/>
      <c r="AP101" s="1252"/>
      <c r="AQ101" s="1252"/>
      <c r="AR101" s="1252"/>
      <c r="AS101" s="1252"/>
      <c r="AT101" s="1252"/>
      <c r="AU101" s="16"/>
      <c r="AV101" s="16"/>
      <c r="AW101" s="16"/>
      <c r="AX101" s="16"/>
      <c r="AY101" s="16"/>
      <c r="AZ101" s="16"/>
    </row>
    <row r="102" spans="1:52" ht="13" customHeight="1">
      <c r="A102" s="1252"/>
      <c r="B102" s="1252"/>
      <c r="C102" s="1252"/>
      <c r="D102" s="1252"/>
      <c r="E102" s="1252"/>
      <c r="F102" s="1252"/>
      <c r="G102" s="1252"/>
      <c r="H102" s="1252"/>
      <c r="I102" s="1252"/>
      <c r="J102" s="1252"/>
      <c r="K102" s="1252"/>
      <c r="L102" s="1252"/>
      <c r="M102" s="1252"/>
      <c r="N102" s="1252"/>
      <c r="O102" s="1252"/>
      <c r="P102" s="1252"/>
      <c r="Q102" s="1252"/>
      <c r="R102" s="1252"/>
      <c r="S102" s="1252"/>
      <c r="T102" s="1252"/>
      <c r="U102" s="1252"/>
      <c r="V102" s="1252"/>
      <c r="W102" s="1252"/>
      <c r="X102" s="1252"/>
      <c r="Y102" s="1252"/>
      <c r="Z102" s="1252"/>
      <c r="AA102" s="1252"/>
      <c r="AB102" s="1252"/>
      <c r="AC102" s="1252"/>
      <c r="AD102" s="1252"/>
      <c r="AE102" s="1252"/>
      <c r="AF102" s="1252"/>
      <c r="AG102" s="1252"/>
      <c r="AH102" s="1252"/>
      <c r="AI102" s="1252"/>
      <c r="AJ102" s="1252"/>
      <c r="AK102" s="1252"/>
      <c r="AL102" s="1252"/>
      <c r="AM102" s="1252"/>
      <c r="AN102" s="1252"/>
      <c r="AO102" s="1252"/>
      <c r="AP102" s="1252"/>
      <c r="AQ102" s="1252"/>
      <c r="AR102" s="1252"/>
      <c r="AS102" s="1252"/>
      <c r="AT102" s="1252"/>
      <c r="AU102" s="16"/>
      <c r="AV102" s="16"/>
      <c r="AW102" s="16"/>
      <c r="AX102" s="16"/>
      <c r="AY102" s="16"/>
      <c r="AZ102" s="16"/>
    </row>
    <row r="103" spans="1:52" ht="13" customHeight="1">
      <c r="A103" s="1252"/>
      <c r="B103" s="1252"/>
      <c r="C103" s="1252"/>
      <c r="D103" s="1252"/>
      <c r="E103" s="1252"/>
      <c r="F103" s="1252"/>
      <c r="G103" s="1252"/>
      <c r="H103" s="1252"/>
      <c r="I103" s="1252"/>
      <c r="J103" s="1252"/>
      <c r="K103" s="1252"/>
      <c r="L103" s="1252"/>
      <c r="M103" s="1252"/>
      <c r="N103" s="1252"/>
      <c r="O103" s="1252"/>
      <c r="P103" s="1252"/>
      <c r="Q103" s="1252"/>
      <c r="R103" s="1252"/>
      <c r="S103" s="1252"/>
      <c r="T103" s="1252"/>
      <c r="U103" s="1252"/>
      <c r="V103" s="1252"/>
      <c r="W103" s="1252"/>
      <c r="X103" s="1252"/>
      <c r="Y103" s="1252"/>
      <c r="Z103" s="1252"/>
      <c r="AA103" s="1252"/>
      <c r="AB103" s="1252"/>
      <c r="AC103" s="1252"/>
      <c r="AD103" s="1252"/>
      <c r="AE103" s="1252"/>
      <c r="AF103" s="1252"/>
      <c r="AG103" s="1252"/>
      <c r="AH103" s="1252"/>
      <c r="AI103" s="1252"/>
      <c r="AJ103" s="1252"/>
      <c r="AK103" s="1252"/>
      <c r="AL103" s="1252"/>
      <c r="AM103" s="1252"/>
      <c r="AN103" s="1252"/>
      <c r="AO103" s="1252"/>
      <c r="AP103" s="1252"/>
      <c r="AQ103" s="1252"/>
      <c r="AR103" s="1252"/>
      <c r="AS103" s="1252"/>
      <c r="AT103" s="1252"/>
      <c r="AU103" s="16"/>
      <c r="AV103" s="16"/>
      <c r="AW103" s="16"/>
      <c r="AX103" s="16"/>
      <c r="AY103" s="16"/>
    </row>
    <row r="104" spans="1:52" ht="13" customHeight="1">
      <c r="C104" s="1124"/>
      <c r="D104" s="1124"/>
      <c r="E104" s="1124"/>
      <c r="F104" s="1124"/>
      <c r="G104" s="1124"/>
      <c r="H104" s="1124"/>
      <c r="I104" s="1124"/>
      <c r="J104" s="1124"/>
      <c r="K104" s="1124"/>
      <c r="L104" s="1124"/>
      <c r="M104" s="1124"/>
      <c r="N104" s="1124"/>
      <c r="O104" s="1124"/>
      <c r="P104" s="1124"/>
      <c r="Q104" s="1124"/>
      <c r="R104" s="1124"/>
      <c r="S104" s="1124"/>
      <c r="T104" s="1124"/>
      <c r="U104" s="1124"/>
      <c r="V104" s="1124"/>
      <c r="W104" s="1124"/>
      <c r="X104" s="1124"/>
      <c r="Y104" s="1124"/>
      <c r="Z104" s="1124"/>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row>
    <row r="105" spans="1:52" ht="13" customHeight="1">
      <c r="A105" s="1252" t="s">
        <v>856</v>
      </c>
      <c r="B105" s="1252"/>
      <c r="C105" s="1252"/>
      <c r="D105" s="1252"/>
      <c r="E105" s="1252"/>
      <c r="F105" s="1252"/>
      <c r="G105" s="1252"/>
      <c r="H105" s="1252"/>
      <c r="I105" s="1252"/>
      <c r="J105" s="1252"/>
      <c r="K105" s="1252"/>
      <c r="L105" s="1252"/>
      <c r="M105" s="1252"/>
      <c r="N105" s="1252"/>
      <c r="O105" s="1252"/>
      <c r="P105" s="1252"/>
      <c r="Q105" s="1252"/>
      <c r="R105" s="1252"/>
      <c r="S105" s="1252"/>
      <c r="T105" s="1252"/>
      <c r="U105" s="1252"/>
      <c r="V105" s="1252"/>
      <c r="W105" s="1252"/>
      <c r="X105" s="1252"/>
      <c r="Y105" s="1252"/>
      <c r="Z105" s="1252"/>
      <c r="AA105" s="1252"/>
      <c r="AB105" s="1252"/>
      <c r="AC105" s="1252"/>
      <c r="AD105" s="1252"/>
      <c r="AE105" s="1252"/>
      <c r="AF105" s="1252"/>
      <c r="AG105" s="1252"/>
      <c r="AH105" s="1252"/>
      <c r="AI105" s="1252"/>
      <c r="AJ105" s="1252"/>
      <c r="AK105" s="1252"/>
      <c r="AL105" s="1252"/>
      <c r="AM105" s="1252"/>
      <c r="AN105" s="1252"/>
      <c r="AO105" s="1252"/>
      <c r="AP105" s="1252"/>
      <c r="AQ105" s="1252"/>
      <c r="AR105" s="1252"/>
      <c r="AS105" s="1252"/>
      <c r="AT105" s="1252"/>
      <c r="AU105" s="16"/>
      <c r="AV105" s="16"/>
      <c r="AW105" s="16"/>
      <c r="AX105" s="16"/>
      <c r="AY105" s="16"/>
    </row>
    <row r="106" spans="1:52" ht="13" customHeight="1">
      <c r="A106" s="1252"/>
      <c r="B106" s="1252"/>
      <c r="C106" s="1252"/>
      <c r="D106" s="1252"/>
      <c r="E106" s="1252"/>
      <c r="F106" s="1252"/>
      <c r="G106" s="1252"/>
      <c r="H106" s="1252"/>
      <c r="I106" s="1252"/>
      <c r="J106" s="1252"/>
      <c r="K106" s="1252"/>
      <c r="L106" s="1252"/>
      <c r="M106" s="1252"/>
      <c r="N106" s="1252"/>
      <c r="O106" s="1252"/>
      <c r="P106" s="1252"/>
      <c r="Q106" s="1252"/>
      <c r="R106" s="1252"/>
      <c r="S106" s="1252"/>
      <c r="T106" s="1252"/>
      <c r="U106" s="1252"/>
      <c r="V106" s="1252"/>
      <c r="W106" s="1252"/>
      <c r="X106" s="1252"/>
      <c r="Y106" s="1252"/>
      <c r="Z106" s="1252"/>
      <c r="AA106" s="1252"/>
      <c r="AB106" s="1252"/>
      <c r="AC106" s="1252"/>
      <c r="AD106" s="1252"/>
      <c r="AE106" s="1252"/>
      <c r="AF106" s="1252"/>
      <c r="AG106" s="1252"/>
      <c r="AH106" s="1252"/>
      <c r="AI106" s="1252"/>
      <c r="AJ106" s="1252"/>
      <c r="AK106" s="1252"/>
      <c r="AL106" s="1252"/>
      <c r="AM106" s="1252"/>
      <c r="AN106" s="1252"/>
      <c r="AO106" s="1252"/>
      <c r="AP106" s="1252"/>
      <c r="AQ106" s="1252"/>
      <c r="AR106" s="1252"/>
      <c r="AS106" s="1252"/>
      <c r="AT106" s="1252"/>
      <c r="AU106" s="16"/>
      <c r="AV106" s="16"/>
      <c r="AW106" s="16"/>
      <c r="AX106" s="16"/>
      <c r="AY106" s="16"/>
    </row>
    <row r="107" spans="1:52" ht="13" customHeight="1">
      <c r="A107" s="388"/>
      <c r="C107" s="1124"/>
      <c r="D107" s="1124"/>
      <c r="E107" s="1124"/>
      <c r="F107" s="1124"/>
      <c r="G107" s="1124"/>
      <c r="H107" s="1124"/>
      <c r="I107" s="1124"/>
      <c r="J107" s="1124"/>
      <c r="K107" s="1124"/>
      <c r="L107" s="1124"/>
      <c r="M107" s="1124"/>
      <c r="N107" s="1124"/>
      <c r="O107" s="1124"/>
      <c r="P107" s="1124"/>
      <c r="Q107" s="1124"/>
      <c r="R107" s="1124"/>
      <c r="S107" s="1124"/>
      <c r="T107" s="1124"/>
      <c r="U107" s="1124"/>
      <c r="V107" s="1124"/>
      <c r="W107" s="1124"/>
      <c r="X107" s="1124"/>
      <c r="Y107" s="1124"/>
      <c r="Z107" s="1124"/>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row>
    <row r="108" spans="1:52" ht="13" customHeight="1">
      <c r="A108" s="388" t="s">
        <v>857</v>
      </c>
      <c r="C108" s="1124"/>
      <c r="D108" s="1124"/>
      <c r="E108" s="1124"/>
      <c r="F108" s="1124"/>
      <c r="G108" s="1124"/>
      <c r="H108" s="1124"/>
      <c r="I108" s="1124"/>
      <c r="J108" s="1124"/>
      <c r="K108" s="1124"/>
      <c r="L108" s="1124"/>
      <c r="M108" s="1124"/>
      <c r="N108" s="1124"/>
      <c r="O108" s="1124"/>
      <c r="P108" s="1124"/>
      <c r="Q108" s="1124"/>
      <c r="R108" s="1124"/>
      <c r="S108" s="1124"/>
      <c r="T108" s="1124"/>
      <c r="U108" s="1124"/>
      <c r="V108" s="1124"/>
      <c r="W108" s="1124"/>
      <c r="X108" s="1124"/>
      <c r="Y108" s="1124"/>
      <c r="Z108" s="1124"/>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row>
    <row r="109" spans="1:52" ht="13" customHeight="1">
      <c r="C109" s="1124"/>
      <c r="D109" s="1124"/>
      <c r="E109" s="1124"/>
      <c r="F109" s="1124"/>
      <c r="G109" s="1124"/>
      <c r="H109" s="1124"/>
      <c r="I109" s="1124"/>
      <c r="J109" s="1124"/>
      <c r="K109" s="1124"/>
      <c r="L109" s="1124"/>
      <c r="M109" s="1124"/>
      <c r="N109" s="1124"/>
      <c r="O109" s="1124"/>
      <c r="P109" s="1124"/>
      <c r="Q109" s="1124"/>
      <c r="R109" s="1124"/>
      <c r="S109" s="1124"/>
      <c r="T109" s="1124"/>
      <c r="U109" s="1124"/>
      <c r="V109" s="1124"/>
      <c r="W109" s="1124"/>
      <c r="X109" s="1124"/>
      <c r="Y109" s="1124"/>
      <c r="Z109" s="1124"/>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row>
    <row r="110" spans="1:52" ht="13" customHeight="1">
      <c r="A110" s="388"/>
      <c r="C110" s="1124"/>
      <c r="D110" s="1124"/>
      <c r="E110" s="1124"/>
      <c r="F110" s="1124"/>
      <c r="G110" s="1124"/>
      <c r="H110" s="1124"/>
      <c r="I110" s="1124"/>
      <c r="J110" s="1124"/>
      <c r="K110" s="1124"/>
      <c r="L110" s="1124"/>
      <c r="M110" s="1124"/>
      <c r="N110" s="1124"/>
      <c r="O110" s="1124"/>
      <c r="P110" s="1124"/>
      <c r="Q110" s="1124"/>
      <c r="R110" s="1124"/>
      <c r="S110" s="1124"/>
      <c r="T110" s="1124"/>
      <c r="U110" s="1124"/>
      <c r="V110" s="1124"/>
      <c r="W110" s="1124"/>
      <c r="X110" s="1124"/>
      <c r="Y110" s="1124"/>
      <c r="Z110" s="1124"/>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row>
    <row r="111" spans="1:52" ht="13" customHeight="1">
      <c r="A111" s="388"/>
      <c r="C111" s="1124"/>
      <c r="D111" s="1124"/>
      <c r="E111" s="1124"/>
      <c r="F111" s="1124"/>
      <c r="G111" s="1124"/>
      <c r="H111" s="1124"/>
      <c r="I111" s="1124"/>
      <c r="J111" s="1124"/>
      <c r="K111" s="1124"/>
      <c r="L111" s="1124"/>
      <c r="M111" s="1124"/>
      <c r="N111" s="1124"/>
      <c r="O111" s="1124"/>
      <c r="P111" s="1124"/>
      <c r="Q111" s="1124"/>
      <c r="R111" s="1124"/>
      <c r="S111" s="1124"/>
      <c r="T111" s="1124"/>
      <c r="U111" s="1124"/>
      <c r="V111" s="1124"/>
      <c r="W111" s="1124"/>
      <c r="X111" s="1124"/>
      <c r="Y111" s="1124"/>
      <c r="Z111" s="1124"/>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row>
    <row r="112" spans="1:52" ht="13" customHeight="1">
      <c r="A112" s="388"/>
      <c r="C112" s="1124"/>
      <c r="D112" s="1124"/>
      <c r="E112" s="1124"/>
      <c r="F112" s="1124"/>
      <c r="G112" s="1124"/>
      <c r="H112" s="1124"/>
      <c r="I112" s="1124"/>
      <c r="J112" s="1124"/>
      <c r="K112" s="1124"/>
      <c r="L112" s="1124"/>
      <c r="M112" s="1124"/>
      <c r="N112" s="1124"/>
      <c r="O112" s="1124"/>
      <c r="P112" s="1124"/>
      <c r="Q112" s="1124"/>
      <c r="R112" s="1124"/>
      <c r="S112" s="1124"/>
      <c r="T112" s="1124"/>
      <c r="U112" s="1124"/>
      <c r="V112" s="1124"/>
      <c r="W112" s="1124"/>
      <c r="X112" s="1124"/>
      <c r="Y112" s="1124"/>
      <c r="Z112" s="1124"/>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row>
    <row r="113" spans="1:51" ht="13" customHeight="1">
      <c r="A113" s="186"/>
      <c r="C113" s="2" t="s">
        <v>858</v>
      </c>
      <c r="G113" s="1721">
        <v>23</v>
      </c>
      <c r="H113" s="1721"/>
      <c r="I113" s="2" t="s">
        <v>859</v>
      </c>
      <c r="L113" s="1721" t="s">
        <v>860</v>
      </c>
      <c r="M113" s="1721"/>
      <c r="N113" s="1721"/>
      <c r="O113" s="1721"/>
      <c r="P113" s="1747" t="s">
        <v>861</v>
      </c>
      <c r="Q113" s="1747"/>
      <c r="R113" s="1747"/>
      <c r="S113" s="1747"/>
      <c r="T113" s="1124"/>
      <c r="U113" s="1124"/>
      <c r="V113" s="1124"/>
      <c r="W113" s="1124"/>
      <c r="X113" s="1124"/>
      <c r="Y113" s="1124"/>
      <c r="Z113" s="1124"/>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row>
    <row r="114" spans="1:51" ht="13" customHeight="1">
      <c r="M114" s="2"/>
      <c r="S114" s="2"/>
      <c r="T114" s="1124"/>
      <c r="U114" s="1124"/>
      <c r="V114" s="1124"/>
      <c r="W114" s="1124"/>
      <c r="X114" s="1124"/>
      <c r="Y114" s="1124"/>
      <c r="Z114" s="1124"/>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row>
    <row r="115" spans="1:51" ht="13" customHeight="1">
      <c r="A115" s="1124"/>
      <c r="C115" s="1739"/>
      <c r="D115" s="1739"/>
      <c r="E115" s="1739"/>
      <c r="F115" s="1739"/>
      <c r="G115" s="1739"/>
      <c r="H115" s="1739"/>
      <c r="I115" s="1739"/>
      <c r="J115" s="1739"/>
      <c r="K115" s="1739"/>
      <c r="L115" s="116" t="s">
        <v>862</v>
      </c>
      <c r="S115" s="2"/>
      <c r="T115" s="1124"/>
      <c r="U115" s="1124"/>
      <c r="V115" s="1124"/>
      <c r="W115" s="1124"/>
      <c r="X115" s="1124"/>
      <c r="Y115" s="1124"/>
      <c r="Z115" s="1124"/>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row>
    <row r="116" spans="1:51" ht="13" customHeight="1">
      <c r="A116" s="1124"/>
      <c r="C116" s="1124"/>
      <c r="D116" s="1124"/>
      <c r="E116" s="1124"/>
      <c r="F116" s="1124"/>
      <c r="G116" s="1124"/>
      <c r="H116" s="1124"/>
      <c r="I116" s="1124"/>
      <c r="J116" s="1124"/>
      <c r="K116" s="1124"/>
      <c r="L116" s="1124"/>
      <c r="M116" s="1124"/>
      <c r="N116" s="1124"/>
      <c r="O116" s="1124"/>
      <c r="P116" s="1124"/>
      <c r="Q116" s="1124"/>
      <c r="R116" s="1124"/>
      <c r="S116" s="1124"/>
      <c r="T116" s="1124"/>
      <c r="U116" s="1124"/>
      <c r="V116" s="1124"/>
      <c r="W116" s="1124"/>
      <c r="X116" s="1124"/>
      <c r="Y116" s="1124"/>
      <c r="Z116" s="1124"/>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row>
    <row r="117" spans="1:51" ht="13" customHeight="1">
      <c r="A117" s="1124"/>
      <c r="B117" s="18"/>
      <c r="C117" s="18"/>
      <c r="X117" s="2" t="s">
        <v>863</v>
      </c>
      <c r="Y117" s="1721"/>
      <c r="Z117" s="1721"/>
      <c r="AA117" s="1721"/>
      <c r="AB117" s="1721"/>
      <c r="AC117" s="1721"/>
      <c r="AD117" s="1721"/>
      <c r="AE117" s="1721"/>
      <c r="AF117" s="1721"/>
      <c r="AG117" s="1721"/>
      <c r="AH117" s="1721"/>
      <c r="AI117" s="1721"/>
      <c r="AJ117" s="1721"/>
      <c r="AK117" s="1721"/>
    </row>
    <row r="118" spans="1:51" ht="13" customHeight="1">
      <c r="X118" s="2"/>
      <c r="Y118" s="2"/>
      <c r="Z118" s="2" t="s">
        <v>864</v>
      </c>
      <c r="AA118" s="2"/>
      <c r="AB118" s="2"/>
      <c r="AC118" s="2"/>
      <c r="AD118" s="2"/>
      <c r="AE118" s="2"/>
      <c r="AF118" s="2"/>
      <c r="AG118" s="2"/>
      <c r="AH118" s="2"/>
      <c r="AI118" s="2"/>
      <c r="AJ118" s="2"/>
      <c r="AK118" s="2"/>
    </row>
    <row r="119" spans="1:51" ht="13" customHeight="1">
      <c r="A119" s="1124"/>
      <c r="B119" s="2"/>
      <c r="E119" s="2"/>
      <c r="F119" s="2"/>
      <c r="J119" s="2"/>
      <c r="P119" s="2"/>
      <c r="Q119" s="2"/>
      <c r="R119" s="2"/>
      <c r="S119" s="2"/>
      <c r="T119" s="2"/>
      <c r="U119" s="2"/>
      <c r="V119" s="2"/>
      <c r="W119" s="2"/>
      <c r="X119" s="2"/>
      <c r="AL119" s="2"/>
      <c r="AM119" s="2"/>
      <c r="AN119" s="2"/>
      <c r="AO119" s="2"/>
      <c r="AP119" s="2"/>
      <c r="AQ119" s="2"/>
      <c r="AR119" s="2"/>
      <c r="AS119" s="2"/>
      <c r="AT119" s="2"/>
      <c r="AU119" s="2"/>
      <c r="AV119" s="2"/>
      <c r="AW119" s="2"/>
      <c r="AX119" s="2"/>
      <c r="AY119" s="2"/>
    </row>
    <row r="120" spans="1:51" ht="13" customHeight="1">
      <c r="A120" s="1124"/>
      <c r="B120" s="2"/>
      <c r="P120" s="2"/>
      <c r="Q120" s="2"/>
      <c r="R120" s="2"/>
      <c r="S120" s="2"/>
      <c r="T120" s="2"/>
      <c r="U120" s="2"/>
      <c r="V120" s="2"/>
      <c r="W120" s="2"/>
      <c r="X120" s="2"/>
      <c r="Y120" s="1721" t="s">
        <v>865</v>
      </c>
      <c r="Z120" s="1721"/>
      <c r="AA120" s="1721"/>
      <c r="AB120" s="1721"/>
      <c r="AC120" s="1721"/>
      <c r="AD120" s="1721"/>
      <c r="AE120" s="1721"/>
      <c r="AF120" s="1721"/>
      <c r="AG120" s="1721"/>
      <c r="AH120" s="1721"/>
      <c r="AI120" s="1721"/>
      <c r="AJ120" s="1721"/>
      <c r="AK120" s="1721"/>
      <c r="AL120" s="2"/>
      <c r="AM120" s="2"/>
      <c r="AN120" s="2"/>
      <c r="AO120" s="2"/>
      <c r="AP120" s="2"/>
      <c r="AQ120" s="2"/>
      <c r="AR120" s="2"/>
      <c r="AS120" s="2"/>
      <c r="AT120" s="2"/>
      <c r="AU120" s="2"/>
      <c r="AV120" s="2"/>
      <c r="AW120" s="2"/>
      <c r="AX120" s="2"/>
      <c r="AY120" s="2"/>
    </row>
    <row r="121" spans="1:51" ht="13" customHeight="1">
      <c r="A121" s="2"/>
      <c r="B121" s="2"/>
      <c r="P121" s="2"/>
      <c r="Q121" s="2"/>
      <c r="R121" s="2"/>
      <c r="S121" s="2"/>
      <c r="T121" s="2"/>
      <c r="U121" s="2"/>
      <c r="V121" s="2"/>
      <c r="W121" s="2"/>
      <c r="X121" s="2"/>
      <c r="Y121" s="2"/>
      <c r="Z121" s="2" t="s">
        <v>866</v>
      </c>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spans="1:51" ht="13" customHeight="1">
      <c r="A122" s="2"/>
      <c r="B122" s="2"/>
      <c r="T122" s="2"/>
      <c r="U122" s="2"/>
      <c r="V122" s="2"/>
      <c r="W122" s="2"/>
      <c r="AL122" s="2"/>
      <c r="AM122" s="2"/>
      <c r="AN122" s="2"/>
      <c r="AO122" s="2"/>
      <c r="AP122" s="2"/>
      <c r="AQ122" s="2"/>
      <c r="AR122" s="2"/>
      <c r="AS122" s="2"/>
      <c r="AT122" s="2"/>
      <c r="AU122" s="2"/>
      <c r="AV122" s="2"/>
      <c r="AW122" s="2"/>
      <c r="AX122" s="2"/>
      <c r="AY122" s="2"/>
    </row>
    <row r="123" spans="1:51" ht="13" customHeight="1">
      <c r="A123" s="2"/>
      <c r="B123" s="2"/>
      <c r="T123" s="2"/>
      <c r="U123" s="2"/>
      <c r="V123" s="2"/>
      <c r="W123" s="2"/>
      <c r="X123" s="2"/>
      <c r="Y123" s="1721" t="s">
        <v>867</v>
      </c>
      <c r="Z123" s="1721"/>
      <c r="AA123" s="1721"/>
      <c r="AB123" s="1721"/>
      <c r="AC123" s="1721"/>
      <c r="AD123" s="1721"/>
      <c r="AE123" s="1721"/>
      <c r="AF123" s="1721"/>
      <c r="AG123" s="1721"/>
      <c r="AH123" s="1721"/>
      <c r="AI123" s="1721"/>
      <c r="AJ123" s="1721"/>
      <c r="AK123" s="1721"/>
      <c r="AL123" s="2"/>
      <c r="AM123" s="2"/>
      <c r="AN123" s="2"/>
      <c r="AO123" s="2"/>
      <c r="AP123" s="2"/>
      <c r="AQ123" s="2"/>
      <c r="AR123" s="2"/>
      <c r="AS123" s="2"/>
      <c r="AT123" s="2"/>
      <c r="AU123" s="2"/>
      <c r="AV123" s="2"/>
      <c r="AW123" s="2"/>
      <c r="AX123" s="2"/>
      <c r="AY123" s="2"/>
    </row>
    <row r="124" spans="1:51" ht="13" customHeight="1">
      <c r="A124" s="2"/>
      <c r="B124" s="2"/>
      <c r="T124" s="2"/>
      <c r="U124" s="2"/>
      <c r="V124" s="2"/>
      <c r="W124" s="2"/>
      <c r="X124" s="2"/>
      <c r="Y124" s="2"/>
      <c r="Z124" s="2" t="s">
        <v>868</v>
      </c>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row>
    <row r="125" spans="1:51" ht="13" customHeight="1">
      <c r="A125" s="2"/>
      <c r="B125" s="2"/>
      <c r="S125" s="2"/>
      <c r="T125" s="2"/>
      <c r="U125" s="2"/>
      <c r="V125" s="2"/>
      <c r="W125" s="2"/>
      <c r="AL125" s="2"/>
      <c r="AM125" s="2"/>
      <c r="AN125" s="2"/>
      <c r="AO125" s="2"/>
      <c r="AP125" s="2"/>
      <c r="AQ125" s="2"/>
      <c r="AR125" s="2"/>
      <c r="AS125" s="2"/>
      <c r="AT125" s="2"/>
      <c r="AU125" s="2"/>
      <c r="AV125" s="2"/>
      <c r="AW125" s="2"/>
      <c r="AX125" s="2"/>
      <c r="AY125" s="2"/>
    </row>
    <row r="126" spans="1:51" ht="13" customHeight="1"/>
    <row r="127" spans="1:51" ht="13" hidden="1" customHeight="1">
      <c r="A127" s="2"/>
      <c r="B127" s="2"/>
      <c r="R127" s="2"/>
      <c r="S127" s="2"/>
      <c r="T127" s="2"/>
      <c r="U127" s="2"/>
      <c r="V127" s="2"/>
      <c r="W127" s="2"/>
      <c r="AL127" s="2"/>
      <c r="AM127" s="2"/>
      <c r="AN127" s="2"/>
      <c r="AO127" s="2"/>
      <c r="AP127" s="2"/>
      <c r="AQ127" s="2"/>
      <c r="AR127" s="2"/>
      <c r="AS127" s="2"/>
      <c r="AT127" s="2"/>
      <c r="AU127" s="2"/>
      <c r="AV127" s="2"/>
      <c r="AW127" s="2"/>
      <c r="AX127" s="2"/>
      <c r="AY127" s="2"/>
    </row>
    <row r="128" spans="1:51" ht="13" hidden="1" customHeight="1">
      <c r="A128" s="1148"/>
      <c r="AL128" s="1148"/>
      <c r="AM128" s="1148"/>
      <c r="AN128" s="1148"/>
      <c r="AO128" s="1148"/>
      <c r="AP128" s="1148"/>
      <c r="AQ128" s="1148"/>
      <c r="AR128" s="1148"/>
      <c r="AS128" s="1148"/>
      <c r="AT128" s="1148"/>
      <c r="AU128" s="1148"/>
      <c r="AV128" s="1148"/>
      <c r="AW128" s="1148"/>
      <c r="AX128" s="1148"/>
      <c r="AY128" s="1148"/>
    </row>
    <row r="129" spans="1:51" ht="13" hidden="1" customHeight="1">
      <c r="A129" s="1148"/>
      <c r="B129" s="2"/>
      <c r="R129" s="1148"/>
      <c r="S129" s="1148"/>
      <c r="T129" s="1148"/>
      <c r="U129" s="1148"/>
      <c r="V129" s="1148"/>
      <c r="W129" s="1148"/>
      <c r="AL129" s="1148"/>
      <c r="AM129" s="1148"/>
      <c r="AN129" s="1148"/>
      <c r="AO129" s="1148"/>
      <c r="AP129" s="1148"/>
      <c r="AQ129" s="1148"/>
      <c r="AR129" s="1148"/>
      <c r="AS129" s="1148"/>
      <c r="AT129" s="1148"/>
      <c r="AU129" s="1148"/>
      <c r="AV129" s="1148"/>
      <c r="AW129" s="1148"/>
      <c r="AX129" s="1148"/>
      <c r="AY129" s="1148"/>
    </row>
    <row r="130" spans="1:51" ht="13" hidden="1" customHeight="1">
      <c r="A130" s="2"/>
      <c r="B130" s="68"/>
      <c r="C130" s="1148"/>
      <c r="R130" s="1148"/>
      <c r="S130" s="1148"/>
      <c r="T130" s="1148"/>
      <c r="U130" s="1148"/>
      <c r="V130" s="1148"/>
      <c r="W130" s="1148"/>
      <c r="AL130" s="2"/>
      <c r="AM130" s="2"/>
      <c r="AN130" s="2"/>
      <c r="AO130" s="2"/>
      <c r="AP130" s="2"/>
      <c r="AQ130" s="2"/>
      <c r="AR130" s="2"/>
      <c r="AS130" s="2"/>
      <c r="AT130" s="2"/>
      <c r="AU130" s="2"/>
      <c r="AV130" s="2"/>
      <c r="AW130" s="2"/>
      <c r="AX130" s="2"/>
      <c r="AY130" s="2"/>
    </row>
    <row r="131" spans="1:51" ht="13" hidden="1" customHeight="1">
      <c r="A131" s="2"/>
      <c r="AL131" s="2"/>
      <c r="AM131" s="2"/>
      <c r="AN131" s="2"/>
      <c r="AO131" s="2"/>
      <c r="AP131" s="2"/>
      <c r="AQ131" s="2"/>
      <c r="AR131" s="2"/>
      <c r="AS131" s="2"/>
      <c r="AT131" s="2"/>
      <c r="AU131" s="2"/>
      <c r="AV131" s="2"/>
      <c r="AW131" s="2"/>
      <c r="AX131" s="2"/>
      <c r="AY131" s="2"/>
    </row>
    <row r="132" spans="1:51" ht="13" hidden="1" customHeight="1">
      <c r="A132" s="2"/>
      <c r="B132" s="2"/>
      <c r="C132" s="2"/>
      <c r="D132" s="2"/>
      <c r="F132" s="116"/>
      <c r="G132" s="116"/>
      <c r="H132" s="116"/>
      <c r="I132" s="116"/>
      <c r="J132" s="116"/>
      <c r="K132" s="116"/>
      <c r="L132" s="116"/>
      <c r="M132" s="116"/>
      <c r="N132" s="2"/>
      <c r="P132" s="2"/>
      <c r="Q132" s="2"/>
      <c r="U132" s="2"/>
      <c r="V132" s="2"/>
      <c r="W132" s="2"/>
      <c r="AL132" s="2"/>
      <c r="AM132" s="2"/>
      <c r="AN132" s="2"/>
      <c r="AO132" s="2"/>
      <c r="AP132" s="2"/>
      <c r="AQ132" s="2"/>
      <c r="AR132" s="2"/>
      <c r="AS132" s="2"/>
      <c r="AT132" s="2"/>
      <c r="AU132" s="2"/>
      <c r="AV132" s="2"/>
      <c r="AW132" s="2"/>
      <c r="AX132" s="2"/>
      <c r="AY132" s="2"/>
    </row>
    <row r="133" spans="1:51" ht="13" hidden="1" customHeight="1">
      <c r="A133" s="2"/>
      <c r="W133" s="2"/>
      <c r="AL133" s="2"/>
      <c r="AM133" s="2"/>
      <c r="AN133" s="2"/>
      <c r="AO133" s="2"/>
      <c r="AP133" s="2"/>
      <c r="AQ133" s="2"/>
      <c r="AR133" s="2"/>
      <c r="AS133" s="2"/>
      <c r="AT133" s="2"/>
      <c r="AU133" s="2"/>
      <c r="AV133" s="2"/>
      <c r="AW133" s="2"/>
      <c r="AX133" s="2"/>
      <c r="AY133" s="2"/>
    </row>
    <row r="134" spans="1:51" ht="13" hidden="1" customHeight="1">
      <c r="A134" s="2"/>
      <c r="B134" s="2"/>
      <c r="C134" s="2"/>
      <c r="D134" s="2"/>
      <c r="E134" s="2"/>
      <c r="G134" s="2"/>
      <c r="H134" s="2"/>
      <c r="I134" s="2"/>
      <c r="J134" s="2"/>
      <c r="K134" s="2"/>
      <c r="L134" s="2"/>
      <c r="M134" s="2"/>
      <c r="N134" s="2"/>
      <c r="O134" s="2"/>
      <c r="P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spans="1:51" ht="13" hidden="1" customHeight="1">
      <c r="A135" s="2"/>
      <c r="M135" s="2"/>
      <c r="N135" s="2"/>
      <c r="O135" s="2"/>
      <c r="AK135" s="2"/>
      <c r="AL135" s="2"/>
      <c r="AM135" s="2"/>
      <c r="AN135" s="2"/>
      <c r="AO135" s="2"/>
      <c r="AP135" s="2"/>
      <c r="AQ135" s="2"/>
      <c r="AR135" s="2"/>
      <c r="AS135" s="2"/>
      <c r="AT135" s="2"/>
      <c r="AU135" s="2"/>
      <c r="AV135" s="2"/>
      <c r="AW135" s="2"/>
      <c r="AX135" s="2"/>
      <c r="AY135" s="2"/>
    </row>
    <row r="136" spans="1:51" ht="13" hidden="1" customHeight="1">
      <c r="A136" s="2"/>
      <c r="B136" s="2"/>
      <c r="D136" s="2"/>
      <c r="E136" s="2"/>
      <c r="F136" s="2"/>
      <c r="G136" s="2"/>
      <c r="H136" s="2"/>
      <c r="I136" s="2"/>
      <c r="J136" s="2"/>
      <c r="K136" s="2"/>
      <c r="L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spans="1:51" ht="13" hidden="1" customHeight="1">
      <c r="A137" s="2"/>
      <c r="B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spans="1:51" ht="13" hidden="1"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spans="1:51" ht="13" hidden="1" customHeight="1">
      <c r="A139" s="2"/>
      <c r="B139" s="2"/>
      <c r="C139" s="2"/>
      <c r="D139" s="2"/>
      <c r="E139" s="2"/>
      <c r="F139" s="2"/>
      <c r="G139" s="2"/>
      <c r="H139" s="2"/>
      <c r="I139" s="2"/>
      <c r="J139" s="2"/>
      <c r="K139" s="2"/>
      <c r="L139" s="2"/>
      <c r="M139" s="2"/>
      <c r="N139" s="2"/>
      <c r="O139" s="2"/>
      <c r="P139" s="2"/>
      <c r="Q139" s="2"/>
      <c r="R139" s="2"/>
      <c r="S139" s="68"/>
      <c r="T139" s="1137"/>
      <c r="U139" s="1137"/>
      <c r="V139" s="1137"/>
      <c r="W139" s="1137"/>
      <c r="X139" s="1137"/>
      <c r="Y139" s="1137"/>
      <c r="Z139" s="1137"/>
      <c r="AA139" s="1137"/>
      <c r="AB139" s="1137"/>
      <c r="AC139" s="1137"/>
      <c r="AD139" s="1137"/>
      <c r="AE139" s="1137"/>
      <c r="AF139" s="1137"/>
      <c r="AG139" s="1137"/>
      <c r="AH139" s="1137"/>
      <c r="AI139" s="1137"/>
      <c r="AJ139" s="1137"/>
      <c r="AK139" s="2"/>
      <c r="AL139" s="2"/>
      <c r="AM139" s="2"/>
      <c r="AN139" s="2"/>
      <c r="AO139" s="2"/>
      <c r="AP139" s="2"/>
      <c r="AQ139" s="2"/>
      <c r="AR139" s="2"/>
      <c r="AS139" s="2"/>
      <c r="AT139" s="2"/>
      <c r="AU139" s="2"/>
      <c r="AV139" s="2"/>
      <c r="AW139" s="2"/>
      <c r="AX139" s="2"/>
      <c r="AY139" s="2"/>
    </row>
    <row r="140" spans="1:51" ht="13" hidden="1" customHeight="1">
      <c r="A140" s="2"/>
      <c r="B140" s="69"/>
      <c r="C140" s="1137"/>
      <c r="D140" s="1137"/>
      <c r="E140" s="1137"/>
      <c r="F140" s="1137"/>
      <c r="G140" s="1137"/>
      <c r="H140" s="1137"/>
      <c r="I140" s="1137"/>
      <c r="J140" s="1137"/>
      <c r="K140" s="1137"/>
      <c r="L140" s="1137"/>
      <c r="M140" s="1137"/>
      <c r="N140" s="1137"/>
      <c r="O140" s="1137"/>
      <c r="P140" s="1137"/>
      <c r="Q140" s="1137"/>
      <c r="R140" s="1137"/>
      <c r="S140" s="1137"/>
      <c r="T140" s="1137"/>
      <c r="U140" s="1137"/>
      <c r="V140" s="1137"/>
      <c r="W140" s="1137"/>
      <c r="X140" s="1137"/>
      <c r="Y140" s="1137"/>
      <c r="Z140" s="1137"/>
      <c r="AA140" s="1137"/>
      <c r="AB140" s="1137"/>
      <c r="AC140" s="1137"/>
      <c r="AD140" s="1137"/>
      <c r="AE140" s="1137"/>
      <c r="AF140" s="1137"/>
      <c r="AG140" s="1137"/>
      <c r="AH140" s="1137"/>
      <c r="AI140" s="1137"/>
      <c r="AJ140" s="1137"/>
      <c r="AK140" s="2"/>
      <c r="AL140" s="2"/>
      <c r="AM140" s="2"/>
      <c r="AN140" s="2"/>
      <c r="AO140" s="2"/>
      <c r="AP140" s="2"/>
      <c r="AQ140" s="2"/>
      <c r="AR140" s="2"/>
      <c r="AS140" s="2"/>
      <c r="AT140" s="2"/>
      <c r="AU140" s="2"/>
      <c r="AV140" s="2"/>
      <c r="AW140" s="2"/>
      <c r="AX140" s="2"/>
      <c r="AY140" s="2"/>
    </row>
    <row r="141" spans="1:51" ht="13" hidden="1" customHeight="1">
      <c r="A141" s="2"/>
      <c r="B141" s="69"/>
      <c r="C141" s="1137"/>
      <c r="D141" s="1137"/>
      <c r="E141" s="1137"/>
      <c r="F141" s="1137"/>
      <c r="G141" s="1137"/>
      <c r="H141" s="1137"/>
      <c r="I141" s="1137"/>
      <c r="J141" s="1137"/>
      <c r="K141" s="1137"/>
      <c r="L141" s="1137"/>
      <c r="M141" s="1137"/>
      <c r="N141" s="1137"/>
      <c r="O141" s="1137"/>
      <c r="P141" s="1137"/>
      <c r="Q141" s="1137"/>
      <c r="R141" s="1137"/>
      <c r="S141" s="1137"/>
      <c r="T141" s="1137"/>
      <c r="U141" s="1137"/>
      <c r="V141" s="1137"/>
      <c r="W141" s="1137"/>
      <c r="X141" s="1137"/>
      <c r="Y141" s="1137"/>
      <c r="Z141" s="1137"/>
      <c r="AA141" s="1137"/>
      <c r="AB141" s="1137"/>
      <c r="AC141" s="1137"/>
      <c r="AD141" s="1137"/>
      <c r="AE141" s="1137"/>
      <c r="AF141" s="1137"/>
      <c r="AG141" s="1137"/>
      <c r="AH141" s="1137"/>
      <c r="AI141" s="1137"/>
      <c r="AJ141" s="1137"/>
      <c r="AK141" s="2"/>
      <c r="AL141" s="2"/>
      <c r="AM141" s="2"/>
      <c r="AN141" s="2"/>
      <c r="AO141" s="2"/>
      <c r="AP141" s="2"/>
      <c r="AQ141" s="2"/>
      <c r="AR141" s="2"/>
      <c r="AS141" s="2"/>
      <c r="AT141" s="2"/>
      <c r="AU141" s="2"/>
      <c r="AV141" s="2"/>
      <c r="AW141" s="2"/>
      <c r="AX141" s="2"/>
      <c r="AY141" s="2"/>
    </row>
    <row r="142" spans="1:51" ht="13" hidden="1" customHeight="1">
      <c r="A142" s="2"/>
      <c r="B142" s="69"/>
      <c r="C142" s="1109"/>
      <c r="D142" s="1109"/>
      <c r="E142" s="1109"/>
      <c r="F142" s="1109"/>
      <c r="G142" s="1109"/>
      <c r="H142" s="1109"/>
      <c r="I142" s="1109"/>
      <c r="J142" s="1109"/>
      <c r="K142" s="1109"/>
      <c r="L142" s="1109"/>
      <c r="M142" s="1109"/>
      <c r="N142" s="1109"/>
      <c r="O142" s="1109"/>
      <c r="P142" s="1109"/>
      <c r="Q142" s="1109"/>
      <c r="R142" s="1109"/>
      <c r="S142" s="1109"/>
      <c r="T142" s="1109"/>
      <c r="U142" s="1109"/>
      <c r="V142" s="1109"/>
      <c r="W142" s="1109"/>
      <c r="X142" s="1109"/>
      <c r="Y142" s="1109"/>
      <c r="Z142" s="1109"/>
      <c r="AA142" s="1109"/>
      <c r="AB142" s="1109"/>
      <c r="AC142" s="1109"/>
      <c r="AD142" s="1109"/>
      <c r="AE142" s="1109"/>
      <c r="AF142" s="1109"/>
      <c r="AG142" s="1109"/>
      <c r="AH142" s="1109"/>
      <c r="AI142" s="1109"/>
      <c r="AJ142" s="1109"/>
      <c r="AK142" s="2"/>
      <c r="AL142" s="2"/>
      <c r="AM142" s="2"/>
      <c r="AN142" s="2"/>
      <c r="AO142" s="2"/>
      <c r="AP142" s="2"/>
      <c r="AQ142" s="2"/>
      <c r="AR142" s="2"/>
      <c r="AS142" s="2"/>
      <c r="AT142" s="2"/>
      <c r="AU142" s="2"/>
      <c r="AV142" s="2"/>
      <c r="AW142" s="2"/>
      <c r="AX142" s="2"/>
      <c r="AY142" s="2"/>
    </row>
    <row r="143" spans="1:51" ht="13" hidden="1" customHeight="1">
      <c r="A143" s="2"/>
      <c r="D143" s="1109"/>
      <c r="E143" s="1109"/>
      <c r="F143" s="1109"/>
      <c r="G143" s="1109"/>
      <c r="H143" s="1109"/>
      <c r="I143" s="1109"/>
      <c r="J143" s="1109"/>
      <c r="K143" s="1109"/>
      <c r="L143" s="1109"/>
      <c r="M143" s="1109"/>
      <c r="N143" s="1109"/>
      <c r="O143" s="1109"/>
      <c r="P143" s="1109"/>
      <c r="Q143" s="1109"/>
      <c r="R143" s="1109"/>
      <c r="S143" s="1109"/>
      <c r="T143" s="1109"/>
      <c r="U143" s="1109"/>
      <c r="V143" s="1109"/>
      <c r="W143" s="1109"/>
      <c r="X143" s="1109"/>
      <c r="Y143" s="1109"/>
      <c r="Z143" s="1109"/>
      <c r="AA143" s="1109"/>
      <c r="AB143" s="1109"/>
      <c r="AC143" s="1109"/>
      <c r="AD143" s="1109"/>
      <c r="AE143" s="1109"/>
      <c r="AF143" s="1109"/>
      <c r="AG143" s="1109"/>
      <c r="AH143" s="1109"/>
      <c r="AI143" s="1109"/>
      <c r="AJ143" s="1109"/>
      <c r="AK143" s="2"/>
      <c r="AL143" s="2"/>
      <c r="AM143" s="2"/>
      <c r="AN143" s="2"/>
      <c r="AO143" s="2"/>
      <c r="AP143" s="2"/>
      <c r="AQ143" s="2"/>
      <c r="AR143" s="2"/>
      <c r="AS143" s="2"/>
      <c r="AT143" s="2"/>
      <c r="AU143" s="2"/>
      <c r="AV143" s="2"/>
      <c r="AW143" s="2"/>
      <c r="AX143" s="2"/>
      <c r="AY143" s="2"/>
    </row>
    <row r="144" spans="1:51" ht="13" hidden="1" customHeight="1">
      <c r="A144" s="2"/>
      <c r="B144" s="1124"/>
      <c r="C144" s="1109"/>
      <c r="D144" s="1109"/>
      <c r="E144" s="1109"/>
      <c r="F144" s="1109"/>
      <c r="G144" s="1109"/>
      <c r="H144" s="1109"/>
      <c r="I144" s="1109"/>
      <c r="J144" s="1109"/>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1109"/>
      <c r="AJ144" s="1109"/>
      <c r="AK144" s="2"/>
      <c r="AL144" s="2"/>
      <c r="AM144" s="2"/>
      <c r="AN144" s="2"/>
      <c r="AO144" s="2"/>
      <c r="AP144" s="2"/>
      <c r="AQ144" s="2"/>
      <c r="AR144" s="2"/>
      <c r="AS144" s="2"/>
      <c r="AT144" s="2"/>
      <c r="AU144" s="2"/>
      <c r="AV144" s="2"/>
      <c r="AW144" s="2"/>
      <c r="AX144" s="2"/>
      <c r="AY144" s="2"/>
    </row>
    <row r="145" spans="1:72" ht="13" hidden="1" customHeight="1">
      <c r="A145" s="2"/>
      <c r="B145" s="2"/>
      <c r="C145" s="1109"/>
      <c r="D145" s="1109"/>
      <c r="E145" s="1109"/>
      <c r="F145" s="1109"/>
      <c r="G145" s="1109"/>
      <c r="H145" s="1109"/>
      <c r="I145" s="1109"/>
      <c r="J145" s="1109"/>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1109"/>
      <c r="AJ145" s="1109"/>
      <c r="AK145" s="2"/>
      <c r="AL145" s="2"/>
      <c r="AM145" s="2"/>
      <c r="AN145" s="2"/>
      <c r="AO145" s="2"/>
      <c r="AP145" s="2"/>
      <c r="AQ145" s="2"/>
      <c r="AR145" s="2"/>
      <c r="AS145" s="2"/>
      <c r="AT145" s="2"/>
      <c r="AU145" s="2"/>
      <c r="AV145" s="2"/>
      <c r="AW145" s="2"/>
      <c r="AX145" s="2"/>
      <c r="AY145" s="2"/>
    </row>
    <row r="146" spans="1:72" ht="13" hidden="1" customHeight="1">
      <c r="A146" s="2"/>
      <c r="D146" s="1109"/>
      <c r="E146" s="1109"/>
      <c r="F146" s="1109"/>
      <c r="G146" s="1109"/>
      <c r="H146" s="1109"/>
      <c r="I146" s="1109"/>
      <c r="J146" s="1109"/>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1109"/>
      <c r="AJ146" s="1109"/>
      <c r="AK146" s="2"/>
      <c r="AL146" s="2"/>
      <c r="AM146" s="2"/>
      <c r="AN146" s="2"/>
      <c r="AO146" s="2"/>
      <c r="AP146" s="2"/>
      <c r="AQ146" s="2"/>
      <c r="AR146" s="2"/>
      <c r="AS146" s="2"/>
      <c r="AT146" s="2"/>
      <c r="AU146" s="2"/>
      <c r="AV146" s="2"/>
      <c r="AW146" s="2"/>
      <c r="AX146" s="2"/>
      <c r="AY146" s="2"/>
    </row>
    <row r="147" spans="1:72" ht="13" hidden="1" customHeight="1">
      <c r="A147" s="2"/>
      <c r="B147" s="1124"/>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row>
    <row r="148" spans="1:72" ht="13" hidden="1" customHeight="1">
      <c r="A148" s="2"/>
      <c r="B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row>
    <row r="149" spans="1:72" ht="13" customHeight="1">
      <c r="A149" s="2"/>
      <c r="B149" s="2"/>
      <c r="D149" s="2"/>
      <c r="E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row>
    <row r="150" spans="1:72" ht="13" customHeight="1">
      <c r="A150" s="2"/>
      <c r="B150" s="2"/>
      <c r="D150" s="2"/>
      <c r="E150" s="2"/>
      <c r="F150" s="1256"/>
      <c r="G150" s="1256"/>
      <c r="H150" s="1256"/>
      <c r="I150" s="1256"/>
      <c r="J150" s="1256"/>
      <c r="K150" s="1256"/>
      <c r="L150" s="1256"/>
      <c r="M150" s="1256"/>
      <c r="N150" s="1256"/>
      <c r="O150" s="1256"/>
      <c r="P150" s="1256"/>
      <c r="Q150" s="1256"/>
      <c r="R150" s="1256"/>
      <c r="S150" s="1256"/>
      <c r="T150" s="1256"/>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row>
    <row r="151" spans="1:72" ht="13" customHeight="1">
      <c r="A151" s="2"/>
      <c r="B151" s="2"/>
      <c r="D151" s="2"/>
      <c r="E151" s="2"/>
      <c r="F151" s="1126"/>
      <c r="G151" s="1126"/>
      <c r="H151" s="1126"/>
      <c r="I151" s="1126"/>
      <c r="J151" s="1126"/>
      <c r="K151" s="1126"/>
      <c r="L151" s="1126"/>
      <c r="M151" s="1126"/>
      <c r="N151" s="1126"/>
      <c r="O151" s="1126"/>
      <c r="P151" s="1126"/>
      <c r="Q151" s="1126"/>
      <c r="R151" s="1126"/>
      <c r="S151" s="1126"/>
      <c r="T151" s="1126"/>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row>
    <row r="152" spans="1:72" ht="13" customHeight="1"/>
    <row r="153" spans="1:72" ht="13" customHeight="1">
      <c r="D153" t="s">
        <v>869</v>
      </c>
      <c r="O153" s="1380" t="s">
        <v>870</v>
      </c>
      <c r="P153" s="1380"/>
      <c r="Q153" s="1380"/>
      <c r="R153" s="1380"/>
      <c r="S153" s="1380"/>
      <c r="T153" s="1380"/>
      <c r="U153" s="1380"/>
      <c r="V153" s="1380"/>
      <c r="W153" s="1380"/>
      <c r="X153" s="1380"/>
      <c r="Y153" s="1380"/>
      <c r="Z153" s="1380"/>
      <c r="AA153" s="1380"/>
      <c r="AB153" s="1380"/>
      <c r="AC153" s="1380"/>
      <c r="AD153" s="1380"/>
      <c r="AE153" s="1380"/>
      <c r="AF153" s="1380"/>
      <c r="AG153" s="1380"/>
      <c r="AH153" s="1380"/>
    </row>
    <row r="154" spans="1:72" ht="13" customHeight="1">
      <c r="D154" s="197" t="s">
        <v>871</v>
      </c>
      <c r="O154" s="1394" t="s">
        <v>872</v>
      </c>
      <c r="P154" s="1394"/>
      <c r="Q154" s="1394"/>
      <c r="R154" s="1394"/>
      <c r="S154" s="1394"/>
      <c r="T154" s="1394"/>
      <c r="U154" s="1394"/>
      <c r="V154" s="1394"/>
      <c r="W154" s="1394"/>
      <c r="X154" s="1394"/>
      <c r="Y154" s="1394"/>
      <c r="Z154" s="1394"/>
      <c r="AA154" s="1394"/>
      <c r="AB154" s="1394"/>
      <c r="AC154" s="1394"/>
      <c r="AD154" s="1394"/>
      <c r="AE154" s="1394"/>
      <c r="AF154" s="1394"/>
      <c r="AG154" s="1394"/>
      <c r="AH154" s="1394"/>
    </row>
    <row r="155" spans="1:72" ht="13" customHeight="1">
      <c r="D155" s="7" t="s">
        <v>873</v>
      </c>
      <c r="F155" s="7"/>
      <c r="G155" s="7"/>
      <c r="H155" s="7"/>
      <c r="I155" s="7"/>
      <c r="J155" s="7"/>
      <c r="K155" s="7"/>
      <c r="L155" s="7"/>
      <c r="M155" s="7"/>
      <c r="N155" s="7"/>
      <c r="O155" s="1733" t="s">
        <v>874</v>
      </c>
      <c r="P155" s="1733"/>
      <c r="Q155" s="1733"/>
      <c r="R155" s="1733"/>
      <c r="S155" s="1733"/>
      <c r="T155" s="1733"/>
      <c r="U155" s="1733"/>
      <c r="V155" s="1733"/>
      <c r="W155" s="1733"/>
      <c r="X155" s="1733"/>
      <c r="Y155" s="1733"/>
      <c r="Z155" s="1733"/>
      <c r="AA155" s="1733"/>
      <c r="AB155" s="1733"/>
      <c r="AC155" s="1733"/>
      <c r="AD155" s="1733"/>
      <c r="AE155" s="1733"/>
      <c r="AF155" s="1733"/>
      <c r="AG155" s="1733"/>
      <c r="AH155" s="1733"/>
    </row>
    <row r="156" spans="1:72" ht="13" customHeight="1">
      <c r="D156" t="s">
        <v>875</v>
      </c>
      <c r="O156" s="1380" t="s">
        <v>876</v>
      </c>
      <c r="P156" s="1335"/>
      <c r="Q156" s="1335"/>
      <c r="R156" s="1335"/>
      <c r="S156" s="1335"/>
      <c r="T156" s="1335"/>
      <c r="U156" s="1335"/>
      <c r="V156" s="1335"/>
      <c r="W156" s="1335"/>
      <c r="X156" s="1335"/>
      <c r="Y156" s="1335"/>
      <c r="Z156" s="1335"/>
      <c r="AA156" s="1335"/>
      <c r="AB156" s="1335"/>
      <c r="AC156" s="1335"/>
      <c r="AD156" s="1335"/>
      <c r="AE156" s="1335"/>
      <c r="AF156" s="1335"/>
      <c r="AG156" s="1335"/>
      <c r="AH156" s="1335"/>
      <c r="BT156" t="s">
        <v>294</v>
      </c>
    </row>
    <row r="157" spans="1:72" ht="13" customHeight="1">
      <c r="D157" t="s">
        <v>877</v>
      </c>
      <c r="O157" s="1380" t="s">
        <v>878</v>
      </c>
      <c r="P157" s="1380"/>
      <c r="Q157" s="1380"/>
      <c r="R157" s="1380"/>
      <c r="S157" s="1380"/>
      <c r="T157" s="1380"/>
      <c r="U157" s="1380"/>
      <c r="V157" s="1380"/>
      <c r="W157" s="1380"/>
      <c r="X157" s="1380"/>
      <c r="Y157" s="7"/>
      <c r="Z157" s="7"/>
      <c r="AA157" s="7"/>
      <c r="AB157" s="7"/>
      <c r="AC157" s="7"/>
      <c r="AD157" s="7"/>
      <c r="AE157" s="7"/>
      <c r="AF157" s="7"/>
      <c r="BN157" s="115" t="s">
        <v>879</v>
      </c>
      <c r="BT157" t="s">
        <v>880</v>
      </c>
    </row>
    <row r="158" spans="1:72" ht="13" customHeight="1">
      <c r="D158" t="s">
        <v>881</v>
      </c>
      <c r="O158" s="1734">
        <v>95023</v>
      </c>
      <c r="P158" s="1734"/>
      <c r="Q158" s="1734"/>
      <c r="R158" s="1734"/>
      <c r="S158" s="8"/>
      <c r="T158" s="8"/>
      <c r="U158" s="8"/>
      <c r="V158" s="8"/>
      <c r="W158" s="8"/>
      <c r="X158" s="8"/>
      <c r="Y158" s="8"/>
      <c r="Z158" s="8"/>
      <c r="AA158" s="8"/>
      <c r="AB158" s="8"/>
      <c r="AC158" s="8"/>
      <c r="AD158" s="8"/>
      <c r="AE158" s="8"/>
      <c r="AF158" s="8"/>
      <c r="BN158" s="115" t="s">
        <v>882</v>
      </c>
      <c r="BT158" t="s">
        <v>883</v>
      </c>
    </row>
    <row r="159" spans="1:72" ht="13" customHeight="1">
      <c r="D159" t="s">
        <v>884</v>
      </c>
      <c r="O159" s="1649" t="s">
        <v>885</v>
      </c>
      <c r="P159" s="1719"/>
      <c r="Q159" s="1719"/>
      <c r="R159" s="1719"/>
      <c r="S159" s="1719"/>
      <c r="T159" s="1719"/>
      <c r="V159" s="56" t="s">
        <v>886</v>
      </c>
      <c r="W159" s="1735"/>
      <c r="X159" s="1735"/>
      <c r="Y159" s="9"/>
      <c r="Z159" s="9"/>
      <c r="AA159" s="9"/>
      <c r="AB159" s="9"/>
      <c r="AC159" s="9"/>
      <c r="AD159" s="9"/>
      <c r="AE159" s="9"/>
      <c r="AF159" s="9"/>
      <c r="BN159" s="115" t="s">
        <v>887</v>
      </c>
      <c r="BT159" t="s">
        <v>888</v>
      </c>
    </row>
    <row r="160" spans="1:72" ht="13" customHeight="1">
      <c r="D160" t="s">
        <v>889</v>
      </c>
      <c r="O160" s="1649" t="s">
        <v>890</v>
      </c>
      <c r="P160" s="1719"/>
      <c r="Q160" s="1719"/>
      <c r="R160" s="1719"/>
      <c r="S160" s="1719"/>
      <c r="T160" s="1719"/>
      <c r="U160" s="9"/>
      <c r="V160" s="9"/>
      <c r="W160" s="9"/>
      <c r="X160" s="9"/>
      <c r="Y160" s="9"/>
      <c r="Z160" s="9"/>
      <c r="AA160" s="9"/>
      <c r="AB160" s="9"/>
      <c r="AC160" s="9"/>
      <c r="AD160" s="9"/>
      <c r="AE160" s="9"/>
      <c r="AF160" s="9"/>
      <c r="BN160" s="115" t="s">
        <v>891</v>
      </c>
      <c r="BT160" t="s">
        <v>892</v>
      </c>
    </row>
    <row r="161" spans="1:72" ht="13" customHeight="1">
      <c r="D161" t="s">
        <v>893</v>
      </c>
      <c r="O161" s="1720" t="s">
        <v>894</v>
      </c>
      <c r="P161" s="1720"/>
      <c r="Q161" s="1720"/>
      <c r="R161" s="1720"/>
      <c r="S161" s="1720"/>
      <c r="T161" s="1720"/>
      <c r="U161" s="1720"/>
      <c r="V161" s="1720"/>
      <c r="W161" s="1720"/>
      <c r="X161" s="1720"/>
      <c r="Y161" s="1720"/>
      <c r="Z161" s="1720"/>
      <c r="AA161" s="1720"/>
      <c r="AB161" s="1720"/>
      <c r="AC161" s="1720"/>
      <c r="AD161" s="1720"/>
      <c r="AE161" s="1720"/>
      <c r="AF161" s="1720"/>
      <c r="AG161" s="1720"/>
      <c r="AH161" s="1720"/>
      <c r="BJ161" t="s">
        <v>895</v>
      </c>
      <c r="BN161" s="115" t="s">
        <v>896</v>
      </c>
      <c r="BT161" t="s">
        <v>897</v>
      </c>
    </row>
    <row r="162" spans="1:72" ht="13" customHeight="1">
      <c r="O162" s="94"/>
      <c r="P162" s="94"/>
      <c r="Q162" s="94"/>
      <c r="R162" s="94"/>
      <c r="S162" s="94"/>
      <c r="T162" s="94"/>
      <c r="U162" s="94"/>
      <c r="V162" s="94"/>
      <c r="W162" s="94"/>
      <c r="X162" s="94"/>
      <c r="Y162" s="94"/>
      <c r="Z162" s="94"/>
      <c r="AA162" s="94"/>
      <c r="AB162" s="94"/>
      <c r="AC162" s="94"/>
      <c r="AD162" s="94"/>
      <c r="AE162" s="94"/>
      <c r="AF162" s="94"/>
      <c r="AG162" s="94"/>
      <c r="AH162" s="94"/>
      <c r="BJ162" t="s">
        <v>837</v>
      </c>
      <c r="BN162" s="115" t="s">
        <v>898</v>
      </c>
      <c r="BT162" t="s">
        <v>899</v>
      </c>
    </row>
    <row r="163" spans="1:72" ht="13" customHeight="1">
      <c r="C163" s="22" t="s">
        <v>900</v>
      </c>
      <c r="D163" s="2" t="s">
        <v>901</v>
      </c>
      <c r="O163" s="94"/>
      <c r="P163" s="94"/>
      <c r="Q163" s="94"/>
      <c r="R163" s="94"/>
      <c r="S163" s="94"/>
      <c r="T163" s="94"/>
      <c r="U163" s="94"/>
      <c r="V163" s="94"/>
      <c r="W163" s="94"/>
      <c r="X163" s="94"/>
      <c r="Y163" s="94"/>
      <c r="Z163" s="94"/>
      <c r="AA163" s="94"/>
      <c r="AB163" s="94"/>
      <c r="AC163" s="94"/>
      <c r="AD163" s="94"/>
      <c r="AE163" s="94"/>
      <c r="AF163" s="94"/>
      <c r="AG163" s="94"/>
      <c r="AH163" s="94"/>
      <c r="BN163" s="115" t="s">
        <v>902</v>
      </c>
      <c r="BT163" t="s">
        <v>903</v>
      </c>
    </row>
    <row r="164" spans="1:72" ht="13" customHeight="1">
      <c r="C164" s="22"/>
      <c r="D164" s="1740" t="s">
        <v>904</v>
      </c>
      <c r="E164" s="1740"/>
      <c r="F164" s="1740"/>
      <c r="G164" s="1740"/>
      <c r="H164" s="1740"/>
      <c r="I164" s="1740"/>
      <c r="J164" s="1740"/>
      <c r="K164" s="1740"/>
      <c r="L164" s="1740"/>
      <c r="M164" s="1740"/>
      <c r="N164" s="1740"/>
      <c r="O164" s="1740"/>
      <c r="P164" s="1740"/>
      <c r="Q164" s="1740"/>
      <c r="R164" s="1740"/>
      <c r="S164" s="1740"/>
      <c r="T164" s="1740"/>
      <c r="U164" s="1740"/>
      <c r="V164" s="1740"/>
      <c r="W164" s="1740"/>
      <c r="X164" s="1740"/>
      <c r="Y164" s="1740"/>
      <c r="Z164" s="1740"/>
      <c r="AA164" s="1740"/>
      <c r="AB164" s="1740"/>
      <c r="AC164" s="1740"/>
      <c r="AD164" s="1740"/>
      <c r="AE164" s="1740"/>
      <c r="AF164" s="1740"/>
      <c r="AG164" s="1740"/>
      <c r="AH164" s="1740"/>
      <c r="BN164" s="115" t="s">
        <v>905</v>
      </c>
      <c r="BT164" t="s">
        <v>906</v>
      </c>
    </row>
    <row r="165" spans="1:72" ht="13" customHeight="1">
      <c r="C165" s="22"/>
      <c r="D165" s="57"/>
      <c r="E165" s="57"/>
      <c r="F165" s="57"/>
      <c r="G165" s="57"/>
      <c r="H165" s="57"/>
      <c r="I165" s="57"/>
      <c r="J165" s="57"/>
      <c r="K165" s="57"/>
      <c r="L165" s="57"/>
      <c r="M165" s="57"/>
      <c r="N165" s="57"/>
      <c r="O165" s="1041"/>
      <c r="P165" s="1041"/>
      <c r="Q165" s="1041"/>
      <c r="R165" s="1041"/>
      <c r="S165" s="1041"/>
      <c r="T165" s="1041"/>
      <c r="U165" s="1041"/>
      <c r="V165" s="1041"/>
      <c r="W165" s="1041"/>
      <c r="X165" s="1041"/>
      <c r="Y165" s="1041"/>
      <c r="Z165" s="1041"/>
      <c r="AA165" s="94"/>
      <c r="AB165" s="94"/>
      <c r="AC165" s="94"/>
      <c r="AD165" s="94"/>
      <c r="AE165" s="94"/>
      <c r="AF165" s="94"/>
      <c r="AG165" s="94"/>
      <c r="AH165" s="94"/>
      <c r="BN165" s="115" t="s">
        <v>907</v>
      </c>
      <c r="BT165" t="s">
        <v>908</v>
      </c>
    </row>
    <row r="166" spans="1:72" ht="13" customHeight="1">
      <c r="B166" s="1"/>
      <c r="C166" s="22"/>
      <c r="D166" s="57"/>
      <c r="E166" s="57"/>
      <c r="F166" s="57"/>
      <c r="G166" s="57"/>
      <c r="H166" s="57"/>
      <c r="I166" s="57"/>
      <c r="J166" s="57"/>
      <c r="K166" s="57"/>
      <c r="L166" s="57"/>
      <c r="M166" s="57"/>
      <c r="N166" s="57"/>
      <c r="O166" s="1041"/>
      <c r="P166" s="1041"/>
      <c r="Q166" s="1041"/>
      <c r="R166" s="1041"/>
      <c r="S166" s="1041"/>
      <c r="T166" s="1041"/>
      <c r="U166" s="1041"/>
      <c r="V166" s="1041"/>
      <c r="W166" s="1041"/>
      <c r="X166" s="1041"/>
      <c r="Y166" s="1041"/>
      <c r="Z166" s="1041"/>
      <c r="AA166" s="94"/>
      <c r="AB166" s="94"/>
      <c r="AC166" s="94"/>
      <c r="AD166" s="94"/>
      <c r="AE166" s="94"/>
      <c r="AF166" s="94"/>
      <c r="AG166" s="94"/>
      <c r="AH166" s="94"/>
      <c r="BN166" s="115" t="s">
        <v>909</v>
      </c>
      <c r="BT166" t="s">
        <v>910</v>
      </c>
    </row>
    <row r="167" spans="1:72" ht="13" customHeight="1">
      <c r="B167" s="1"/>
      <c r="C167" s="22"/>
      <c r="D167" s="57"/>
      <c r="E167" s="57"/>
      <c r="F167" s="57"/>
      <c r="G167" s="57"/>
      <c r="H167" s="57"/>
      <c r="I167" s="57"/>
      <c r="J167" s="57"/>
      <c r="K167" s="57"/>
      <c r="L167" s="57"/>
      <c r="M167" s="57"/>
      <c r="N167" s="57"/>
      <c r="O167" s="1041"/>
      <c r="P167" s="1041"/>
      <c r="Q167" s="1041"/>
      <c r="R167" s="1041"/>
      <c r="S167" s="1041"/>
      <c r="T167" s="1041"/>
      <c r="U167" s="1041"/>
      <c r="V167" s="1041"/>
      <c r="W167" s="1041"/>
      <c r="X167" s="1041"/>
      <c r="Y167" s="1041"/>
      <c r="Z167" s="1041"/>
      <c r="AA167" s="94"/>
      <c r="AB167" s="94"/>
      <c r="AC167" s="94"/>
      <c r="AD167" s="94"/>
      <c r="AE167" s="94"/>
      <c r="AF167" s="94"/>
      <c r="AG167" s="94"/>
      <c r="AH167" s="94"/>
      <c r="BN167" s="115" t="s">
        <v>911</v>
      </c>
      <c r="BT167" t="s">
        <v>912</v>
      </c>
    </row>
    <row r="168" spans="1:72" ht="13" customHeight="1">
      <c r="O168" s="94"/>
      <c r="P168" s="94"/>
      <c r="Q168" s="94"/>
      <c r="R168" s="94"/>
      <c r="S168" s="94"/>
      <c r="T168" s="94"/>
      <c r="U168" s="94"/>
      <c r="V168" s="94"/>
      <c r="W168" s="94"/>
      <c r="X168" s="94"/>
      <c r="Y168" s="94"/>
      <c r="Z168" s="94"/>
      <c r="AA168" s="94"/>
      <c r="AB168" s="94"/>
      <c r="AC168" s="94"/>
      <c r="AD168" s="94"/>
      <c r="AE168" s="94"/>
      <c r="AF168" s="94"/>
      <c r="AG168" s="94"/>
      <c r="AH168" s="94"/>
      <c r="BN168" s="115" t="s">
        <v>913</v>
      </c>
      <c r="BT168" t="s">
        <v>914</v>
      </c>
    </row>
    <row r="169" spans="1:72" ht="13" customHeight="1">
      <c r="A169" s="1389" t="s">
        <v>915</v>
      </c>
      <c r="B169" s="1389"/>
      <c r="C169" s="1389"/>
      <c r="D169" s="1389"/>
      <c r="E169" s="1389"/>
      <c r="F169" s="1389"/>
      <c r="G169" s="1389"/>
      <c r="H169" s="1389"/>
      <c r="I169" s="1389"/>
      <c r="J169" s="1389"/>
      <c r="K169" s="1389"/>
      <c r="L169" s="1389"/>
      <c r="M169" s="1389"/>
      <c r="N169" s="1389"/>
      <c r="O169" s="1389"/>
      <c r="P169" s="1389"/>
      <c r="Q169" s="1389"/>
      <c r="R169" s="1389"/>
      <c r="S169" s="1389"/>
      <c r="T169" s="1389"/>
      <c r="U169" s="1389"/>
      <c r="V169" s="1389"/>
      <c r="W169" s="1389"/>
      <c r="X169" s="1389"/>
      <c r="Y169" s="1389"/>
      <c r="Z169" s="1389"/>
      <c r="AA169" s="1389"/>
      <c r="AB169" s="1389"/>
      <c r="AC169" s="1389"/>
      <c r="AD169" s="1389"/>
      <c r="AE169" s="1389"/>
      <c r="AF169" s="1389"/>
      <c r="AG169" s="1389"/>
      <c r="AH169" s="1389"/>
      <c r="AI169" s="1389"/>
      <c r="AJ169" s="1389"/>
      <c r="AK169" s="1389"/>
      <c r="AL169" s="1389"/>
      <c r="AM169" s="1389"/>
      <c r="AN169" s="1389"/>
      <c r="AO169" s="1389"/>
      <c r="AP169" s="1389"/>
      <c r="AQ169" s="1389"/>
      <c r="AR169" s="1389"/>
      <c r="AS169" s="1389"/>
      <c r="AT169" s="1389"/>
      <c r="AU169" s="54"/>
      <c r="AV169" s="54"/>
      <c r="AW169" s="54"/>
      <c r="AX169" s="54"/>
      <c r="AY169" s="54"/>
      <c r="BN169" s="115" t="s">
        <v>916</v>
      </c>
      <c r="BT169" t="s">
        <v>917</v>
      </c>
    </row>
    <row r="170" spans="1:72" ht="13" customHeight="1">
      <c r="A170" s="1389"/>
      <c r="B170" s="1389"/>
      <c r="C170" s="1389"/>
      <c r="D170" s="1389"/>
      <c r="E170" s="1389"/>
      <c r="F170" s="1389"/>
      <c r="G170" s="1389"/>
      <c r="H170" s="1389"/>
      <c r="I170" s="1389"/>
      <c r="J170" s="1389"/>
      <c r="K170" s="1389"/>
      <c r="L170" s="1389"/>
      <c r="M170" s="1389"/>
      <c r="N170" s="1389"/>
      <c r="O170" s="1389"/>
      <c r="P170" s="1389"/>
      <c r="Q170" s="1389"/>
      <c r="R170" s="1389"/>
      <c r="S170" s="1389"/>
      <c r="T170" s="1389"/>
      <c r="U170" s="1389"/>
      <c r="V170" s="1389"/>
      <c r="W170" s="1389"/>
      <c r="X170" s="1389"/>
      <c r="Y170" s="1389"/>
      <c r="Z170" s="1389"/>
      <c r="AA170" s="1389"/>
      <c r="AB170" s="1389"/>
      <c r="AC170" s="1389"/>
      <c r="AD170" s="1389"/>
      <c r="AE170" s="1389"/>
      <c r="AF170" s="1389"/>
      <c r="AG170" s="1389"/>
      <c r="AH170" s="1389"/>
      <c r="AI170" s="1389"/>
      <c r="AJ170" s="1389"/>
      <c r="AK170" s="1389"/>
      <c r="AL170" s="1389"/>
      <c r="AM170" s="1389"/>
      <c r="AN170" s="1389"/>
      <c r="AO170" s="1389"/>
      <c r="AP170" s="1389"/>
      <c r="AQ170" s="1389"/>
      <c r="AR170" s="1389"/>
      <c r="AS170" s="1389"/>
      <c r="AT170" s="1389"/>
      <c r="AU170" s="54"/>
      <c r="AV170" s="54"/>
      <c r="AW170" s="54"/>
      <c r="AX170" s="54"/>
      <c r="AY170" s="54"/>
      <c r="BN170" s="115" t="s">
        <v>918</v>
      </c>
      <c r="BT170" t="s">
        <v>919</v>
      </c>
    </row>
    <row r="171" spans="1:72" ht="13" customHeight="1">
      <c r="BN171" s="115" t="s">
        <v>920</v>
      </c>
      <c r="BT171" t="s">
        <v>921</v>
      </c>
    </row>
    <row r="172" spans="1:72" ht="13" customHeight="1">
      <c r="A172" s="1" t="s">
        <v>922</v>
      </c>
      <c r="C172" s="1" t="s">
        <v>90</v>
      </c>
      <c r="BN172" s="115" t="s">
        <v>923</v>
      </c>
      <c r="BT172" t="s">
        <v>924</v>
      </c>
    </row>
    <row r="173" spans="1:72" ht="13" customHeight="1">
      <c r="C173" s="19"/>
      <c r="D173" t="s">
        <v>925</v>
      </c>
      <c r="J173" s="1732" t="s">
        <v>926</v>
      </c>
      <c r="K173" s="1732"/>
      <c r="L173" s="1732"/>
      <c r="M173" s="1732"/>
      <c r="N173" s="1732"/>
      <c r="O173" s="1732"/>
      <c r="P173" s="1732"/>
      <c r="Q173" s="1732"/>
      <c r="R173" s="1732"/>
      <c r="S173" s="1732"/>
      <c r="U173" s="20"/>
      <c r="X173" s="20"/>
      <c r="BB173" s="2" t="s">
        <v>294</v>
      </c>
      <c r="BN173" s="115" t="s">
        <v>927</v>
      </c>
      <c r="BT173" t="s">
        <v>928</v>
      </c>
    </row>
    <row r="174" spans="1:72" ht="13" customHeight="1">
      <c r="C174" s="19"/>
      <c r="D174" s="2" t="s">
        <v>929</v>
      </c>
      <c r="J174" s="1335" t="s">
        <v>930</v>
      </c>
      <c r="K174" s="1335"/>
      <c r="L174" s="1335"/>
      <c r="M174" s="1335"/>
      <c r="N174" s="1335"/>
      <c r="O174" s="1335"/>
      <c r="P174" s="1335"/>
      <c r="Q174" s="1335"/>
      <c r="R174" s="1335"/>
      <c r="S174" s="1335"/>
      <c r="T174" s="1335"/>
      <c r="U174" s="1335"/>
      <c r="V174" s="1335"/>
      <c r="W174" s="1335"/>
      <c r="X174" s="1335"/>
      <c r="Y174" s="1335"/>
      <c r="Z174" s="1335"/>
      <c r="AA174" s="1335"/>
      <c r="AB174" s="1335"/>
      <c r="BB174" t="s">
        <v>931</v>
      </c>
      <c r="BN174" s="115" t="s">
        <v>932</v>
      </c>
      <c r="BT174" t="s">
        <v>933</v>
      </c>
    </row>
    <row r="175" spans="1:72" ht="13" customHeight="1">
      <c r="C175" s="7"/>
      <c r="D175" s="2" t="s">
        <v>934</v>
      </c>
      <c r="O175" s="22"/>
      <c r="U175" s="1381" t="s">
        <v>895</v>
      </c>
      <c r="V175" s="1381"/>
      <c r="BB175" t="s">
        <v>935</v>
      </c>
      <c r="BN175" s="115" t="s">
        <v>936</v>
      </c>
      <c r="BT175" t="s">
        <v>937</v>
      </c>
    </row>
    <row r="176" spans="1:72" ht="13" customHeight="1">
      <c r="C176" s="7"/>
      <c r="D176" s="21"/>
      <c r="E176" t="s">
        <v>938</v>
      </c>
      <c r="O176" s="22"/>
      <c r="P176" t="s">
        <v>939</v>
      </c>
      <c r="T176" s="22" t="s">
        <v>940</v>
      </c>
      <c r="U176" s="1390"/>
      <c r="V176" s="1390"/>
      <c r="W176" s="1126" t="s">
        <v>941</v>
      </c>
      <c r="X176" s="1745"/>
      <c r="Y176" s="1745"/>
      <c r="BB176" t="s">
        <v>942</v>
      </c>
      <c r="BN176" s="115" t="s">
        <v>943</v>
      </c>
      <c r="BT176" t="s">
        <v>944</v>
      </c>
    </row>
    <row r="177" spans="1:72" ht="13" customHeight="1">
      <c r="C177" s="19"/>
      <c r="D177" t="s">
        <v>945</v>
      </c>
      <c r="R177" s="1381" t="s">
        <v>895</v>
      </c>
      <c r="S177" s="1381"/>
      <c r="BB177" t="s">
        <v>946</v>
      </c>
      <c r="BN177" s="115" t="s">
        <v>947</v>
      </c>
      <c r="BT177" t="s">
        <v>948</v>
      </c>
    </row>
    <row r="178" spans="1:72" ht="13" customHeight="1">
      <c r="C178" s="19"/>
      <c r="D178" s="2" t="s">
        <v>949</v>
      </c>
      <c r="AA178" t="s">
        <v>939</v>
      </c>
      <c r="AE178" s="22" t="s">
        <v>940</v>
      </c>
      <c r="AF178" s="1749"/>
      <c r="AG178" s="1749"/>
      <c r="AH178" s="1126" t="s">
        <v>941</v>
      </c>
      <c r="AI178" s="1636"/>
      <c r="AJ178" s="1636"/>
      <c r="AK178" s="1636"/>
      <c r="BB178" t="s">
        <v>950</v>
      </c>
      <c r="BN178" s="115" t="s">
        <v>951</v>
      </c>
      <c r="BT178" t="s">
        <v>952</v>
      </c>
    </row>
    <row r="179" spans="1:72" ht="13" customHeight="1">
      <c r="C179" s="19"/>
      <c r="BN179" s="115" t="s">
        <v>953</v>
      </c>
      <c r="BT179" t="s">
        <v>954</v>
      </c>
    </row>
    <row r="180" spans="1:72" ht="13" customHeight="1">
      <c r="C180" s="19"/>
      <c r="D180" t="s">
        <v>955</v>
      </c>
      <c r="X180" s="1381" t="s">
        <v>895</v>
      </c>
      <c r="Y180" s="1381"/>
      <c r="BN180" s="115" t="s">
        <v>956</v>
      </c>
      <c r="BT180" t="s">
        <v>957</v>
      </c>
    </row>
    <row r="181" spans="1:72" ht="13" customHeight="1">
      <c r="C181" s="7"/>
      <c r="E181" s="2" t="s">
        <v>958</v>
      </c>
      <c r="BN181" s="115" t="s">
        <v>959</v>
      </c>
      <c r="BT181" t="s">
        <v>960</v>
      </c>
    </row>
    <row r="182" spans="1:72" ht="13" customHeight="1">
      <c r="C182" s="399"/>
      <c r="BN182" s="115" t="s">
        <v>961</v>
      </c>
      <c r="BT182" t="s">
        <v>962</v>
      </c>
    </row>
    <row r="183" spans="1:72" ht="13" customHeight="1">
      <c r="A183" s="1" t="s">
        <v>963</v>
      </c>
      <c r="C183" s="1" t="s">
        <v>92</v>
      </c>
      <c r="BN183" s="115" t="s">
        <v>964</v>
      </c>
      <c r="BT183" t="s">
        <v>965</v>
      </c>
    </row>
    <row r="184" spans="1:72" ht="13" customHeight="1">
      <c r="C184" s="17"/>
      <c r="D184" t="s">
        <v>966</v>
      </c>
      <c r="I184" s="1395" t="str">
        <f>H18</f>
        <v>Baler Place</v>
      </c>
      <c r="J184" s="1395"/>
      <c r="K184" s="1395"/>
      <c r="L184" s="1395"/>
      <c r="M184" s="1395"/>
      <c r="N184" s="1395"/>
      <c r="O184" s="1395"/>
      <c r="P184" s="1395"/>
      <c r="Q184" s="1395"/>
      <c r="R184" s="1395"/>
      <c r="S184" s="1395"/>
      <c r="T184" s="1395"/>
      <c r="U184" s="1395"/>
      <c r="V184" s="1395"/>
      <c r="W184" s="1395"/>
      <c r="X184" s="1395"/>
      <c r="Y184" s="1395"/>
      <c r="Z184" s="1395"/>
      <c r="AA184" s="1395"/>
      <c r="AB184" s="1395"/>
      <c r="AC184" s="1395"/>
      <c r="AD184" s="1395"/>
      <c r="AE184" s="1395"/>
      <c r="BC184" t="s">
        <v>967</v>
      </c>
      <c r="BN184" s="115" t="s">
        <v>968</v>
      </c>
      <c r="BT184" t="s">
        <v>969</v>
      </c>
    </row>
    <row r="185" spans="1:72" ht="13" customHeight="1">
      <c r="C185" s="17"/>
      <c r="D185" t="s">
        <v>970</v>
      </c>
      <c r="I185" s="1394" t="s">
        <v>971</v>
      </c>
      <c r="J185" s="1385"/>
      <c r="K185" s="1385"/>
      <c r="L185" s="1385"/>
      <c r="M185" s="1385"/>
      <c r="N185" s="1385"/>
      <c r="O185" s="1385"/>
      <c r="P185" s="1385"/>
      <c r="Q185" s="1385"/>
      <c r="R185" s="1385"/>
      <c r="S185" s="1385"/>
      <c r="T185" s="1385"/>
      <c r="U185" s="1385"/>
      <c r="V185" s="1385"/>
      <c r="W185" s="1385"/>
      <c r="X185" s="1385"/>
      <c r="Y185" s="1385"/>
      <c r="Z185" s="1385"/>
      <c r="AA185" s="1385"/>
      <c r="AB185" s="1385"/>
      <c r="AC185" s="1385"/>
      <c r="AD185" s="1385"/>
      <c r="AE185" s="1385"/>
      <c r="BC185" t="s">
        <v>972</v>
      </c>
      <c r="BN185" s="115" t="s">
        <v>973</v>
      </c>
      <c r="BT185" t="s">
        <v>974</v>
      </c>
    </row>
    <row r="186" spans="1:72" ht="13" customHeight="1">
      <c r="C186" s="17"/>
      <c r="E186" t="s">
        <v>975</v>
      </c>
      <c r="BN186" s="115" t="s">
        <v>976</v>
      </c>
      <c r="BT186" t="s">
        <v>977</v>
      </c>
    </row>
    <row r="187" spans="1:72" ht="13" customHeight="1">
      <c r="C187" s="17"/>
      <c r="E187" s="1725"/>
      <c r="F187" s="1725"/>
      <c r="G187" s="1725"/>
      <c r="H187" s="1725"/>
      <c r="I187" s="1725"/>
      <c r="J187" s="1725"/>
      <c r="K187" s="1725"/>
      <c r="L187" s="1725"/>
      <c r="M187" s="1725"/>
      <c r="N187" s="1725"/>
      <c r="O187" s="1725"/>
      <c r="P187" s="1725"/>
      <c r="Q187" s="1725"/>
      <c r="R187" s="1725"/>
      <c r="S187" s="1725"/>
      <c r="T187" s="1725"/>
      <c r="U187" s="1725"/>
      <c r="V187" s="1725"/>
      <c r="W187" s="1725"/>
      <c r="X187" s="1725"/>
      <c r="Y187" s="1725"/>
      <c r="Z187" s="1725"/>
      <c r="AA187" s="1725"/>
      <c r="AB187" s="1725"/>
      <c r="AC187" s="1725"/>
      <c r="AD187" s="1725"/>
      <c r="AE187" s="1725"/>
      <c r="BN187" s="115" t="s">
        <v>978</v>
      </c>
      <c r="BT187" t="s">
        <v>979</v>
      </c>
    </row>
    <row r="188" spans="1:72" ht="13" customHeight="1">
      <c r="C188" s="17"/>
      <c r="E188" s="1726"/>
      <c r="F188" s="1726"/>
      <c r="G188" s="1726"/>
      <c r="H188" s="1726"/>
      <c r="I188" s="1726"/>
      <c r="J188" s="1726"/>
      <c r="K188" s="1726"/>
      <c r="L188" s="1726"/>
      <c r="M188" s="1726"/>
      <c r="N188" s="1726"/>
      <c r="O188" s="1726"/>
      <c r="P188" s="1726"/>
      <c r="Q188" s="1726"/>
      <c r="R188" s="1726"/>
      <c r="S188" s="1726"/>
      <c r="T188" s="1726"/>
      <c r="U188" s="1726"/>
      <c r="V188" s="1726"/>
      <c r="W188" s="1726"/>
      <c r="X188" s="1726"/>
      <c r="Y188" s="1726"/>
      <c r="Z188" s="1726"/>
      <c r="AA188" s="1726"/>
      <c r="AB188" s="1726"/>
      <c r="AC188" s="1726"/>
      <c r="AD188" s="1726"/>
      <c r="AE188" s="1726"/>
      <c r="BN188" s="115" t="s">
        <v>980</v>
      </c>
      <c r="BT188" t="s">
        <v>981</v>
      </c>
    </row>
    <row r="189" spans="1:72" ht="13" customHeight="1">
      <c r="C189" s="17"/>
      <c r="D189" t="s">
        <v>982</v>
      </c>
      <c r="I189" s="1380" t="s">
        <v>878</v>
      </c>
      <c r="J189" s="1335"/>
      <c r="K189" s="1335"/>
      <c r="L189" s="1335"/>
      <c r="M189" s="1335"/>
      <c r="N189" s="1335"/>
      <c r="O189" s="1335"/>
      <c r="P189" s="1335"/>
      <c r="Q189" t="s">
        <v>983</v>
      </c>
      <c r="T189" s="1335" t="s">
        <v>984</v>
      </c>
      <c r="U189" s="1335"/>
      <c r="V189" s="1335"/>
      <c r="W189" s="1335"/>
      <c r="X189" s="1335"/>
      <c r="Y189" s="1335"/>
      <c r="Z189" s="1335"/>
      <c r="AA189" s="1335"/>
      <c r="AB189" s="1335"/>
      <c r="AC189" s="1335"/>
      <c r="AD189" s="1335"/>
      <c r="AE189" s="1335"/>
      <c r="BC189" t="s">
        <v>294</v>
      </c>
      <c r="BH189" s="2" t="s">
        <v>299</v>
      </c>
      <c r="BN189" s="115" t="s">
        <v>985</v>
      </c>
      <c r="BT189" t="s">
        <v>986</v>
      </c>
    </row>
    <row r="190" spans="1:72" ht="13" customHeight="1">
      <c r="C190" s="17"/>
      <c r="D190" t="s">
        <v>987</v>
      </c>
      <c r="I190" s="1385">
        <v>95023</v>
      </c>
      <c r="J190" s="1385"/>
      <c r="K190" s="1385"/>
      <c r="L190" s="1385"/>
      <c r="M190" s="1385"/>
      <c r="N190" s="1385"/>
      <c r="O190" t="s">
        <v>988</v>
      </c>
      <c r="T190" s="1722" t="s">
        <v>989</v>
      </c>
      <c r="U190" s="1723"/>
      <c r="V190" s="1723"/>
      <c r="W190" s="1723"/>
      <c r="X190" s="1723"/>
      <c r="Y190" s="1723"/>
      <c r="Z190" s="1723"/>
      <c r="AA190" s="1723"/>
      <c r="AB190" s="1723"/>
      <c r="AC190" s="1723"/>
      <c r="AD190" s="1723"/>
      <c r="AE190" s="1723"/>
      <c r="BC190" t="s">
        <v>990</v>
      </c>
      <c r="BH190" t="s">
        <v>990</v>
      </c>
      <c r="BN190" s="115" t="s">
        <v>991</v>
      </c>
      <c r="BT190" t="s">
        <v>992</v>
      </c>
    </row>
    <row r="191" spans="1:72" ht="13" customHeight="1">
      <c r="C191" s="17"/>
      <c r="D191" t="s">
        <v>993</v>
      </c>
      <c r="N191" s="1724" t="s">
        <v>994</v>
      </c>
      <c r="O191" s="1725"/>
      <c r="P191" s="1725"/>
      <c r="Q191" s="1725"/>
      <c r="R191" s="1725"/>
      <c r="S191" s="1725"/>
      <c r="T191" s="1725"/>
      <c r="U191" s="1725"/>
      <c r="V191" s="1725"/>
      <c r="W191" s="1725"/>
      <c r="X191" s="1725"/>
      <c r="Y191" s="1725"/>
      <c r="Z191" s="1725"/>
      <c r="AA191" s="1725"/>
      <c r="AB191" s="1725"/>
      <c r="AC191" s="1725"/>
      <c r="AD191" s="1725"/>
      <c r="AE191" s="1725"/>
      <c r="BC191" t="s">
        <v>995</v>
      </c>
      <c r="BH191" t="s">
        <v>995</v>
      </c>
      <c r="BN191" s="115" t="s">
        <v>996</v>
      </c>
      <c r="BT191" t="s">
        <v>984</v>
      </c>
    </row>
    <row r="192" spans="1:72" ht="13" customHeight="1">
      <c r="C192" s="17"/>
      <c r="M192" s="1179"/>
      <c r="N192" s="1726"/>
      <c r="O192" s="1726"/>
      <c r="P192" s="1726"/>
      <c r="Q192" s="1726"/>
      <c r="R192" s="1726"/>
      <c r="S192" s="1726"/>
      <c r="T192" s="1726"/>
      <c r="U192" s="1726"/>
      <c r="V192" s="1726"/>
      <c r="W192" s="1726"/>
      <c r="X192" s="1726"/>
      <c r="Y192" s="1726"/>
      <c r="Z192" s="1726"/>
      <c r="AA192" s="1726"/>
      <c r="AB192" s="1726"/>
      <c r="AC192" s="1726"/>
      <c r="AD192" s="1726"/>
      <c r="AE192" s="1726"/>
      <c r="BC192" t="s">
        <v>997</v>
      </c>
      <c r="BH192" s="2" t="s">
        <v>998</v>
      </c>
      <c r="BN192" s="115" t="s">
        <v>999</v>
      </c>
      <c r="BT192" t="s">
        <v>1000</v>
      </c>
    </row>
    <row r="193" spans="1:74" ht="13" customHeight="1">
      <c r="C193" s="17"/>
      <c r="D193" t="s">
        <v>1001</v>
      </c>
      <c r="M193" s="1179"/>
      <c r="N193" s="726"/>
      <c r="O193" s="726"/>
      <c r="P193" s="726"/>
      <c r="Q193" s="726"/>
      <c r="R193" s="726"/>
      <c r="S193" s="726"/>
      <c r="T193" s="1742" t="s">
        <v>946</v>
      </c>
      <c r="U193" s="1742"/>
      <c r="V193" s="1742"/>
      <c r="W193" s="1742"/>
      <c r="X193" s="1742"/>
      <c r="Y193" s="1742"/>
      <c r="Z193" s="1742"/>
      <c r="AA193" s="1742"/>
      <c r="AB193" s="1742"/>
      <c r="AC193" s="1742"/>
      <c r="AD193" s="1742"/>
      <c r="AE193" s="1742"/>
      <c r="AF193" s="1742"/>
      <c r="AG193" s="1742"/>
      <c r="AH193" s="1742"/>
      <c r="AI193" s="1742"/>
      <c r="BC193" t="s">
        <v>1002</v>
      </c>
      <c r="BH193" s="2" t="s">
        <v>1003</v>
      </c>
      <c r="BN193" s="115" t="s">
        <v>1004</v>
      </c>
      <c r="BT193" t="s">
        <v>1005</v>
      </c>
    </row>
    <row r="194" spans="1:74" ht="13" customHeight="1">
      <c r="C194" s="17"/>
      <c r="D194" s="2" t="s">
        <v>1006</v>
      </c>
      <c r="M194" s="1179"/>
      <c r="N194" s="726"/>
      <c r="O194" s="726"/>
      <c r="P194" s="726"/>
      <c r="Q194" s="726"/>
      <c r="R194" s="726"/>
      <c r="S194" s="726"/>
      <c r="AH194" s="1381" t="s">
        <v>895</v>
      </c>
      <c r="AI194" s="1381"/>
      <c r="BC194" t="s">
        <v>998</v>
      </c>
      <c r="BN194" s="115" t="s">
        <v>1007</v>
      </c>
      <c r="BT194" t="s">
        <v>1008</v>
      </c>
    </row>
    <row r="195" spans="1:74" ht="13" customHeight="1">
      <c r="C195" s="17"/>
      <c r="D195" t="s">
        <v>1009</v>
      </c>
      <c r="T195" s="1381" t="s">
        <v>837</v>
      </c>
      <c r="U195" s="1381"/>
      <c r="W195" t="s">
        <v>1010</v>
      </c>
      <c r="AH195" s="1381">
        <v>18</v>
      </c>
      <c r="AI195" s="1381"/>
      <c r="BC195" t="s">
        <v>1011</v>
      </c>
      <c r="BN195" s="115" t="s">
        <v>1012</v>
      </c>
      <c r="BT195" t="s">
        <v>1013</v>
      </c>
    </row>
    <row r="196" spans="1:74" ht="13" customHeight="1">
      <c r="C196" s="17"/>
      <c r="D196" t="s">
        <v>1014</v>
      </c>
      <c r="T196" s="1489" t="s">
        <v>895</v>
      </c>
      <c r="U196" s="1489"/>
      <c r="W196" t="s">
        <v>1015</v>
      </c>
      <c r="AH196" s="1381">
        <v>29</v>
      </c>
      <c r="AI196" s="1381"/>
      <c r="BN196" s="115" t="s">
        <v>1016</v>
      </c>
      <c r="BT196" t="s">
        <v>1017</v>
      </c>
    </row>
    <row r="197" spans="1:74" ht="13" customHeight="1">
      <c r="C197" s="17"/>
      <c r="D197" s="2" t="s">
        <v>1018</v>
      </c>
      <c r="T197" s="1489" t="s">
        <v>895</v>
      </c>
      <c r="U197" s="1489"/>
      <c r="W197" t="s">
        <v>1019</v>
      </c>
      <c r="AH197" s="1381">
        <v>14</v>
      </c>
      <c r="AI197" s="1381"/>
      <c r="BC197" t="s">
        <v>294</v>
      </c>
      <c r="BN197" s="115" t="s">
        <v>1020</v>
      </c>
      <c r="BT197" t="s">
        <v>1021</v>
      </c>
    </row>
    <row r="198" spans="1:74" s="12" customFormat="1" ht="13" customHeight="1">
      <c r="A198"/>
      <c r="B198"/>
      <c r="C198" s="17"/>
      <c r="D198" s="2" t="s">
        <v>1022</v>
      </c>
      <c r="E198"/>
      <c r="F198"/>
      <c r="G198"/>
      <c r="H198"/>
      <c r="I198"/>
      <c r="J198"/>
      <c r="K198"/>
      <c r="L198"/>
      <c r="M198"/>
      <c r="N198"/>
      <c r="O198"/>
      <c r="P198"/>
      <c r="Q198"/>
      <c r="R198"/>
      <c r="S198"/>
      <c r="T198" s="1489"/>
      <c r="U198" s="1489"/>
      <c r="V198"/>
      <c r="W198"/>
      <c r="X198"/>
      <c r="Y198"/>
      <c r="Z198"/>
      <c r="AA198"/>
      <c r="AB198"/>
      <c r="AC198"/>
      <c r="AD198"/>
      <c r="AE198"/>
      <c r="AF198"/>
      <c r="AG198"/>
      <c r="AJ198"/>
      <c r="AK198"/>
      <c r="AL198"/>
      <c r="AM198"/>
      <c r="AN198"/>
      <c r="AO198"/>
      <c r="AP198"/>
      <c r="AQ198"/>
      <c r="AR198"/>
      <c r="AS198"/>
      <c r="AT198"/>
      <c r="AU198"/>
      <c r="AV198"/>
      <c r="AW198"/>
      <c r="AX198"/>
      <c r="AY198"/>
      <c r="AZ198" s="24"/>
      <c r="BA198" s="24"/>
      <c r="BC198" t="s">
        <v>1023</v>
      </c>
      <c r="BD198"/>
      <c r="BN198" s="115" t="s">
        <v>1024</v>
      </c>
      <c r="BO198"/>
      <c r="BP198"/>
      <c r="BQ198"/>
      <c r="BR198"/>
      <c r="BS198"/>
      <c r="BT198" t="s">
        <v>1025</v>
      </c>
      <c r="BU198"/>
      <c r="BV198" s="25"/>
    </row>
    <row r="199" spans="1:74" s="12" customFormat="1" ht="13" customHeight="1">
      <c r="A199"/>
      <c r="B199"/>
      <c r="C199" s="17"/>
      <c r="D199" s="68" t="s">
        <v>1026</v>
      </c>
      <c r="E199"/>
      <c r="F199"/>
      <c r="G199"/>
      <c r="H199"/>
      <c r="I199"/>
      <c r="J199"/>
      <c r="K199"/>
      <c r="L199"/>
      <c r="M199"/>
      <c r="N199"/>
      <c r="O199"/>
      <c r="P199"/>
      <c r="Q199"/>
      <c r="R199"/>
      <c r="S199"/>
      <c r="T199"/>
      <c r="U199"/>
      <c r="V199"/>
      <c r="W199"/>
      <c r="Z199" s="1381" t="s">
        <v>837</v>
      </c>
      <c r="AA199" s="1381"/>
      <c r="AC199"/>
      <c r="AD199"/>
      <c r="AE199"/>
      <c r="AF199"/>
      <c r="AG199"/>
      <c r="AJ199"/>
      <c r="AK199"/>
      <c r="AL199"/>
      <c r="AM199"/>
      <c r="AN199"/>
      <c r="AO199"/>
      <c r="AP199"/>
      <c r="AQ199"/>
      <c r="AR199"/>
      <c r="AS199"/>
      <c r="AT199"/>
      <c r="AU199"/>
      <c r="AV199"/>
      <c r="AW199"/>
      <c r="AX199"/>
      <c r="AY199"/>
      <c r="AZ199" s="24"/>
      <c r="BA199" s="24"/>
      <c r="BC199" s="2" t="s">
        <v>1027</v>
      </c>
      <c r="BD199"/>
      <c r="BN199" s="115" t="s">
        <v>1028</v>
      </c>
      <c r="BO199"/>
      <c r="BP199"/>
      <c r="BQ199"/>
      <c r="BR199"/>
      <c r="BS199"/>
      <c r="BT199" s="26" t="s">
        <v>1029</v>
      </c>
      <c r="BU199"/>
      <c r="BV199" s="25"/>
    </row>
    <row r="200" spans="1:74" s="12" customFormat="1" ht="13" customHeight="1">
      <c r="A200"/>
      <c r="B200"/>
      <c r="C200" s="17"/>
      <c r="D200" t="s">
        <v>1030</v>
      </c>
      <c r="E200"/>
      <c r="F200"/>
      <c r="G200"/>
      <c r="H200"/>
      <c r="I200"/>
      <c r="J200"/>
      <c r="K200"/>
      <c r="L200"/>
      <c r="M200"/>
      <c r="N200"/>
      <c r="O200"/>
      <c r="P200"/>
      <c r="Q200"/>
      <c r="R200"/>
      <c r="S200"/>
      <c r="T200" s="1126"/>
      <c r="U200" s="1126"/>
      <c r="V200"/>
      <c r="W200"/>
      <c r="X200"/>
      <c r="Y200"/>
      <c r="Z200"/>
      <c r="AA200"/>
      <c r="AB200"/>
      <c r="AC200"/>
      <c r="AD200"/>
      <c r="AE200"/>
      <c r="AF200"/>
      <c r="AG200"/>
      <c r="AH200" s="1126"/>
      <c r="AI200" s="1126"/>
      <c r="AJ200"/>
      <c r="AK200"/>
      <c r="AL200"/>
      <c r="AM200"/>
      <c r="AN200"/>
      <c r="AO200"/>
      <c r="AP200"/>
      <c r="AQ200"/>
      <c r="AR200"/>
      <c r="AS200"/>
      <c r="AT200"/>
      <c r="AU200"/>
      <c r="AV200"/>
      <c r="AW200"/>
      <c r="AX200"/>
      <c r="AY200"/>
      <c r="AZ200" s="24"/>
      <c r="BA200" s="24"/>
      <c r="BC200" s="2" t="s">
        <v>1031</v>
      </c>
      <c r="BD200" s="324"/>
      <c r="BN200" s="115" t="s">
        <v>1032</v>
      </c>
      <c r="BO200"/>
      <c r="BP200"/>
      <c r="BQ200"/>
      <c r="BR200"/>
      <c r="BS200"/>
      <c r="BT200" s="26" t="s">
        <v>1033</v>
      </c>
      <c r="BU200"/>
    </row>
    <row r="201" spans="1:74" s="12" customFormat="1" ht="13" customHeight="1">
      <c r="A201"/>
      <c r="B201"/>
      <c r="C201" s="17"/>
      <c r="D201" s="121" t="s">
        <v>1034</v>
      </c>
      <c r="E201"/>
      <c r="F201"/>
      <c r="G201"/>
      <c r="H201"/>
      <c r="I201"/>
      <c r="J201"/>
      <c r="K201"/>
      <c r="L201"/>
      <c r="M201"/>
      <c r="N201"/>
      <c r="O201"/>
      <c r="P201"/>
      <c r="Q201"/>
      <c r="R201"/>
      <c r="S201"/>
      <c r="T201" s="1126"/>
      <c r="U201" s="1126"/>
      <c r="V201"/>
      <c r="W201" s="121" t="s">
        <v>1035</v>
      </c>
      <c r="X201"/>
      <c r="Y201"/>
      <c r="Z201"/>
      <c r="AA201"/>
      <c r="AB201"/>
      <c r="AC201"/>
      <c r="AD201"/>
      <c r="AE201"/>
      <c r="AF201"/>
      <c r="AG201"/>
      <c r="AH201" s="1126"/>
      <c r="AI201" s="1126"/>
      <c r="AJ201"/>
      <c r="AK201"/>
      <c r="AL201"/>
      <c r="AM201"/>
      <c r="AN201"/>
      <c r="AO201"/>
      <c r="AP201"/>
      <c r="AQ201"/>
      <c r="AR201"/>
      <c r="AS201"/>
      <c r="AT201"/>
      <c r="AU201"/>
      <c r="AV201"/>
      <c r="AW201"/>
      <c r="AX201"/>
      <c r="AY201"/>
      <c r="AZ201" s="24"/>
      <c r="BA201" s="24"/>
      <c r="BC201" t="s">
        <v>1036</v>
      </c>
      <c r="BD201" s="324"/>
      <c r="BN201" s="115" t="s">
        <v>1037</v>
      </c>
      <c r="BO201" s="25"/>
      <c r="BP201" s="26"/>
      <c r="BQ201" s="26"/>
      <c r="BR201" s="26"/>
      <c r="BS201" s="26"/>
      <c r="BT201" s="26" t="s">
        <v>1038</v>
      </c>
      <c r="BU201"/>
    </row>
    <row r="202" spans="1:74" ht="13" customHeight="1">
      <c r="C202" s="17"/>
      <c r="D202" s="383"/>
      <c r="BC202" t="s">
        <v>1039</v>
      </c>
      <c r="BD202" s="324"/>
      <c r="BN202" s="115" t="s">
        <v>1040</v>
      </c>
      <c r="BO202" s="12"/>
      <c r="BP202" s="26"/>
      <c r="BQ202" s="26"/>
      <c r="BR202" s="26"/>
      <c r="BS202" s="26"/>
      <c r="BT202" s="26" t="s">
        <v>1041</v>
      </c>
    </row>
    <row r="203" spans="1:74" ht="13" customHeight="1">
      <c r="A203" s="1" t="s">
        <v>1042</v>
      </c>
      <c r="C203" s="1" t="s">
        <v>1043</v>
      </c>
      <c r="BC203" t="s">
        <v>1044</v>
      </c>
      <c r="BN203" s="115" t="s">
        <v>1045</v>
      </c>
      <c r="BO203" s="12"/>
      <c r="BP203" s="26"/>
      <c r="BQ203" s="26"/>
      <c r="BR203" s="26"/>
      <c r="BS203" s="26"/>
      <c r="BT203" s="26" t="s">
        <v>1046</v>
      </c>
    </row>
    <row r="204" spans="1:74" ht="13" customHeight="1">
      <c r="D204" s="1395" t="s">
        <v>1047</v>
      </c>
      <c r="E204" s="1395"/>
      <c r="F204" s="1395"/>
      <c r="G204" s="1395"/>
      <c r="H204" s="1395"/>
      <c r="I204" s="1395"/>
      <c r="J204" s="1395"/>
      <c r="K204" s="1395"/>
      <c r="L204" s="1395"/>
      <c r="M204" s="1395"/>
      <c r="P204" s="1382">
        <f>M26</f>
        <v>2215161</v>
      </c>
      <c r="Q204" s="1741"/>
      <c r="R204" s="1741"/>
      <c r="S204" s="1741"/>
      <c r="T204" s="1741"/>
      <c r="U204" s="1741"/>
      <c r="BC204" t="s">
        <v>1048</v>
      </c>
      <c r="BN204" s="115" t="s">
        <v>1049</v>
      </c>
      <c r="BT204" s="26" t="s">
        <v>1050</v>
      </c>
      <c r="BU204" s="12"/>
    </row>
    <row r="205" spans="1:74" ht="13" customHeight="1">
      <c r="C205" s="17"/>
      <c r="D205" s="1748" t="s">
        <v>1051</v>
      </c>
      <c r="E205" s="1395"/>
      <c r="F205" s="1395"/>
      <c r="G205" s="1395"/>
      <c r="H205" s="1395"/>
      <c r="I205" s="1395"/>
      <c r="J205" s="1395"/>
      <c r="K205" s="1395"/>
      <c r="L205" s="1395"/>
      <c r="M205" s="1395"/>
      <c r="P205" s="1741">
        <f>M27</f>
        <v>5090591</v>
      </c>
      <c r="Q205" s="1741"/>
      <c r="R205" s="1741"/>
      <c r="S205" s="1741"/>
      <c r="T205" s="1741"/>
      <c r="U205" s="1741"/>
      <c r="V205" s="18"/>
      <c r="W205" s="2" t="s">
        <v>1052</v>
      </c>
      <c r="Z205" s="1731" t="s">
        <v>1053</v>
      </c>
      <c r="AA205" s="1731"/>
      <c r="AB205" s="1731"/>
      <c r="AC205" s="1731"/>
      <c r="AD205" s="1731"/>
      <c r="AE205" s="1731"/>
      <c r="AF205" s="1731"/>
      <c r="AG205" s="1731"/>
      <c r="AH205" s="1731"/>
      <c r="AI205" s="1731"/>
      <c r="AJ205" s="1731"/>
      <c r="AK205" s="1731"/>
      <c r="AL205" s="1731"/>
      <c r="AM205" s="1731"/>
      <c r="AN205" s="1731"/>
      <c r="AP205" s="1256"/>
      <c r="AQ205" s="1256"/>
      <c r="BC205" t="s">
        <v>1054</v>
      </c>
      <c r="BN205" s="115" t="s">
        <v>1055</v>
      </c>
      <c r="BT205" s="26" t="s">
        <v>1056</v>
      </c>
      <c r="BU205" s="12"/>
    </row>
    <row r="206" spans="1:74" ht="13" customHeight="1">
      <c r="D206" s="23"/>
      <c r="E206" s="23"/>
      <c r="F206" s="23"/>
      <c r="G206" s="23"/>
      <c r="H206" s="23"/>
      <c r="I206" s="23"/>
      <c r="J206" s="23"/>
      <c r="K206" s="23"/>
      <c r="L206" s="23"/>
      <c r="M206" s="23"/>
      <c r="N206" s="23"/>
      <c r="O206" s="23"/>
      <c r="P206" s="23"/>
      <c r="BC206" s="325" t="s">
        <v>1057</v>
      </c>
      <c r="BN206" s="115" t="s">
        <v>1058</v>
      </c>
      <c r="BT206" s="26" t="s">
        <v>1059</v>
      </c>
      <c r="BU206" s="12"/>
    </row>
    <row r="207" spans="1:74" ht="13" customHeight="1">
      <c r="A207" s="1" t="s">
        <v>1060</v>
      </c>
      <c r="C207" s="1" t="s">
        <v>1061</v>
      </c>
      <c r="BC207" s="2" t="s">
        <v>1062</v>
      </c>
      <c r="BN207" s="115" t="s">
        <v>1063</v>
      </c>
      <c r="BT207" s="26" t="s">
        <v>1064</v>
      </c>
    </row>
    <row r="208" spans="1:74" ht="13" customHeight="1">
      <c r="C208" s="17"/>
      <c r="D208" s="1380" t="s">
        <v>1065</v>
      </c>
      <c r="E208" s="1380"/>
      <c r="F208" s="1380"/>
      <c r="G208" s="1380"/>
      <c r="H208" s="1380"/>
      <c r="I208" s="1380"/>
      <c r="J208" s="1380"/>
      <c r="K208" s="1380"/>
      <c r="L208" s="1380"/>
      <c r="M208" s="1380"/>
      <c r="BC208" t="s">
        <v>1066</v>
      </c>
      <c r="BN208" s="115" t="s">
        <v>1067</v>
      </c>
      <c r="BT208" s="26" t="s">
        <v>1068</v>
      </c>
    </row>
    <row r="209" spans="1:72" ht="13" customHeight="1">
      <c r="BC209" t="s">
        <v>1069</v>
      </c>
      <c r="BN209" s="115" t="s">
        <v>1070</v>
      </c>
      <c r="BT209" s="26" t="s">
        <v>1071</v>
      </c>
    </row>
    <row r="210" spans="1:72" ht="13" customHeight="1">
      <c r="A210" s="1" t="s">
        <v>1072</v>
      </c>
      <c r="C210" s="1" t="s">
        <v>1073</v>
      </c>
      <c r="BN210" s="115" t="s">
        <v>1074</v>
      </c>
      <c r="BT210" s="26" t="s">
        <v>1075</v>
      </c>
    </row>
    <row r="211" spans="1:72" ht="13" customHeight="1">
      <c r="C211" s="17"/>
      <c r="D211" s="1380" t="s">
        <v>990</v>
      </c>
      <c r="E211" s="1380"/>
      <c r="F211" s="1380"/>
      <c r="G211" s="1380"/>
      <c r="H211" s="1380"/>
      <c r="I211" s="1380"/>
      <c r="J211" s="1380"/>
      <c r="K211" s="1380"/>
      <c r="L211" s="1380"/>
      <c r="M211" s="1380"/>
      <c r="BN211" s="115" t="s">
        <v>1076</v>
      </c>
      <c r="BT211" s="26" t="s">
        <v>1077</v>
      </c>
    </row>
    <row r="212" spans="1:72" ht="13" customHeight="1">
      <c r="C212" s="17"/>
      <c r="D212" t="s">
        <v>1078</v>
      </c>
      <c r="Y212" s="1381"/>
      <c r="Z212" s="1381"/>
      <c r="AB212" s="1729">
        <f>IFERROR(Y212/AG440,"")</f>
        <v>0</v>
      </c>
      <c r="AC212" s="1730"/>
      <c r="BC212" t="s">
        <v>294</v>
      </c>
      <c r="BI212" t="s">
        <v>1079</v>
      </c>
      <c r="BN212" s="115" t="s">
        <v>1080</v>
      </c>
      <c r="BT212" s="26" t="s">
        <v>1081</v>
      </c>
    </row>
    <row r="213" spans="1:72" ht="13" customHeight="1">
      <c r="D213" s="957" t="s">
        <v>1082</v>
      </c>
      <c r="BC213" t="s">
        <v>1083</v>
      </c>
      <c r="BI213" t="s">
        <v>1053</v>
      </c>
      <c r="BN213" s="115" t="s">
        <v>1084</v>
      </c>
      <c r="BT213" s="26" t="s">
        <v>1085</v>
      </c>
    </row>
    <row r="214" spans="1:72" ht="13" customHeight="1">
      <c r="D214" s="1738" t="s">
        <v>299</v>
      </c>
      <c r="E214" s="1738"/>
      <c r="F214" s="1738"/>
      <c r="G214" s="1738"/>
      <c r="H214" s="1738"/>
      <c r="I214" s="1738"/>
      <c r="J214" s="1738"/>
      <c r="K214" s="1738"/>
      <c r="L214" s="1738"/>
      <c r="M214" s="1738"/>
      <c r="N214" s="1738"/>
      <c r="O214" s="1738"/>
      <c r="P214" s="1738"/>
      <c r="Q214" s="1738"/>
      <c r="R214" s="1738"/>
      <c r="S214" s="1738"/>
      <c r="T214" s="1738"/>
      <c r="U214" s="1738"/>
      <c r="V214" s="1738"/>
      <c r="W214" s="1738"/>
      <c r="X214" s="1738"/>
      <c r="Y214" s="1738"/>
      <c r="Z214" s="1738"/>
      <c r="AU214" s="17"/>
      <c r="AV214" s="17"/>
      <c r="AW214" s="17"/>
      <c r="AX214" s="17"/>
      <c r="AY214" s="17"/>
      <c r="BC214" t="s">
        <v>1086</v>
      </c>
      <c r="BI214" t="s">
        <v>1087</v>
      </c>
      <c r="BN214" s="115" t="s">
        <v>1088</v>
      </c>
      <c r="BT214" s="26" t="s">
        <v>1089</v>
      </c>
    </row>
    <row r="215" spans="1:72" ht="13" customHeight="1">
      <c r="D215" s="2" t="s">
        <v>1090</v>
      </c>
      <c r="Z215" s="1179"/>
      <c r="AB215" s="1737"/>
      <c r="AC215" s="1737"/>
      <c r="AD215" s="1737"/>
      <c r="AE215" s="1737"/>
      <c r="AF215" s="1737"/>
      <c r="AG215" s="1737"/>
      <c r="AH215" s="1737"/>
      <c r="AI215" s="1737"/>
      <c r="AJ215" s="1737"/>
      <c r="AK215" s="1737"/>
      <c r="AL215" s="1737"/>
      <c r="AM215" s="17"/>
      <c r="AN215" s="17"/>
      <c r="AO215" s="17"/>
      <c r="AP215" s="17"/>
      <c r="AQ215" s="17"/>
      <c r="AR215" s="17"/>
      <c r="AS215" s="17"/>
      <c r="AT215" s="17"/>
      <c r="AU215" s="17"/>
      <c r="AV215" s="17"/>
      <c r="AW215" s="17"/>
      <c r="AX215" s="17"/>
      <c r="AY215" s="17"/>
      <c r="BC215" t="s">
        <v>1091</v>
      </c>
      <c r="BI215" s="2" t="s">
        <v>1092</v>
      </c>
    </row>
    <row r="216" spans="1:72" ht="13" customHeight="1">
      <c r="D216" s="2" t="s">
        <v>1093</v>
      </c>
      <c r="Z216" s="1179"/>
      <c r="AB216" s="1737"/>
      <c r="AC216" s="1737"/>
      <c r="AD216" s="1737"/>
      <c r="AE216" s="1737"/>
      <c r="AF216" s="1737"/>
      <c r="AG216" s="1737"/>
      <c r="AH216" s="1737"/>
      <c r="AI216" s="1737"/>
      <c r="AJ216" s="1737"/>
      <c r="AK216" s="1737"/>
      <c r="AL216" s="1737"/>
      <c r="AM216" s="17"/>
      <c r="AN216" s="17"/>
      <c r="AO216" s="17"/>
      <c r="AP216" s="17"/>
      <c r="AQ216" s="17"/>
      <c r="AR216" s="17"/>
      <c r="AS216" s="17"/>
      <c r="AT216" s="17"/>
      <c r="AU216" s="17"/>
      <c r="AV216" s="17"/>
      <c r="AW216" s="17"/>
      <c r="AX216" s="17"/>
      <c r="AY216" s="17"/>
      <c r="BC216" t="s">
        <v>1094</v>
      </c>
      <c r="BI216" s="2" t="s">
        <v>1095</v>
      </c>
    </row>
    <row r="217" spans="1:72" ht="13" customHeight="1">
      <c r="D217" s="2"/>
      <c r="Z217" s="1179"/>
      <c r="AB217" s="17"/>
      <c r="AC217" s="17"/>
      <c r="AD217" s="17"/>
      <c r="AE217" s="17"/>
      <c r="AF217" s="17"/>
      <c r="AG217" s="17"/>
      <c r="AH217" s="17"/>
      <c r="AI217" s="17"/>
      <c r="AJ217" s="17"/>
      <c r="AK217" s="17"/>
      <c r="AL217" s="17"/>
      <c r="AM217" s="17"/>
      <c r="AN217" s="17"/>
      <c r="AO217" s="17"/>
      <c r="AP217" s="17"/>
      <c r="AQ217" s="17"/>
      <c r="AR217" s="17"/>
      <c r="AS217" s="17"/>
      <c r="AT217" s="17"/>
      <c r="BC217" t="s">
        <v>1096</v>
      </c>
      <c r="BI217" s="2" t="s">
        <v>1097</v>
      </c>
    </row>
    <row r="218" spans="1:72" ht="13" customHeight="1">
      <c r="A218" s="1" t="s">
        <v>1098</v>
      </c>
      <c r="C218" s="1" t="s">
        <v>1099</v>
      </c>
      <c r="D218" s="18"/>
      <c r="BC218" t="s">
        <v>1100</v>
      </c>
    </row>
    <row r="219" spans="1:72" ht="13" customHeight="1">
      <c r="A219" s="1"/>
      <c r="C219" s="1"/>
      <c r="D219" s="2" t="s">
        <v>1101</v>
      </c>
      <c r="AZ219" s="2"/>
      <c r="BA219" s="2"/>
      <c r="BC219" t="s">
        <v>1102</v>
      </c>
    </row>
    <row r="220" spans="1:72" ht="13" customHeight="1">
      <c r="A220" s="1"/>
      <c r="C220" s="1"/>
      <c r="D220" s="1380" t="s">
        <v>1062</v>
      </c>
      <c r="E220" s="1380"/>
      <c r="F220" s="1380"/>
      <c r="G220" s="1380"/>
      <c r="H220" s="1380"/>
      <c r="I220" s="1380"/>
      <c r="J220" s="1380"/>
      <c r="K220" s="1380"/>
      <c r="L220" s="1380"/>
      <c r="M220" s="1380"/>
      <c r="N220" s="1380"/>
      <c r="O220" s="1380"/>
      <c r="P220" s="1380"/>
      <c r="Q220" s="1380"/>
      <c r="R220" s="1380"/>
      <c r="S220" s="1380"/>
      <c r="T220" s="1380"/>
      <c r="U220" s="1380"/>
      <c r="V220" s="1380"/>
      <c r="W220" s="1380"/>
      <c r="X220" s="1380"/>
      <c r="Y220" s="1380"/>
      <c r="Z220" s="1380"/>
      <c r="BA220" s="2"/>
      <c r="BC220" t="s">
        <v>1103</v>
      </c>
    </row>
    <row r="221" spans="1:72" ht="13" customHeight="1">
      <c r="A221" s="1"/>
      <c r="B221" s="12"/>
      <c r="C221" s="1"/>
      <c r="AU221" s="54"/>
      <c r="AV221" s="54"/>
      <c r="AW221" s="54"/>
      <c r="AX221" s="54"/>
      <c r="AY221" s="54"/>
      <c r="BA221" s="2"/>
    </row>
    <row r="222" spans="1:72" ht="13" customHeight="1">
      <c r="A222" s="1389" t="s">
        <v>1104</v>
      </c>
      <c r="B222" s="1389"/>
      <c r="C222" s="1389"/>
      <c r="D222" s="1389"/>
      <c r="E222" s="1389"/>
      <c r="F222" s="1389"/>
      <c r="G222" s="1389"/>
      <c r="H222" s="1389"/>
      <c r="I222" s="1389"/>
      <c r="J222" s="1389"/>
      <c r="K222" s="1389"/>
      <c r="L222" s="1389"/>
      <c r="M222" s="1389"/>
      <c r="N222" s="1389"/>
      <c r="O222" s="1389"/>
      <c r="P222" s="1389"/>
      <c r="Q222" s="1389"/>
      <c r="R222" s="1389"/>
      <c r="S222" s="1389"/>
      <c r="T222" s="1389"/>
      <c r="U222" s="1389"/>
      <c r="V222" s="1389"/>
      <c r="W222" s="1389"/>
      <c r="X222" s="1389"/>
      <c r="Y222" s="1389"/>
      <c r="Z222" s="1389"/>
      <c r="AA222" s="1389"/>
      <c r="AB222" s="1389"/>
      <c r="AC222" s="1389"/>
      <c r="AD222" s="1389"/>
      <c r="AE222" s="1389"/>
      <c r="AF222" s="1389"/>
      <c r="AG222" s="1389"/>
      <c r="AH222" s="1389"/>
      <c r="AI222" s="1389"/>
      <c r="AJ222" s="1389"/>
      <c r="AK222" s="1389"/>
      <c r="AL222" s="1389"/>
      <c r="AM222" s="1389"/>
      <c r="AN222" s="1389"/>
      <c r="AO222" s="1389"/>
      <c r="AP222" s="1389"/>
      <c r="AQ222" s="1389"/>
      <c r="AR222" s="1389"/>
      <c r="AS222" s="1389"/>
      <c r="AT222" s="1389"/>
      <c r="AU222" s="54"/>
      <c r="AV222" s="54"/>
      <c r="AW222" s="54"/>
      <c r="AX222" s="54"/>
      <c r="AY222" s="54"/>
      <c r="AZ222" s="2"/>
      <c r="BA222" s="2"/>
      <c r="BP222" s="2"/>
    </row>
    <row r="223" spans="1:72" ht="13" customHeight="1">
      <c r="A223" s="1389"/>
      <c r="B223" s="1389"/>
      <c r="C223" s="1389"/>
      <c r="D223" s="1389"/>
      <c r="E223" s="1389"/>
      <c r="F223" s="1389"/>
      <c r="G223" s="1389"/>
      <c r="H223" s="1389"/>
      <c r="I223" s="1389"/>
      <c r="J223" s="1389"/>
      <c r="K223" s="1389"/>
      <c r="L223" s="1389"/>
      <c r="M223" s="1389"/>
      <c r="N223" s="1389"/>
      <c r="O223" s="1389"/>
      <c r="P223" s="1389"/>
      <c r="Q223" s="1389"/>
      <c r="R223" s="1389"/>
      <c r="S223" s="1389"/>
      <c r="T223" s="1389"/>
      <c r="U223" s="1389"/>
      <c r="V223" s="1389"/>
      <c r="W223" s="1389"/>
      <c r="X223" s="1389"/>
      <c r="Y223" s="1389"/>
      <c r="Z223" s="1389"/>
      <c r="AA223" s="1389"/>
      <c r="AB223" s="1389"/>
      <c r="AC223" s="1389"/>
      <c r="AD223" s="1389"/>
      <c r="AE223" s="1389"/>
      <c r="AF223" s="1389"/>
      <c r="AG223" s="1389"/>
      <c r="AH223" s="1389"/>
      <c r="AI223" s="1389"/>
      <c r="AJ223" s="1389"/>
      <c r="AK223" s="1389"/>
      <c r="AL223" s="1389"/>
      <c r="AM223" s="1389"/>
      <c r="AN223" s="1389"/>
      <c r="AO223" s="1389"/>
      <c r="AP223" s="1389"/>
      <c r="AQ223" s="1389"/>
      <c r="AR223" s="1389"/>
      <c r="AS223" s="1389"/>
      <c r="AT223" s="1389"/>
      <c r="BA223" s="2"/>
      <c r="BB223" s="2"/>
      <c r="BQ223" s="2"/>
    </row>
    <row r="224" spans="1:72" ht="13" customHeight="1">
      <c r="AZ224" s="2"/>
      <c r="BA224" s="2"/>
      <c r="BB224" s="2"/>
      <c r="BQ224" s="2"/>
    </row>
    <row r="225" spans="1:69" ht="13" customHeight="1">
      <c r="A225" s="1" t="s">
        <v>922</v>
      </c>
      <c r="B225" s="1"/>
      <c r="C225" s="1" t="s">
        <v>1105</v>
      </c>
      <c r="D225" s="1"/>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U225" s="2"/>
      <c r="AV225" s="2"/>
      <c r="AW225" s="2"/>
      <c r="AX225" s="2"/>
      <c r="AY225" s="2"/>
      <c r="BO225" s="2"/>
    </row>
    <row r="226" spans="1:69" ht="13" customHeight="1">
      <c r="B226" s="2"/>
      <c r="D226" s="2" t="s">
        <v>1106</v>
      </c>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1381" t="s">
        <v>299</v>
      </c>
      <c r="AJ226" s="1381"/>
      <c r="AL226" s="2"/>
      <c r="AM226" s="2"/>
      <c r="AN226" s="2"/>
      <c r="AO226" s="2"/>
      <c r="AP226" s="2"/>
      <c r="AQ226" s="2"/>
      <c r="AR226" s="2"/>
      <c r="AS226" s="2"/>
      <c r="AT226" s="2"/>
      <c r="AU226" s="2"/>
      <c r="AV226" s="2"/>
      <c r="AW226" s="2"/>
      <c r="AX226" s="2"/>
      <c r="AY226" s="2"/>
      <c r="AZ226" s="2"/>
      <c r="BB226" s="118" t="s">
        <v>1107</v>
      </c>
      <c r="BG226" s="152">
        <f>IF(AND(AND($M$249="for profit",$M$257="for profit",$M$265="nonprofit")),2,0)</f>
        <v>0</v>
      </c>
      <c r="BO226" s="2"/>
    </row>
    <row r="227" spans="1:69" ht="13" customHeight="1">
      <c r="B227" s="2"/>
      <c r="D227" s="2" t="s">
        <v>1108</v>
      </c>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1381" t="s">
        <v>299</v>
      </c>
      <c r="AJ227" s="1381"/>
      <c r="AL227" s="2"/>
      <c r="AM227" s="2"/>
      <c r="AN227" s="2"/>
      <c r="AO227" s="2"/>
      <c r="AP227" s="2"/>
      <c r="AQ227" s="2"/>
      <c r="AR227" s="2"/>
      <c r="AS227" s="2"/>
      <c r="AT227" s="2"/>
      <c r="AU227" s="2"/>
      <c r="AV227" s="2"/>
      <c r="AW227" s="2"/>
      <c r="AX227" s="2"/>
      <c r="AY227" s="2"/>
      <c r="BA227" s="2"/>
      <c r="BB227" s="118" t="s">
        <v>1107</v>
      </c>
      <c r="BG227" s="152">
        <f>IF(AND(AND($M$249="for profit",$M$257="nonprofit",$M$265="for profit")),2,0)</f>
        <v>0</v>
      </c>
      <c r="BQ227" s="2"/>
    </row>
    <row r="228" spans="1:69" ht="13" customHeight="1">
      <c r="B228" s="2"/>
      <c r="D228" s="2" t="s">
        <v>1109</v>
      </c>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1381" t="s">
        <v>837</v>
      </c>
      <c r="AJ228" s="1381"/>
      <c r="AL228" s="2"/>
      <c r="AM228" s="2"/>
      <c r="AN228" s="2"/>
      <c r="AO228" s="2"/>
      <c r="AP228" s="2"/>
      <c r="AQ228" s="2"/>
      <c r="AR228" s="2"/>
      <c r="AS228" s="2"/>
      <c r="AT228" s="2"/>
      <c r="AU228" s="2"/>
      <c r="AV228" s="2"/>
      <c r="AW228" s="2"/>
      <c r="AX228" s="2"/>
      <c r="AY228" s="2"/>
      <c r="AZ228" s="2"/>
      <c r="BA228" s="2"/>
      <c r="BB228" s="118" t="s">
        <v>1107</v>
      </c>
      <c r="BG228" s="152">
        <f>IF(AND(AND($M$249="nonprofit",$M$257="for profit",$M$265="for profit")),2,0)</f>
        <v>0</v>
      </c>
      <c r="BQ228" s="2"/>
    </row>
    <row r="229" spans="1:69" ht="13" customHeight="1">
      <c r="B229" s="2"/>
      <c r="D229" s="2" t="s">
        <v>1110</v>
      </c>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1381" t="s">
        <v>299</v>
      </c>
      <c r="AJ229" s="1381"/>
      <c r="AL229" s="2"/>
      <c r="AM229" s="2"/>
      <c r="AN229" s="2"/>
      <c r="AO229" s="2"/>
      <c r="AP229" s="2"/>
      <c r="AQ229" s="2"/>
      <c r="AR229" s="2"/>
      <c r="AS229" s="2"/>
      <c r="AT229" s="2"/>
      <c r="AU229" s="2"/>
      <c r="AV229" s="2"/>
      <c r="AW229" s="2"/>
      <c r="AX229" s="2"/>
      <c r="AY229" s="2"/>
      <c r="BA229" s="2"/>
      <c r="BB229" s="118" t="s">
        <v>1107</v>
      </c>
      <c r="BG229" s="152">
        <f>IF(AND(AND($M$249="for profit",$M$257="nonprofit",$M$265="(select one)")),2,0)</f>
        <v>0</v>
      </c>
      <c r="BO229" s="2"/>
    </row>
    <row r="230" spans="1:69" ht="13" customHeight="1">
      <c r="B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L230" s="2"/>
      <c r="AM230" s="2"/>
      <c r="AN230" s="2"/>
      <c r="AO230" s="2"/>
      <c r="AP230" s="2"/>
      <c r="AQ230" s="2"/>
      <c r="AR230" s="2"/>
      <c r="AS230" s="2"/>
      <c r="AT230" s="2"/>
      <c r="AU230" s="2"/>
      <c r="AV230" s="2"/>
      <c r="AW230" s="2"/>
      <c r="AX230" s="2"/>
      <c r="AY230" s="2"/>
      <c r="BA230" s="2"/>
      <c r="BB230" s="118" t="s">
        <v>1107</v>
      </c>
      <c r="BG230" s="151">
        <f>IF(AND(AND($M$249="nonprofit",$M$257="for profit",$M$265="(select one)")),2,0)</f>
        <v>2</v>
      </c>
      <c r="BO230" s="2"/>
    </row>
    <row r="231" spans="1:69" ht="13" customHeight="1">
      <c r="A231" s="1" t="s">
        <v>963</v>
      </c>
      <c r="B231" s="2"/>
      <c r="C231" s="1" t="s">
        <v>1111</v>
      </c>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L231" s="2"/>
      <c r="AM231" s="2"/>
      <c r="AN231" s="2"/>
      <c r="AO231" s="2"/>
      <c r="AP231" s="2"/>
      <c r="AQ231" s="2"/>
      <c r="AR231" s="2"/>
      <c r="AS231" s="2"/>
      <c r="AT231" s="2"/>
      <c r="BA231" s="2"/>
      <c r="BB231" s="118"/>
      <c r="BG231" s="118"/>
      <c r="BQ231" s="2"/>
    </row>
    <row r="232" spans="1:69" ht="13" customHeight="1">
      <c r="D232" s="2" t="s">
        <v>1112</v>
      </c>
      <c r="E232" s="2"/>
      <c r="F232" s="2"/>
      <c r="G232" s="2"/>
      <c r="H232" s="2"/>
      <c r="I232" s="2"/>
      <c r="J232" s="2"/>
      <c r="K232" s="2"/>
      <c r="M232" s="1503" t="str">
        <f>H16</f>
        <v>CRP Baler Place LP</v>
      </c>
      <c r="N232" s="1503"/>
      <c r="O232" s="1503"/>
      <c r="P232" s="1503"/>
      <c r="Q232" s="1503"/>
      <c r="R232" s="1503"/>
      <c r="S232" s="1503"/>
      <c r="T232" s="1503"/>
      <c r="U232" s="1503"/>
      <c r="V232" s="1503"/>
      <c r="W232" s="1503"/>
      <c r="X232" s="1503"/>
      <c r="Y232" s="1503"/>
      <c r="Z232" s="1503"/>
      <c r="AA232" s="1503"/>
      <c r="AB232" s="1503"/>
      <c r="AC232" s="1503"/>
      <c r="AD232" s="1503"/>
      <c r="AE232" s="1503"/>
      <c r="AF232" s="1503"/>
      <c r="AG232" s="1503"/>
      <c r="AH232" s="1503"/>
      <c r="AI232" s="1503"/>
      <c r="AJ232" s="1503"/>
      <c r="AK232" s="1503"/>
      <c r="AZ232" s="2"/>
      <c r="BA232" s="2"/>
      <c r="BB232" s="119" t="s">
        <v>1107</v>
      </c>
      <c r="BG232" s="152">
        <f>IF(AND(AND($M$249="nonprofit",$M$257="nonprofit",$M$265="for profit")),2,0)</f>
        <v>0</v>
      </c>
      <c r="BQ232" s="2"/>
    </row>
    <row r="233" spans="1:69" ht="13" customHeight="1">
      <c r="D233" s="2" t="s">
        <v>1113</v>
      </c>
      <c r="E233" s="2"/>
      <c r="F233" s="2"/>
      <c r="G233" s="2"/>
      <c r="H233" s="2"/>
      <c r="I233" s="2"/>
      <c r="J233" s="2"/>
      <c r="K233" s="2"/>
      <c r="M233" s="1743" t="s">
        <v>1114</v>
      </c>
      <c r="N233" s="1743"/>
      <c r="O233" s="1743"/>
      <c r="P233" s="1743"/>
      <c r="Q233" s="1743"/>
      <c r="R233" s="1743"/>
      <c r="S233" s="1743"/>
      <c r="T233" s="1743"/>
      <c r="U233" s="1743"/>
      <c r="V233" s="1743"/>
      <c r="W233" s="1743"/>
      <c r="X233" s="1743"/>
      <c r="Y233" s="1743"/>
      <c r="Z233" s="1743"/>
      <c r="AA233" s="1743"/>
      <c r="AB233" s="1743"/>
      <c r="AC233" s="1743"/>
      <c r="AD233" s="1743"/>
      <c r="AE233" s="1743"/>
      <c r="BB233" s="119" t="s">
        <v>1107</v>
      </c>
      <c r="BG233" s="152">
        <f>IF(AND(AND($M$249="nonprofit",$M$257="for profit",$M$265="nonprofit")),2,0)</f>
        <v>0</v>
      </c>
    </row>
    <row r="234" spans="1:69" ht="13" customHeight="1">
      <c r="D234" s="2" t="s">
        <v>982</v>
      </c>
      <c r="E234" s="2"/>
      <c r="M234" s="1743" t="s">
        <v>1115</v>
      </c>
      <c r="N234" s="1743"/>
      <c r="O234" s="1743"/>
      <c r="P234" s="1743"/>
      <c r="Q234" s="1743"/>
      <c r="R234" s="1743"/>
      <c r="S234" s="1743"/>
      <c r="T234" s="1743"/>
      <c r="V234" s="840" t="s">
        <v>1116</v>
      </c>
      <c r="W234" s="1744" t="s">
        <v>1117</v>
      </c>
      <c r="X234" s="1744"/>
      <c r="Y234" s="2" t="s">
        <v>987</v>
      </c>
      <c r="AC234" s="1743">
        <v>10168</v>
      </c>
      <c r="AD234" s="1743"/>
      <c r="AE234" s="1743"/>
      <c r="AU234" s="2"/>
      <c r="AV234" s="2"/>
      <c r="AW234" s="2"/>
      <c r="AX234" s="2"/>
      <c r="AY234" s="2"/>
      <c r="AZ234" s="2"/>
      <c r="BB234" s="119" t="s">
        <v>1107</v>
      </c>
      <c r="BG234" s="151">
        <f>IF(AND(AND($M$249="for profit",$M$257="nonprofit",$M$265="nonprofit")),2,0)</f>
        <v>0</v>
      </c>
      <c r="BO234" s="2"/>
    </row>
    <row r="235" spans="1:69" ht="13" customHeight="1">
      <c r="D235" s="2" t="s">
        <v>1118</v>
      </c>
      <c r="E235" s="2"/>
      <c r="F235" s="2"/>
      <c r="G235" s="2"/>
      <c r="H235" s="2"/>
      <c r="I235" s="2"/>
      <c r="J235" s="2"/>
      <c r="K235" s="1040"/>
      <c r="M235" s="1380" t="s">
        <v>865</v>
      </c>
      <c r="N235" s="1380"/>
      <c r="O235" s="1380"/>
      <c r="P235" s="1380"/>
      <c r="Q235" s="1380"/>
      <c r="R235" s="1380"/>
      <c r="S235" s="1380"/>
      <c r="T235" s="1380"/>
      <c r="U235" s="1380"/>
      <c r="V235" s="1380"/>
      <c r="W235" s="1380"/>
      <c r="X235" s="1380"/>
      <c r="Y235" s="1380"/>
      <c r="Z235" s="1380"/>
      <c r="AA235" s="1380"/>
      <c r="AB235" s="1380"/>
      <c r="AC235" s="1380"/>
      <c r="AD235" s="1380"/>
      <c r="AE235" s="1380"/>
      <c r="AI235" s="2"/>
      <c r="AJ235" s="2"/>
      <c r="AK235" s="2"/>
      <c r="AL235" s="2"/>
      <c r="AM235" s="2"/>
      <c r="AN235" s="2"/>
      <c r="AO235" s="2"/>
      <c r="AP235" s="2"/>
      <c r="AQ235" s="2"/>
      <c r="AR235" s="2"/>
      <c r="AS235" s="2"/>
      <c r="AT235" s="2"/>
      <c r="BB235" s="119"/>
      <c r="BG235" s="118"/>
    </row>
    <row r="236" spans="1:69" ht="13" customHeight="1">
      <c r="D236" s="2" t="s">
        <v>1119</v>
      </c>
      <c r="E236" s="2"/>
      <c r="F236" s="2"/>
      <c r="M236" s="1417" t="s">
        <v>1120</v>
      </c>
      <c r="N236" s="1417"/>
      <c r="O236" s="1417"/>
      <c r="P236" s="1417"/>
      <c r="Q236" s="1417"/>
      <c r="R236" s="1417"/>
      <c r="S236" s="2" t="s">
        <v>1121</v>
      </c>
      <c r="T236" s="2"/>
      <c r="U236" s="1394"/>
      <c r="V236" s="1394"/>
      <c r="W236" s="1394"/>
      <c r="X236" s="2" t="s">
        <v>1122</v>
      </c>
      <c r="Z236" s="1417"/>
      <c r="AA236" s="1417"/>
      <c r="AB236" s="1417"/>
      <c r="AC236" s="1417"/>
      <c r="AD236" s="1417"/>
      <c r="AE236" s="1417"/>
      <c r="AU236" s="2"/>
      <c r="AV236" s="2"/>
      <c r="AW236" s="2"/>
      <c r="AX236" s="2"/>
      <c r="AY236" s="2"/>
      <c r="AZ236" s="2"/>
      <c r="BB236" s="118" t="s">
        <v>1123</v>
      </c>
      <c r="BG236" s="152">
        <f>IF(AND(AND($M$249="nonprofit",$M$257="nonprofit",$M$265="(select one)")),1,0)</f>
        <v>0</v>
      </c>
    </row>
    <row r="237" spans="1:69" ht="13" customHeight="1">
      <c r="D237" s="2" t="s">
        <v>1124</v>
      </c>
      <c r="E237" s="2"/>
      <c r="F237" s="2"/>
      <c r="M237" s="1720" t="s">
        <v>1125</v>
      </c>
      <c r="N237" s="1720"/>
      <c r="O237" s="1720"/>
      <c r="P237" s="1720"/>
      <c r="Q237" s="1720"/>
      <c r="R237" s="1720"/>
      <c r="S237" s="1720"/>
      <c r="T237" s="1720"/>
      <c r="U237" s="1720"/>
      <c r="V237" s="1720"/>
      <c r="W237" s="1720"/>
      <c r="X237" s="1720"/>
      <c r="Y237" s="1720"/>
      <c r="Z237" s="1720"/>
      <c r="AA237" s="1720"/>
      <c r="AB237" s="1720"/>
      <c r="AC237" s="1720"/>
      <c r="AD237" s="1720"/>
      <c r="AE237" s="1720"/>
      <c r="AF237" s="2"/>
      <c r="AG237" s="2"/>
      <c r="AH237" s="2"/>
      <c r="AI237" s="2"/>
      <c r="AJ237" s="2"/>
      <c r="AK237" s="2"/>
      <c r="AL237" s="2"/>
      <c r="AM237" s="2"/>
      <c r="AN237" s="2"/>
      <c r="AO237" s="2"/>
      <c r="AP237" s="2"/>
      <c r="AQ237" s="2"/>
      <c r="AR237" s="2"/>
      <c r="AS237" s="2"/>
      <c r="AT237" s="2"/>
      <c r="AU237" s="2"/>
      <c r="AV237" s="2"/>
      <c r="AW237" s="2"/>
      <c r="AX237" s="2"/>
      <c r="AY237" s="2"/>
      <c r="BB237" s="118" t="s">
        <v>1123</v>
      </c>
      <c r="BG237" s="152">
        <f>IF(AND(AND($M$249="nonprofit",$M$257="nonprofit",$M$265="nonprofit")),1,0)</f>
        <v>0</v>
      </c>
    </row>
    <row r="238" spans="1:69" ht="13" customHeight="1">
      <c r="A238" s="1" t="s">
        <v>1042</v>
      </c>
      <c r="C238" s="1" t="s">
        <v>1126</v>
      </c>
      <c r="M238" s="1385" t="s">
        <v>1096</v>
      </c>
      <c r="N238" s="1385"/>
      <c r="O238" s="1385"/>
      <c r="P238" s="1385"/>
      <c r="Q238" s="1385"/>
      <c r="R238" s="1385"/>
      <c r="S238" s="1385"/>
      <c r="T238" s="1385"/>
      <c r="U238" s="118" t="s">
        <v>1127</v>
      </c>
      <c r="V238" s="118"/>
      <c r="W238" s="118"/>
      <c r="X238" s="118"/>
      <c r="Y238" s="118"/>
      <c r="Z238" s="118"/>
      <c r="AA238" s="1727" t="s">
        <v>1128</v>
      </c>
      <c r="AB238" s="1728"/>
      <c r="AC238" s="1728"/>
      <c r="AD238" s="1728"/>
      <c r="AE238" s="1728"/>
      <c r="AF238" s="1728"/>
      <c r="AG238" s="1728"/>
      <c r="AH238" s="1728"/>
      <c r="AI238" s="1728"/>
      <c r="AJ238" s="1728"/>
      <c r="AK238" s="1728"/>
      <c r="AL238" s="2"/>
      <c r="AM238" s="2"/>
      <c r="AN238" s="2"/>
      <c r="AO238" s="2"/>
      <c r="AP238" s="2"/>
      <c r="AQ238" s="2"/>
      <c r="AR238" s="2"/>
      <c r="AS238" s="2"/>
      <c r="AT238" s="2"/>
      <c r="AU238" s="2"/>
      <c r="AV238" s="2"/>
      <c r="AW238" s="2"/>
      <c r="AX238" s="2"/>
      <c r="AY238" s="2"/>
      <c r="BB238" s="118" t="s">
        <v>1123</v>
      </c>
      <c r="BG238" s="152">
        <f>IF(AND(AND($M$249="nonprofit",$M$257="(select one)",$M$265="(select one)")),1,0)</f>
        <v>0</v>
      </c>
      <c r="BN238" s="2"/>
    </row>
    <row r="239" spans="1:69" ht="13" customHeight="1">
      <c r="D239" t="s">
        <v>1129</v>
      </c>
      <c r="M239" s="1335"/>
      <c r="N239" s="1335"/>
      <c r="O239" s="1335"/>
      <c r="P239" s="1335"/>
      <c r="Q239" s="1335"/>
      <c r="R239" s="1335"/>
      <c r="S239" s="1335"/>
      <c r="T239" s="1335"/>
      <c r="U239" s="1335"/>
      <c r="V239" s="1335"/>
      <c r="W239" s="1335"/>
      <c r="X239" s="1335"/>
      <c r="Y239" s="1335"/>
      <c r="Z239" s="1335"/>
      <c r="AA239" s="1335"/>
      <c r="AB239" s="1335"/>
      <c r="AC239" s="1335"/>
      <c r="AD239" s="1335"/>
      <c r="AE239" s="1335"/>
      <c r="AF239" s="2"/>
      <c r="AG239" s="2"/>
      <c r="AH239" s="2"/>
      <c r="AI239" s="2"/>
      <c r="AJ239" s="2"/>
      <c r="AK239" s="2"/>
      <c r="AL239" s="2"/>
      <c r="AM239" s="2"/>
      <c r="AN239" s="2"/>
      <c r="AO239" s="2"/>
      <c r="AP239" s="2"/>
      <c r="AQ239" s="2"/>
      <c r="AR239" s="2"/>
      <c r="AS239" s="2"/>
      <c r="AT239" s="2"/>
      <c r="BB239" s="118" t="s">
        <v>1130</v>
      </c>
      <c r="BG239" s="152">
        <f>IF(AND(AND($M$249="for profit",$M$257="for profit",$M$265="(select one)")),3,0)</f>
        <v>0</v>
      </c>
    </row>
    <row r="240" spans="1:69" ht="13" customHeight="1">
      <c r="D240" s="2"/>
      <c r="BB240" s="118" t="s">
        <v>1130</v>
      </c>
      <c r="BG240" s="152">
        <f>IF(AND(AND($M$249="for profit",$M$257="for profit",$M$265="for profit")),3,0)</f>
        <v>0</v>
      </c>
    </row>
    <row r="241" spans="1:71" ht="13" customHeight="1">
      <c r="A241" s="1" t="s">
        <v>1060</v>
      </c>
      <c r="C241" s="1" t="s">
        <v>1131</v>
      </c>
      <c r="D241" s="2"/>
      <c r="L241" s="7"/>
      <c r="M241" s="7"/>
      <c r="N241" s="7"/>
      <c r="AU241" s="2"/>
      <c r="AV241" s="2"/>
      <c r="AW241" s="2"/>
      <c r="AX241" s="2"/>
      <c r="AY241" s="2"/>
      <c r="BB241" s="118" t="s">
        <v>1130</v>
      </c>
      <c r="BG241" s="152">
        <f>IF(AND(AND($M$249="for profit",$M$257="(select one)",$M$265="(select one)")),3,0)</f>
        <v>0</v>
      </c>
    </row>
    <row r="242" spans="1:71" ht="13" customHeight="1">
      <c r="D242" s="2"/>
      <c r="L242" s="7"/>
      <c r="M242" s="7"/>
      <c r="N242" s="7"/>
      <c r="O242" s="7"/>
      <c r="P242" s="7"/>
      <c r="Q242" s="7"/>
      <c r="R242" s="7"/>
      <c r="S242" s="7"/>
      <c r="T242" s="7"/>
      <c r="U242" s="7"/>
      <c r="V242" s="7"/>
      <c r="W242" s="7"/>
      <c r="X242" s="7"/>
      <c r="Y242" s="7"/>
      <c r="Z242" s="7"/>
      <c r="AA242" s="7"/>
      <c r="AB242" s="7"/>
      <c r="AC242" s="7"/>
      <c r="AD242" s="7"/>
      <c r="AE242" s="2"/>
      <c r="AF242" s="2"/>
      <c r="AG242" s="2"/>
      <c r="AH242" s="2"/>
      <c r="AI242" s="2"/>
      <c r="AJ242" s="2"/>
      <c r="AK242" s="2"/>
      <c r="AL242" s="2"/>
      <c r="AM242" s="2"/>
      <c r="AN242" s="2"/>
      <c r="AO242" s="2"/>
      <c r="AP242" s="2"/>
      <c r="AQ242" s="2"/>
      <c r="AR242" s="2"/>
      <c r="AS242" s="2"/>
      <c r="AT242" s="2"/>
      <c r="BO242" s="2"/>
      <c r="BP242" s="2"/>
      <c r="BQ242" s="2"/>
      <c r="BR242" s="2"/>
      <c r="BS242" s="2"/>
    </row>
    <row r="243" spans="1:71" ht="13" customHeight="1">
      <c r="A243" s="1040"/>
      <c r="B243" s="2"/>
      <c r="C243" s="38" t="s">
        <v>1132</v>
      </c>
      <c r="D243" s="2" t="s">
        <v>1133</v>
      </c>
      <c r="E243" s="2"/>
      <c r="F243" s="2"/>
      <c r="G243" s="2"/>
      <c r="H243" s="2"/>
      <c r="I243" s="2"/>
      <c r="J243" s="2"/>
      <c r="K243" s="2"/>
      <c r="L243" s="2"/>
      <c r="M243" s="1383" t="s">
        <v>1134</v>
      </c>
      <c r="N243" s="1383"/>
      <c r="O243" s="1383"/>
      <c r="P243" s="1383"/>
      <c r="Q243" s="1383"/>
      <c r="R243" s="1383"/>
      <c r="S243" s="1383"/>
      <c r="T243" s="1383"/>
      <c r="U243" s="1383"/>
      <c r="V243" s="1383"/>
      <c r="W243" s="1383"/>
      <c r="X243" s="1383"/>
      <c r="Y243" s="1383"/>
      <c r="Z243" s="1383"/>
      <c r="AA243" s="1383"/>
      <c r="AB243" s="1383"/>
      <c r="AC243" s="1383"/>
      <c r="AD243" s="1383"/>
      <c r="AE243" s="1383"/>
      <c r="AF243" s="1383" t="s">
        <v>1135</v>
      </c>
      <c r="AG243" s="1383"/>
      <c r="AH243" s="1383"/>
      <c r="AI243" s="1383"/>
      <c r="AJ243" s="1383"/>
      <c r="AK243" s="1383"/>
      <c r="AU243" s="2"/>
      <c r="AV243" s="2"/>
      <c r="AW243" s="2"/>
      <c r="AX243" s="2"/>
      <c r="AY243" s="2"/>
      <c r="BG243">
        <f>SUM(BG226:BG241)</f>
        <v>2</v>
      </c>
    </row>
    <row r="244" spans="1:71" ht="13" customHeight="1">
      <c r="A244" s="1040"/>
      <c r="B244" s="2"/>
      <c r="C244" s="2"/>
      <c r="D244" s="2" t="s">
        <v>1113</v>
      </c>
      <c r="E244" s="2"/>
      <c r="F244" s="2"/>
      <c r="G244" s="2"/>
      <c r="H244" s="2"/>
      <c r="I244" s="2"/>
      <c r="J244" s="2"/>
      <c r="K244" s="2"/>
      <c r="L244" s="2"/>
      <c r="M244" s="1380" t="s">
        <v>1136</v>
      </c>
      <c r="N244" s="1380"/>
      <c r="O244" s="1380"/>
      <c r="P244" s="1380"/>
      <c r="Q244" s="1380"/>
      <c r="R244" s="1380"/>
      <c r="S244" s="1380"/>
      <c r="T244" s="1380"/>
      <c r="U244" s="1380"/>
      <c r="V244" s="1380"/>
      <c r="W244" s="1380"/>
      <c r="X244" s="1380"/>
      <c r="Y244" s="1380"/>
      <c r="Z244" s="1380"/>
      <c r="AA244" s="1380"/>
      <c r="AB244" s="1380"/>
      <c r="AC244" s="1380"/>
      <c r="AD244" s="1380"/>
      <c r="AE244" s="1380"/>
      <c r="AF244" s="2" t="s">
        <v>1137</v>
      </c>
      <c r="AL244" s="2"/>
      <c r="AM244" s="2"/>
      <c r="AN244" s="2"/>
      <c r="AO244" s="2"/>
      <c r="AP244" s="2"/>
      <c r="AQ244" s="2"/>
      <c r="AR244" s="2"/>
      <c r="AS244" s="2"/>
      <c r="AT244" s="2"/>
      <c r="BB244" t="s">
        <v>294</v>
      </c>
      <c r="BG244">
        <v>1</v>
      </c>
      <c r="BH244" t="s">
        <v>1138</v>
      </c>
    </row>
    <row r="245" spans="1:71" ht="13" customHeight="1">
      <c r="A245" s="1040"/>
      <c r="B245" s="2"/>
      <c r="C245" s="2"/>
      <c r="D245" s="2" t="s">
        <v>982</v>
      </c>
      <c r="E245" s="2"/>
      <c r="M245" s="1380" t="s">
        <v>1005</v>
      </c>
      <c r="N245" s="1380"/>
      <c r="O245" s="1380"/>
      <c r="P245" s="1380"/>
      <c r="Q245" s="1380"/>
      <c r="R245" s="1380"/>
      <c r="S245" s="1380"/>
      <c r="T245" s="1380"/>
      <c r="V245" s="840" t="s">
        <v>1116</v>
      </c>
      <c r="W245" s="1394" t="s">
        <v>1139</v>
      </c>
      <c r="X245" s="1394"/>
      <c r="Y245" s="2" t="s">
        <v>987</v>
      </c>
      <c r="AC245" s="1380">
        <v>92127</v>
      </c>
      <c r="AD245" s="1380"/>
      <c r="AE245" s="1380"/>
      <c r="AF245" s="2" t="s">
        <v>1140</v>
      </c>
      <c r="AU245" s="2"/>
      <c r="AV245" s="2"/>
      <c r="AW245" s="2"/>
      <c r="AX245" s="2"/>
      <c r="AY245" s="2"/>
      <c r="BB245" s="2" t="s">
        <v>1141</v>
      </c>
      <c r="BG245">
        <v>2</v>
      </c>
      <c r="BH245" t="s">
        <v>1094</v>
      </c>
      <c r="BO245" s="1042" t="str">
        <f>VLOOKUP(BG243,BG244:BH247,2,FALSE)</f>
        <v>Joint Venture</v>
      </c>
    </row>
    <row r="246" spans="1:71" ht="13" customHeight="1">
      <c r="A246" s="1040"/>
      <c r="B246" s="2"/>
      <c r="C246" s="2"/>
      <c r="D246" s="2" t="s">
        <v>1118</v>
      </c>
      <c r="E246" s="2"/>
      <c r="F246" s="2"/>
      <c r="G246" s="2"/>
      <c r="H246" s="2"/>
      <c r="I246" s="2"/>
      <c r="J246" s="2"/>
      <c r="K246" s="2"/>
      <c r="L246" s="1040"/>
      <c r="M246" s="1380" t="s">
        <v>1142</v>
      </c>
      <c r="N246" s="1380"/>
      <c r="O246" s="1380"/>
      <c r="P246" s="1380"/>
      <c r="Q246" s="1380"/>
      <c r="R246" s="1380"/>
      <c r="S246" s="1380"/>
      <c r="T246" s="1380"/>
      <c r="U246" s="1380"/>
      <c r="V246" s="1380"/>
      <c r="W246" s="1380"/>
      <c r="X246" s="1380"/>
      <c r="Y246" s="1380"/>
      <c r="Z246" s="1380"/>
      <c r="AA246" s="1380"/>
      <c r="AB246" s="1380"/>
      <c r="AC246" s="1380"/>
      <c r="AD246" s="1380"/>
      <c r="AE246" s="1380"/>
      <c r="AH246" s="1746">
        <v>4.8999999999999998E-4</v>
      </c>
      <c r="AI246" s="1746"/>
      <c r="AJ246" s="1746"/>
      <c r="AK246" s="1746"/>
      <c r="AL246" s="2"/>
      <c r="AM246" s="2"/>
      <c r="AN246" s="2"/>
      <c r="AO246" s="2"/>
      <c r="AP246" s="2"/>
      <c r="AQ246" s="2"/>
      <c r="AR246" s="2"/>
      <c r="AS246" s="2"/>
      <c r="AT246" s="2"/>
      <c r="BB246" s="2" t="s">
        <v>1143</v>
      </c>
      <c r="BG246">
        <v>3</v>
      </c>
      <c r="BH246" t="s">
        <v>1144</v>
      </c>
      <c r="BN246" s="2"/>
    </row>
    <row r="247" spans="1:71" ht="13" customHeight="1">
      <c r="A247" s="1040"/>
      <c r="B247" s="2"/>
      <c r="C247" s="2"/>
      <c r="D247" s="2" t="s">
        <v>1119</v>
      </c>
      <c r="E247" s="2"/>
      <c r="F247" s="2"/>
      <c r="M247" s="1417" t="s">
        <v>1145</v>
      </c>
      <c r="N247" s="1417"/>
      <c r="O247" s="1417"/>
      <c r="P247" s="1417"/>
      <c r="Q247" s="1417"/>
      <c r="R247" s="1417"/>
      <c r="S247" s="2" t="s">
        <v>1121</v>
      </c>
      <c r="T247" s="2"/>
      <c r="U247" s="1394"/>
      <c r="V247" s="1394"/>
      <c r="W247" s="1394"/>
      <c r="X247" s="2" t="s">
        <v>1122</v>
      </c>
      <c r="Z247" s="1417"/>
      <c r="AA247" s="1417"/>
      <c r="AB247" s="1417"/>
      <c r="AC247" s="1417"/>
      <c r="AD247" s="1417"/>
      <c r="AE247" s="1417"/>
      <c r="AU247" s="2"/>
      <c r="AV247" s="2"/>
      <c r="AW247" s="2"/>
      <c r="AX247" s="2"/>
      <c r="AY247" s="2"/>
      <c r="BG247">
        <v>0</v>
      </c>
      <c r="BH247" s="2"/>
      <c r="BN247" s="2"/>
    </row>
    <row r="248" spans="1:71" ht="13" customHeight="1">
      <c r="A248" s="1040"/>
      <c r="B248" s="2"/>
      <c r="C248" s="2"/>
      <c r="D248" s="2" t="s">
        <v>1124</v>
      </c>
      <c r="E248" s="2"/>
      <c r="F248" s="2"/>
      <c r="M248" s="1720" t="s">
        <v>1146</v>
      </c>
      <c r="N248" s="1720"/>
      <c r="O248" s="1720"/>
      <c r="P248" s="1720"/>
      <c r="Q248" s="1720"/>
      <c r="R248" s="1720"/>
      <c r="S248" s="1720"/>
      <c r="T248" s="1720"/>
      <c r="U248" s="1720"/>
      <c r="V248" s="1720"/>
      <c r="W248" s="1720"/>
      <c r="X248" s="1720"/>
      <c r="Y248" s="1720"/>
      <c r="Z248" s="1720"/>
      <c r="AA248" s="1720"/>
      <c r="AB248" s="1720"/>
      <c r="AC248" s="1720"/>
      <c r="AD248" s="1720"/>
      <c r="AE248" s="1720"/>
      <c r="AG248" s="2"/>
      <c r="AH248" s="2"/>
      <c r="AI248" s="2"/>
      <c r="AJ248" s="2"/>
      <c r="AK248" s="2"/>
      <c r="AL248" s="2"/>
      <c r="AM248" s="2"/>
      <c r="AN248" s="2"/>
      <c r="AO248" s="2"/>
      <c r="AP248" s="2"/>
      <c r="AQ248" s="2"/>
      <c r="AR248" s="2"/>
      <c r="AS248" s="2"/>
      <c r="AT248" s="2"/>
      <c r="BN248" s="2"/>
    </row>
    <row r="249" spans="1:71" ht="13" customHeight="1">
      <c r="A249" s="1127"/>
      <c r="B249" s="2"/>
      <c r="C249" s="38"/>
      <c r="D249" s="2" t="s">
        <v>1147</v>
      </c>
      <c r="E249" s="2"/>
      <c r="F249" s="2"/>
      <c r="G249" s="2"/>
      <c r="H249" s="2"/>
      <c r="I249" s="2"/>
      <c r="J249" s="2"/>
      <c r="K249" s="2"/>
      <c r="L249" s="2"/>
      <c r="M249" s="1385" t="s">
        <v>1138</v>
      </c>
      <c r="N249" s="1385"/>
      <c r="O249" s="1385"/>
      <c r="P249" s="1385"/>
      <c r="Q249" s="1385"/>
      <c r="R249" s="1385"/>
      <c r="S249" s="1385"/>
      <c r="T249" s="1385"/>
      <c r="U249" s="118" t="s">
        <v>1127</v>
      </c>
      <c r="V249" s="118"/>
      <c r="W249" s="118"/>
      <c r="X249" s="118"/>
      <c r="Y249" s="118"/>
      <c r="Z249" s="118"/>
      <c r="AA249" s="1728" t="s">
        <v>1148</v>
      </c>
      <c r="AB249" s="1728"/>
      <c r="AC249" s="1728"/>
      <c r="AD249" s="1728"/>
      <c r="AE249" s="1728"/>
      <c r="AF249" s="1728"/>
      <c r="AG249" s="1728"/>
      <c r="AH249" s="1728"/>
      <c r="AI249" s="1728"/>
      <c r="AJ249" s="1728"/>
      <c r="AK249" s="1728"/>
      <c r="BN249" s="2"/>
    </row>
    <row r="250" spans="1:71" ht="13" customHeight="1">
      <c r="A250" s="1040"/>
      <c r="B250" s="2"/>
      <c r="C250" s="2"/>
      <c r="D250" s="2"/>
      <c r="E250" s="2"/>
      <c r="F250" s="2"/>
      <c r="G250" s="2"/>
      <c r="H250" s="2"/>
      <c r="I250" s="2"/>
      <c r="J250" s="2"/>
      <c r="K250" s="2"/>
      <c r="L250" s="2"/>
      <c r="AG250" s="2"/>
      <c r="AH250" s="2"/>
      <c r="AI250" s="2"/>
      <c r="AJ250" s="2"/>
      <c r="BN250" s="2"/>
    </row>
    <row r="251" spans="1:71" ht="13" customHeight="1">
      <c r="A251" s="1"/>
      <c r="B251" s="2"/>
      <c r="C251" s="38" t="s">
        <v>1149</v>
      </c>
      <c r="D251" s="2" t="s">
        <v>1150</v>
      </c>
      <c r="E251" s="2"/>
      <c r="F251" s="2"/>
      <c r="G251" s="2"/>
      <c r="H251" s="2"/>
      <c r="I251" s="2"/>
      <c r="J251" s="2"/>
      <c r="K251" s="2"/>
      <c r="L251" s="2"/>
      <c r="M251" s="1383" t="s">
        <v>1151</v>
      </c>
      <c r="N251" s="1383"/>
      <c r="O251" s="1383"/>
      <c r="P251" s="1383"/>
      <c r="Q251" s="1383"/>
      <c r="R251" s="1383"/>
      <c r="S251" s="1383"/>
      <c r="T251" s="1383"/>
      <c r="U251" s="1383"/>
      <c r="V251" s="1383"/>
      <c r="W251" s="1383"/>
      <c r="X251" s="1383"/>
      <c r="Y251" s="1383"/>
      <c r="Z251" s="1383"/>
      <c r="AA251" s="1383"/>
      <c r="AB251" s="1383"/>
      <c r="AC251" s="1383"/>
      <c r="AD251" s="1383"/>
      <c r="AE251" s="1383"/>
      <c r="AF251" s="1383" t="s">
        <v>1152</v>
      </c>
      <c r="AG251" s="1383"/>
      <c r="AH251" s="1383"/>
      <c r="AI251" s="1383"/>
      <c r="AJ251" s="1383"/>
      <c r="AK251" s="1383"/>
      <c r="AU251" s="2"/>
      <c r="AV251" s="2"/>
      <c r="AW251" s="2"/>
      <c r="AX251" s="2"/>
      <c r="AY251" s="2"/>
      <c r="BN251" s="2"/>
    </row>
    <row r="252" spans="1:71" ht="13" customHeight="1">
      <c r="A252" s="1040"/>
      <c r="B252" s="2"/>
      <c r="C252" s="2"/>
      <c r="D252" s="2" t="s">
        <v>1113</v>
      </c>
      <c r="E252" s="2"/>
      <c r="F252" s="2"/>
      <c r="G252" s="2"/>
      <c r="H252" s="2"/>
      <c r="I252" s="2"/>
      <c r="J252" s="2"/>
      <c r="K252" s="2"/>
      <c r="L252" s="2"/>
      <c r="M252" s="1380" t="s">
        <v>1114</v>
      </c>
      <c r="N252" s="1380"/>
      <c r="O252" s="1380"/>
      <c r="P252" s="1380"/>
      <c r="Q252" s="1380"/>
      <c r="R252" s="1380"/>
      <c r="S252" s="1380"/>
      <c r="T252" s="1380"/>
      <c r="U252" s="1380"/>
      <c r="V252" s="1380"/>
      <c r="W252" s="1380"/>
      <c r="X252" s="1380"/>
      <c r="Y252" s="1380"/>
      <c r="Z252" s="1380"/>
      <c r="AA252" s="1380"/>
      <c r="AB252" s="1380"/>
      <c r="AC252" s="1380"/>
      <c r="AD252" s="1380"/>
      <c r="AE252" s="1380"/>
      <c r="AF252" s="2" t="s">
        <v>1137</v>
      </c>
      <c r="AL252" s="2"/>
      <c r="AM252" s="2"/>
      <c r="AN252" s="2"/>
      <c r="AO252" s="2"/>
      <c r="AP252" s="2"/>
      <c r="AQ252" s="2"/>
      <c r="AR252" s="2"/>
      <c r="AS252" s="2"/>
      <c r="AT252" s="2"/>
      <c r="BN252" s="2"/>
    </row>
    <row r="253" spans="1:71" ht="13" customHeight="1">
      <c r="A253" s="1040"/>
      <c r="B253" s="2"/>
      <c r="C253" s="2"/>
      <c r="D253" s="2" t="s">
        <v>982</v>
      </c>
      <c r="E253" s="2"/>
      <c r="M253" s="1380" t="s">
        <v>1115</v>
      </c>
      <c r="N253" s="1380"/>
      <c r="O253" s="1380"/>
      <c r="P253" s="1380"/>
      <c r="Q253" s="1380"/>
      <c r="R253" s="1380"/>
      <c r="S253" s="1380"/>
      <c r="T253" s="1380"/>
      <c r="V253" s="840" t="s">
        <v>1116</v>
      </c>
      <c r="W253" s="1394" t="s">
        <v>1117</v>
      </c>
      <c r="X253" s="1394"/>
      <c r="Y253" s="2" t="s">
        <v>987</v>
      </c>
      <c r="AC253" s="1380">
        <v>10168</v>
      </c>
      <c r="AD253" s="1380"/>
      <c r="AE253" s="1380"/>
      <c r="AF253" s="2" t="s">
        <v>1140</v>
      </c>
      <c r="AU253" s="2"/>
      <c r="AV253" s="2"/>
      <c r="AW253" s="2"/>
      <c r="AX253" s="2"/>
      <c r="AY253" s="2"/>
      <c r="BN253" s="2"/>
    </row>
    <row r="254" spans="1:71" ht="13" customHeight="1">
      <c r="A254" s="1040"/>
      <c r="B254" s="2"/>
      <c r="C254" s="2"/>
      <c r="D254" s="2" t="s">
        <v>1118</v>
      </c>
      <c r="E254" s="2"/>
      <c r="F254" s="2"/>
      <c r="G254" s="2"/>
      <c r="H254" s="2"/>
      <c r="I254" s="2"/>
      <c r="J254" s="2"/>
      <c r="K254" s="2"/>
      <c r="L254" s="1040"/>
      <c r="M254" s="1380" t="s">
        <v>865</v>
      </c>
      <c r="N254" s="1380"/>
      <c r="O254" s="1380"/>
      <c r="P254" s="1380"/>
      <c r="Q254" s="1380"/>
      <c r="R254" s="1380"/>
      <c r="S254" s="1380"/>
      <c r="T254" s="1380"/>
      <c r="U254" s="1380"/>
      <c r="V254" s="1380"/>
      <c r="W254" s="1380"/>
      <c r="X254" s="1380"/>
      <c r="Y254" s="1380"/>
      <c r="Z254" s="1380"/>
      <c r="AA254" s="1380"/>
      <c r="AB254" s="1380"/>
      <c r="AC254" s="1380"/>
      <c r="AD254" s="1380"/>
      <c r="AE254" s="1380"/>
      <c r="AH254" s="1746">
        <v>5.1000000000000004E-4</v>
      </c>
      <c r="AI254" s="1746"/>
      <c r="AJ254" s="1746"/>
      <c r="AK254" s="1746"/>
      <c r="AL254" s="2"/>
      <c r="AM254" s="2"/>
      <c r="AN254" s="2"/>
      <c r="AO254" s="2"/>
      <c r="AP254" s="2"/>
      <c r="AQ254" s="2"/>
      <c r="AR254" s="2"/>
      <c r="AS254" s="2"/>
      <c r="AT254" s="2"/>
    </row>
    <row r="255" spans="1:71" ht="13" customHeight="1">
      <c r="A255" s="1040"/>
      <c r="B255" s="2"/>
      <c r="C255" s="2"/>
      <c r="D255" s="2" t="s">
        <v>1119</v>
      </c>
      <c r="E255" s="2"/>
      <c r="F255" s="2"/>
      <c r="M255" s="1417" t="s">
        <v>1120</v>
      </c>
      <c r="N255" s="1417"/>
      <c r="O255" s="1417"/>
      <c r="P255" s="1417"/>
      <c r="Q255" s="1417"/>
      <c r="R255" s="1417"/>
      <c r="S255" s="2" t="s">
        <v>1121</v>
      </c>
      <c r="T255" s="2"/>
      <c r="U255" s="1394"/>
      <c r="V255" s="1394"/>
      <c r="W255" s="1394"/>
      <c r="X255" s="2" t="s">
        <v>1122</v>
      </c>
      <c r="Z255" s="1417"/>
      <c r="AA255" s="1417"/>
      <c r="AB255" s="1417"/>
      <c r="AC255" s="1417"/>
      <c r="AD255" s="1417"/>
      <c r="AE255" s="1417"/>
      <c r="AU255" s="2"/>
      <c r="AV255" s="2"/>
      <c r="AW255" s="2"/>
      <c r="AX255" s="2"/>
      <c r="AY255" s="2"/>
      <c r="BN255" s="2"/>
    </row>
    <row r="256" spans="1:71" ht="13" customHeight="1">
      <c r="A256" s="1040"/>
      <c r="B256" s="2"/>
      <c r="C256" s="2"/>
      <c r="D256" s="2" t="s">
        <v>1124</v>
      </c>
      <c r="E256" s="2"/>
      <c r="F256" s="2"/>
      <c r="M256" s="1720" t="s">
        <v>1125</v>
      </c>
      <c r="N256" s="1720"/>
      <c r="O256" s="1720"/>
      <c r="P256" s="1720"/>
      <c r="Q256" s="1720"/>
      <c r="R256" s="1720"/>
      <c r="S256" s="1720"/>
      <c r="T256" s="1720"/>
      <c r="U256" s="1720"/>
      <c r="V256" s="1720"/>
      <c r="W256" s="1720"/>
      <c r="X256" s="1720"/>
      <c r="Y256" s="1720"/>
      <c r="Z256" s="1720"/>
      <c r="AA256" s="1720"/>
      <c r="AB256" s="1720"/>
      <c r="AC256" s="1720"/>
      <c r="AD256" s="1720"/>
      <c r="AE256" s="1720"/>
      <c r="AG256" s="2"/>
      <c r="AH256" s="2"/>
      <c r="AI256" s="2"/>
      <c r="AJ256" s="2"/>
      <c r="AK256" s="2"/>
      <c r="AL256" s="2"/>
      <c r="AM256" s="2"/>
      <c r="AN256" s="2"/>
      <c r="AO256" s="2"/>
      <c r="AP256" s="2"/>
      <c r="AQ256" s="2"/>
      <c r="AR256" s="2"/>
      <c r="AS256" s="2"/>
      <c r="AT256" s="2"/>
      <c r="AU256" s="2"/>
      <c r="AV256" s="2"/>
      <c r="AW256" s="2"/>
      <c r="AX256" s="2"/>
      <c r="AY256" s="2"/>
      <c r="BN256" s="2"/>
    </row>
    <row r="257" spans="1:66" ht="13" customHeight="1">
      <c r="A257" s="1127"/>
      <c r="B257" s="2"/>
      <c r="C257" s="38"/>
      <c r="D257" s="2" t="s">
        <v>1147</v>
      </c>
      <c r="E257" s="2"/>
      <c r="F257" s="2"/>
      <c r="G257" s="2"/>
      <c r="H257" s="2"/>
      <c r="I257" s="2"/>
      <c r="J257" s="2"/>
      <c r="K257" s="2"/>
      <c r="L257" s="2"/>
      <c r="M257" s="1385" t="s">
        <v>1144</v>
      </c>
      <c r="N257" s="1385"/>
      <c r="O257" s="1385"/>
      <c r="P257" s="1385"/>
      <c r="Q257" s="1385"/>
      <c r="R257" s="1385"/>
      <c r="S257" s="1385"/>
      <c r="T257" s="1385"/>
      <c r="U257" s="118" t="s">
        <v>1127</v>
      </c>
      <c r="V257" s="118"/>
      <c r="W257" s="118"/>
      <c r="X257" s="118"/>
      <c r="Y257" s="118"/>
      <c r="Z257" s="118"/>
      <c r="AA257" s="1728"/>
      <c r="AB257" s="1728"/>
      <c r="AC257" s="1728"/>
      <c r="AD257" s="1728"/>
      <c r="AE257" s="1728"/>
      <c r="AF257" s="1728"/>
      <c r="AG257" s="1728"/>
      <c r="AH257" s="1728"/>
      <c r="AI257" s="1728"/>
      <c r="AJ257" s="1728"/>
      <c r="AK257" s="1728"/>
      <c r="AL257" s="2"/>
      <c r="AM257" s="2"/>
      <c r="AN257" s="2"/>
      <c r="AO257" s="2"/>
      <c r="AP257" s="2"/>
      <c r="AQ257" s="2"/>
      <c r="AR257" s="2"/>
      <c r="AS257" s="2"/>
      <c r="AT257" s="2"/>
      <c r="AU257" s="2"/>
      <c r="AV257" s="2"/>
      <c r="AW257" s="2"/>
      <c r="AX257" s="2"/>
      <c r="AY257" s="2"/>
      <c r="BN257" s="2"/>
    </row>
    <row r="258" spans="1:66" ht="13" customHeight="1">
      <c r="A258" s="1127"/>
      <c r="B258" s="2"/>
      <c r="C258" s="38"/>
      <c r="D258" s="2"/>
      <c r="E258" s="2"/>
      <c r="F258" s="2"/>
      <c r="G258" s="2"/>
      <c r="H258" s="2"/>
      <c r="I258" s="2"/>
      <c r="J258" s="2"/>
      <c r="K258" s="2"/>
      <c r="L258" s="2"/>
      <c r="M258" s="7"/>
      <c r="N258" s="7"/>
      <c r="O258" s="7"/>
      <c r="P258" s="7"/>
      <c r="Q258" s="7"/>
      <c r="R258" s="7"/>
      <c r="S258" s="7"/>
      <c r="T258" s="7"/>
      <c r="U258" s="68"/>
      <c r="V258" s="68"/>
      <c r="W258" s="68"/>
      <c r="X258" s="68"/>
      <c r="Y258" s="68"/>
      <c r="Z258" s="68"/>
      <c r="AA258" s="68"/>
      <c r="AB258" s="68"/>
      <c r="AC258" s="68"/>
      <c r="AD258" s="68"/>
      <c r="AE258" s="2"/>
      <c r="AF258" s="2"/>
      <c r="AG258" s="2"/>
      <c r="AH258" s="2"/>
      <c r="AI258" s="2"/>
      <c r="AJ258" s="2"/>
      <c r="AK258" s="2"/>
      <c r="AL258" s="2"/>
      <c r="AM258" s="2"/>
      <c r="AN258" s="2"/>
      <c r="AO258" s="2"/>
      <c r="AP258" s="2"/>
      <c r="AQ258" s="2"/>
      <c r="AR258" s="2"/>
      <c r="AS258" s="2"/>
      <c r="AT258" s="2"/>
      <c r="AU258" s="2"/>
      <c r="AV258" s="2"/>
      <c r="AW258" s="2"/>
      <c r="AX258" s="2"/>
      <c r="AY258" s="2"/>
      <c r="BN258" s="2"/>
    </row>
    <row r="259" spans="1:66" ht="13" customHeight="1">
      <c r="A259" s="1127"/>
      <c r="B259" s="2"/>
      <c r="C259" s="38" t="s">
        <v>1153</v>
      </c>
      <c r="D259" s="2" t="s">
        <v>1133</v>
      </c>
      <c r="E259" s="2"/>
      <c r="F259" s="2"/>
      <c r="G259" s="2"/>
      <c r="H259" s="2"/>
      <c r="I259" s="2"/>
      <c r="J259" s="2"/>
      <c r="K259" s="2"/>
      <c r="L259" s="2"/>
      <c r="M259" s="1383"/>
      <c r="N259" s="1383"/>
      <c r="O259" s="1383"/>
      <c r="P259" s="1383"/>
      <c r="Q259" s="1383"/>
      <c r="R259" s="1383"/>
      <c r="S259" s="1383"/>
      <c r="T259" s="1383"/>
      <c r="U259" s="1383"/>
      <c r="V259" s="1383"/>
      <c r="W259" s="1383"/>
      <c r="X259" s="1383"/>
      <c r="Y259" s="1383"/>
      <c r="Z259" s="1383"/>
      <c r="AA259" s="1383"/>
      <c r="AB259" s="1383"/>
      <c r="AC259" s="1383"/>
      <c r="AD259" s="1383"/>
      <c r="AE259" s="1383"/>
      <c r="AF259" s="1383" t="s">
        <v>294</v>
      </c>
      <c r="AG259" s="1383"/>
      <c r="AH259" s="1383"/>
      <c r="AI259" s="1383"/>
      <c r="AJ259" s="1383"/>
      <c r="AK259" s="1383"/>
      <c r="AL259" s="2"/>
      <c r="AM259" s="2"/>
      <c r="AN259" s="2"/>
      <c r="AO259" s="2"/>
      <c r="AP259" s="2"/>
      <c r="AQ259" s="2"/>
      <c r="AR259" s="2"/>
      <c r="AS259" s="2"/>
      <c r="AT259" s="2"/>
      <c r="AU259" s="2"/>
      <c r="AV259" s="2"/>
      <c r="AW259" s="2"/>
      <c r="AX259" s="2"/>
      <c r="AY259" s="2"/>
      <c r="BN259" s="2"/>
    </row>
    <row r="260" spans="1:66" ht="13" customHeight="1">
      <c r="A260" s="1127"/>
      <c r="B260" s="2"/>
      <c r="C260" s="2"/>
      <c r="D260" s="2" t="s">
        <v>1113</v>
      </c>
      <c r="E260" s="2"/>
      <c r="F260" s="2"/>
      <c r="G260" s="2"/>
      <c r="H260" s="2"/>
      <c r="I260" s="2"/>
      <c r="J260" s="2"/>
      <c r="K260" s="2"/>
      <c r="L260" s="2"/>
      <c r="M260" s="1380"/>
      <c r="N260" s="1380"/>
      <c r="O260" s="1380"/>
      <c r="P260" s="1380"/>
      <c r="Q260" s="1380"/>
      <c r="R260" s="1380"/>
      <c r="S260" s="1380"/>
      <c r="T260" s="1380"/>
      <c r="U260" s="1380"/>
      <c r="V260" s="1380"/>
      <c r="W260" s="1380"/>
      <c r="X260" s="1380"/>
      <c r="Y260" s="1380"/>
      <c r="Z260" s="1380"/>
      <c r="AA260" s="1380"/>
      <c r="AB260" s="1380"/>
      <c r="AC260" s="1380"/>
      <c r="AD260" s="1380"/>
      <c r="AE260" s="1380"/>
      <c r="AF260" s="2" t="s">
        <v>1137</v>
      </c>
      <c r="AL260" s="2"/>
      <c r="AM260" s="2"/>
      <c r="AN260" s="2"/>
      <c r="AO260" s="2"/>
      <c r="AP260" s="2"/>
      <c r="AQ260" s="2"/>
      <c r="AR260" s="2"/>
      <c r="AS260" s="2"/>
      <c r="AT260" s="2"/>
      <c r="AU260" s="2"/>
      <c r="AV260" s="2"/>
      <c r="AW260" s="2"/>
      <c r="AX260" s="2"/>
      <c r="AY260" s="2"/>
      <c r="BN260" s="2"/>
    </row>
    <row r="261" spans="1:66" ht="13" customHeight="1">
      <c r="A261" s="1127"/>
      <c r="B261" s="2"/>
      <c r="C261" s="2"/>
      <c r="D261" s="2" t="s">
        <v>982</v>
      </c>
      <c r="E261" s="2"/>
      <c r="M261" s="1380"/>
      <c r="N261" s="1380"/>
      <c r="O261" s="1380"/>
      <c r="P261" s="1380"/>
      <c r="Q261" s="1380"/>
      <c r="R261" s="1380"/>
      <c r="S261" s="1380"/>
      <c r="T261" s="1380"/>
      <c r="V261" s="840" t="s">
        <v>1116</v>
      </c>
      <c r="W261" s="1394"/>
      <c r="X261" s="1394"/>
      <c r="Y261" s="2" t="s">
        <v>987</v>
      </c>
      <c r="AC261" s="1380"/>
      <c r="AD261" s="1380"/>
      <c r="AE261" s="1380"/>
      <c r="AF261" s="2" t="s">
        <v>1140</v>
      </c>
      <c r="AL261" s="2"/>
      <c r="AM261" s="2"/>
      <c r="AN261" s="2"/>
      <c r="AO261" s="2"/>
      <c r="AP261" s="2"/>
      <c r="AQ261" s="2"/>
      <c r="AR261" s="2"/>
      <c r="AS261" s="2"/>
      <c r="AT261" s="2"/>
      <c r="AU261" s="2"/>
      <c r="AV261" s="2"/>
      <c r="AW261" s="2"/>
      <c r="AX261" s="2"/>
      <c r="AY261" s="2"/>
      <c r="BN261" s="2"/>
    </row>
    <row r="262" spans="1:66" ht="13" customHeight="1">
      <c r="A262" s="1127"/>
      <c r="B262" s="2"/>
      <c r="C262" s="2"/>
      <c r="D262" s="2" t="s">
        <v>1118</v>
      </c>
      <c r="E262" s="2"/>
      <c r="F262" s="2"/>
      <c r="G262" s="2"/>
      <c r="H262" s="2"/>
      <c r="I262" s="2"/>
      <c r="J262" s="2"/>
      <c r="K262" s="2"/>
      <c r="L262" s="1040"/>
      <c r="M262" s="1380"/>
      <c r="N262" s="1380"/>
      <c r="O262" s="1380"/>
      <c r="P262" s="1380"/>
      <c r="Q262" s="1380"/>
      <c r="R262" s="1380"/>
      <c r="S262" s="1380"/>
      <c r="T262" s="1380"/>
      <c r="U262" s="1380"/>
      <c r="V262" s="1380"/>
      <c r="W262" s="1380"/>
      <c r="X262" s="1380"/>
      <c r="Y262" s="1380"/>
      <c r="Z262" s="1380"/>
      <c r="AA262" s="1380"/>
      <c r="AB262" s="1380"/>
      <c r="AC262" s="1380"/>
      <c r="AD262" s="1380"/>
      <c r="AE262" s="1380"/>
      <c r="AH262" s="1746"/>
      <c r="AI262" s="1746"/>
      <c r="AJ262" s="1746"/>
      <c r="AK262" s="1746"/>
      <c r="AL262" s="2"/>
      <c r="AM262" s="2"/>
      <c r="AN262" s="2"/>
      <c r="AO262" s="2"/>
      <c r="AP262" s="2"/>
      <c r="AQ262" s="2"/>
      <c r="AR262" s="2"/>
      <c r="AS262" s="2"/>
      <c r="AT262" s="2"/>
      <c r="AU262" s="2"/>
      <c r="AV262" s="2"/>
      <c r="AW262" s="2"/>
      <c r="AX262" s="2"/>
      <c r="AY262" s="2"/>
      <c r="BN262" s="2"/>
    </row>
    <row r="263" spans="1:66" ht="13" customHeight="1">
      <c r="A263" s="1127"/>
      <c r="B263" s="2"/>
      <c r="C263" s="2"/>
      <c r="D263" s="2" t="s">
        <v>1119</v>
      </c>
      <c r="E263" s="2"/>
      <c r="F263" s="2"/>
      <c r="M263" s="1417"/>
      <c r="N263" s="1417"/>
      <c r="O263" s="1417"/>
      <c r="P263" s="1417"/>
      <c r="Q263" s="1417"/>
      <c r="R263" s="1417"/>
      <c r="S263" s="2" t="s">
        <v>1121</v>
      </c>
      <c r="T263" s="2"/>
      <c r="U263" s="1394"/>
      <c r="V263" s="1394"/>
      <c r="W263" s="1394"/>
      <c r="X263" s="2" t="s">
        <v>1122</v>
      </c>
      <c r="Z263" s="1417"/>
      <c r="AA263" s="1417"/>
      <c r="AB263" s="1417"/>
      <c r="AC263" s="1417"/>
      <c r="AD263" s="1417"/>
      <c r="AE263" s="1417"/>
      <c r="AL263" s="2"/>
      <c r="AM263" s="2"/>
      <c r="AN263" s="2"/>
      <c r="AO263" s="2"/>
      <c r="AP263" s="2"/>
      <c r="AQ263" s="2"/>
      <c r="AR263" s="2"/>
      <c r="AS263" s="2"/>
      <c r="AT263" s="2"/>
      <c r="AU263" s="2"/>
      <c r="AV263" s="2"/>
      <c r="AW263" s="2"/>
      <c r="AX263" s="2"/>
      <c r="AY263" s="2"/>
      <c r="BN263" s="2"/>
    </row>
    <row r="264" spans="1:66" ht="13" customHeight="1">
      <c r="A264" s="1127"/>
      <c r="B264" s="2"/>
      <c r="C264" s="2"/>
      <c r="D264" s="2" t="s">
        <v>1124</v>
      </c>
      <c r="E264" s="2"/>
      <c r="F264" s="2"/>
      <c r="M264" s="1720"/>
      <c r="N264" s="1720"/>
      <c r="O264" s="1720"/>
      <c r="P264" s="1720"/>
      <c r="Q264" s="1720"/>
      <c r="R264" s="1720"/>
      <c r="S264" s="1720"/>
      <c r="T264" s="1720"/>
      <c r="U264" s="1720"/>
      <c r="V264" s="1720"/>
      <c r="W264" s="1720"/>
      <c r="X264" s="1720"/>
      <c r="Y264" s="1720"/>
      <c r="Z264" s="1720"/>
      <c r="AA264" s="1755"/>
      <c r="AB264" s="1755"/>
      <c r="AC264" s="1755"/>
      <c r="AD264" s="1755"/>
      <c r="AE264" s="1755"/>
      <c r="AG264" s="2"/>
      <c r="AH264" s="2"/>
      <c r="AI264" s="2"/>
      <c r="AJ264" s="2"/>
      <c r="AK264" s="2"/>
      <c r="AL264" s="2"/>
      <c r="AM264" s="2"/>
      <c r="AN264" s="2"/>
      <c r="AO264" s="2"/>
      <c r="AP264" s="2"/>
      <c r="AQ264" s="2"/>
      <c r="AR264" s="2"/>
      <c r="AS264" s="2"/>
      <c r="AT264" s="2"/>
      <c r="AU264" s="2"/>
      <c r="AV264" s="2"/>
      <c r="AW264" s="2"/>
      <c r="AX264" s="2"/>
      <c r="AY264" s="2"/>
      <c r="BN264" s="2"/>
    </row>
    <row r="265" spans="1:66" ht="13" customHeight="1">
      <c r="A265" s="1127"/>
      <c r="B265" s="2"/>
      <c r="C265" s="38"/>
      <c r="D265" s="2" t="s">
        <v>1147</v>
      </c>
      <c r="E265" s="2"/>
      <c r="F265" s="2"/>
      <c r="G265" s="2"/>
      <c r="H265" s="2"/>
      <c r="I265" s="2"/>
      <c r="J265" s="2"/>
      <c r="K265" s="2"/>
      <c r="L265" s="2"/>
      <c r="M265" s="1385" t="s">
        <v>294</v>
      </c>
      <c r="N265" s="1385"/>
      <c r="O265" s="1385"/>
      <c r="P265" s="1385"/>
      <c r="Q265" s="1385"/>
      <c r="R265" s="1385"/>
      <c r="S265" s="1385"/>
      <c r="T265" s="1385"/>
      <c r="U265" s="118" t="s">
        <v>1127</v>
      </c>
      <c r="V265" s="118"/>
      <c r="W265" s="118"/>
      <c r="X265" s="118"/>
      <c r="Y265" s="118"/>
      <c r="Z265" s="118"/>
      <c r="AA265" s="1750"/>
      <c r="AB265" s="1750"/>
      <c r="AC265" s="1750"/>
      <c r="AD265" s="1750"/>
      <c r="AE265" s="1750"/>
      <c r="AF265" s="1750"/>
      <c r="AG265" s="1750"/>
      <c r="AH265" s="1750"/>
      <c r="AI265" s="1750"/>
      <c r="AJ265" s="1750"/>
      <c r="AK265" s="1750"/>
      <c r="AL265" s="2"/>
      <c r="AM265" s="2"/>
      <c r="AN265" s="2"/>
      <c r="AO265" s="2"/>
      <c r="AP265" s="2"/>
      <c r="AQ265" s="2"/>
      <c r="AR265" s="2"/>
      <c r="AS265" s="2"/>
      <c r="AT265" s="2"/>
      <c r="BN265" s="2"/>
    </row>
    <row r="266" spans="1:66" ht="13" customHeight="1">
      <c r="A266" s="1040"/>
      <c r="B266" s="2"/>
      <c r="C266" s="2"/>
      <c r="D266" s="2"/>
      <c r="E266" s="2"/>
      <c r="F266" s="2"/>
      <c r="J266" s="94"/>
      <c r="K266" s="68"/>
      <c r="L266" s="68"/>
      <c r="M266" s="68"/>
      <c r="N266" s="68"/>
      <c r="O266" s="68"/>
      <c r="P266" s="68"/>
      <c r="Q266" s="68"/>
      <c r="R266" s="68"/>
      <c r="S266" s="68"/>
      <c r="T266" s="68"/>
      <c r="U266" s="68"/>
      <c r="V266" s="68"/>
      <c r="W266" s="68"/>
      <c r="X266" s="68"/>
      <c r="Y266" s="68"/>
      <c r="AD266" s="33"/>
      <c r="AE266" s="33"/>
      <c r="BN266" s="2"/>
    </row>
    <row r="267" spans="1:66" ht="13" customHeight="1">
      <c r="A267" s="1118" t="s">
        <v>1072</v>
      </c>
      <c r="B267" s="2"/>
      <c r="C267" s="1" t="s">
        <v>1154</v>
      </c>
      <c r="D267" s="2"/>
      <c r="E267" s="2"/>
      <c r="F267" s="2"/>
      <c r="G267" s="2"/>
      <c r="H267" s="2"/>
      <c r="I267" s="2"/>
      <c r="J267" s="2"/>
      <c r="K267" s="2"/>
      <c r="L267" s="2"/>
      <c r="M267" s="68"/>
      <c r="N267" s="68"/>
      <c r="O267" s="68"/>
      <c r="P267" s="68"/>
      <c r="Q267" s="68"/>
      <c r="T267" s="1748" t="str">
        <f>IFERROR(BO245,"")</f>
        <v>Joint Venture</v>
      </c>
      <c r="U267" s="1748"/>
      <c r="V267" s="1748"/>
      <c r="W267" s="1748"/>
      <c r="X267" s="1748"/>
      <c r="Z267" s="203" t="s">
        <v>1155</v>
      </c>
      <c r="AA267" s="204"/>
      <c r="AB267" s="204"/>
      <c r="AC267" s="204"/>
      <c r="AD267" s="205"/>
      <c r="AE267" s="205"/>
      <c r="AF267" s="205"/>
      <c r="AG267" s="205"/>
      <c r="AH267" s="205"/>
      <c r="AI267" s="205"/>
      <c r="AJ267" s="205"/>
      <c r="AK267" s="205"/>
      <c r="AL267" s="39"/>
      <c r="BN267" s="2"/>
    </row>
    <row r="268" spans="1:66" ht="13" customHeight="1">
      <c r="A268" s="1"/>
      <c r="B268" s="2"/>
      <c r="C268" s="1"/>
      <c r="I268" s="2"/>
      <c r="J268" s="2"/>
      <c r="K268" s="2"/>
      <c r="L268" s="2"/>
      <c r="M268" s="68"/>
      <c r="N268" s="68"/>
      <c r="O268" s="68"/>
      <c r="P268" s="68"/>
      <c r="Q268" s="68"/>
      <c r="T268" s="2"/>
      <c r="U268" s="2"/>
      <c r="V268" s="2"/>
      <c r="W268" s="68"/>
      <c r="Z268" s="206" t="s">
        <v>1156</v>
      </c>
      <c r="AF268" s="2"/>
      <c r="AG268" s="2"/>
      <c r="AH268" s="2"/>
      <c r="AI268" s="2"/>
      <c r="AJ268" s="2"/>
      <c r="AL268" s="42"/>
      <c r="BN268" s="2"/>
    </row>
    <row r="269" spans="1:66" ht="13" customHeight="1">
      <c r="A269" s="1" t="s">
        <v>1098</v>
      </c>
      <c r="B269" s="2"/>
      <c r="C269" s="1" t="s">
        <v>123</v>
      </c>
      <c r="D269" s="2"/>
      <c r="E269" s="2"/>
      <c r="F269" s="2"/>
      <c r="G269" s="2"/>
      <c r="H269" s="2"/>
      <c r="I269" s="2"/>
      <c r="J269" s="2"/>
      <c r="K269" s="2"/>
      <c r="L269" s="2"/>
      <c r="M269" s="2"/>
      <c r="N269" s="2"/>
      <c r="O269" s="2"/>
      <c r="P269" s="2"/>
      <c r="Q269" s="2"/>
      <c r="R269" s="2"/>
      <c r="S269" s="2"/>
      <c r="T269" s="2"/>
      <c r="U269" s="2"/>
      <c r="V269" s="2"/>
      <c r="W269" s="2"/>
      <c r="Z269" s="207" t="s">
        <v>1157</v>
      </c>
      <c r="AA269" s="33"/>
      <c r="AB269" s="33"/>
      <c r="AC269" s="33"/>
      <c r="AD269" s="33"/>
      <c r="AE269" s="33"/>
      <c r="AF269" s="729"/>
      <c r="AG269" s="729"/>
      <c r="AH269" s="729"/>
      <c r="AI269" s="729"/>
      <c r="AJ269" s="729"/>
      <c r="AK269" s="33"/>
      <c r="AL269" s="34"/>
      <c r="BN269" s="2"/>
    </row>
    <row r="270" spans="1:66" ht="13" customHeight="1">
      <c r="A270" s="2"/>
      <c r="B270" s="27">
        <v>0</v>
      </c>
      <c r="D270" s="1380" t="s">
        <v>1141</v>
      </c>
      <c r="E270" s="1380"/>
      <c r="F270" s="1380"/>
      <c r="G270" s="1380"/>
      <c r="H270" s="1380"/>
      <c r="J270" t="s">
        <v>1158</v>
      </c>
      <c r="X270" s="1621"/>
      <c r="Y270" s="1621"/>
      <c r="Z270" s="1621"/>
      <c r="AA270" s="1621"/>
      <c r="AB270" s="1621"/>
      <c r="AC270" s="1621"/>
      <c r="AU270" s="2"/>
      <c r="AV270" s="2"/>
      <c r="AW270" s="2"/>
      <c r="AX270" s="2"/>
      <c r="AY270" s="2"/>
      <c r="BN270" s="2"/>
    </row>
    <row r="271" spans="1:66" ht="13" customHeight="1">
      <c r="A271" s="2"/>
      <c r="B271" s="1040"/>
      <c r="D271" s="28" t="s">
        <v>1159</v>
      </c>
      <c r="E271" s="2"/>
      <c r="F271" s="2"/>
      <c r="G271" s="2"/>
      <c r="H271" s="2"/>
      <c r="I271" s="2"/>
      <c r="J271" s="2"/>
      <c r="K271" s="2"/>
      <c r="L271" s="2"/>
      <c r="M271" s="2"/>
      <c r="N271" s="2"/>
      <c r="O271" s="2"/>
      <c r="P271" s="2"/>
      <c r="Q271" s="2"/>
      <c r="R271" s="2"/>
      <c r="S271" s="2"/>
      <c r="T271" s="2"/>
      <c r="U271" s="2"/>
      <c r="V271" s="2"/>
      <c r="W271" s="2"/>
      <c r="X271" s="2"/>
      <c r="Y271" s="2"/>
      <c r="Z271" s="2"/>
      <c r="AA271" s="2"/>
      <c r="AH271" s="2"/>
      <c r="AI271" s="2"/>
      <c r="AJ271" s="2"/>
      <c r="AK271" s="2"/>
      <c r="AL271" s="2"/>
      <c r="AM271" s="2"/>
      <c r="AN271" s="2"/>
      <c r="AO271" s="2"/>
      <c r="AP271" s="2"/>
      <c r="AQ271" s="2"/>
      <c r="AR271" s="2"/>
      <c r="AS271" s="2"/>
      <c r="AT271" s="2"/>
      <c r="AU271" s="2"/>
      <c r="AV271" s="2"/>
      <c r="AW271" s="2"/>
      <c r="AX271" s="2"/>
      <c r="AY271" s="2"/>
      <c r="BN271" s="2"/>
    </row>
    <row r="272" spans="1:66" ht="13" customHeight="1">
      <c r="A272" s="68"/>
      <c r="B272" s="68"/>
      <c r="C272" s="68"/>
      <c r="D272" s="68"/>
      <c r="E272" s="68"/>
      <c r="F272" s="68"/>
      <c r="G272" s="68"/>
      <c r="H272" s="68"/>
      <c r="I272" s="68"/>
      <c r="J272" s="68"/>
      <c r="K272" s="68"/>
      <c r="L272" s="68"/>
      <c r="M272" s="68"/>
      <c r="N272" s="68"/>
      <c r="O272" s="68"/>
      <c r="P272" s="68"/>
      <c r="Q272" s="68"/>
      <c r="R272" s="68"/>
      <c r="S272" s="68"/>
      <c r="T272" s="68"/>
      <c r="U272" s="2"/>
      <c r="V272" s="2"/>
      <c r="W272" s="27"/>
      <c r="X272" s="2"/>
      <c r="Y272" s="2"/>
      <c r="Z272" s="1148"/>
      <c r="AA272" s="1148"/>
      <c r="AB272" s="1148"/>
      <c r="AC272" s="1148"/>
      <c r="AD272" s="1148"/>
      <c r="AE272" s="2"/>
      <c r="AK272" s="2"/>
      <c r="AL272" s="2"/>
      <c r="AM272" s="2"/>
      <c r="AN272" s="2"/>
      <c r="AO272" s="2"/>
      <c r="AP272" s="2"/>
      <c r="AQ272" s="2"/>
      <c r="AR272" s="2"/>
      <c r="AS272" s="2"/>
      <c r="AT272" s="2"/>
      <c r="BN272" s="2"/>
    </row>
    <row r="273" spans="1:66" ht="13" customHeight="1">
      <c r="A273" s="1" t="s">
        <v>1160</v>
      </c>
      <c r="B273" s="1"/>
      <c r="C273" s="1" t="s">
        <v>127</v>
      </c>
      <c r="D273" s="2"/>
      <c r="E273" s="2"/>
      <c r="F273" s="2"/>
      <c r="G273" s="2"/>
      <c r="H273" s="2"/>
      <c r="I273" s="2"/>
      <c r="J273" s="2"/>
      <c r="K273" s="2"/>
      <c r="L273" s="2"/>
      <c r="M273" s="2"/>
      <c r="N273" s="2"/>
      <c r="O273" s="2"/>
      <c r="P273" s="2"/>
      <c r="Q273" s="2"/>
      <c r="R273" s="2"/>
      <c r="S273" s="2"/>
      <c r="T273" s="2"/>
      <c r="AU273" s="2"/>
      <c r="AV273" s="2"/>
      <c r="AW273" s="2"/>
      <c r="AX273" s="2"/>
      <c r="AY273" s="2"/>
      <c r="BN273" s="2"/>
    </row>
    <row r="274" spans="1:66" ht="13" customHeight="1">
      <c r="D274" s="2" t="s">
        <v>1161</v>
      </c>
      <c r="E274" s="2"/>
      <c r="F274" s="2"/>
      <c r="G274" s="2"/>
      <c r="H274" s="2"/>
      <c r="I274" s="2"/>
      <c r="J274" s="2"/>
      <c r="K274" s="2"/>
      <c r="L274" s="1383" t="s">
        <v>1128</v>
      </c>
      <c r="M274" s="1383"/>
      <c r="N274" s="1383"/>
      <c r="O274" s="1383"/>
      <c r="P274" s="1383"/>
      <c r="Q274" s="1383"/>
      <c r="R274" s="1383"/>
      <c r="S274" s="1383"/>
      <c r="T274" s="1383"/>
      <c r="U274" s="1383"/>
      <c r="V274" s="1383"/>
      <c r="W274" s="1383"/>
      <c r="X274" s="1383"/>
      <c r="Y274" s="1383"/>
      <c r="Z274" s="1383"/>
      <c r="AA274" s="1383"/>
      <c r="AB274" s="1383"/>
      <c r="AC274" s="1383"/>
      <c r="AD274" s="1383"/>
      <c r="AE274" s="1383"/>
      <c r="AF274" s="1383"/>
      <c r="AG274" s="1383"/>
      <c r="AH274" s="1383"/>
      <c r="AI274" s="1383"/>
      <c r="AJ274" s="1383"/>
      <c r="AK274" s="2"/>
      <c r="AL274" s="2"/>
      <c r="AM274" s="2"/>
      <c r="AN274" s="2"/>
      <c r="AO274" s="2"/>
      <c r="AP274" s="2"/>
      <c r="AQ274" s="2"/>
      <c r="AR274" s="2"/>
      <c r="AS274" s="2"/>
      <c r="AT274" s="2"/>
      <c r="AU274" s="2"/>
      <c r="AV274" s="2"/>
      <c r="AW274" s="2"/>
      <c r="AX274" s="2"/>
      <c r="AY274" s="2"/>
      <c r="BN274" s="2"/>
    </row>
    <row r="275" spans="1:66" ht="13" customHeight="1">
      <c r="D275" s="2" t="s">
        <v>1113</v>
      </c>
      <c r="E275" s="2"/>
      <c r="F275" s="2"/>
      <c r="G275" s="2"/>
      <c r="H275" s="2"/>
      <c r="I275" s="2"/>
      <c r="J275" s="2"/>
      <c r="K275" s="2"/>
      <c r="L275" s="1380" t="s">
        <v>1162</v>
      </c>
      <c r="M275" s="1380"/>
      <c r="N275" s="1380"/>
      <c r="O275" s="1380"/>
      <c r="P275" s="1380"/>
      <c r="Q275" s="1380"/>
      <c r="R275" s="1380"/>
      <c r="S275" s="1380"/>
      <c r="T275" s="1380"/>
      <c r="U275" s="1380"/>
      <c r="V275" s="1380"/>
      <c r="W275" s="1380"/>
      <c r="X275" s="1380"/>
      <c r="Y275" s="1380"/>
      <c r="Z275" s="1380"/>
      <c r="AA275" s="1380"/>
      <c r="AB275" s="1380"/>
      <c r="AC275" s="1380"/>
      <c r="AD275" s="1380"/>
      <c r="AK275" s="2"/>
      <c r="AL275" s="2"/>
      <c r="AM275" s="2"/>
      <c r="AN275" s="2"/>
      <c r="AO275" s="2"/>
      <c r="AP275" s="2"/>
      <c r="AQ275" s="2"/>
      <c r="AR275" s="2"/>
      <c r="AS275" s="2"/>
      <c r="AT275" s="2"/>
      <c r="AU275" s="2"/>
      <c r="AV275" s="2"/>
      <c r="AW275" s="2"/>
      <c r="AX275" s="2"/>
      <c r="AY275" s="2"/>
      <c r="BN275" s="2"/>
    </row>
    <row r="276" spans="1:66" ht="13" customHeight="1">
      <c r="D276" s="2" t="s">
        <v>982</v>
      </c>
      <c r="E276" s="2"/>
      <c r="L276" s="1380" t="s">
        <v>1115</v>
      </c>
      <c r="M276" s="1380"/>
      <c r="N276" s="1380"/>
      <c r="O276" s="1380"/>
      <c r="P276" s="1380"/>
      <c r="Q276" s="1380"/>
      <c r="R276" s="1380"/>
      <c r="S276" s="1380"/>
      <c r="U276" s="840" t="s">
        <v>1116</v>
      </c>
      <c r="V276" s="1394" t="s">
        <v>1117</v>
      </c>
      <c r="W276" s="1394"/>
      <c r="X276" s="2" t="s">
        <v>987</v>
      </c>
      <c r="AB276" s="1380">
        <v>10168</v>
      </c>
      <c r="AC276" s="1380"/>
      <c r="AD276" s="1380"/>
      <c r="AK276" s="2"/>
      <c r="AL276" s="2"/>
      <c r="AM276" s="2"/>
      <c r="AN276" s="2"/>
      <c r="AO276" s="2"/>
      <c r="AP276" s="2"/>
      <c r="AQ276" s="2"/>
      <c r="AR276" s="2"/>
      <c r="AS276" s="2"/>
      <c r="AT276" s="2"/>
      <c r="AU276" s="2"/>
      <c r="AV276" s="2"/>
      <c r="AW276" s="2"/>
      <c r="AX276" s="2"/>
      <c r="AY276" s="2"/>
      <c r="BN276" s="2"/>
    </row>
    <row r="277" spans="1:66" ht="13" customHeight="1">
      <c r="D277" s="2" t="s">
        <v>1118</v>
      </c>
      <c r="E277" s="2"/>
      <c r="F277" s="2"/>
      <c r="G277" s="2"/>
      <c r="H277" s="2"/>
      <c r="I277" s="2"/>
      <c r="J277" s="2"/>
      <c r="K277" s="1040"/>
      <c r="L277" s="1380" t="s">
        <v>1163</v>
      </c>
      <c r="M277" s="1380"/>
      <c r="N277" s="1380"/>
      <c r="O277" s="1380"/>
      <c r="P277" s="1380"/>
      <c r="Q277" s="1380"/>
      <c r="R277" s="1380"/>
      <c r="S277" s="1380"/>
      <c r="T277" s="1380"/>
      <c r="U277" s="1380"/>
      <c r="V277" s="1380"/>
      <c r="W277" s="1380"/>
      <c r="X277" s="1380"/>
      <c r="Y277" s="1380"/>
      <c r="Z277" s="1380"/>
      <c r="AA277" s="1380"/>
      <c r="AB277" s="1380"/>
      <c r="AC277" s="1380"/>
      <c r="AD277" s="1380"/>
      <c r="AI277" s="2"/>
      <c r="AJ277" s="2"/>
      <c r="AK277" s="2"/>
      <c r="AL277" s="2"/>
      <c r="AM277" s="2"/>
      <c r="AN277" s="2"/>
      <c r="AO277" s="2"/>
      <c r="AP277" s="2"/>
      <c r="AQ277" s="2"/>
      <c r="AR277" s="2"/>
      <c r="AS277" s="2"/>
      <c r="AT277" s="2"/>
      <c r="BN277" s="2"/>
    </row>
    <row r="278" spans="1:66" ht="13" customHeight="1">
      <c r="D278" s="2" t="s">
        <v>1119</v>
      </c>
      <c r="E278" s="2"/>
      <c r="F278" s="2"/>
      <c r="L278" s="1417">
        <v>6465187280</v>
      </c>
      <c r="M278" s="1417"/>
      <c r="N278" s="1417"/>
      <c r="O278" s="1417"/>
      <c r="P278" s="1417"/>
      <c r="Q278" s="1417"/>
      <c r="R278" s="2" t="s">
        <v>1121</v>
      </c>
      <c r="S278" s="2"/>
      <c r="T278" s="1394"/>
      <c r="U278" s="1394"/>
      <c r="V278" s="1394"/>
      <c r="W278" s="2" t="s">
        <v>1122</v>
      </c>
      <c r="Y278" s="1417"/>
      <c r="Z278" s="1417"/>
      <c r="AA278" s="1417"/>
      <c r="AB278" s="1417"/>
      <c r="AC278" s="1417"/>
      <c r="AD278" s="1417"/>
      <c r="BN278" s="2"/>
    </row>
    <row r="279" spans="1:66" ht="13" customHeight="1">
      <c r="D279" s="2" t="s">
        <v>1124</v>
      </c>
      <c r="E279" s="2"/>
      <c r="F279" s="2"/>
      <c r="L279" s="1720" t="s">
        <v>1164</v>
      </c>
      <c r="M279" s="1720"/>
      <c r="N279" s="1720"/>
      <c r="O279" s="1720"/>
      <c r="P279" s="1720"/>
      <c r="Q279" s="1720"/>
      <c r="R279" s="1720"/>
      <c r="S279" s="1720"/>
      <c r="T279" s="1720"/>
      <c r="U279" s="1720"/>
      <c r="V279" s="1720"/>
      <c r="W279" s="1720"/>
      <c r="X279" s="1720"/>
      <c r="Y279" s="1720"/>
      <c r="Z279" s="1720"/>
      <c r="AA279" s="1720"/>
      <c r="AB279" s="1720"/>
      <c r="AC279" s="1720"/>
      <c r="AD279" s="1720"/>
      <c r="AF279" s="2"/>
      <c r="AG279" s="2"/>
      <c r="AH279" s="2"/>
      <c r="AI279" s="2"/>
      <c r="AJ279" s="2"/>
      <c r="AU279" s="2"/>
      <c r="AV279" s="2"/>
      <c r="AW279" s="2"/>
      <c r="AX279" s="2"/>
      <c r="AY279" s="2"/>
      <c r="BN279" s="2"/>
    </row>
    <row r="280" spans="1:66" ht="13" customHeight="1">
      <c r="D280" s="2" t="s">
        <v>1165</v>
      </c>
      <c r="E280" s="2"/>
      <c r="F280" s="2"/>
      <c r="G280" s="2"/>
      <c r="H280" s="2"/>
      <c r="I280" s="2"/>
      <c r="L280" s="1394" t="s">
        <v>1166</v>
      </c>
      <c r="M280" s="1394"/>
      <c r="N280" s="1394"/>
      <c r="O280" s="1394"/>
      <c r="P280" s="1394"/>
      <c r="Q280" s="1394"/>
      <c r="R280" s="1394"/>
      <c r="S280" s="1394"/>
      <c r="T280" s="1394"/>
      <c r="U280" s="1394"/>
      <c r="V280" s="1394"/>
      <c r="W280" s="1394"/>
      <c r="X280" s="1394"/>
      <c r="Y280" s="1394"/>
      <c r="Z280" s="1394"/>
      <c r="AA280" s="1394"/>
      <c r="AB280" s="1394"/>
      <c r="AC280" s="1394"/>
      <c r="AD280" s="1394"/>
      <c r="AK280" s="2"/>
      <c r="AL280" s="2"/>
      <c r="AM280" s="2"/>
      <c r="AN280" s="2"/>
      <c r="AO280" s="2"/>
      <c r="AP280" s="2"/>
      <c r="AQ280" s="2"/>
      <c r="AR280" s="2"/>
      <c r="AS280" s="2"/>
      <c r="AT280" s="2"/>
      <c r="BN280" s="2"/>
    </row>
    <row r="281" spans="1:66" ht="13" customHeight="1">
      <c r="L281" s="18" t="s">
        <v>1167</v>
      </c>
      <c r="AU281" s="54"/>
      <c r="AV281" s="54"/>
      <c r="AW281" s="54"/>
      <c r="AX281" s="54"/>
      <c r="AY281" s="54"/>
      <c r="BN281" s="2"/>
    </row>
    <row r="282" spans="1:66" ht="13" customHeight="1">
      <c r="A282" s="1389" t="s">
        <v>1168</v>
      </c>
      <c r="B282" s="1389"/>
      <c r="C282" s="1389"/>
      <c r="D282" s="1389"/>
      <c r="E282" s="1389"/>
      <c r="F282" s="1389"/>
      <c r="G282" s="1389"/>
      <c r="H282" s="1389"/>
      <c r="I282" s="1389"/>
      <c r="J282" s="1389"/>
      <c r="K282" s="1389"/>
      <c r="L282" s="1389"/>
      <c r="M282" s="1389"/>
      <c r="N282" s="1389"/>
      <c r="O282" s="1389"/>
      <c r="P282" s="1389"/>
      <c r="Q282" s="1389"/>
      <c r="R282" s="1389"/>
      <c r="S282" s="1389"/>
      <c r="T282" s="1389"/>
      <c r="U282" s="1389"/>
      <c r="V282" s="1389"/>
      <c r="W282" s="1389"/>
      <c r="X282" s="1389"/>
      <c r="Y282" s="1389"/>
      <c r="Z282" s="1389"/>
      <c r="AA282" s="1389"/>
      <c r="AB282" s="1389"/>
      <c r="AC282" s="1389"/>
      <c r="AD282" s="1389"/>
      <c r="AE282" s="1389"/>
      <c r="AF282" s="1389"/>
      <c r="AG282" s="1389"/>
      <c r="AH282" s="1389"/>
      <c r="AI282" s="1389"/>
      <c r="AJ282" s="1389"/>
      <c r="AK282" s="1389"/>
      <c r="AL282" s="1389"/>
      <c r="AM282" s="1389"/>
      <c r="AN282" s="1389"/>
      <c r="AO282" s="1389"/>
      <c r="AP282" s="1389"/>
      <c r="AQ282" s="1389"/>
      <c r="AR282" s="1389"/>
      <c r="AS282" s="1389"/>
      <c r="AT282" s="1389"/>
      <c r="AU282" s="54"/>
      <c r="AV282" s="54"/>
      <c r="AW282" s="54"/>
      <c r="AX282" s="54"/>
      <c r="AY282" s="54"/>
      <c r="BN282" s="2"/>
    </row>
    <row r="283" spans="1:66" ht="13" customHeight="1">
      <c r="A283" s="1389"/>
      <c r="B283" s="1389"/>
      <c r="C283" s="1389"/>
      <c r="D283" s="1389"/>
      <c r="E283" s="1389"/>
      <c r="F283" s="1389"/>
      <c r="G283" s="1389"/>
      <c r="H283" s="1389"/>
      <c r="I283" s="1389"/>
      <c r="J283" s="1389"/>
      <c r="K283" s="1389"/>
      <c r="L283" s="1389"/>
      <c r="M283" s="1389"/>
      <c r="N283" s="1389"/>
      <c r="O283" s="1389"/>
      <c r="P283" s="1389"/>
      <c r="Q283" s="1389"/>
      <c r="R283" s="1389"/>
      <c r="S283" s="1389"/>
      <c r="T283" s="1389"/>
      <c r="U283" s="1389"/>
      <c r="V283" s="1389"/>
      <c r="W283" s="1389"/>
      <c r="X283" s="1389"/>
      <c r="Y283" s="1389"/>
      <c r="Z283" s="1389"/>
      <c r="AA283" s="1389"/>
      <c r="AB283" s="1389"/>
      <c r="AC283" s="1389"/>
      <c r="AD283" s="1389"/>
      <c r="AE283" s="1389"/>
      <c r="AF283" s="1389"/>
      <c r="AG283" s="1389"/>
      <c r="AH283" s="1389"/>
      <c r="AI283" s="1389"/>
      <c r="AJ283" s="1389"/>
      <c r="AK283" s="1389"/>
      <c r="AL283" s="1389"/>
      <c r="AM283" s="1389"/>
      <c r="AN283" s="1389"/>
      <c r="AO283" s="1389"/>
      <c r="AP283" s="1389"/>
      <c r="AQ283" s="1389"/>
      <c r="AR283" s="1389"/>
      <c r="AS283" s="1389"/>
      <c r="AT283" s="1389"/>
      <c r="AU283" s="20"/>
      <c r="AV283" s="20"/>
      <c r="AW283" s="20"/>
      <c r="AX283" s="20"/>
      <c r="AY283" s="20"/>
      <c r="BN283" s="2"/>
    </row>
    <row r="284" spans="1:66" ht="13" customHeight="1">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
      <c r="AL284" s="20"/>
      <c r="AM284" s="20"/>
      <c r="AN284" s="20"/>
      <c r="AO284" s="20"/>
      <c r="AP284" s="20"/>
      <c r="AQ284" s="20"/>
      <c r="AR284" s="20"/>
      <c r="AS284" s="20"/>
      <c r="AT284" s="20"/>
      <c r="BN284" s="2"/>
    </row>
    <row r="285" spans="1:66" ht="13" customHeight="1">
      <c r="A285" s="1" t="s">
        <v>922</v>
      </c>
      <c r="C285" s="1" t="s">
        <v>1169</v>
      </c>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BN285" s="2"/>
    </row>
    <row r="286" spans="1:66" ht="13"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BN286" s="2"/>
    </row>
    <row r="287" spans="1:66" ht="13" customHeight="1">
      <c r="B287" s="2" t="s">
        <v>1170</v>
      </c>
      <c r="C287" s="2"/>
      <c r="D287" s="2"/>
      <c r="E287" s="2"/>
      <c r="F287" s="2"/>
      <c r="H287" s="1335" t="s">
        <v>1171</v>
      </c>
      <c r="I287" s="1335"/>
      <c r="J287" s="1335"/>
      <c r="K287" s="1335"/>
      <c r="L287" s="1335"/>
      <c r="M287" s="1335"/>
      <c r="N287" s="1335"/>
      <c r="O287" s="1335"/>
      <c r="P287" s="1335"/>
      <c r="Q287" s="1335"/>
      <c r="R287" s="1335"/>
      <c r="T287" s="2" t="s">
        <v>1172</v>
      </c>
      <c r="V287" s="2"/>
      <c r="W287" s="2"/>
      <c r="X287" s="2"/>
      <c r="Y287" s="2"/>
      <c r="AA287" s="1335" t="s">
        <v>1173</v>
      </c>
      <c r="AB287" s="1335"/>
      <c r="AC287" s="1335"/>
      <c r="AD287" s="1335"/>
      <c r="AE287" s="1335"/>
      <c r="AF287" s="1335"/>
      <c r="AG287" s="1335"/>
      <c r="AH287" s="1335"/>
      <c r="AI287" s="1335"/>
      <c r="AJ287" s="1335"/>
      <c r="AK287" s="1335"/>
      <c r="BN287" s="2"/>
    </row>
    <row r="288" spans="1:66" ht="13" customHeight="1">
      <c r="B288" s="2" t="s">
        <v>1174</v>
      </c>
      <c r="C288" s="2"/>
      <c r="D288" s="2"/>
      <c r="E288" s="2"/>
      <c r="F288" s="2"/>
      <c r="H288" s="1385" t="s">
        <v>1175</v>
      </c>
      <c r="I288" s="1385"/>
      <c r="J288" s="1385"/>
      <c r="K288" s="1385"/>
      <c r="L288" s="1385"/>
      <c r="M288" s="1385"/>
      <c r="N288" s="1385"/>
      <c r="O288" s="1385"/>
      <c r="P288" s="1385"/>
      <c r="Q288" s="1385"/>
      <c r="R288" s="1385"/>
      <c r="T288" s="2" t="s">
        <v>1174</v>
      </c>
      <c r="V288" s="2"/>
      <c r="W288" s="2"/>
      <c r="X288" s="2"/>
      <c r="Y288" s="2"/>
      <c r="AA288" s="1385" t="s">
        <v>1176</v>
      </c>
      <c r="AB288" s="1385"/>
      <c r="AC288" s="1385"/>
      <c r="AD288" s="1385"/>
      <c r="AE288" s="1385"/>
      <c r="AF288" s="1385"/>
      <c r="AG288" s="1385"/>
      <c r="AH288" s="1385"/>
      <c r="AI288" s="1385"/>
      <c r="AJ288" s="1385"/>
      <c r="AK288" s="1385"/>
      <c r="BN288" s="2"/>
    </row>
    <row r="289" spans="2:66" ht="13" customHeight="1">
      <c r="B289" s="2" t="s">
        <v>1177</v>
      </c>
      <c r="C289" s="2"/>
      <c r="D289" s="2"/>
      <c r="E289" s="2"/>
      <c r="F289" s="2"/>
      <c r="H289" s="1385" t="s">
        <v>1178</v>
      </c>
      <c r="I289" s="1385"/>
      <c r="J289" s="1385"/>
      <c r="K289" s="1385"/>
      <c r="L289" s="1385"/>
      <c r="M289" s="1385"/>
      <c r="N289" s="1385"/>
      <c r="O289" s="1385"/>
      <c r="P289" s="1385"/>
      <c r="Q289" s="1385"/>
      <c r="R289" s="1385"/>
      <c r="T289" s="2" t="s">
        <v>1179</v>
      </c>
      <c r="V289" s="2"/>
      <c r="W289" s="2"/>
      <c r="X289" s="2"/>
      <c r="Y289" s="2"/>
      <c r="AA289" s="1385" t="s">
        <v>1180</v>
      </c>
      <c r="AB289" s="1385"/>
      <c r="AC289" s="1385"/>
      <c r="AD289" s="1385"/>
      <c r="AE289" s="1385"/>
      <c r="AF289" s="1385"/>
      <c r="AG289" s="1385"/>
      <c r="AH289" s="1385"/>
      <c r="AI289" s="1385"/>
      <c r="AJ289" s="1385"/>
      <c r="AK289" s="1385"/>
      <c r="BN289" s="2"/>
    </row>
    <row r="290" spans="2:66" ht="13" customHeight="1">
      <c r="B290" s="2" t="s">
        <v>1118</v>
      </c>
      <c r="C290" s="2"/>
      <c r="D290" s="2"/>
      <c r="E290" s="2"/>
      <c r="F290" s="2"/>
      <c r="H290" s="1385" t="s">
        <v>865</v>
      </c>
      <c r="I290" s="1385"/>
      <c r="J290" s="1385"/>
      <c r="K290" s="1385"/>
      <c r="L290" s="1385"/>
      <c r="M290" s="1385"/>
      <c r="N290" s="1385"/>
      <c r="O290" s="1385"/>
      <c r="P290" s="1385"/>
      <c r="Q290" s="1385"/>
      <c r="R290" s="1385"/>
      <c r="T290" s="2" t="s">
        <v>1118</v>
      </c>
      <c r="V290" s="2"/>
      <c r="W290" s="2"/>
      <c r="X290" s="2"/>
      <c r="Y290" s="2"/>
      <c r="AA290" s="1385" t="s">
        <v>1181</v>
      </c>
      <c r="AB290" s="1385"/>
      <c r="AC290" s="1385"/>
      <c r="AD290" s="1385"/>
      <c r="AE290" s="1385"/>
      <c r="AF290" s="1385"/>
      <c r="AG290" s="1385"/>
      <c r="AH290" s="1385"/>
      <c r="AI290" s="1385"/>
      <c r="AJ290" s="1385"/>
      <c r="AK290" s="1385"/>
      <c r="BN290" s="2"/>
    </row>
    <row r="291" spans="2:66" ht="13" customHeight="1">
      <c r="B291" s="2" t="s">
        <v>1119</v>
      </c>
      <c r="C291" s="2"/>
      <c r="D291" s="2"/>
      <c r="E291" s="2"/>
      <c r="F291" s="2"/>
      <c r="G291" s="2"/>
      <c r="H291" s="1649" t="s">
        <v>1120</v>
      </c>
      <c r="I291" s="1649"/>
      <c r="J291" s="1649"/>
      <c r="K291" s="1649"/>
      <c r="L291" s="1649"/>
      <c r="M291" s="1649"/>
      <c r="N291" s="2" t="s">
        <v>1121</v>
      </c>
      <c r="O291" s="2"/>
      <c r="P291" s="1380"/>
      <c r="Q291" s="1380"/>
      <c r="R291" s="1380"/>
      <c r="S291" s="2"/>
      <c r="T291" s="2" t="s">
        <v>1119</v>
      </c>
      <c r="V291" s="2"/>
      <c r="W291" s="2"/>
      <c r="X291" s="2"/>
      <c r="Y291" s="2"/>
      <c r="AA291" s="1649" t="s">
        <v>1182</v>
      </c>
      <c r="AB291" s="1649"/>
      <c r="AC291" s="1649"/>
      <c r="AD291" s="1649"/>
      <c r="AE291" s="1649"/>
      <c r="AF291" s="1649"/>
      <c r="AG291" s="2" t="s">
        <v>1121</v>
      </c>
      <c r="AH291" s="2"/>
      <c r="AI291" s="1380"/>
      <c r="AJ291" s="1380"/>
      <c r="AK291" s="1380"/>
      <c r="BN291" s="2"/>
    </row>
    <row r="292" spans="2:66" ht="13" customHeight="1">
      <c r="B292" s="2" t="s">
        <v>1122</v>
      </c>
      <c r="C292" s="2"/>
      <c r="D292" s="2"/>
      <c r="E292" s="2"/>
      <c r="F292" s="2"/>
      <c r="G292" s="2"/>
      <c r="H292" s="1417"/>
      <c r="I292" s="1417"/>
      <c r="J292" s="1417"/>
      <c r="K292" s="1417"/>
      <c r="L292" s="1417"/>
      <c r="M292" s="1417"/>
      <c r="N292" s="2"/>
      <c r="O292" s="2"/>
      <c r="P292" s="68"/>
      <c r="Q292" s="68"/>
      <c r="R292" s="68"/>
      <c r="S292" s="2"/>
      <c r="T292" s="2" t="s">
        <v>1122</v>
      </c>
      <c r="V292" s="2"/>
      <c r="W292" s="2"/>
      <c r="X292" s="2"/>
      <c r="Y292" s="2"/>
      <c r="AA292" s="1417"/>
      <c r="AB292" s="1417"/>
      <c r="AC292" s="1417"/>
      <c r="AD292" s="1417"/>
      <c r="AE292" s="1417"/>
      <c r="AF292" s="1417"/>
      <c r="AG292" s="2"/>
      <c r="AH292" s="2"/>
      <c r="AI292" s="68"/>
      <c r="AJ292" s="68"/>
      <c r="AK292" s="68"/>
      <c r="BN292" s="2"/>
    </row>
    <row r="293" spans="2:66" ht="13" customHeight="1">
      <c r="B293" s="2" t="s">
        <v>1183</v>
      </c>
      <c r="C293" s="2"/>
      <c r="D293" s="2"/>
      <c r="E293" s="2"/>
      <c r="F293" s="2"/>
      <c r="G293" s="2"/>
      <c r="H293" s="1385" t="s">
        <v>1125</v>
      </c>
      <c r="I293" s="1385"/>
      <c r="J293" s="1385"/>
      <c r="K293" s="1385"/>
      <c r="L293" s="1385"/>
      <c r="M293" s="1385"/>
      <c r="N293" s="1335"/>
      <c r="O293" s="1335"/>
      <c r="P293" s="1335"/>
      <c r="Q293" s="1335"/>
      <c r="R293" s="1335"/>
      <c r="S293" s="2"/>
      <c r="T293" s="2" t="s">
        <v>1183</v>
      </c>
      <c r="V293" s="2"/>
      <c r="W293" s="2"/>
      <c r="X293" s="2"/>
      <c r="Y293" s="2"/>
      <c r="AA293" s="1385"/>
      <c r="AB293" s="1385"/>
      <c r="AC293" s="1385"/>
      <c r="AD293" s="1385"/>
      <c r="AE293" s="1385"/>
      <c r="AF293" s="1385"/>
      <c r="AG293" s="1335"/>
      <c r="AH293" s="1335"/>
      <c r="AI293" s="1335"/>
      <c r="AJ293" s="1335"/>
      <c r="AK293" s="1335"/>
      <c r="BN293" s="2"/>
    </row>
    <row r="294" spans="2:66" ht="13" customHeight="1">
      <c r="B294" s="2"/>
      <c r="C294" s="2"/>
      <c r="D294" s="2"/>
      <c r="E294" s="2"/>
      <c r="F294" s="2"/>
      <c r="G294" s="2"/>
      <c r="H294" s="2"/>
      <c r="I294" s="2"/>
      <c r="J294" s="2"/>
      <c r="K294" s="2"/>
      <c r="L294" s="2"/>
      <c r="M294" s="2"/>
      <c r="N294" s="2"/>
      <c r="O294" s="2"/>
      <c r="P294" s="2"/>
      <c r="Q294" s="2"/>
      <c r="R294" s="2"/>
      <c r="S294" s="2"/>
      <c r="T294" s="2"/>
      <c r="V294" s="2"/>
      <c r="W294" s="2"/>
      <c r="X294" s="2"/>
      <c r="Y294" s="2"/>
      <c r="AA294" s="2"/>
      <c r="AB294" s="2"/>
      <c r="AC294" s="2"/>
      <c r="AD294" s="2"/>
      <c r="AE294" s="2"/>
      <c r="AF294" s="2"/>
      <c r="AG294" s="2"/>
      <c r="AH294" s="2"/>
      <c r="AI294" s="2"/>
      <c r="AJ294" s="2"/>
      <c r="AK294" s="2"/>
      <c r="BN294" s="2"/>
    </row>
    <row r="295" spans="2:66" ht="13" customHeight="1">
      <c r="B295" s="2" t="s">
        <v>1184</v>
      </c>
      <c r="C295" s="2"/>
      <c r="D295" s="2"/>
      <c r="E295" s="2"/>
      <c r="F295" s="2"/>
      <c r="H295" s="1335" t="s">
        <v>1185</v>
      </c>
      <c r="I295" s="1335"/>
      <c r="J295" s="1335"/>
      <c r="K295" s="1335"/>
      <c r="L295" s="1335"/>
      <c r="M295" s="1335"/>
      <c r="N295" s="1335"/>
      <c r="O295" s="1335"/>
      <c r="P295" s="1335"/>
      <c r="Q295" s="1335"/>
      <c r="R295" s="1335"/>
      <c r="T295" s="2" t="s">
        <v>1186</v>
      </c>
      <c r="V295" s="2"/>
      <c r="W295" s="2"/>
      <c r="X295" s="2"/>
      <c r="Y295" s="2"/>
      <c r="AA295" s="1335" t="s">
        <v>1187</v>
      </c>
      <c r="AB295" s="1335"/>
      <c r="AC295" s="1335"/>
      <c r="AD295" s="1335"/>
      <c r="AE295" s="1335"/>
      <c r="AF295" s="1335"/>
      <c r="AG295" s="1335"/>
      <c r="AH295" s="1335"/>
      <c r="AI295" s="1335"/>
      <c r="AJ295" s="1335"/>
      <c r="AK295" s="1335"/>
      <c r="BN295" s="2"/>
    </row>
    <row r="296" spans="2:66" ht="13" customHeight="1">
      <c r="B296" s="2" t="s">
        <v>1174</v>
      </c>
      <c r="C296" s="2"/>
      <c r="D296" s="2"/>
      <c r="E296" s="2"/>
      <c r="F296" s="2"/>
      <c r="H296" s="1385" t="s">
        <v>1188</v>
      </c>
      <c r="I296" s="1385"/>
      <c r="J296" s="1385"/>
      <c r="K296" s="1385"/>
      <c r="L296" s="1385"/>
      <c r="M296" s="1385"/>
      <c r="N296" s="1385"/>
      <c r="O296" s="1385"/>
      <c r="P296" s="1385"/>
      <c r="Q296" s="1385"/>
      <c r="R296" s="1385"/>
      <c r="T296" s="2" t="s">
        <v>1174</v>
      </c>
      <c r="V296" s="2"/>
      <c r="W296" s="2"/>
      <c r="X296" s="2"/>
      <c r="Y296" s="2"/>
      <c r="AA296" s="1385" t="s">
        <v>1175</v>
      </c>
      <c r="AB296" s="1385"/>
      <c r="AC296" s="1385"/>
      <c r="AD296" s="1385"/>
      <c r="AE296" s="1385"/>
      <c r="AF296" s="1385"/>
      <c r="AG296" s="1385"/>
      <c r="AH296" s="1385"/>
      <c r="AI296" s="1385"/>
      <c r="AJ296" s="1385"/>
      <c r="AK296" s="1385"/>
      <c r="BN296" s="2"/>
    </row>
    <row r="297" spans="2:66" ht="13" customHeight="1">
      <c r="B297" s="2" t="s">
        <v>1177</v>
      </c>
      <c r="C297" s="2"/>
      <c r="D297" s="2"/>
      <c r="E297" s="2"/>
      <c r="F297" s="2"/>
      <c r="H297" s="1385" t="s">
        <v>1189</v>
      </c>
      <c r="I297" s="1385"/>
      <c r="J297" s="1385"/>
      <c r="K297" s="1385"/>
      <c r="L297" s="1385"/>
      <c r="M297" s="1385"/>
      <c r="N297" s="1385"/>
      <c r="O297" s="1385"/>
      <c r="P297" s="1385"/>
      <c r="Q297" s="1385"/>
      <c r="R297" s="1385"/>
      <c r="T297" s="2" t="s">
        <v>1179</v>
      </c>
      <c r="V297" s="2"/>
      <c r="W297" s="2"/>
      <c r="X297" s="2"/>
      <c r="Y297" s="2"/>
      <c r="AA297" s="1385" t="s">
        <v>1190</v>
      </c>
      <c r="AB297" s="1385"/>
      <c r="AC297" s="1385"/>
      <c r="AD297" s="1385"/>
      <c r="AE297" s="1385"/>
      <c r="AF297" s="1385"/>
      <c r="AG297" s="1385"/>
      <c r="AH297" s="1385"/>
      <c r="AI297" s="1385"/>
      <c r="AJ297" s="1385"/>
      <c r="AK297" s="1385"/>
      <c r="BN297" s="2"/>
    </row>
    <row r="298" spans="2:66" ht="13" customHeight="1">
      <c r="B298" s="2" t="s">
        <v>1118</v>
      </c>
      <c r="C298" s="2"/>
      <c r="D298" s="2"/>
      <c r="E298" s="2"/>
      <c r="F298" s="2"/>
      <c r="H298" s="1385" t="s">
        <v>1191</v>
      </c>
      <c r="I298" s="1385"/>
      <c r="J298" s="1385"/>
      <c r="K298" s="1385"/>
      <c r="L298" s="1385"/>
      <c r="M298" s="1385"/>
      <c r="N298" s="1385"/>
      <c r="O298" s="1385"/>
      <c r="P298" s="1385"/>
      <c r="Q298" s="1385"/>
      <c r="R298" s="1385"/>
      <c r="T298" s="2" t="s">
        <v>1118</v>
      </c>
      <c r="V298" s="2"/>
      <c r="W298" s="2"/>
      <c r="X298" s="2"/>
      <c r="Y298" s="2"/>
      <c r="AA298" s="1385" t="s">
        <v>1192</v>
      </c>
      <c r="AB298" s="1385"/>
      <c r="AC298" s="1385"/>
      <c r="AD298" s="1385"/>
      <c r="AE298" s="1385"/>
      <c r="AF298" s="1385"/>
      <c r="AG298" s="1385"/>
      <c r="AH298" s="1385"/>
      <c r="AI298" s="1385"/>
      <c r="AJ298" s="1385"/>
      <c r="AK298" s="1385"/>
      <c r="BN298" s="2"/>
    </row>
    <row r="299" spans="2:66" ht="13" customHeight="1">
      <c r="B299" s="2" t="s">
        <v>1119</v>
      </c>
      <c r="C299" s="2"/>
      <c r="D299" s="2"/>
      <c r="E299" s="2"/>
      <c r="F299" s="2"/>
      <c r="G299" s="2"/>
      <c r="H299" s="1649" t="s">
        <v>1193</v>
      </c>
      <c r="I299" s="1649"/>
      <c r="J299" s="1649"/>
      <c r="K299" s="1649"/>
      <c r="L299" s="1649"/>
      <c r="M299" s="1649"/>
      <c r="N299" s="2" t="s">
        <v>1121</v>
      </c>
      <c r="O299" s="2"/>
      <c r="P299" s="1380"/>
      <c r="Q299" s="1380"/>
      <c r="R299" s="1380"/>
      <c r="S299" s="2"/>
      <c r="T299" s="2" t="s">
        <v>1119</v>
      </c>
      <c r="V299" s="2"/>
      <c r="W299" s="2"/>
      <c r="X299" s="2"/>
      <c r="Y299" s="2"/>
      <c r="AA299" s="1649">
        <v>6193787878</v>
      </c>
      <c r="AB299" s="1649"/>
      <c r="AC299" s="1649"/>
      <c r="AD299" s="1649"/>
      <c r="AE299" s="1649"/>
      <c r="AF299" s="1649"/>
      <c r="AG299" s="2" t="s">
        <v>1121</v>
      </c>
      <c r="AH299" s="2"/>
      <c r="AI299" s="1380"/>
      <c r="AJ299" s="1380"/>
      <c r="AK299" s="1380"/>
      <c r="BN299" s="2"/>
    </row>
    <row r="300" spans="2:66" ht="13" customHeight="1">
      <c r="B300" s="2" t="s">
        <v>1122</v>
      </c>
      <c r="C300" s="2"/>
      <c r="D300" s="2"/>
      <c r="E300" s="2"/>
      <c r="F300" s="2"/>
      <c r="G300" s="2"/>
      <c r="H300" s="1417"/>
      <c r="I300" s="1417"/>
      <c r="J300" s="1417"/>
      <c r="K300" s="1417"/>
      <c r="L300" s="1417"/>
      <c r="M300" s="1417"/>
      <c r="N300" s="2"/>
      <c r="O300" s="2"/>
      <c r="P300" s="68"/>
      <c r="Q300" s="68"/>
      <c r="R300" s="68"/>
      <c r="S300" s="2"/>
      <c r="T300" s="2" t="s">
        <v>1122</v>
      </c>
      <c r="V300" s="2"/>
      <c r="W300" s="2"/>
      <c r="X300" s="2"/>
      <c r="Y300" s="2"/>
      <c r="AA300" s="1417"/>
      <c r="AB300" s="1417"/>
      <c r="AC300" s="1417"/>
      <c r="AD300" s="1417"/>
      <c r="AE300" s="1417"/>
      <c r="AF300" s="1417"/>
      <c r="AG300" s="2"/>
      <c r="AH300" s="2"/>
      <c r="AI300" s="68"/>
      <c r="AJ300" s="68"/>
      <c r="AK300" s="68"/>
      <c r="BN300" s="2"/>
    </row>
    <row r="301" spans="2:66" ht="13" customHeight="1">
      <c r="B301" s="2" t="s">
        <v>1183</v>
      </c>
      <c r="C301" s="2"/>
      <c r="D301" s="2"/>
      <c r="E301" s="2"/>
      <c r="F301" s="2"/>
      <c r="G301" s="2"/>
      <c r="H301" s="1385" t="s">
        <v>1194</v>
      </c>
      <c r="I301" s="1385"/>
      <c r="J301" s="1385"/>
      <c r="K301" s="1385"/>
      <c r="L301" s="1385"/>
      <c r="M301" s="1385"/>
      <c r="N301" s="1335"/>
      <c r="O301" s="1335"/>
      <c r="P301" s="1335"/>
      <c r="Q301" s="1335"/>
      <c r="R301" s="1335"/>
      <c r="S301" s="2"/>
      <c r="T301" s="2" t="s">
        <v>1183</v>
      </c>
      <c r="V301" s="2"/>
      <c r="W301" s="2"/>
      <c r="X301" s="2"/>
      <c r="Y301" s="2"/>
      <c r="AA301" s="1385" t="s">
        <v>1195</v>
      </c>
      <c r="AB301" s="1385"/>
      <c r="AC301" s="1385"/>
      <c r="AD301" s="1385"/>
      <c r="AE301" s="1385"/>
      <c r="AF301" s="1385"/>
      <c r="AG301" s="1335"/>
      <c r="AH301" s="1335"/>
      <c r="AI301" s="1335"/>
      <c r="AJ301" s="1335"/>
      <c r="AK301" s="1335"/>
      <c r="BN301" s="2"/>
    </row>
    <row r="302" spans="2:66" ht="13" customHeight="1">
      <c r="BN302" s="2"/>
    </row>
    <row r="303" spans="2:66" ht="13" customHeight="1">
      <c r="B303" s="2" t="s">
        <v>1196</v>
      </c>
      <c r="C303" s="2"/>
      <c r="D303" s="2"/>
      <c r="E303" s="2"/>
      <c r="F303" s="2"/>
      <c r="H303" s="1335" t="str">
        <f>H295</f>
        <v>Hobson Bernadino+ Davis LLP</v>
      </c>
      <c r="I303" s="1335"/>
      <c r="J303" s="1335"/>
      <c r="K303" s="1335"/>
      <c r="L303" s="1335"/>
      <c r="M303" s="1335"/>
      <c r="N303" s="1335"/>
      <c r="O303" s="1335"/>
      <c r="P303" s="1335"/>
      <c r="Q303" s="1335"/>
      <c r="R303" s="1335"/>
      <c r="T303" s="2" t="s">
        <v>1197</v>
      </c>
      <c r="V303" s="2"/>
      <c r="W303" s="2"/>
      <c r="X303" s="2"/>
      <c r="Y303" s="2"/>
      <c r="AA303" s="1335" t="s">
        <v>1198</v>
      </c>
      <c r="AB303" s="1335"/>
      <c r="AC303" s="1335"/>
      <c r="AD303" s="1335"/>
      <c r="AE303" s="1335"/>
      <c r="AF303" s="1335"/>
      <c r="AG303" s="1335"/>
      <c r="AH303" s="1335"/>
      <c r="AI303" s="1335"/>
      <c r="AJ303" s="1335"/>
      <c r="AK303" s="1335"/>
      <c r="BN303" s="2"/>
    </row>
    <row r="304" spans="2:66" ht="13" customHeight="1">
      <c r="B304" s="2" t="s">
        <v>1174</v>
      </c>
      <c r="C304" s="2"/>
      <c r="D304" s="2"/>
      <c r="E304" s="2"/>
      <c r="F304" s="2"/>
      <c r="H304" s="1385" t="str">
        <f>H296</f>
        <v>6060 Center Drive, Floor 10</v>
      </c>
      <c r="I304" s="1385"/>
      <c r="J304" s="1385"/>
      <c r="K304" s="1385"/>
      <c r="L304" s="1385"/>
      <c r="M304" s="1385"/>
      <c r="N304" s="1385"/>
      <c r="O304" s="1385"/>
      <c r="P304" s="1385"/>
      <c r="Q304" s="1385"/>
      <c r="R304" s="1385"/>
      <c r="T304" s="2" t="s">
        <v>1174</v>
      </c>
      <c r="V304" s="2"/>
      <c r="W304" s="2"/>
      <c r="X304" s="2"/>
      <c r="Y304" s="2"/>
      <c r="AA304" s="1385" t="s">
        <v>1199</v>
      </c>
      <c r="AB304" s="1385"/>
      <c r="AC304" s="1385"/>
      <c r="AD304" s="1385"/>
      <c r="AE304" s="1385"/>
      <c r="AF304" s="1385"/>
      <c r="AG304" s="1385"/>
      <c r="AH304" s="1385"/>
      <c r="AI304" s="1385"/>
      <c r="AJ304" s="1385"/>
      <c r="AK304" s="1385"/>
      <c r="BN304" s="2"/>
    </row>
    <row r="305" spans="2:66" ht="13" customHeight="1">
      <c r="B305" s="2" t="s">
        <v>1177</v>
      </c>
      <c r="C305" s="2"/>
      <c r="D305" s="2"/>
      <c r="E305" s="2"/>
      <c r="F305" s="2"/>
      <c r="H305" s="1385" t="str">
        <f>H297</f>
        <v>Los Angeles, CA 90045</v>
      </c>
      <c r="I305" s="1385"/>
      <c r="J305" s="1385"/>
      <c r="K305" s="1385"/>
      <c r="L305" s="1385"/>
      <c r="M305" s="1385"/>
      <c r="N305" s="1385"/>
      <c r="O305" s="1385"/>
      <c r="P305" s="1385"/>
      <c r="Q305" s="1385"/>
      <c r="R305" s="1385"/>
      <c r="T305" s="2" t="s">
        <v>1179</v>
      </c>
      <c r="V305" s="2"/>
      <c r="W305" s="2"/>
      <c r="X305" s="2"/>
      <c r="Y305" s="2"/>
      <c r="AA305" s="1385" t="s">
        <v>1200</v>
      </c>
      <c r="AB305" s="1385"/>
      <c r="AC305" s="1385"/>
      <c r="AD305" s="1385"/>
      <c r="AE305" s="1385"/>
      <c r="AF305" s="1385"/>
      <c r="AG305" s="1385"/>
      <c r="AH305" s="1385"/>
      <c r="AI305" s="1385"/>
      <c r="AJ305" s="1385"/>
      <c r="AK305" s="1385"/>
      <c r="BN305" s="2"/>
    </row>
    <row r="306" spans="2:66" ht="13" customHeight="1">
      <c r="B306" s="2" t="s">
        <v>1118</v>
      </c>
      <c r="C306" s="2"/>
      <c r="D306" s="2"/>
      <c r="E306" s="2"/>
      <c r="F306" s="2"/>
      <c r="H306" s="1385" t="str">
        <f>H298</f>
        <v>Jason Hobson</v>
      </c>
      <c r="I306" s="1385"/>
      <c r="J306" s="1385"/>
      <c r="K306" s="1385"/>
      <c r="L306" s="1385"/>
      <c r="M306" s="1385"/>
      <c r="N306" s="1385"/>
      <c r="O306" s="1385"/>
      <c r="P306" s="1385"/>
      <c r="Q306" s="1385"/>
      <c r="R306" s="1385"/>
      <c r="T306" s="2" t="s">
        <v>1118</v>
      </c>
      <c r="V306" s="2"/>
      <c r="W306" s="2"/>
      <c r="X306" s="2"/>
      <c r="Y306" s="2"/>
      <c r="AA306" s="1385" t="s">
        <v>1201</v>
      </c>
      <c r="AB306" s="1385"/>
      <c r="AC306" s="1385"/>
      <c r="AD306" s="1385"/>
      <c r="AE306" s="1385"/>
      <c r="AF306" s="1385"/>
      <c r="AG306" s="1385"/>
      <c r="AH306" s="1385"/>
      <c r="AI306" s="1385"/>
      <c r="AJ306" s="1385"/>
      <c r="AK306" s="1385"/>
      <c r="BN306" s="2"/>
    </row>
    <row r="307" spans="2:66" ht="13" customHeight="1">
      <c r="B307" s="2" t="s">
        <v>1119</v>
      </c>
      <c r="C307" s="2"/>
      <c r="D307" s="2"/>
      <c r="E307" s="2"/>
      <c r="F307" s="2"/>
      <c r="G307" s="2"/>
      <c r="H307" s="1649" t="s">
        <v>1193</v>
      </c>
      <c r="I307" s="1649"/>
      <c r="J307" s="1649"/>
      <c r="K307" s="1649"/>
      <c r="L307" s="1649"/>
      <c r="M307" s="1649"/>
      <c r="N307" s="2" t="s">
        <v>1121</v>
      </c>
      <c r="O307" s="2"/>
      <c r="P307" s="1380"/>
      <c r="Q307" s="1380"/>
      <c r="R307" s="1380"/>
      <c r="S307" s="2"/>
      <c r="T307" s="2" t="s">
        <v>1119</v>
      </c>
      <c r="V307" s="2"/>
      <c r="W307" s="2"/>
      <c r="X307" s="2"/>
      <c r="Y307" s="2"/>
      <c r="AA307" s="1649" t="s">
        <v>1202</v>
      </c>
      <c r="AB307" s="1649"/>
      <c r="AC307" s="1649"/>
      <c r="AD307" s="1649"/>
      <c r="AE307" s="1649"/>
      <c r="AF307" s="1649"/>
      <c r="AG307" s="2" t="s">
        <v>1121</v>
      </c>
      <c r="AH307" s="2"/>
      <c r="AI307" s="1380"/>
      <c r="AJ307" s="1380"/>
      <c r="AK307" s="1380"/>
      <c r="BN307" s="2"/>
    </row>
    <row r="308" spans="2:66" ht="13" customHeight="1">
      <c r="B308" s="2" t="s">
        <v>1122</v>
      </c>
      <c r="C308" s="2"/>
      <c r="D308" s="2"/>
      <c r="E308" s="2"/>
      <c r="F308" s="2"/>
      <c r="G308" s="2"/>
      <c r="H308" s="1417"/>
      <c r="I308" s="1417"/>
      <c r="J308" s="1417"/>
      <c r="K308" s="1417"/>
      <c r="L308" s="1417"/>
      <c r="M308" s="1417"/>
      <c r="N308" s="2"/>
      <c r="O308" s="2"/>
      <c r="P308" s="68"/>
      <c r="Q308" s="68"/>
      <c r="R308" s="68"/>
      <c r="S308" s="2"/>
      <c r="T308" s="2" t="s">
        <v>1122</v>
      </c>
      <c r="V308" s="2"/>
      <c r="W308" s="2"/>
      <c r="X308" s="2"/>
      <c r="Y308" s="2"/>
      <c r="AA308" s="1417" t="s">
        <v>1203</v>
      </c>
      <c r="AB308" s="1417"/>
      <c r="AC308" s="1417"/>
      <c r="AD308" s="1417"/>
      <c r="AE308" s="1417"/>
      <c r="AF308" s="1417"/>
      <c r="AG308" s="2"/>
      <c r="AH308" s="2"/>
      <c r="AI308" s="68"/>
      <c r="AJ308" s="68"/>
      <c r="AK308" s="68"/>
      <c r="BN308" s="2"/>
    </row>
    <row r="309" spans="2:66" ht="13" customHeight="1">
      <c r="B309" s="2" t="s">
        <v>1183</v>
      </c>
      <c r="C309" s="2"/>
      <c r="D309" s="2"/>
      <c r="E309" s="2"/>
      <c r="F309" s="2"/>
      <c r="G309" s="2"/>
      <c r="H309" s="1385" t="s">
        <v>1194</v>
      </c>
      <c r="I309" s="1385"/>
      <c r="J309" s="1385"/>
      <c r="K309" s="1385"/>
      <c r="L309" s="1385"/>
      <c r="M309" s="1385"/>
      <c r="N309" s="1335"/>
      <c r="O309" s="1335"/>
      <c r="P309" s="1335"/>
      <c r="Q309" s="1335"/>
      <c r="R309" s="1335"/>
      <c r="S309" s="2"/>
      <c r="T309" s="2" t="s">
        <v>1183</v>
      </c>
      <c r="V309" s="2"/>
      <c r="W309" s="2"/>
      <c r="X309" s="2"/>
      <c r="Y309" s="2"/>
      <c r="AA309" s="1385" t="s">
        <v>1204</v>
      </c>
      <c r="AB309" s="1385"/>
      <c r="AC309" s="1385"/>
      <c r="AD309" s="1385"/>
      <c r="AE309" s="1385"/>
      <c r="AF309" s="1385"/>
      <c r="AG309" s="1335"/>
      <c r="AH309" s="1335"/>
      <c r="AI309" s="1335"/>
      <c r="AJ309" s="1335"/>
      <c r="AK309" s="1335"/>
      <c r="BN309" s="2"/>
    </row>
    <row r="310" spans="2:66" ht="13" customHeight="1">
      <c r="B310" s="2"/>
      <c r="C310" s="2"/>
      <c r="D310" s="2"/>
      <c r="E310" s="2"/>
      <c r="F310" s="2"/>
      <c r="G310" s="2"/>
      <c r="H310" s="7"/>
      <c r="I310" s="7"/>
      <c r="J310" s="7"/>
      <c r="K310" s="7"/>
      <c r="L310" s="7"/>
      <c r="M310" s="7"/>
      <c r="N310" s="7"/>
      <c r="O310" s="7"/>
      <c r="P310" s="7"/>
      <c r="Q310" s="7"/>
      <c r="R310" s="7"/>
      <c r="S310" s="2"/>
      <c r="T310" s="2"/>
      <c r="V310" s="2"/>
      <c r="W310" s="2"/>
      <c r="X310" s="2"/>
      <c r="Y310" s="2"/>
      <c r="AA310" s="7"/>
      <c r="AB310" s="7"/>
      <c r="AC310" s="7"/>
      <c r="AD310" s="7"/>
      <c r="AE310" s="7"/>
      <c r="AF310" s="7"/>
      <c r="AG310" s="7"/>
      <c r="AH310" s="7"/>
      <c r="AI310" s="7"/>
      <c r="AJ310" s="7"/>
      <c r="AK310" s="7"/>
      <c r="BN310" s="2"/>
    </row>
    <row r="311" spans="2:66" ht="13" customHeight="1">
      <c r="B311" s="2" t="s">
        <v>1205</v>
      </c>
      <c r="C311" s="2"/>
      <c r="D311" s="2"/>
      <c r="E311" s="2"/>
      <c r="F311" s="2"/>
      <c r="H311" s="1335" t="s">
        <v>1206</v>
      </c>
      <c r="I311" s="1335"/>
      <c r="J311" s="1335"/>
      <c r="K311" s="1335"/>
      <c r="L311" s="1335"/>
      <c r="M311" s="1335"/>
      <c r="N311" s="1335"/>
      <c r="O311" s="1335"/>
      <c r="P311" s="1335"/>
      <c r="Q311" s="1335"/>
      <c r="R311" s="1335"/>
      <c r="S311" s="2"/>
      <c r="T311" s="2" t="s">
        <v>1207</v>
      </c>
      <c r="V311" s="2"/>
      <c r="W311" s="2"/>
      <c r="X311" s="2"/>
      <c r="Y311" s="2"/>
      <c r="AA311" s="1380" t="s">
        <v>1208</v>
      </c>
      <c r="AB311" s="1335"/>
      <c r="AC311" s="1335"/>
      <c r="AD311" s="1335"/>
      <c r="AE311" s="1335"/>
      <c r="AF311" s="1335"/>
      <c r="AG311" s="1335"/>
      <c r="AH311" s="1335"/>
      <c r="AI311" s="1335"/>
      <c r="AJ311" s="1335"/>
      <c r="AK311" s="1335"/>
      <c r="BN311" s="2"/>
    </row>
    <row r="312" spans="2:66" ht="13" customHeight="1">
      <c r="B312" s="2" t="s">
        <v>1174</v>
      </c>
      <c r="C312" s="2"/>
      <c r="D312" s="2"/>
      <c r="E312" s="2"/>
      <c r="F312" s="2"/>
      <c r="H312" s="1385" t="s">
        <v>1209</v>
      </c>
      <c r="I312" s="1385"/>
      <c r="J312" s="1385"/>
      <c r="K312" s="1385"/>
      <c r="L312" s="1385"/>
      <c r="M312" s="1385"/>
      <c r="N312" s="1385"/>
      <c r="O312" s="1385"/>
      <c r="P312" s="1385"/>
      <c r="Q312" s="1385"/>
      <c r="R312" s="1385"/>
      <c r="S312" s="2"/>
      <c r="T312" s="2" t="s">
        <v>1174</v>
      </c>
      <c r="V312" s="2"/>
      <c r="W312" s="2"/>
      <c r="X312" s="2"/>
      <c r="Y312" s="2"/>
      <c r="AA312" s="1385" t="s">
        <v>1210</v>
      </c>
      <c r="AB312" s="1385"/>
      <c r="AC312" s="1385"/>
      <c r="AD312" s="1385"/>
      <c r="AE312" s="1385"/>
      <c r="AF312" s="1385"/>
      <c r="AG312" s="1385"/>
      <c r="AH312" s="1385"/>
      <c r="AI312" s="1385"/>
      <c r="AJ312" s="1385"/>
      <c r="AK312" s="1385"/>
      <c r="BN312" s="2"/>
    </row>
    <row r="313" spans="2:66" ht="13" customHeight="1">
      <c r="B313" s="2" t="s">
        <v>1177</v>
      </c>
      <c r="C313" s="2"/>
      <c r="D313" s="2"/>
      <c r="E313" s="2"/>
      <c r="F313" s="2"/>
      <c r="H313" s="1385" t="s">
        <v>1211</v>
      </c>
      <c r="I313" s="1385"/>
      <c r="J313" s="1385"/>
      <c r="K313" s="1385"/>
      <c r="L313" s="1385"/>
      <c r="M313" s="1385"/>
      <c r="N313" s="1385"/>
      <c r="O313" s="1385"/>
      <c r="P313" s="1385"/>
      <c r="Q313" s="1385"/>
      <c r="R313" s="1385"/>
      <c r="S313" s="2"/>
      <c r="T313" s="2" t="s">
        <v>1179</v>
      </c>
      <c r="V313" s="2"/>
      <c r="W313" s="2"/>
      <c r="X313" s="2"/>
      <c r="Y313" s="2"/>
      <c r="AA313" s="1385" t="s">
        <v>1212</v>
      </c>
      <c r="AB313" s="1385"/>
      <c r="AC313" s="1385"/>
      <c r="AD313" s="1385"/>
      <c r="AE313" s="1385"/>
      <c r="AF313" s="1385"/>
      <c r="AG313" s="1385"/>
      <c r="AH313" s="1385"/>
      <c r="AI313" s="1385"/>
      <c r="AJ313" s="1385"/>
      <c r="AK313" s="1385"/>
      <c r="BN313" s="2"/>
    </row>
    <row r="314" spans="2:66" ht="13" customHeight="1">
      <c r="B314" s="2" t="s">
        <v>1118</v>
      </c>
      <c r="C314" s="2"/>
      <c r="D314" s="2"/>
      <c r="E314" s="2"/>
      <c r="F314" s="2"/>
      <c r="H314" s="1385" t="s">
        <v>1213</v>
      </c>
      <c r="I314" s="1385"/>
      <c r="J314" s="1385"/>
      <c r="K314" s="1385"/>
      <c r="L314" s="1385"/>
      <c r="M314" s="1385"/>
      <c r="N314" s="1385"/>
      <c r="O314" s="1385"/>
      <c r="P314" s="1385"/>
      <c r="Q314" s="1385"/>
      <c r="R314" s="1385"/>
      <c r="S314" s="2"/>
      <c r="T314" s="2" t="s">
        <v>1118</v>
      </c>
      <c r="V314" s="2"/>
      <c r="W314" s="2"/>
      <c r="X314" s="2"/>
      <c r="Y314" s="2"/>
      <c r="AA314" s="1385" t="s">
        <v>1214</v>
      </c>
      <c r="AB314" s="1385"/>
      <c r="AC314" s="1385"/>
      <c r="AD314" s="1385"/>
      <c r="AE314" s="1385"/>
      <c r="AF314" s="1385"/>
      <c r="AG314" s="1385"/>
      <c r="AH314" s="1385"/>
      <c r="AI314" s="1385"/>
      <c r="AJ314" s="1385"/>
      <c r="AK314" s="1385"/>
      <c r="BN314" s="2"/>
    </row>
    <row r="315" spans="2:66" ht="13" customHeight="1">
      <c r="B315" s="2" t="s">
        <v>1119</v>
      </c>
      <c r="C315" s="2"/>
      <c r="D315" s="2"/>
      <c r="E315" s="2"/>
      <c r="F315" s="2"/>
      <c r="G315" s="2"/>
      <c r="H315" s="1649" t="s">
        <v>1215</v>
      </c>
      <c r="I315" s="1649"/>
      <c r="J315" s="1649"/>
      <c r="K315" s="1649"/>
      <c r="L315" s="1649"/>
      <c r="M315" s="1649"/>
      <c r="N315" s="2" t="s">
        <v>1121</v>
      </c>
      <c r="O315" s="2"/>
      <c r="P315" s="1380"/>
      <c r="Q315" s="1380"/>
      <c r="R315" s="1380"/>
      <c r="S315" s="2"/>
      <c r="T315" s="2" t="s">
        <v>1119</v>
      </c>
      <c r="V315" s="2"/>
      <c r="W315" s="2"/>
      <c r="X315" s="2"/>
      <c r="Y315" s="2"/>
      <c r="AA315" s="1649">
        <v>3107175578</v>
      </c>
      <c r="AB315" s="1649"/>
      <c r="AC315" s="1649"/>
      <c r="AD315" s="1649"/>
      <c r="AE315" s="1649"/>
      <c r="AF315" s="1649"/>
      <c r="AG315" s="2" t="s">
        <v>1121</v>
      </c>
      <c r="AH315" s="2"/>
      <c r="AI315" s="1380"/>
      <c r="AJ315" s="1380"/>
      <c r="AK315" s="1380"/>
      <c r="BN315" s="2"/>
    </row>
    <row r="316" spans="2:66" ht="13" customHeight="1">
      <c r="B316" s="2" t="s">
        <v>1122</v>
      </c>
      <c r="C316" s="2"/>
      <c r="D316" s="2"/>
      <c r="E316" s="2"/>
      <c r="F316" s="2"/>
      <c r="G316" s="2"/>
      <c r="H316" s="1417"/>
      <c r="I316" s="1417"/>
      <c r="J316" s="1417"/>
      <c r="K316" s="1417"/>
      <c r="L316" s="1417"/>
      <c r="M316" s="1417"/>
      <c r="N316" s="2"/>
      <c r="O316" s="2"/>
      <c r="P316" s="68"/>
      <c r="Q316" s="68"/>
      <c r="R316" s="68"/>
      <c r="S316" s="2"/>
      <c r="T316" s="2" t="s">
        <v>1122</v>
      </c>
      <c r="V316" s="2"/>
      <c r="W316" s="2"/>
      <c r="X316" s="2"/>
      <c r="Y316" s="2"/>
      <c r="AA316" s="1417"/>
      <c r="AB316" s="1417"/>
      <c r="AC316" s="1417"/>
      <c r="AD316" s="1417"/>
      <c r="AE316" s="1417"/>
      <c r="AF316" s="1417"/>
      <c r="AG316" s="2"/>
      <c r="AH316" s="2"/>
      <c r="AI316" s="68"/>
      <c r="AJ316" s="68"/>
      <c r="AK316" s="68"/>
      <c r="BN316" s="2"/>
    </row>
    <row r="317" spans="2:66" ht="13" customHeight="1">
      <c r="B317" s="2" t="s">
        <v>1183</v>
      </c>
      <c r="C317" s="2"/>
      <c r="D317" s="2"/>
      <c r="E317" s="2"/>
      <c r="F317" s="2"/>
      <c r="G317" s="2"/>
      <c r="H317" s="1385" t="s">
        <v>1216</v>
      </c>
      <c r="I317" s="1385"/>
      <c r="J317" s="1385"/>
      <c r="K317" s="1385"/>
      <c r="L317" s="1385"/>
      <c r="M317" s="1385"/>
      <c r="N317" s="1335"/>
      <c r="O317" s="1335"/>
      <c r="P317" s="1335"/>
      <c r="Q317" s="1335"/>
      <c r="R317" s="1335"/>
      <c r="S317" s="2"/>
      <c r="T317" s="2" t="s">
        <v>1183</v>
      </c>
      <c r="V317" s="2"/>
      <c r="W317" s="2"/>
      <c r="X317" s="2"/>
      <c r="Y317" s="2"/>
      <c r="AA317" s="1385" t="s">
        <v>1217</v>
      </c>
      <c r="AB317" s="1385"/>
      <c r="AC317" s="1385"/>
      <c r="AD317" s="1385"/>
      <c r="AE317" s="1385"/>
      <c r="AF317" s="1385"/>
      <c r="AG317" s="1335"/>
      <c r="AH317" s="1335"/>
      <c r="AI317" s="1335"/>
      <c r="AJ317" s="1335"/>
      <c r="AK317" s="1335"/>
      <c r="BN317" s="2"/>
    </row>
    <row r="318" spans="2:66" ht="13" customHeight="1">
      <c r="BN318" s="2"/>
    </row>
    <row r="319" spans="2:66" ht="13" customHeight="1">
      <c r="B319" s="2" t="s">
        <v>1218</v>
      </c>
      <c r="C319" s="2"/>
      <c r="D319" s="2"/>
      <c r="E319" s="2"/>
      <c r="F319" s="2"/>
      <c r="H319" s="1335"/>
      <c r="I319" s="1335"/>
      <c r="J319" s="1335"/>
      <c r="K319" s="1335"/>
      <c r="L319" s="1335"/>
      <c r="M319" s="1335"/>
      <c r="N319" s="1335"/>
      <c r="O319" s="1335"/>
      <c r="P319" s="1335"/>
      <c r="Q319" s="1335"/>
      <c r="R319" s="1335"/>
      <c r="T319" s="2" t="s">
        <v>1219</v>
      </c>
      <c r="V319" s="2"/>
      <c r="W319" s="2"/>
      <c r="X319" s="2"/>
      <c r="Y319" s="2"/>
      <c r="AA319" s="1335" t="s">
        <v>1206</v>
      </c>
      <c r="AB319" s="1335"/>
      <c r="AC319" s="1335"/>
      <c r="AD319" s="1335"/>
      <c r="AE319" s="1335"/>
      <c r="AF319" s="1335"/>
      <c r="AG319" s="1335"/>
      <c r="AH319" s="1335"/>
      <c r="AI319" s="1335"/>
      <c r="AJ319" s="1335"/>
      <c r="AK319" s="1335"/>
      <c r="BN319" s="2"/>
    </row>
    <row r="320" spans="2:66" ht="13" customHeight="1">
      <c r="B320" s="2" t="s">
        <v>1174</v>
      </c>
      <c r="C320" s="2"/>
      <c r="D320" s="2"/>
      <c r="E320" s="2"/>
      <c r="F320" s="2"/>
      <c r="H320" s="1385"/>
      <c r="I320" s="1385"/>
      <c r="J320" s="1385"/>
      <c r="K320" s="1385"/>
      <c r="L320" s="1385"/>
      <c r="M320" s="1385"/>
      <c r="N320" s="1385"/>
      <c r="O320" s="1385"/>
      <c r="P320" s="1385"/>
      <c r="Q320" s="1385"/>
      <c r="R320" s="1385"/>
      <c r="T320" s="2" t="s">
        <v>1174</v>
      </c>
      <c r="V320" s="2"/>
      <c r="W320" s="2"/>
      <c r="X320" s="2"/>
      <c r="Y320" s="2"/>
      <c r="AA320" s="1385" t="s">
        <v>1220</v>
      </c>
      <c r="AB320" s="1385"/>
      <c r="AC320" s="1385"/>
      <c r="AD320" s="1385"/>
      <c r="AE320" s="1385"/>
      <c r="AF320" s="1385"/>
      <c r="AG320" s="1385"/>
      <c r="AH320" s="1385"/>
      <c r="AI320" s="1385"/>
      <c r="AJ320" s="1385"/>
      <c r="AK320" s="1385"/>
      <c r="BN320" s="2"/>
    </row>
    <row r="321" spans="2:66" ht="13" customHeight="1">
      <c r="B321" s="2" t="s">
        <v>1177</v>
      </c>
      <c r="C321" s="2"/>
      <c r="D321" s="2"/>
      <c r="E321" s="2"/>
      <c r="F321" s="2"/>
      <c r="H321" s="1385"/>
      <c r="I321" s="1385"/>
      <c r="J321" s="1385"/>
      <c r="K321" s="1385"/>
      <c r="L321" s="1385"/>
      <c r="M321" s="1385"/>
      <c r="N321" s="1385"/>
      <c r="O321" s="1385"/>
      <c r="P321" s="1385"/>
      <c r="Q321" s="1385"/>
      <c r="R321" s="1385"/>
      <c r="T321" s="2" t="s">
        <v>1179</v>
      </c>
      <c r="V321" s="2"/>
      <c r="W321" s="2"/>
      <c r="X321" s="2"/>
      <c r="Y321" s="2"/>
      <c r="AA321" s="1385" t="s">
        <v>1221</v>
      </c>
      <c r="AB321" s="1385"/>
      <c r="AC321" s="1385"/>
      <c r="AD321" s="1385"/>
      <c r="AE321" s="1385"/>
      <c r="AF321" s="1385"/>
      <c r="AG321" s="1385"/>
      <c r="AH321" s="1385"/>
      <c r="AI321" s="1385"/>
      <c r="AJ321" s="1385"/>
      <c r="AK321" s="1385"/>
      <c r="BN321" s="2"/>
    </row>
    <row r="322" spans="2:66" ht="13" customHeight="1">
      <c r="B322" s="2" t="s">
        <v>1118</v>
      </c>
      <c r="C322" s="2"/>
      <c r="D322" s="2"/>
      <c r="E322" s="2"/>
      <c r="F322" s="2"/>
      <c r="H322" s="1385"/>
      <c r="I322" s="1385"/>
      <c r="J322" s="1385"/>
      <c r="K322" s="1385"/>
      <c r="L322" s="1385"/>
      <c r="M322" s="1385"/>
      <c r="N322" s="1385"/>
      <c r="O322" s="1385"/>
      <c r="P322" s="1385"/>
      <c r="Q322" s="1385"/>
      <c r="R322" s="1385"/>
      <c r="T322" s="2" t="s">
        <v>1118</v>
      </c>
      <c r="V322" s="2"/>
      <c r="W322" s="2"/>
      <c r="X322" s="2"/>
      <c r="Y322" s="2"/>
      <c r="AA322" s="1385" t="s">
        <v>1222</v>
      </c>
      <c r="AB322" s="1385"/>
      <c r="AC322" s="1385"/>
      <c r="AD322" s="1385"/>
      <c r="AE322" s="1385"/>
      <c r="AF322" s="1385"/>
      <c r="AG322" s="1385"/>
      <c r="AH322" s="1385"/>
      <c r="AI322" s="1385"/>
      <c r="AJ322" s="1385"/>
      <c r="AK322" s="1385"/>
      <c r="BN322" s="2"/>
    </row>
    <row r="323" spans="2:66" ht="13" customHeight="1">
      <c r="B323" s="2" t="s">
        <v>1119</v>
      </c>
      <c r="C323" s="2"/>
      <c r="D323" s="2"/>
      <c r="E323" s="2"/>
      <c r="F323" s="2"/>
      <c r="G323" s="2"/>
      <c r="H323" s="1649"/>
      <c r="I323" s="1649"/>
      <c r="J323" s="1649"/>
      <c r="K323" s="1649"/>
      <c r="L323" s="1649"/>
      <c r="M323" s="1649"/>
      <c r="N323" s="2" t="s">
        <v>1121</v>
      </c>
      <c r="O323" s="2"/>
      <c r="P323" s="1380"/>
      <c r="Q323" s="1380"/>
      <c r="R323" s="1380"/>
      <c r="S323" s="2"/>
      <c r="T323" s="2" t="s">
        <v>1119</v>
      </c>
      <c r="V323" s="2"/>
      <c r="W323" s="2"/>
      <c r="X323" s="2"/>
      <c r="Y323" s="2"/>
      <c r="AA323" s="1649">
        <v>9133124612</v>
      </c>
      <c r="AB323" s="1649"/>
      <c r="AC323" s="1649"/>
      <c r="AD323" s="1649"/>
      <c r="AE323" s="1649"/>
      <c r="AF323" s="1649"/>
      <c r="AG323" s="2" t="s">
        <v>1121</v>
      </c>
      <c r="AH323" s="2"/>
      <c r="AI323" s="1380"/>
      <c r="AJ323" s="1380"/>
      <c r="AK323" s="1380"/>
    </row>
    <row r="324" spans="2:66" ht="13" customHeight="1">
      <c r="B324" s="2" t="s">
        <v>1122</v>
      </c>
      <c r="C324" s="2"/>
      <c r="D324" s="2"/>
      <c r="E324" s="2"/>
      <c r="F324" s="2"/>
      <c r="G324" s="2"/>
      <c r="H324" s="1417"/>
      <c r="I324" s="1417"/>
      <c r="J324" s="1417"/>
      <c r="K324" s="1417"/>
      <c r="L324" s="1417"/>
      <c r="M324" s="1417"/>
      <c r="N324" s="2"/>
      <c r="O324" s="2"/>
      <c r="P324" s="68"/>
      <c r="Q324" s="68"/>
      <c r="R324" s="68"/>
      <c r="S324" s="2"/>
      <c r="T324" s="2" t="s">
        <v>1122</v>
      </c>
      <c r="V324" s="2"/>
      <c r="W324" s="2"/>
      <c r="X324" s="2"/>
      <c r="Y324" s="2"/>
      <c r="AA324" s="1417"/>
      <c r="AB324" s="1417"/>
      <c r="AC324" s="1417"/>
      <c r="AD324" s="1417"/>
      <c r="AE324" s="1417"/>
      <c r="AF324" s="1417"/>
      <c r="AG324" s="2"/>
      <c r="AH324" s="2"/>
      <c r="AI324" s="68"/>
      <c r="AJ324" s="68"/>
      <c r="AK324" s="68"/>
    </row>
    <row r="325" spans="2:66" ht="13" customHeight="1">
      <c r="B325" s="2" t="s">
        <v>1183</v>
      </c>
      <c r="C325" s="2"/>
      <c r="D325" s="2"/>
      <c r="E325" s="2"/>
      <c r="F325" s="2"/>
      <c r="G325" s="2"/>
      <c r="H325" s="1385"/>
      <c r="I325" s="1385"/>
      <c r="J325" s="1385"/>
      <c r="K325" s="1385"/>
      <c r="L325" s="1385"/>
      <c r="M325" s="1385"/>
      <c r="N325" s="1335"/>
      <c r="O325" s="1335"/>
      <c r="P325" s="1335"/>
      <c r="Q325" s="1335"/>
      <c r="R325" s="1335"/>
      <c r="S325" s="2"/>
      <c r="T325" s="2" t="s">
        <v>1183</v>
      </c>
      <c r="V325" s="2"/>
      <c r="W325" s="2"/>
      <c r="X325" s="2"/>
      <c r="Y325" s="2"/>
      <c r="AA325" s="1394" t="s">
        <v>1223</v>
      </c>
      <c r="AB325" s="1385"/>
      <c r="AC325" s="1385"/>
      <c r="AD325" s="1385"/>
      <c r="AE325" s="1385"/>
      <c r="AF325" s="1385"/>
      <c r="AG325" s="1335"/>
      <c r="AH325" s="1335"/>
      <c r="AI325" s="1335"/>
      <c r="AJ325" s="1335"/>
      <c r="AK325" s="1335"/>
    </row>
    <row r="326" spans="2:66" ht="13" customHeight="1">
      <c r="B326" s="2"/>
      <c r="C326" s="2"/>
      <c r="D326" s="2"/>
      <c r="E326" s="2"/>
      <c r="F326" s="2"/>
      <c r="G326" s="2"/>
      <c r="P326" s="1043"/>
      <c r="Q326" s="1043"/>
      <c r="R326" s="1043"/>
      <c r="S326" s="1043"/>
      <c r="T326" s="1043"/>
      <c r="U326" s="1043"/>
      <c r="V326" s="2"/>
      <c r="W326" s="2"/>
      <c r="X326" s="68"/>
      <c r="Y326" s="68"/>
      <c r="Z326" s="68"/>
    </row>
    <row r="327" spans="2:66" ht="13" customHeight="1">
      <c r="B327" s="2" t="s">
        <v>1224</v>
      </c>
      <c r="C327" s="2"/>
      <c r="D327" s="2"/>
      <c r="E327" s="2"/>
      <c r="F327" s="2"/>
      <c r="H327" s="1335" t="s">
        <v>1206</v>
      </c>
      <c r="I327" s="1335"/>
      <c r="J327" s="1335"/>
      <c r="K327" s="1335"/>
      <c r="L327" s="1335"/>
      <c r="M327" s="1335"/>
      <c r="N327" s="1335"/>
      <c r="O327" s="1335"/>
      <c r="P327" s="1335"/>
      <c r="Q327" s="1335"/>
      <c r="R327" s="1335"/>
      <c r="T327" s="2" t="s">
        <v>1225</v>
      </c>
      <c r="V327" s="2"/>
      <c r="W327" s="2"/>
      <c r="X327" s="2"/>
      <c r="Y327" s="2"/>
      <c r="AA327" s="1335"/>
      <c r="AB327" s="1335"/>
      <c r="AC327" s="1335"/>
      <c r="AD327" s="1335"/>
      <c r="AE327" s="1335"/>
      <c r="AF327" s="1335"/>
      <c r="AG327" s="1335"/>
      <c r="AH327" s="1335"/>
      <c r="AI327" s="1335"/>
      <c r="AJ327" s="1335"/>
      <c r="AK327" s="1335"/>
    </row>
    <row r="328" spans="2:66" ht="13" customHeight="1">
      <c r="B328" s="2" t="s">
        <v>1174</v>
      </c>
      <c r="C328" s="2"/>
      <c r="D328" s="2"/>
      <c r="E328" s="2"/>
      <c r="F328" s="2"/>
      <c r="H328" s="1385" t="s">
        <v>1220</v>
      </c>
      <c r="I328" s="1385"/>
      <c r="J328" s="1385"/>
      <c r="K328" s="1385"/>
      <c r="L328" s="1385"/>
      <c r="M328" s="1385"/>
      <c r="N328" s="1385"/>
      <c r="O328" s="1385"/>
      <c r="P328" s="1385"/>
      <c r="Q328" s="1385"/>
      <c r="R328" s="1385"/>
      <c r="T328" s="2" t="s">
        <v>1174</v>
      </c>
      <c r="V328" s="2"/>
      <c r="W328" s="2"/>
      <c r="X328" s="2"/>
      <c r="Y328" s="2"/>
      <c r="AA328" s="1385"/>
      <c r="AB328" s="1385"/>
      <c r="AC328" s="1385"/>
      <c r="AD328" s="1385"/>
      <c r="AE328" s="1385"/>
      <c r="AF328" s="1385"/>
      <c r="AG328" s="1385"/>
      <c r="AH328" s="1385"/>
      <c r="AI328" s="1385"/>
      <c r="AJ328" s="1385"/>
      <c r="AK328" s="1385"/>
    </row>
    <row r="329" spans="2:66" ht="13" customHeight="1">
      <c r="B329" s="2" t="s">
        <v>1177</v>
      </c>
      <c r="C329" s="2"/>
      <c r="D329" s="2"/>
      <c r="E329" s="2"/>
      <c r="F329" s="2"/>
      <c r="H329" s="1385" t="s">
        <v>1221</v>
      </c>
      <c r="I329" s="1385"/>
      <c r="J329" s="1385"/>
      <c r="K329" s="1385"/>
      <c r="L329" s="1385"/>
      <c r="M329" s="1385"/>
      <c r="N329" s="1385"/>
      <c r="O329" s="1385"/>
      <c r="P329" s="1385"/>
      <c r="Q329" s="1385"/>
      <c r="R329" s="1385"/>
      <c r="T329" s="2" t="s">
        <v>1179</v>
      </c>
      <c r="V329" s="2"/>
      <c r="W329" s="2"/>
      <c r="X329" s="2"/>
      <c r="Y329" s="2"/>
      <c r="AA329" s="1385"/>
      <c r="AB329" s="1385"/>
      <c r="AC329" s="1385"/>
      <c r="AD329" s="1385"/>
      <c r="AE329" s="1385"/>
      <c r="AF329" s="1385"/>
      <c r="AG329" s="1385"/>
      <c r="AH329" s="1385"/>
      <c r="AI329" s="1385"/>
      <c r="AJ329" s="1385"/>
      <c r="AK329" s="1385"/>
    </row>
    <row r="330" spans="2:66" ht="13" customHeight="1">
      <c r="B330" s="2" t="s">
        <v>1118</v>
      </c>
      <c r="C330" s="2"/>
      <c r="D330" s="2"/>
      <c r="E330" s="2"/>
      <c r="F330" s="2"/>
      <c r="H330" s="1385" t="s">
        <v>1222</v>
      </c>
      <c r="I330" s="1385"/>
      <c r="J330" s="1385"/>
      <c r="K330" s="1385"/>
      <c r="L330" s="1385"/>
      <c r="M330" s="1385"/>
      <c r="N330" s="1385"/>
      <c r="O330" s="1385"/>
      <c r="P330" s="1385"/>
      <c r="Q330" s="1385"/>
      <c r="R330" s="1385"/>
      <c r="T330" s="2" t="s">
        <v>1118</v>
      </c>
      <c r="V330" s="2"/>
      <c r="W330" s="2"/>
      <c r="X330" s="2"/>
      <c r="Y330" s="2"/>
      <c r="AA330" s="1385"/>
      <c r="AB330" s="1385"/>
      <c r="AC330" s="1385"/>
      <c r="AD330" s="1385"/>
      <c r="AE330" s="1385"/>
      <c r="AF330" s="1385"/>
      <c r="AG330" s="1385"/>
      <c r="AH330" s="1385"/>
      <c r="AI330" s="1385"/>
      <c r="AJ330" s="1385"/>
      <c r="AK330" s="1385"/>
    </row>
    <row r="331" spans="2:66" ht="13" customHeight="1">
      <c r="B331" s="2" t="s">
        <v>1119</v>
      </c>
      <c r="C331" s="2"/>
      <c r="D331" s="2"/>
      <c r="E331" s="2"/>
      <c r="F331" s="2"/>
      <c r="G331" s="2"/>
      <c r="H331" s="1649">
        <v>9133124612</v>
      </c>
      <c r="I331" s="1649"/>
      <c r="J331" s="1649"/>
      <c r="K331" s="1649"/>
      <c r="L331" s="1649"/>
      <c r="M331" s="1649"/>
      <c r="N331" s="2" t="s">
        <v>1121</v>
      </c>
      <c r="O331" s="2"/>
      <c r="P331" s="1380"/>
      <c r="Q331" s="1380"/>
      <c r="R331" s="1380"/>
      <c r="S331" s="2"/>
      <c r="T331" s="2" t="s">
        <v>1119</v>
      </c>
      <c r="V331" s="2"/>
      <c r="W331" s="2"/>
      <c r="X331" s="2"/>
      <c r="Y331" s="2"/>
      <c r="AA331" s="1649"/>
      <c r="AB331" s="1649"/>
      <c r="AC331" s="1649"/>
      <c r="AD331" s="1649"/>
      <c r="AE331" s="1649"/>
      <c r="AF331" s="1649"/>
      <c r="AG331" s="2" t="s">
        <v>1121</v>
      </c>
      <c r="AH331" s="2"/>
      <c r="AI331" s="1380"/>
      <c r="AJ331" s="1380"/>
      <c r="AK331" s="1380"/>
    </row>
    <row r="332" spans="2:66" ht="13" customHeight="1">
      <c r="B332" s="2" t="s">
        <v>1122</v>
      </c>
      <c r="C332" s="2"/>
      <c r="D332" s="2"/>
      <c r="E332" s="2"/>
      <c r="F332" s="2"/>
      <c r="G332" s="2"/>
      <c r="H332" s="1417"/>
      <c r="I332" s="1417"/>
      <c r="J332" s="1417"/>
      <c r="K332" s="1417"/>
      <c r="L332" s="1417"/>
      <c r="M332" s="1417"/>
      <c r="N332" s="2"/>
      <c r="O332" s="2"/>
      <c r="P332" s="68"/>
      <c r="Q332" s="68"/>
      <c r="R332" s="68"/>
      <c r="S332" s="2"/>
      <c r="T332" s="2" t="s">
        <v>1122</v>
      </c>
      <c r="V332" s="2"/>
      <c r="W332" s="2"/>
      <c r="X332" s="2"/>
      <c r="Y332" s="2"/>
      <c r="AA332" s="1417"/>
      <c r="AB332" s="1417"/>
      <c r="AC332" s="1417"/>
      <c r="AD332" s="1417"/>
      <c r="AE332" s="1417"/>
      <c r="AF332" s="1417"/>
      <c r="AG332" s="2"/>
      <c r="AH332" s="2"/>
      <c r="AI332" s="68"/>
      <c r="AJ332" s="68"/>
      <c r="AK332" s="68"/>
    </row>
    <row r="333" spans="2:66" ht="13" customHeight="1">
      <c r="B333" s="2" t="s">
        <v>1183</v>
      </c>
      <c r="C333" s="2"/>
      <c r="D333" s="2"/>
      <c r="E333" s="2"/>
      <c r="F333" s="2"/>
      <c r="G333" s="2"/>
      <c r="H333" s="1385" t="s">
        <v>1223</v>
      </c>
      <c r="I333" s="1385"/>
      <c r="J333" s="1385"/>
      <c r="K333" s="1385"/>
      <c r="L333" s="1385"/>
      <c r="M333" s="1385"/>
      <c r="N333" s="1335"/>
      <c r="O333" s="1335"/>
      <c r="P333" s="1335"/>
      <c r="Q333" s="1335"/>
      <c r="R333" s="1335"/>
      <c r="S333" s="2"/>
      <c r="T333" s="2" t="s">
        <v>1183</v>
      </c>
      <c r="V333" s="2"/>
      <c r="W333" s="2"/>
      <c r="X333" s="2"/>
      <c r="Y333" s="2"/>
      <c r="AA333" s="1385"/>
      <c r="AB333" s="1385"/>
      <c r="AC333" s="1385"/>
      <c r="AD333" s="1385"/>
      <c r="AE333" s="1385"/>
      <c r="AF333" s="1385"/>
      <c r="AG333" s="1335"/>
      <c r="AH333" s="1335"/>
      <c r="AI333" s="1335"/>
      <c r="AJ333" s="1335"/>
      <c r="AK333" s="1335"/>
    </row>
    <row r="334" spans="2:66" ht="13" customHeight="1">
      <c r="B334" s="2"/>
      <c r="C334" s="2"/>
      <c r="D334" s="2"/>
      <c r="E334" s="2"/>
      <c r="F334" s="2"/>
      <c r="G334" s="2"/>
      <c r="P334" s="1043"/>
      <c r="Q334" s="1043"/>
      <c r="R334" s="1043"/>
      <c r="S334" s="1043"/>
      <c r="T334" s="1043"/>
      <c r="U334" s="1043"/>
      <c r="V334" s="2"/>
      <c r="W334" s="2"/>
      <c r="X334" s="68"/>
      <c r="Y334" s="68"/>
      <c r="Z334" s="68"/>
    </row>
    <row r="335" spans="2:66" ht="13" customHeight="1">
      <c r="B335" s="2" t="s">
        <v>1226</v>
      </c>
      <c r="C335" s="2"/>
      <c r="D335" s="2"/>
      <c r="E335" s="2"/>
      <c r="F335" s="2"/>
      <c r="H335" s="1380" t="s">
        <v>1227</v>
      </c>
      <c r="I335" s="1335"/>
      <c r="J335" s="1335"/>
      <c r="K335" s="1335"/>
      <c r="L335" s="1335"/>
      <c r="M335" s="1335"/>
      <c r="N335" s="1335"/>
      <c r="O335" s="1335"/>
      <c r="P335" s="1335"/>
      <c r="Q335" s="1335"/>
      <c r="R335" s="1335"/>
      <c r="T335" s="118" t="s">
        <v>1228</v>
      </c>
      <c r="V335" s="2"/>
      <c r="W335" s="2"/>
      <c r="X335" s="2"/>
      <c r="Y335" s="2"/>
      <c r="AA335" s="1335" t="s">
        <v>1229</v>
      </c>
      <c r="AB335" s="1335"/>
      <c r="AC335" s="1335"/>
      <c r="AD335" s="1335"/>
      <c r="AE335" s="1335"/>
      <c r="AF335" s="1335"/>
      <c r="AG335" s="1335"/>
      <c r="AH335" s="1335"/>
      <c r="AI335" s="1335"/>
      <c r="AJ335" s="1335"/>
      <c r="AK335" s="1335"/>
    </row>
    <row r="336" spans="2:66" ht="13" customHeight="1">
      <c r="B336" s="2" t="s">
        <v>1174</v>
      </c>
      <c r="C336" s="2"/>
      <c r="D336" s="2"/>
      <c r="E336" s="2"/>
      <c r="F336" s="2"/>
      <c r="H336" s="1394" t="s">
        <v>1230</v>
      </c>
      <c r="I336" s="1385"/>
      <c r="J336" s="1385"/>
      <c r="K336" s="1385"/>
      <c r="L336" s="1385"/>
      <c r="M336" s="1385"/>
      <c r="N336" s="1385"/>
      <c r="O336" s="1385"/>
      <c r="P336" s="1385"/>
      <c r="Q336" s="1385"/>
      <c r="R336" s="1385"/>
      <c r="T336" s="2" t="s">
        <v>1174</v>
      </c>
      <c r="V336" s="2"/>
      <c r="W336" s="2"/>
      <c r="X336" s="2"/>
      <c r="Y336" s="2"/>
      <c r="AA336" s="1385" t="s">
        <v>1231</v>
      </c>
      <c r="AB336" s="1385"/>
      <c r="AC336" s="1385"/>
      <c r="AD336" s="1385"/>
      <c r="AE336" s="1385"/>
      <c r="AF336" s="1385"/>
      <c r="AG336" s="1385"/>
      <c r="AH336" s="1385"/>
      <c r="AI336" s="1385"/>
      <c r="AJ336" s="1385"/>
      <c r="AK336" s="1385"/>
    </row>
    <row r="337" spans="1:66" ht="13" customHeight="1">
      <c r="B337" s="2" t="s">
        <v>1179</v>
      </c>
      <c r="C337" s="2"/>
      <c r="D337" s="2"/>
      <c r="E337" s="2"/>
      <c r="F337" s="2"/>
      <c r="H337" s="1394" t="s">
        <v>1232</v>
      </c>
      <c r="I337" s="1385"/>
      <c r="J337" s="1385"/>
      <c r="K337" s="1385"/>
      <c r="L337" s="1385"/>
      <c r="M337" s="1385"/>
      <c r="N337" s="1385"/>
      <c r="O337" s="1385"/>
      <c r="P337" s="1385"/>
      <c r="Q337" s="1385"/>
      <c r="R337" s="1385"/>
      <c r="T337" s="2" t="s">
        <v>1179</v>
      </c>
      <c r="V337" s="2"/>
      <c r="W337" s="2"/>
      <c r="X337" s="2"/>
      <c r="Y337" s="2"/>
      <c r="AA337" s="1385" t="s">
        <v>1233</v>
      </c>
      <c r="AB337" s="1385"/>
      <c r="AC337" s="1385"/>
      <c r="AD337" s="1385"/>
      <c r="AE337" s="1385"/>
      <c r="AF337" s="1385"/>
      <c r="AG337" s="1385"/>
      <c r="AH337" s="1385"/>
      <c r="AI337" s="1385"/>
      <c r="AJ337" s="1385"/>
      <c r="AK337" s="1385"/>
    </row>
    <row r="338" spans="1:66" ht="13" customHeight="1">
      <c r="B338" s="2" t="s">
        <v>1118</v>
      </c>
      <c r="C338" s="2"/>
      <c r="D338" s="2"/>
      <c r="E338" s="2"/>
      <c r="F338" s="2"/>
      <c r="G338" s="2"/>
      <c r="H338" s="1394" t="s">
        <v>1234</v>
      </c>
      <c r="I338" s="1385"/>
      <c r="J338" s="1385"/>
      <c r="K338" s="1385"/>
      <c r="L338" s="1385"/>
      <c r="M338" s="1385"/>
      <c r="N338" s="1385"/>
      <c r="O338" s="1385"/>
      <c r="P338" s="1385"/>
      <c r="Q338" s="1385"/>
      <c r="R338" s="1385"/>
      <c r="T338" s="2" t="s">
        <v>1118</v>
      </c>
      <c r="V338" s="2"/>
      <c r="W338" s="2"/>
      <c r="X338" s="2"/>
      <c r="Y338" s="2"/>
      <c r="AA338" s="1385" t="s">
        <v>1235</v>
      </c>
      <c r="AB338" s="1385"/>
      <c r="AC338" s="1385"/>
      <c r="AD338" s="1385"/>
      <c r="AE338" s="1385"/>
      <c r="AF338" s="1385"/>
      <c r="AG338" s="1385"/>
      <c r="AH338" s="1385"/>
      <c r="AI338" s="1385"/>
      <c r="AJ338" s="1385"/>
      <c r="AK338" s="1385"/>
    </row>
    <row r="339" spans="1:66" ht="13" customHeight="1">
      <c r="B339" s="2" t="s">
        <v>1119</v>
      </c>
      <c r="C339" s="2"/>
      <c r="D339" s="2"/>
      <c r="E339" s="2"/>
      <c r="F339" s="2"/>
      <c r="G339" s="2"/>
      <c r="H339" s="1649" t="s">
        <v>1236</v>
      </c>
      <c r="I339" s="1649"/>
      <c r="J339" s="1649"/>
      <c r="K339" s="1649"/>
      <c r="L339" s="1649"/>
      <c r="M339" s="1649"/>
      <c r="N339" s="2" t="s">
        <v>1121</v>
      </c>
      <c r="O339" s="2"/>
      <c r="P339" s="1380"/>
      <c r="Q339" s="1380"/>
      <c r="R339" s="1380"/>
      <c r="S339" s="2"/>
      <c r="T339" s="2" t="s">
        <v>1119</v>
      </c>
      <c r="V339" s="2"/>
      <c r="W339" s="2"/>
      <c r="X339" s="2"/>
      <c r="Y339" s="2"/>
      <c r="AA339" s="1649" t="s">
        <v>1237</v>
      </c>
      <c r="AB339" s="1649"/>
      <c r="AC339" s="1649"/>
      <c r="AD339" s="1649"/>
      <c r="AE339" s="1649"/>
      <c r="AF339" s="1649"/>
      <c r="AG339" s="2" t="s">
        <v>1121</v>
      </c>
      <c r="AH339" s="2"/>
      <c r="AI339" s="1380"/>
      <c r="AJ339" s="1380"/>
      <c r="AK339" s="1380"/>
    </row>
    <row r="340" spans="1:66" ht="13" customHeight="1">
      <c r="B340" s="2" t="s">
        <v>1122</v>
      </c>
      <c r="C340" s="2"/>
      <c r="D340" s="2"/>
      <c r="E340" s="2"/>
      <c r="F340" s="2"/>
      <c r="G340" s="2"/>
      <c r="H340" s="1417" t="s">
        <v>1238</v>
      </c>
      <c r="I340" s="1417"/>
      <c r="J340" s="1417"/>
      <c r="K340" s="1417"/>
      <c r="L340" s="1417"/>
      <c r="M340" s="1417"/>
      <c r="N340" s="2"/>
      <c r="O340" s="2"/>
      <c r="P340" s="68"/>
      <c r="Q340" s="68"/>
      <c r="R340" s="68"/>
      <c r="S340" s="2"/>
      <c r="T340" s="2" t="s">
        <v>1122</v>
      </c>
      <c r="V340" s="2"/>
      <c r="W340" s="2"/>
      <c r="X340" s="2"/>
      <c r="Y340" s="2"/>
      <c r="AA340" s="1417"/>
      <c r="AB340" s="1417"/>
      <c r="AC340" s="1417"/>
      <c r="AD340" s="1417"/>
      <c r="AE340" s="1417"/>
      <c r="AF340" s="1417"/>
      <c r="AG340" s="2"/>
      <c r="AH340" s="2"/>
      <c r="AI340" s="68"/>
      <c r="AJ340" s="68"/>
      <c r="AK340" s="68"/>
    </row>
    <row r="341" spans="1:66" ht="13" customHeight="1">
      <c r="B341" s="2" t="s">
        <v>1183</v>
      </c>
      <c r="C341" s="2"/>
      <c r="D341" s="2"/>
      <c r="E341" s="2"/>
      <c r="F341" s="2"/>
      <c r="G341" s="2"/>
      <c r="H341" s="1394" t="s">
        <v>1239</v>
      </c>
      <c r="I341" s="1385"/>
      <c r="J341" s="1385"/>
      <c r="K341" s="1385"/>
      <c r="L341" s="1385"/>
      <c r="M341" s="1385"/>
      <c r="N341" s="1335"/>
      <c r="O341" s="1335"/>
      <c r="P341" s="1335"/>
      <c r="Q341" s="1335"/>
      <c r="R341" s="1335"/>
      <c r="S341" s="2"/>
      <c r="T341" s="2" t="s">
        <v>1183</v>
      </c>
      <c r="V341" s="2"/>
      <c r="W341" s="2"/>
      <c r="X341" s="2"/>
      <c r="Y341" s="2"/>
      <c r="AA341" s="1385" t="s">
        <v>1240</v>
      </c>
      <c r="AB341" s="1385"/>
      <c r="AC341" s="1385"/>
      <c r="AD341" s="1385"/>
      <c r="AE341" s="1385"/>
      <c r="AF341" s="1385"/>
      <c r="AG341" s="1335"/>
      <c r="AH341" s="1335"/>
      <c r="AI341" s="1335"/>
      <c r="AJ341" s="1335"/>
      <c r="AK341" s="1335"/>
    </row>
    <row r="342" spans="1:66" ht="13" customHeight="1">
      <c r="B342" s="2"/>
      <c r="C342" s="2"/>
      <c r="D342" s="2"/>
      <c r="E342" s="2"/>
      <c r="F342" s="2"/>
      <c r="G342" s="2"/>
      <c r="H342" s="7"/>
      <c r="I342" s="7"/>
      <c r="J342" s="7"/>
      <c r="K342" s="7"/>
      <c r="L342" s="7"/>
      <c r="M342" s="7"/>
      <c r="N342" s="7"/>
      <c r="O342" s="7"/>
      <c r="P342" s="7"/>
      <c r="Q342" s="7"/>
      <c r="R342" s="7"/>
      <c r="S342" s="2"/>
      <c r="T342" s="2"/>
      <c r="V342" s="2"/>
      <c r="W342" s="2"/>
      <c r="X342" s="2"/>
      <c r="Y342" s="2"/>
      <c r="AA342" s="7"/>
      <c r="AB342" s="7"/>
      <c r="AC342" s="7"/>
      <c r="AD342" s="7"/>
      <c r="AE342" s="7"/>
      <c r="AF342" s="7"/>
      <c r="AG342" s="7"/>
      <c r="AH342" s="7"/>
      <c r="AI342" s="7"/>
      <c r="AJ342" s="7"/>
      <c r="AK342" s="7"/>
      <c r="BN342" t="s">
        <v>299</v>
      </c>
    </row>
    <row r="343" spans="1:66" ht="13" customHeight="1">
      <c r="B343" s="2"/>
      <c r="C343" s="2"/>
      <c r="D343" s="2"/>
      <c r="E343" s="2"/>
      <c r="F343" s="2"/>
      <c r="I343" s="118" t="s">
        <v>1241</v>
      </c>
      <c r="P343" s="1335"/>
      <c r="Q343" s="1335"/>
      <c r="R343" s="1335"/>
      <c r="S343" s="1335"/>
      <c r="T343" s="1335"/>
      <c r="U343" s="1335"/>
      <c r="V343" s="1335"/>
      <c r="W343" s="1335"/>
      <c r="X343" s="1335"/>
      <c r="Y343" s="1335"/>
      <c r="Z343" s="1335"/>
      <c r="AA343" s="1335"/>
      <c r="AB343" s="1335"/>
      <c r="AC343" s="1335"/>
      <c r="AD343" s="1335"/>
      <c r="AE343" s="1335"/>
      <c r="BN343" t="s">
        <v>895</v>
      </c>
    </row>
    <row r="344" spans="1:66" ht="13" customHeight="1">
      <c r="B344" s="2"/>
      <c r="C344" s="2"/>
      <c r="D344" s="2"/>
      <c r="E344" s="2"/>
      <c r="F344" s="2"/>
      <c r="I344" s="2" t="s">
        <v>1174</v>
      </c>
      <c r="P344" s="1385"/>
      <c r="Q344" s="1385"/>
      <c r="R344" s="1385"/>
      <c r="S344" s="1385"/>
      <c r="T344" s="1385"/>
      <c r="U344" s="1385"/>
      <c r="V344" s="1385"/>
      <c r="W344" s="1385"/>
      <c r="X344" s="1385"/>
      <c r="Y344" s="1385"/>
      <c r="Z344" s="1385"/>
      <c r="AA344" s="1385"/>
      <c r="AB344" s="1385"/>
      <c r="AC344" s="1385"/>
      <c r="AD344" s="1385"/>
      <c r="AE344" s="1385"/>
      <c r="BN344" t="s">
        <v>837</v>
      </c>
    </row>
    <row r="345" spans="1:66" ht="13" customHeight="1">
      <c r="B345" s="2"/>
      <c r="C345" s="2"/>
      <c r="D345" s="2"/>
      <c r="E345" s="2"/>
      <c r="F345" s="2"/>
      <c r="I345" s="2" t="s">
        <v>1179</v>
      </c>
      <c r="P345" s="1385"/>
      <c r="Q345" s="1385"/>
      <c r="R345" s="1385"/>
      <c r="S345" s="1385"/>
      <c r="T345" s="1385"/>
      <c r="U345" s="1385"/>
      <c r="V345" s="1385"/>
      <c r="W345" s="1385"/>
      <c r="X345" s="1385"/>
      <c r="Y345" s="1385"/>
      <c r="Z345" s="1385"/>
      <c r="AA345" s="1385"/>
      <c r="AB345" s="1385"/>
      <c r="AC345" s="1385"/>
      <c r="AD345" s="1385"/>
      <c r="AE345" s="1385"/>
    </row>
    <row r="346" spans="1:66" ht="13" customHeight="1">
      <c r="B346" s="2"/>
      <c r="C346" s="2"/>
      <c r="D346" s="2"/>
      <c r="E346" s="2"/>
      <c r="F346" s="2"/>
      <c r="G346" s="2"/>
      <c r="I346" s="2" t="s">
        <v>1118</v>
      </c>
      <c r="P346" s="1385"/>
      <c r="Q346" s="1385"/>
      <c r="R346" s="1385"/>
      <c r="S346" s="1385"/>
      <c r="T346" s="1385"/>
      <c r="U346" s="1385"/>
      <c r="V346" s="1385"/>
      <c r="W346" s="1385"/>
      <c r="X346" s="1385"/>
      <c r="Y346" s="1385"/>
      <c r="Z346" s="1385"/>
      <c r="AA346" s="1385"/>
      <c r="AB346" s="1385"/>
      <c r="AC346" s="1385"/>
      <c r="AD346" s="1385"/>
      <c r="AE346" s="1385"/>
    </row>
    <row r="347" spans="1:66" ht="13" customHeight="1">
      <c r="B347" s="2"/>
      <c r="C347" s="2"/>
      <c r="D347" s="2"/>
      <c r="E347" s="2"/>
      <c r="F347" s="2"/>
      <c r="G347" s="2"/>
      <c r="H347" s="1044"/>
      <c r="I347" s="2" t="s">
        <v>1119</v>
      </c>
      <c r="P347" s="1417"/>
      <c r="Q347" s="1417"/>
      <c r="R347" s="1417"/>
      <c r="S347" s="1417"/>
      <c r="T347" s="1417"/>
      <c r="U347" s="1417"/>
      <c r="V347" s="1417"/>
      <c r="W347" s="1417"/>
      <c r="X347" s="1417"/>
      <c r="Y347" s="1417"/>
      <c r="Z347" s="1417"/>
      <c r="AA347" s="2" t="s">
        <v>1121</v>
      </c>
      <c r="AB347" s="2"/>
      <c r="AC347" s="1394"/>
      <c r="AD347" s="1394"/>
      <c r="AE347" s="1394"/>
      <c r="AF347" s="1044"/>
      <c r="AG347" s="2"/>
      <c r="AH347" s="2"/>
      <c r="AI347" s="2"/>
      <c r="AJ347" s="2"/>
      <c r="AK347" s="2"/>
    </row>
    <row r="348" spans="1:66" ht="13" customHeight="1">
      <c r="B348" s="2"/>
      <c r="C348" s="2"/>
      <c r="D348" s="2"/>
      <c r="E348" s="2"/>
      <c r="F348" s="2"/>
      <c r="G348" s="2"/>
      <c r="H348" s="1044"/>
      <c r="I348" s="2" t="s">
        <v>1122</v>
      </c>
      <c r="P348" s="1417"/>
      <c r="Q348" s="1417"/>
      <c r="R348" s="1417"/>
      <c r="S348" s="1417"/>
      <c r="T348" s="1417"/>
      <c r="U348" s="1417"/>
      <c r="V348" s="1417"/>
      <c r="W348" s="1417"/>
      <c r="X348" s="1417"/>
      <c r="Y348" s="1417"/>
      <c r="Z348" s="1417"/>
      <c r="AF348" s="1044"/>
      <c r="AG348" s="2"/>
      <c r="AH348" s="2"/>
      <c r="AI348" s="68"/>
      <c r="AJ348" s="68"/>
      <c r="AK348" s="68"/>
    </row>
    <row r="349" spans="1:66" ht="13" customHeight="1">
      <c r="B349" s="2"/>
      <c r="C349" s="2"/>
      <c r="D349" s="2"/>
      <c r="E349" s="2"/>
      <c r="F349" s="2"/>
      <c r="G349" s="2"/>
      <c r="I349" s="2" t="s">
        <v>1183</v>
      </c>
      <c r="P349" s="1335"/>
      <c r="Q349" s="1335"/>
      <c r="R349" s="1335"/>
      <c r="S349" s="1335"/>
      <c r="T349" s="1335"/>
      <c r="U349" s="1335"/>
      <c r="V349" s="1335"/>
      <c r="W349" s="1335"/>
      <c r="X349" s="1335"/>
      <c r="Y349" s="1335"/>
      <c r="Z349" s="1335"/>
      <c r="AA349" s="1335"/>
      <c r="AB349" s="1335"/>
      <c r="AC349" s="1335"/>
      <c r="AD349" s="1335"/>
      <c r="AE349" s="1335"/>
    </row>
    <row r="350" spans="1:66" ht="13" customHeight="1">
      <c r="T350" s="7"/>
      <c r="U350" s="7"/>
      <c r="V350" s="7"/>
      <c r="W350" s="7"/>
      <c r="X350" s="7"/>
      <c r="Y350" s="7"/>
      <c r="Z350" s="7"/>
      <c r="AU350" s="54"/>
      <c r="AV350" s="54"/>
      <c r="AW350" s="54"/>
      <c r="AX350" s="54"/>
      <c r="AY350" s="54"/>
    </row>
    <row r="351" spans="1:66" ht="13" customHeight="1">
      <c r="A351" s="1389" t="s">
        <v>1242</v>
      </c>
      <c r="B351" s="1389"/>
      <c r="C351" s="1389"/>
      <c r="D351" s="1389"/>
      <c r="E351" s="1389"/>
      <c r="F351" s="1389"/>
      <c r="G351" s="1389"/>
      <c r="H351" s="1389"/>
      <c r="I351" s="1389"/>
      <c r="J351" s="1389"/>
      <c r="K351" s="1389"/>
      <c r="L351" s="1389"/>
      <c r="M351" s="1389"/>
      <c r="N351" s="1389"/>
      <c r="O351" s="1389"/>
      <c r="P351" s="1389"/>
      <c r="Q351" s="1389"/>
      <c r="R351" s="1389"/>
      <c r="S351" s="1389"/>
      <c r="T351" s="1389"/>
      <c r="U351" s="1389"/>
      <c r="V351" s="1389"/>
      <c r="W351" s="1389"/>
      <c r="X351" s="1389"/>
      <c r="Y351" s="1389"/>
      <c r="Z351" s="1389"/>
      <c r="AA351" s="1389"/>
      <c r="AB351" s="1389"/>
      <c r="AC351" s="1389"/>
      <c r="AD351" s="1389"/>
      <c r="AE351" s="1389"/>
      <c r="AF351" s="1389"/>
      <c r="AG351" s="1389"/>
      <c r="AH351" s="1389"/>
      <c r="AI351" s="1389"/>
      <c r="AJ351" s="1389"/>
      <c r="AK351" s="1389"/>
      <c r="AL351" s="1389"/>
      <c r="AM351" s="1389"/>
      <c r="AN351" s="1389"/>
      <c r="AO351" s="1389"/>
      <c r="AP351" s="1389"/>
      <c r="AQ351" s="1389"/>
      <c r="AR351" s="1389"/>
      <c r="AS351" s="1389"/>
      <c r="AT351" s="1389"/>
      <c r="AU351" s="54"/>
      <c r="AV351" s="54"/>
      <c r="AW351" s="54"/>
      <c r="AX351" s="54"/>
      <c r="AY351" s="54"/>
    </row>
    <row r="352" spans="1:66" ht="13" customHeight="1">
      <c r="A352" s="1389"/>
      <c r="B352" s="1389"/>
      <c r="C352" s="1389"/>
      <c r="D352" s="1389"/>
      <c r="E352" s="1389"/>
      <c r="F352" s="1389"/>
      <c r="G352" s="1389"/>
      <c r="H352" s="1389"/>
      <c r="I352" s="1389"/>
      <c r="J352" s="1389"/>
      <c r="K352" s="1389"/>
      <c r="L352" s="1389"/>
      <c r="M352" s="1389"/>
      <c r="N352" s="1389"/>
      <c r="O352" s="1389"/>
      <c r="P352" s="1389"/>
      <c r="Q352" s="1389"/>
      <c r="R352" s="1389"/>
      <c r="S352" s="1389"/>
      <c r="T352" s="1389"/>
      <c r="U352" s="1389"/>
      <c r="V352" s="1389"/>
      <c r="W352" s="1389"/>
      <c r="X352" s="1389"/>
      <c r="Y352" s="1389"/>
      <c r="Z352" s="1389"/>
      <c r="AA352" s="1389"/>
      <c r="AB352" s="1389"/>
      <c r="AC352" s="1389"/>
      <c r="AD352" s="1389"/>
      <c r="AE352" s="1389"/>
      <c r="AF352" s="1389"/>
      <c r="AG352" s="1389"/>
      <c r="AH352" s="1389"/>
      <c r="AI352" s="1389"/>
      <c r="AJ352" s="1389"/>
      <c r="AK352" s="1389"/>
      <c r="AL352" s="1389"/>
      <c r="AM352" s="1389"/>
      <c r="AN352" s="1389"/>
      <c r="AO352" s="1389"/>
      <c r="AP352" s="1389"/>
      <c r="AQ352" s="1389"/>
      <c r="AR352" s="1389"/>
      <c r="AS352" s="1389"/>
      <c r="AT352" s="1389"/>
      <c r="AU352" s="20"/>
      <c r="AV352" s="20"/>
      <c r="AW352" s="20"/>
      <c r="AX352" s="20"/>
      <c r="AY352" s="20"/>
    </row>
    <row r="353" spans="1:46" ht="13" customHeight="1">
      <c r="I353" s="2"/>
      <c r="J353" s="2"/>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
      <c r="AL353" s="20"/>
      <c r="AM353" s="20"/>
      <c r="AN353" s="20"/>
      <c r="AO353" s="20"/>
      <c r="AP353" s="20"/>
      <c r="AQ353" s="20"/>
      <c r="AR353" s="20"/>
      <c r="AS353" s="20"/>
      <c r="AT353" s="20"/>
    </row>
    <row r="354" spans="1:46" ht="13" customHeight="1">
      <c r="A354" s="1" t="s">
        <v>922</v>
      </c>
      <c r="B354" s="1"/>
      <c r="C354" s="1" t="s">
        <v>1243</v>
      </c>
    </row>
    <row r="355" spans="1:46" ht="13" customHeight="1">
      <c r="D355" s="2" t="s">
        <v>1244</v>
      </c>
      <c r="M355" s="1381" t="s">
        <v>837</v>
      </c>
      <c r="N355" s="1381"/>
      <c r="P355" t="s">
        <v>1245</v>
      </c>
      <c r="AJ355" s="1381" t="s">
        <v>299</v>
      </c>
      <c r="AK355" s="1381"/>
    </row>
    <row r="356" spans="1:46" ht="13" customHeight="1">
      <c r="D356" s="2" t="s">
        <v>1246</v>
      </c>
      <c r="M356" s="1381" t="s">
        <v>299</v>
      </c>
      <c r="N356" s="1381"/>
      <c r="P356" s="2" t="s">
        <v>1247</v>
      </c>
      <c r="AJ356" s="1387">
        <v>0</v>
      </c>
      <c r="AK356" s="1387"/>
    </row>
    <row r="357" spans="1:46" ht="13" customHeight="1">
      <c r="D357" s="2" t="s">
        <v>1248</v>
      </c>
      <c r="M357" s="1381" t="s">
        <v>299</v>
      </c>
      <c r="N357" s="1381"/>
      <c r="P357" t="s">
        <v>1249</v>
      </c>
      <c r="AJ357" s="1381" t="s">
        <v>299</v>
      </c>
      <c r="AK357" s="1381"/>
    </row>
    <row r="358" spans="1:46" ht="13" customHeight="1">
      <c r="D358" s="2" t="s">
        <v>1250</v>
      </c>
      <c r="M358" s="1381" t="s">
        <v>299</v>
      </c>
      <c r="N358" s="1381"/>
      <c r="Q358" s="2"/>
    </row>
    <row r="359" spans="1:46" ht="13" customHeight="1">
      <c r="Q359" s="2"/>
    </row>
    <row r="360" spans="1:46" ht="13" customHeight="1">
      <c r="Q360" s="2"/>
    </row>
    <row r="361" spans="1:46" ht="13" customHeight="1">
      <c r="A361" s="1" t="s">
        <v>963</v>
      </c>
      <c r="B361" s="1"/>
      <c r="C361" s="1" t="s">
        <v>1251</v>
      </c>
      <c r="D361" s="1"/>
    </row>
    <row r="362" spans="1:46" ht="13" customHeight="1">
      <c r="D362" s="29" t="s">
        <v>1252</v>
      </c>
      <c r="E362" s="1179"/>
      <c r="F362" s="1179"/>
      <c r="G362" s="1179"/>
      <c r="H362" s="1179"/>
      <c r="I362" s="1179"/>
      <c r="J362" s="1179"/>
      <c r="K362" s="1179"/>
      <c r="L362" s="1179"/>
      <c r="M362" s="1179"/>
      <c r="N362" s="1179"/>
      <c r="O362" s="1179"/>
      <c r="P362" s="1179"/>
      <c r="Q362" s="1179"/>
      <c r="R362" s="1179"/>
      <c r="S362" s="1179"/>
      <c r="T362" s="1179"/>
      <c r="U362" s="1179"/>
      <c r="V362" s="1179"/>
      <c r="W362" s="1179"/>
      <c r="X362" s="1179"/>
      <c r="Y362" s="1179"/>
      <c r="Z362" s="1179"/>
      <c r="AA362" s="1179"/>
      <c r="AB362" s="1179"/>
      <c r="AC362" s="1179"/>
      <c r="AD362" s="1179"/>
      <c r="AE362" s="1179"/>
    </row>
    <row r="363" spans="1:46" ht="13" customHeight="1">
      <c r="D363" s="29" t="s">
        <v>1253</v>
      </c>
      <c r="E363" s="1179"/>
      <c r="F363" s="1179"/>
      <c r="G363" s="1179"/>
      <c r="H363" s="1179"/>
      <c r="I363" s="1179"/>
      <c r="J363" s="1179"/>
      <c r="K363" s="1179"/>
      <c r="L363" s="1179"/>
      <c r="M363" s="1179"/>
      <c r="N363" s="1381" t="s">
        <v>299</v>
      </c>
      <c r="O363" s="1381"/>
      <c r="P363" s="1179"/>
      <c r="Q363" s="1179"/>
      <c r="R363" s="1179"/>
      <c r="S363" s="1179"/>
      <c r="T363" s="1179"/>
      <c r="U363" s="1179"/>
      <c r="V363" s="1179"/>
      <c r="W363" s="1179"/>
      <c r="X363" s="1179"/>
      <c r="Y363" s="1179"/>
      <c r="Z363" s="1179"/>
      <c r="AC363" s="1179"/>
      <c r="AD363" s="1179"/>
      <c r="AE363" s="1179"/>
    </row>
    <row r="364" spans="1:46" ht="13" customHeight="1">
      <c r="E364" t="s">
        <v>1254</v>
      </c>
      <c r="Y364" s="1381" t="s">
        <v>299</v>
      </c>
      <c r="Z364" s="1381"/>
    </row>
    <row r="365" spans="1:46" ht="13" customHeight="1">
      <c r="D365" s="2" t="s">
        <v>1255</v>
      </c>
      <c r="Q365" s="1335"/>
      <c r="R365" s="1335"/>
      <c r="S365" s="1335"/>
      <c r="T365" s="1335"/>
      <c r="U365" s="1335"/>
      <c r="V365" s="1335"/>
      <c r="W365" s="1335"/>
      <c r="X365" s="1335"/>
      <c r="Y365" s="1335"/>
      <c r="Z365" s="1335"/>
      <c r="AA365" s="1335"/>
      <c r="AB365" s="1335"/>
      <c r="AC365" s="1335"/>
      <c r="AD365" s="1335"/>
      <c r="AE365" s="1335"/>
      <c r="AF365" s="1335"/>
      <c r="AG365" s="1335"/>
    </row>
    <row r="366" spans="1:46" ht="13" customHeight="1">
      <c r="D366" t="s">
        <v>1256</v>
      </c>
      <c r="E366" s="1179"/>
      <c r="F366" s="1179"/>
      <c r="G366" s="1179"/>
      <c r="H366" s="1179"/>
      <c r="I366" s="1179"/>
      <c r="J366" s="1179"/>
      <c r="K366" s="1179"/>
      <c r="L366" s="1179"/>
      <c r="M366" s="1179"/>
      <c r="N366" s="1179"/>
      <c r="O366" s="1179"/>
      <c r="P366" s="1179"/>
      <c r="Q366" s="1179"/>
      <c r="R366" s="1179"/>
      <c r="S366" s="1179"/>
      <c r="T366" s="1179"/>
      <c r="U366" s="1179"/>
      <c r="V366" s="1179"/>
      <c r="W366" s="1179"/>
      <c r="X366" s="1179"/>
      <c r="Y366" s="1179"/>
      <c r="Z366" s="1179"/>
      <c r="AA366" s="1179"/>
      <c r="AB366" s="1179"/>
      <c r="AC366" s="1179"/>
      <c r="AD366" s="1179"/>
      <c r="AE366" s="1179"/>
    </row>
    <row r="367" spans="1:46" ht="13" customHeight="1">
      <c r="D367" t="s">
        <v>1257</v>
      </c>
      <c r="E367" s="1179"/>
      <c r="F367" s="1179"/>
      <c r="G367" s="1179"/>
      <c r="H367" s="1179"/>
      <c r="I367" s="1179"/>
      <c r="J367" s="1381" t="s">
        <v>299</v>
      </c>
      <c r="K367" s="1381"/>
      <c r="L367" s="1179"/>
      <c r="M367" s="1179"/>
      <c r="N367" s="1179"/>
      <c r="O367" s="1179"/>
      <c r="P367" s="1179"/>
      <c r="Q367" s="1179"/>
      <c r="R367" s="1179"/>
      <c r="S367" s="1179"/>
      <c r="T367" s="1179"/>
      <c r="U367" s="1179"/>
      <c r="V367" s="1179"/>
      <c r="W367" s="1179"/>
      <c r="X367" s="1179"/>
      <c r="Y367" s="1179"/>
      <c r="Z367" s="1179"/>
      <c r="AC367" s="1179"/>
      <c r="AD367" s="1179"/>
      <c r="AE367" s="1179"/>
    </row>
    <row r="368" spans="1:46" ht="13" customHeight="1">
      <c r="E368" s="1222" t="s">
        <v>1258</v>
      </c>
      <c r="F368" s="1222"/>
      <c r="G368" s="1222"/>
      <c r="H368" s="1222"/>
      <c r="I368" s="1222"/>
      <c r="J368" s="1222"/>
      <c r="K368" s="1222"/>
      <c r="L368" s="1222"/>
      <c r="M368" s="1222"/>
      <c r="N368" s="1222"/>
      <c r="O368" s="1222"/>
      <c r="P368" s="1222"/>
      <c r="Q368" s="1222"/>
      <c r="R368" s="1222"/>
      <c r="S368" s="1222"/>
      <c r="T368" s="1222"/>
      <c r="U368" s="1222"/>
      <c r="V368" s="1222"/>
      <c r="W368" s="1222"/>
      <c r="X368" s="1222"/>
      <c r="Y368" s="1222"/>
      <c r="Z368" s="1222"/>
      <c r="AA368" s="1222"/>
      <c r="AB368" s="1222"/>
      <c r="AC368" s="1222"/>
      <c r="AD368" s="1222"/>
      <c r="AE368" s="1222"/>
      <c r="AF368" s="1222"/>
      <c r="AG368" s="1222"/>
      <c r="AH368" s="1222"/>
    </row>
    <row r="369" spans="1:34" ht="13" customHeight="1">
      <c r="E369" s="1222"/>
      <c r="F369" s="1222"/>
      <c r="G369" s="1222"/>
      <c r="H369" s="1222"/>
      <c r="I369" s="1222"/>
      <c r="J369" s="1222"/>
      <c r="K369" s="1222"/>
      <c r="L369" s="1222"/>
      <c r="M369" s="1222"/>
      <c r="N369" s="1222"/>
      <c r="O369" s="1222"/>
      <c r="P369" s="1222"/>
      <c r="Q369" s="1222"/>
      <c r="R369" s="1222"/>
      <c r="S369" s="1222"/>
      <c r="T369" s="1222"/>
      <c r="U369" s="1222"/>
      <c r="V369" s="1222"/>
      <c r="W369" s="1222"/>
      <c r="X369" s="1222"/>
      <c r="Y369" s="1222"/>
      <c r="Z369" s="1222"/>
      <c r="AA369" s="1222"/>
      <c r="AB369" s="1222"/>
      <c r="AC369" s="1222"/>
      <c r="AD369" s="1222"/>
      <c r="AE369" s="1222"/>
      <c r="AF369" s="1222"/>
      <c r="AG369" s="1222"/>
      <c r="AH369" s="1222"/>
    </row>
    <row r="370" spans="1:34" ht="13" customHeight="1">
      <c r="E370" s="2" t="s">
        <v>1259</v>
      </c>
      <c r="F370" s="2"/>
      <c r="G370" s="2"/>
      <c r="H370" s="2"/>
      <c r="I370" s="2"/>
      <c r="J370" s="2"/>
      <c r="K370" s="2"/>
      <c r="L370" s="2"/>
      <c r="N370" s="1563"/>
      <c r="O370" s="1563"/>
      <c r="P370" s="1563"/>
      <c r="Q370" s="1563"/>
      <c r="R370" s="2"/>
      <c r="U370" s="2" t="s">
        <v>1260</v>
      </c>
      <c r="V370" s="2"/>
      <c r="W370" s="2"/>
      <c r="X370" s="2"/>
      <c r="Y370" s="2"/>
      <c r="Z370" s="2"/>
      <c r="AA370" s="2"/>
      <c r="AB370" s="2"/>
      <c r="AC370" s="1563"/>
      <c r="AD370" s="1563"/>
      <c r="AE370" s="1563"/>
      <c r="AF370" s="1563"/>
    </row>
    <row r="371" spans="1:34" ht="13" customHeight="1">
      <c r="E371" s="2" t="s">
        <v>1261</v>
      </c>
      <c r="F371" s="2"/>
      <c r="G371" s="2"/>
      <c r="H371" s="2"/>
      <c r="I371" s="2"/>
      <c r="J371" s="2"/>
      <c r="K371" s="2"/>
      <c r="L371" s="2"/>
      <c r="N371" s="1563"/>
      <c r="O371" s="1563"/>
      <c r="P371" s="1563"/>
      <c r="Q371" s="1563"/>
      <c r="R371" s="2"/>
      <c r="U371" s="2" t="s">
        <v>1262</v>
      </c>
      <c r="V371" s="2"/>
      <c r="W371" s="2"/>
      <c r="X371" s="2"/>
      <c r="Y371" s="2"/>
      <c r="Z371" s="2"/>
      <c r="AA371" s="2"/>
      <c r="AB371" s="2"/>
      <c r="AC371" s="1563"/>
      <c r="AD371" s="1563"/>
      <c r="AE371" s="1563"/>
      <c r="AF371" s="1563"/>
    </row>
    <row r="372" spans="1:34" ht="13" customHeight="1">
      <c r="E372" s="2" t="s">
        <v>1263</v>
      </c>
      <c r="F372" s="2"/>
      <c r="G372" s="2"/>
      <c r="H372" s="2"/>
      <c r="I372" s="2"/>
      <c r="J372" s="2"/>
      <c r="K372" s="2"/>
      <c r="L372" s="2"/>
      <c r="N372" s="1563"/>
      <c r="O372" s="1563"/>
      <c r="P372" s="1563"/>
      <c r="Q372" s="1563"/>
      <c r="R372" s="2"/>
      <c r="V372" s="2"/>
      <c r="W372" s="2"/>
      <c r="X372" s="2"/>
      <c r="Y372" s="2"/>
      <c r="Z372" s="2"/>
      <c r="AA372" s="2"/>
      <c r="AB372" s="2"/>
    </row>
    <row r="373" spans="1:34" ht="13" customHeight="1">
      <c r="E373" s="2" t="s">
        <v>1264</v>
      </c>
      <c r="F373" s="2"/>
      <c r="G373" s="2"/>
      <c r="H373" s="2"/>
      <c r="I373" s="2"/>
      <c r="J373" s="2"/>
      <c r="K373" s="2"/>
      <c r="L373" s="2"/>
      <c r="N373" s="1724"/>
      <c r="O373" s="1724"/>
      <c r="P373" s="1724"/>
      <c r="Q373" s="1724"/>
      <c r="R373" s="1724"/>
      <c r="S373" s="1724"/>
      <c r="T373" s="1724"/>
      <c r="U373" s="1724"/>
      <c r="V373" s="1724"/>
      <c r="W373" s="1724"/>
      <c r="X373" s="1724"/>
      <c r="Y373" s="1724"/>
      <c r="Z373" s="1724"/>
      <c r="AA373" s="1724"/>
      <c r="AB373" s="1724"/>
      <c r="AC373" s="1724"/>
      <c r="AD373" s="1724"/>
      <c r="AE373" s="1724"/>
      <c r="AF373" s="1724"/>
    </row>
    <row r="374" spans="1:34" ht="13" customHeight="1">
      <c r="E374" s="2"/>
      <c r="F374" s="2"/>
      <c r="G374" s="2"/>
      <c r="H374" s="2"/>
      <c r="I374" s="2"/>
      <c r="J374" s="2"/>
      <c r="K374" s="2"/>
      <c r="L374" s="2"/>
      <c r="N374" s="1764"/>
      <c r="O374" s="1764"/>
      <c r="P374" s="1764"/>
      <c r="Q374" s="1764"/>
      <c r="R374" s="1764"/>
      <c r="S374" s="1764"/>
      <c r="T374" s="1764"/>
      <c r="U374" s="1764"/>
      <c r="V374" s="1764"/>
      <c r="W374" s="1764"/>
      <c r="X374" s="1764"/>
      <c r="Y374" s="1764"/>
      <c r="Z374" s="1764"/>
      <c r="AA374" s="1764"/>
      <c r="AB374" s="1764"/>
      <c r="AC374" s="1764"/>
      <c r="AD374" s="1764"/>
      <c r="AE374" s="1764"/>
      <c r="AF374" s="1764"/>
    </row>
    <row r="375" spans="1:34" ht="13" customHeight="1">
      <c r="C375" s="383"/>
      <c r="E375" s="2"/>
      <c r="F375" s="2"/>
      <c r="G375" s="2"/>
      <c r="H375" s="2"/>
      <c r="I375" s="2"/>
      <c r="J375" s="2"/>
      <c r="K375" s="2"/>
      <c r="L375" s="2"/>
    </row>
    <row r="376" spans="1:34" ht="13" customHeight="1">
      <c r="D376" s="1" t="s">
        <v>1265</v>
      </c>
      <c r="E376" s="1"/>
      <c r="F376" s="2"/>
      <c r="G376" s="2"/>
      <c r="H376" s="2"/>
      <c r="I376" s="2"/>
      <c r="J376" s="2"/>
      <c r="K376" s="2"/>
      <c r="L376" s="2"/>
    </row>
    <row r="377" spans="1:34" ht="13" customHeight="1">
      <c r="E377" s="2" t="s">
        <v>1266</v>
      </c>
      <c r="F377" s="2"/>
      <c r="G377" s="2"/>
      <c r="H377" s="2"/>
      <c r="I377" s="2"/>
      <c r="J377" s="2"/>
      <c r="K377" s="2"/>
      <c r="L377" s="2"/>
      <c r="N377" t="s">
        <v>939</v>
      </c>
      <c r="R377" s="22" t="s">
        <v>940</v>
      </c>
      <c r="S377" s="1628"/>
      <c r="T377" s="1628"/>
      <c r="U377" s="1126" t="s">
        <v>941</v>
      </c>
      <c r="V377" s="1628"/>
      <c r="W377" s="1628"/>
      <c r="Y377" t="s">
        <v>939</v>
      </c>
      <c r="AC377" s="22" t="s">
        <v>940</v>
      </c>
      <c r="AD377" s="1628"/>
      <c r="AE377" s="1628"/>
      <c r="AF377" s="1126" t="s">
        <v>941</v>
      </c>
      <c r="AG377" s="1628"/>
      <c r="AH377" s="1628"/>
    </row>
    <row r="378" spans="1:34" ht="13" customHeight="1">
      <c r="E378" s="2" t="s">
        <v>1267</v>
      </c>
      <c r="F378" s="2"/>
      <c r="G378" s="2"/>
      <c r="H378" s="2"/>
      <c r="I378" s="2"/>
      <c r="J378" s="2"/>
      <c r="K378" s="2"/>
      <c r="L378" s="2"/>
      <c r="N378" s="1628"/>
      <c r="O378" s="1628"/>
      <c r="P378" s="1628"/>
    </row>
    <row r="379" spans="1:34" ht="13" customHeight="1">
      <c r="E379" s="118" t="s">
        <v>1268</v>
      </c>
      <c r="F379" s="2"/>
      <c r="G379" s="2"/>
      <c r="H379" s="2"/>
      <c r="I379" s="2"/>
      <c r="J379" s="2"/>
      <c r="K379" s="2"/>
      <c r="L379" s="2"/>
      <c r="AG379" s="1636" t="s">
        <v>299</v>
      </c>
      <c r="AH379" s="1636"/>
    </row>
    <row r="380" spans="1:34" ht="13" customHeight="1">
      <c r="E380" s="2"/>
      <c r="F380" s="2"/>
      <c r="G380" s="2" t="s">
        <v>1269</v>
      </c>
      <c r="H380" s="2"/>
      <c r="I380" s="2"/>
      <c r="J380" s="2"/>
      <c r="K380" s="2"/>
      <c r="L380" s="2"/>
      <c r="AG380" s="1636" t="s">
        <v>299</v>
      </c>
      <c r="AH380" s="1636"/>
    </row>
    <row r="381" spans="1:34" ht="13" customHeight="1">
      <c r="E381" s="2"/>
      <c r="F381" s="2"/>
      <c r="G381" s="216" t="s">
        <v>1270</v>
      </c>
      <c r="H381" s="2"/>
      <c r="I381" s="2"/>
      <c r="J381" s="2"/>
      <c r="K381" s="2"/>
      <c r="L381" s="2"/>
      <c r="V381" s="1381" t="s">
        <v>299</v>
      </c>
      <c r="W381" s="1381"/>
      <c r="Y381" s="18" t="s">
        <v>1271</v>
      </c>
    </row>
    <row r="382" spans="1:34" ht="13" customHeight="1">
      <c r="E382" s="2" t="s">
        <v>1272</v>
      </c>
      <c r="F382" s="2"/>
      <c r="G382" s="2"/>
      <c r="H382" s="2"/>
      <c r="I382" s="2"/>
      <c r="J382" s="2"/>
      <c r="K382" s="2"/>
      <c r="L382" s="2"/>
      <c r="V382" s="1381" t="s">
        <v>299</v>
      </c>
      <c r="W382" s="1381"/>
      <c r="Y382" s="2" t="s">
        <v>1273</v>
      </c>
    </row>
    <row r="383" spans="1:34" ht="13" customHeight="1"/>
    <row r="384" spans="1:34" ht="13" customHeight="1">
      <c r="A384" s="1" t="s">
        <v>1274</v>
      </c>
      <c r="B384" s="1"/>
    </row>
    <row r="385" spans="4:36" ht="13" customHeight="1">
      <c r="D385" t="s">
        <v>1275</v>
      </c>
      <c r="J385" s="1335" t="s">
        <v>1276</v>
      </c>
      <c r="K385" s="1335"/>
      <c r="L385" s="1335"/>
      <c r="M385" s="1335"/>
      <c r="N385" s="1335"/>
      <c r="O385" s="1335"/>
      <c r="P385" s="1335"/>
      <c r="Q385" s="1335"/>
      <c r="R385" s="1335"/>
      <c r="S385" s="1335"/>
      <c r="T385" s="1335"/>
      <c r="U385" s="1335"/>
      <c r="V385" s="7" t="s">
        <v>1277</v>
      </c>
      <c r="W385" s="7"/>
      <c r="X385" s="7"/>
      <c r="Y385" s="7"/>
      <c r="Z385" s="7"/>
      <c r="AA385" s="7"/>
      <c r="AB385" s="7"/>
      <c r="AC385" s="1335" t="s">
        <v>1278</v>
      </c>
      <c r="AD385" s="1335"/>
      <c r="AE385" s="1335"/>
      <c r="AF385" s="1335"/>
      <c r="AG385" s="1335"/>
      <c r="AH385" s="1335"/>
      <c r="AI385" s="1335"/>
      <c r="AJ385" s="1335"/>
    </row>
    <row r="386" spans="4:36" ht="13" customHeight="1">
      <c r="D386" s="2" t="s">
        <v>1279</v>
      </c>
      <c r="J386" s="1385" t="s">
        <v>1278</v>
      </c>
      <c r="K386" s="1385"/>
      <c r="L386" s="1385"/>
      <c r="M386" s="1385"/>
      <c r="N386" s="1385"/>
      <c r="O386" s="1385"/>
      <c r="P386" s="1385"/>
      <c r="Q386" s="1385"/>
      <c r="R386" s="1385"/>
      <c r="S386" s="1385"/>
      <c r="T386" s="1385"/>
      <c r="U386" s="1385"/>
      <c r="V386" s="2" t="s">
        <v>1279</v>
      </c>
      <c r="W386" s="7"/>
      <c r="X386" s="7"/>
      <c r="Y386" s="7"/>
      <c r="Z386" s="7"/>
      <c r="AA386" s="7"/>
      <c r="AB386" s="7"/>
      <c r="AC386" s="1335"/>
      <c r="AD386" s="1335"/>
      <c r="AE386" s="1335"/>
      <c r="AF386" s="1335"/>
      <c r="AG386" s="1335"/>
      <c r="AH386" s="1335"/>
      <c r="AI386" s="1335"/>
      <c r="AJ386" s="1335"/>
    </row>
    <row r="387" spans="4:36" ht="13" customHeight="1">
      <c r="D387" s="2" t="s">
        <v>873</v>
      </c>
      <c r="J387" s="1385"/>
      <c r="K387" s="1385"/>
      <c r="L387" s="1385"/>
      <c r="M387" s="1385"/>
      <c r="N387" s="1385"/>
      <c r="O387" s="1385"/>
      <c r="P387" s="1385"/>
      <c r="Q387" s="1385"/>
      <c r="R387" s="1385"/>
      <c r="S387" s="1385"/>
      <c r="T387" s="1385"/>
      <c r="U387" s="1385"/>
      <c r="V387" s="2" t="s">
        <v>873</v>
      </c>
      <c r="W387" s="7"/>
      <c r="X387" s="7"/>
      <c r="Y387" s="7"/>
      <c r="Z387" s="7"/>
      <c r="AA387" s="7"/>
      <c r="AB387" s="7"/>
      <c r="AC387" s="1335"/>
      <c r="AD387" s="1335"/>
      <c r="AE387" s="1335"/>
      <c r="AF387" s="1335"/>
      <c r="AG387" s="1335"/>
      <c r="AH387" s="1335"/>
      <c r="AI387" s="1335"/>
      <c r="AJ387" s="1335"/>
    </row>
    <row r="388" spans="4:36" ht="13" customHeight="1">
      <c r="D388" t="s">
        <v>1280</v>
      </c>
      <c r="J388" s="1489"/>
      <c r="K388" s="1489"/>
      <c r="L388" s="1489"/>
      <c r="M388" s="1489"/>
      <c r="N388" s="1489"/>
      <c r="O388" s="1489"/>
      <c r="P388" s="1489"/>
      <c r="Q388" s="1489"/>
      <c r="R388" s="1489"/>
      <c r="S388" s="1489"/>
      <c r="T388" s="1489"/>
      <c r="U388" s="1489"/>
      <c r="V388" s="1335"/>
      <c r="W388" s="1335"/>
      <c r="X388" s="1335"/>
      <c r="Y388" s="1335"/>
      <c r="Z388" s="1335"/>
      <c r="AA388" s="1335"/>
      <c r="AB388" s="1335"/>
      <c r="AC388" s="1335"/>
      <c r="AD388" s="1335"/>
      <c r="AE388" s="1335"/>
      <c r="AF388" s="1335"/>
      <c r="AG388" s="1335"/>
      <c r="AH388" s="1335"/>
      <c r="AI388" s="1335"/>
      <c r="AJ388" s="1335"/>
    </row>
    <row r="389" spans="4:36" ht="13" customHeight="1">
      <c r="D389" t="s">
        <v>1281</v>
      </c>
      <c r="Q389" s="1632">
        <v>45202</v>
      </c>
      <c r="R389" s="1632"/>
      <c r="S389" s="1632"/>
      <c r="T389" s="1632"/>
      <c r="U389" s="1632"/>
      <c r="V389" t="s">
        <v>1282</v>
      </c>
      <c r="AI389" s="1381" t="s">
        <v>895</v>
      </c>
      <c r="AJ389" s="1381"/>
    </row>
    <row r="390" spans="4:36" ht="13" customHeight="1">
      <c r="D390" t="s">
        <v>1283</v>
      </c>
      <c r="Q390" s="1598">
        <v>45567</v>
      </c>
      <c r="R390" s="1629"/>
      <c r="S390" s="1629"/>
      <c r="T390" s="1629"/>
      <c r="U390" s="1629"/>
      <c r="W390" s="17" t="s">
        <v>1284</v>
      </c>
      <c r="AG390" s="1627"/>
      <c r="AH390" s="1627"/>
      <c r="AI390" s="1627"/>
      <c r="AJ390" s="1627"/>
    </row>
    <row r="391" spans="4:36" ht="13" customHeight="1">
      <c r="D391" t="s">
        <v>1285</v>
      </c>
      <c r="Q391" s="1468">
        <v>1441000</v>
      </c>
      <c r="R391" s="1468"/>
      <c r="S391" s="1468"/>
      <c r="T391" s="1468"/>
      <c r="U391" s="1468"/>
      <c r="V391" s="2" t="s">
        <v>1286</v>
      </c>
      <c r="AG391" s="1765"/>
      <c r="AH391" s="1765"/>
      <c r="AI391" s="1765"/>
      <c r="AJ391" s="1765"/>
    </row>
    <row r="392" spans="4:36" ht="13" customHeight="1">
      <c r="D392" t="s">
        <v>1119</v>
      </c>
      <c r="I392" s="1649"/>
      <c r="J392" s="1649"/>
      <c r="K392" s="1649"/>
      <c r="L392" s="1649"/>
      <c r="M392" s="1649"/>
      <c r="N392" s="1649"/>
      <c r="Q392" s="2" t="s">
        <v>1121</v>
      </c>
      <c r="S392" s="1631"/>
      <c r="T392" s="1631"/>
      <c r="U392" s="1631"/>
      <c r="V392" t="s">
        <v>1287</v>
      </c>
      <c r="AI392" s="1381" t="s">
        <v>895</v>
      </c>
      <c r="AJ392" s="1381"/>
    </row>
    <row r="393" spans="4:36" ht="13" customHeight="1">
      <c r="D393" t="s">
        <v>1288</v>
      </c>
      <c r="Q393" s="1475"/>
      <c r="R393" s="1475"/>
      <c r="S393" s="1475"/>
      <c r="T393" s="1475"/>
      <c r="U393" s="1475"/>
      <c r="V393" t="s">
        <v>1289</v>
      </c>
      <c r="AG393" s="1627"/>
      <c r="AH393" s="1627"/>
      <c r="AI393" s="1627"/>
      <c r="AJ393" s="1627"/>
    </row>
    <row r="394" spans="4:36" ht="13" customHeight="1">
      <c r="D394" t="s">
        <v>1290</v>
      </c>
      <c r="Q394" s="1711"/>
      <c r="R394" s="1711"/>
      <c r="S394" s="1711"/>
      <c r="T394" s="1711"/>
      <c r="U394" s="1711"/>
      <c r="V394" t="s">
        <v>1291</v>
      </c>
      <c r="AG394" s="1627"/>
      <c r="AH394" s="1627"/>
      <c r="AI394" s="1627"/>
      <c r="AJ394" s="1627"/>
    </row>
    <row r="395" spans="4:36" ht="13" customHeight="1">
      <c r="D395" t="s">
        <v>1292</v>
      </c>
      <c r="AG395" s="1627"/>
      <c r="AH395" s="1627"/>
      <c r="AI395" s="1627"/>
      <c r="AJ395" s="1627"/>
    </row>
    <row r="396" spans="4:36" ht="13" customHeight="1">
      <c r="AG396" s="1045"/>
      <c r="AH396" s="1045"/>
      <c r="AI396" s="1045"/>
      <c r="AJ396" s="1045"/>
    </row>
    <row r="397" spans="4:36" ht="13" customHeight="1">
      <c r="D397" s="2" t="s">
        <v>1293</v>
      </c>
      <c r="AG397" s="1045"/>
      <c r="AH397" s="1045"/>
      <c r="AI397" s="1381" t="s">
        <v>895</v>
      </c>
      <c r="AJ397" s="1381"/>
    </row>
    <row r="398" spans="4:36" ht="13" customHeight="1">
      <c r="D398" s="2" t="s">
        <v>1294</v>
      </c>
      <c r="T398" s="1715"/>
      <c r="U398" s="1715"/>
      <c r="V398" s="1715"/>
      <c r="W398" s="1715"/>
      <c r="X398" s="1715"/>
      <c r="Y398" s="1715"/>
      <c r="Z398" s="1715"/>
      <c r="AA398" s="1715"/>
      <c r="AB398" s="1715"/>
      <c r="AC398" s="1715"/>
      <c r="AD398" s="1715"/>
      <c r="AE398" s="1715"/>
      <c r="AF398" s="1715"/>
      <c r="AG398" s="1715"/>
      <c r="AH398" s="1715"/>
      <c r="AI398" s="1715"/>
      <c r="AJ398" s="1715"/>
    </row>
    <row r="399" spans="4:36" ht="13" customHeight="1">
      <c r="D399" s="2" t="s">
        <v>1295</v>
      </c>
      <c r="T399" s="1715"/>
      <c r="U399" s="1715"/>
      <c r="V399" s="1715"/>
      <c r="W399" s="1715"/>
      <c r="X399" s="1715"/>
      <c r="Y399" s="1715"/>
      <c r="Z399" s="1715"/>
      <c r="AA399" s="1715"/>
      <c r="AB399" s="1715"/>
      <c r="AC399" s="1715"/>
      <c r="AD399" s="1715"/>
      <c r="AE399" s="1715"/>
      <c r="AF399" s="1715"/>
      <c r="AG399" s="1715"/>
      <c r="AH399" s="1715"/>
      <c r="AI399" s="1715"/>
      <c r="AJ399" s="1715"/>
    </row>
    <row r="400" spans="4:36" ht="13" customHeight="1">
      <c r="AG400" s="1045"/>
      <c r="AH400" s="1045"/>
      <c r="AI400" s="1045"/>
      <c r="AJ400" s="1045"/>
    </row>
    <row r="401" spans="1:36" ht="13" customHeight="1">
      <c r="D401" s="2" t="s">
        <v>1296</v>
      </c>
      <c r="S401" s="1715" t="s">
        <v>895</v>
      </c>
      <c r="T401" s="1715"/>
      <c r="U401" s="1715"/>
      <c r="V401" t="s">
        <v>1297</v>
      </c>
      <c r="AG401" s="1762"/>
      <c r="AH401" s="1762"/>
      <c r="AI401" s="1762"/>
      <c r="AJ401" s="1762"/>
    </row>
    <row r="402" spans="1:36" ht="13" customHeight="1">
      <c r="D402" s="2" t="s">
        <v>1298</v>
      </c>
      <c r="S402" s="1715" t="s">
        <v>299</v>
      </c>
      <c r="T402" s="1715"/>
      <c r="U402" s="1715"/>
      <c r="V402" t="s">
        <v>1299</v>
      </c>
      <c r="AE402" s="1767"/>
      <c r="AF402" s="1767"/>
      <c r="AG402" s="1767"/>
      <c r="AH402" s="1767"/>
      <c r="AI402" s="1767"/>
      <c r="AJ402" s="1767"/>
    </row>
    <row r="403" spans="1:36" ht="13" customHeight="1">
      <c r="D403" s="2" t="s">
        <v>1300</v>
      </c>
      <c r="K403" s="1737"/>
      <c r="L403" s="1737"/>
      <c r="M403" s="1737"/>
      <c r="N403" s="1737"/>
      <c r="O403" s="1737"/>
      <c r="P403" s="1737"/>
      <c r="Q403" s="1737"/>
      <c r="R403" s="1737"/>
      <c r="S403" s="1737"/>
      <c r="T403" s="1737"/>
      <c r="U403" s="1737"/>
      <c r="V403" s="1737"/>
      <c r="W403" s="1737"/>
      <c r="X403" s="1737"/>
      <c r="Y403" s="1737"/>
      <c r="Z403" s="1737"/>
      <c r="AA403" s="1737"/>
      <c r="AB403" s="1737"/>
      <c r="AC403" s="1737"/>
      <c r="AD403" s="1737"/>
      <c r="AE403" s="1737"/>
      <c r="AF403" s="1737"/>
      <c r="AG403" s="1737"/>
      <c r="AH403" s="1737"/>
      <c r="AI403" s="1737"/>
      <c r="AJ403" s="1737"/>
    </row>
    <row r="404" spans="1:36" ht="13" customHeight="1">
      <c r="D404" s="2" t="s">
        <v>1301</v>
      </c>
      <c r="K404" s="1737"/>
      <c r="L404" s="1737"/>
      <c r="M404" s="1737"/>
      <c r="N404" s="1737"/>
      <c r="O404" s="1737"/>
      <c r="P404" s="1737"/>
      <c r="Q404" s="1737"/>
      <c r="R404" s="1737"/>
      <c r="S404" s="1737"/>
      <c r="T404" s="1737"/>
      <c r="U404" s="1737"/>
      <c r="V404" s="1737"/>
      <c r="W404" s="1737"/>
      <c r="X404" s="1737"/>
      <c r="Y404" s="1737"/>
      <c r="Z404" s="1737"/>
      <c r="AA404" s="1737"/>
      <c r="AB404" s="1737"/>
      <c r="AC404" s="1737"/>
      <c r="AD404" s="1737"/>
      <c r="AE404" s="1737"/>
      <c r="AF404" s="1737"/>
      <c r="AG404" s="1737"/>
      <c r="AH404" s="1737"/>
      <c r="AI404" s="1737"/>
      <c r="AJ404" s="1737"/>
    </row>
    <row r="405" spans="1:36" ht="13" customHeight="1">
      <c r="D405" s="2" t="s">
        <v>1302</v>
      </c>
      <c r="E405" s="1150"/>
      <c r="F405" s="1150"/>
      <c r="G405" s="1150"/>
      <c r="H405" s="1150"/>
      <c r="I405" s="1150"/>
      <c r="J405" s="1150"/>
      <c r="K405" s="1150"/>
      <c r="L405" s="1150"/>
      <c r="M405" s="1150"/>
      <c r="N405" s="1150"/>
      <c r="O405" s="1150"/>
      <c r="P405" s="1150"/>
      <c r="Q405" s="1150"/>
      <c r="R405" s="1150"/>
      <c r="S405" s="1761" t="s">
        <v>1079</v>
      </c>
      <c r="T405" s="1761"/>
      <c r="U405" s="1761"/>
      <c r="V405" s="1761"/>
      <c r="W405" s="1761"/>
      <c r="X405" s="1761"/>
      <c r="Y405" s="1761"/>
      <c r="Z405" s="1761"/>
      <c r="AA405" s="1761"/>
      <c r="AB405" s="1761"/>
      <c r="AC405" s="1761"/>
      <c r="AD405" s="1761"/>
      <c r="AE405" s="1761"/>
      <c r="AF405" s="1761"/>
      <c r="AG405" s="1761"/>
      <c r="AH405" s="1761"/>
      <c r="AI405" s="1761"/>
      <c r="AJ405" s="1761"/>
    </row>
    <row r="406" spans="1:36" ht="13" customHeight="1">
      <c r="D406" s="1226" t="s">
        <v>1303</v>
      </c>
      <c r="E406" s="1226"/>
      <c r="F406" s="1226"/>
      <c r="G406" s="1226"/>
      <c r="H406" s="1226"/>
      <c r="I406" s="1226"/>
      <c r="J406" s="1226"/>
      <c r="K406" s="1226"/>
      <c r="L406" s="1226"/>
      <c r="M406" s="1226"/>
      <c r="N406" s="1226"/>
      <c r="O406" s="1226"/>
      <c r="P406" s="1226"/>
      <c r="Q406" s="1226"/>
      <c r="R406" s="1226"/>
      <c r="S406" s="1226"/>
      <c r="T406" s="1226"/>
      <c r="U406" s="1226"/>
      <c r="V406" s="1226"/>
      <c r="W406" s="1226"/>
      <c r="X406" s="1226"/>
      <c r="Y406" s="1226"/>
      <c r="Z406" s="1226"/>
      <c r="AA406" s="1226"/>
      <c r="AB406" s="1226"/>
      <c r="AC406" s="1226"/>
      <c r="AD406" s="1226"/>
      <c r="AE406" s="1226"/>
      <c r="AF406" s="1226"/>
      <c r="AG406" s="1226"/>
      <c r="AH406" s="1226"/>
      <c r="AI406" s="1226"/>
      <c r="AJ406" s="1226"/>
    </row>
    <row r="407" spans="1:36" ht="13" customHeight="1">
      <c r="D407" s="1226"/>
      <c r="E407" s="1226"/>
      <c r="F407" s="1226"/>
      <c r="G407" s="1226"/>
      <c r="H407" s="1226"/>
      <c r="I407" s="1226"/>
      <c r="J407" s="1226"/>
      <c r="K407" s="1226"/>
      <c r="L407" s="1226"/>
      <c r="M407" s="1226"/>
      <c r="N407" s="1226"/>
      <c r="O407" s="1226"/>
      <c r="P407" s="1226"/>
      <c r="Q407" s="1226"/>
      <c r="R407" s="1226"/>
      <c r="S407" s="1226"/>
      <c r="T407" s="1226"/>
      <c r="U407" s="1226"/>
      <c r="V407" s="1226"/>
      <c r="W407" s="1226"/>
      <c r="X407" s="1226"/>
      <c r="Y407" s="1226"/>
      <c r="Z407" s="1226"/>
      <c r="AA407" s="1226"/>
      <c r="AB407" s="1226"/>
      <c r="AC407" s="1226"/>
      <c r="AD407" s="1226"/>
      <c r="AE407" s="1226"/>
      <c r="AF407" s="1226"/>
      <c r="AG407" s="1226"/>
      <c r="AH407" s="1226"/>
      <c r="AI407" s="1226"/>
      <c r="AJ407" s="1226"/>
    </row>
    <row r="408" spans="1:36" ht="13" customHeight="1">
      <c r="AG408" s="1045"/>
      <c r="AH408" s="1045"/>
      <c r="AI408" s="1045"/>
      <c r="AJ408" s="1045"/>
    </row>
    <row r="409" spans="1:36" ht="13" customHeight="1">
      <c r="A409" s="1" t="s">
        <v>1060</v>
      </c>
      <c r="B409" s="1"/>
      <c r="C409" s="1" t="s">
        <v>144</v>
      </c>
    </row>
    <row r="410" spans="1:36" ht="13" customHeight="1">
      <c r="B410" s="1"/>
      <c r="C410" s="1"/>
      <c r="D410" s="1" t="s">
        <v>1304</v>
      </c>
      <c r="I410" s="1380" t="s">
        <v>1305</v>
      </c>
      <c r="J410" s="1380"/>
      <c r="K410" s="1380"/>
      <c r="L410" s="1380"/>
      <c r="M410" s="1380"/>
      <c r="N410" s="1380"/>
      <c r="O410" s="1380"/>
      <c r="P410" s="1380"/>
      <c r="Q410" s="1380"/>
      <c r="R410" s="1380"/>
      <c r="S410" s="1380"/>
      <c r="T410" s="1380"/>
      <c r="U410" s="1380"/>
      <c r="V410" s="1380"/>
      <c r="W410" s="1380"/>
      <c r="X410" s="1380"/>
      <c r="Y410" s="1380"/>
      <c r="Z410" s="1380"/>
      <c r="AA410" s="1380"/>
      <c r="AB410" s="1380"/>
      <c r="AC410" s="1380"/>
      <c r="AD410" s="1380"/>
      <c r="AE410" s="1380"/>
    </row>
    <row r="411" spans="1:36" ht="13" customHeight="1">
      <c r="E411" t="s">
        <v>1306</v>
      </c>
      <c r="R411" s="1381" t="s">
        <v>299</v>
      </c>
      <c r="S411" s="1381"/>
      <c r="AC411" s="22" t="s">
        <v>1307</v>
      </c>
      <c r="AD411" s="1563"/>
      <c r="AE411" s="1563"/>
    </row>
    <row r="412" spans="1:36" ht="13" customHeight="1">
      <c r="E412" t="s">
        <v>1308</v>
      </c>
      <c r="R412" s="1381" t="s">
        <v>837</v>
      </c>
      <c r="S412" s="1381"/>
      <c r="AC412" s="22" t="s">
        <v>1307</v>
      </c>
      <c r="AD412" s="1563">
        <v>3</v>
      </c>
      <c r="AE412" s="1563"/>
    </row>
    <row r="413" spans="1:36" ht="13" customHeight="1">
      <c r="E413" t="s">
        <v>1309</v>
      </c>
      <c r="S413" s="1381" t="s">
        <v>299</v>
      </c>
      <c r="T413" s="1381"/>
    </row>
    <row r="414" spans="1:36" ht="13" customHeight="1">
      <c r="E414" t="s">
        <v>232</v>
      </c>
      <c r="H414" s="1752" t="s">
        <v>1310</v>
      </c>
      <c r="I414" s="1752"/>
      <c r="J414" s="1752"/>
      <c r="K414" s="1752"/>
      <c r="L414" s="1752"/>
      <c r="M414" s="1752"/>
      <c r="N414" s="1752"/>
      <c r="O414" s="1752"/>
      <c r="P414" s="1752"/>
      <c r="Q414" s="1752"/>
      <c r="R414" s="1752"/>
      <c r="S414" s="1752"/>
      <c r="T414" s="1752"/>
      <c r="U414" s="1752"/>
      <c r="V414" s="1752"/>
      <c r="W414" s="1752"/>
      <c r="X414" s="1752"/>
      <c r="Y414" s="1752"/>
      <c r="Z414" s="1752"/>
      <c r="AA414" s="1752"/>
      <c r="AB414" s="1752"/>
      <c r="AC414" s="1752"/>
      <c r="AD414" s="1752"/>
      <c r="AE414" s="1752"/>
    </row>
    <row r="415" spans="1:36" ht="13" customHeight="1">
      <c r="H415" s="1753"/>
      <c r="I415" s="1753"/>
      <c r="J415" s="1753"/>
      <c r="K415" s="1753"/>
      <c r="L415" s="1753"/>
      <c r="M415" s="1753"/>
      <c r="N415" s="1753"/>
      <c r="O415" s="1753"/>
      <c r="P415" s="1753"/>
      <c r="Q415" s="1753"/>
      <c r="R415" s="1753"/>
      <c r="S415" s="1753"/>
      <c r="T415" s="1753"/>
      <c r="U415" s="1753"/>
      <c r="V415" s="1753"/>
      <c r="W415" s="1753"/>
      <c r="X415" s="1753"/>
      <c r="Y415" s="1753"/>
      <c r="Z415" s="1753"/>
      <c r="AA415" s="1753"/>
      <c r="AB415" s="1753"/>
      <c r="AC415" s="1753"/>
      <c r="AD415" s="1753"/>
      <c r="AE415" s="1753"/>
    </row>
    <row r="416" spans="1:36" ht="13" customHeight="1"/>
    <row r="417" spans="1:39" ht="13" customHeight="1">
      <c r="A417" s="1" t="s">
        <v>1072</v>
      </c>
      <c r="B417" s="1"/>
      <c r="C417" s="1"/>
      <c r="D417" s="1" t="s">
        <v>149</v>
      </c>
      <c r="AF417" s="1" t="s">
        <v>1311</v>
      </c>
    </row>
    <row r="418" spans="1:39" ht="13" customHeight="1">
      <c r="E418" s="1628"/>
      <c r="F418" s="1628"/>
      <c r="G418" s="1628"/>
      <c r="H418" s="1127" t="s">
        <v>1312</v>
      </c>
      <c r="I418" s="1628"/>
      <c r="J418" s="1628"/>
      <c r="K418" s="1628"/>
      <c r="L418" t="s">
        <v>1313</v>
      </c>
      <c r="N418" s="22" t="s">
        <v>35</v>
      </c>
      <c r="P418" s="1630">
        <v>3.42</v>
      </c>
      <c r="Q418" s="1630"/>
      <c r="R418" s="1630"/>
      <c r="S418" t="s">
        <v>1314</v>
      </c>
      <c r="W418" s="1792">
        <f>IF(E418&gt;0,(E418*I418),(P418*43560))</f>
        <v>148975.19999999998</v>
      </c>
      <c r="X418" s="1792"/>
      <c r="Y418" s="1792"/>
      <c r="Z418" t="s">
        <v>1315</v>
      </c>
      <c r="AF418" s="1626">
        <f>IFERROR(IF(P418&gt;0,(AG437/P418),(AG437/(W418/43560))),0)</f>
        <v>15.497076023391813</v>
      </c>
      <c r="AG418" s="1626"/>
      <c r="AH418" s="1626"/>
      <c r="AM418" s="2"/>
    </row>
    <row r="419" spans="1:39" ht="13" customHeight="1">
      <c r="E419" t="s">
        <v>1316</v>
      </c>
    </row>
    <row r="420" spans="1:39" ht="13" customHeight="1">
      <c r="E420" s="1766"/>
      <c r="F420" s="1766"/>
      <c r="G420" s="1766"/>
      <c r="H420" s="1766"/>
      <c r="I420" s="1766"/>
      <c r="J420" s="1766"/>
      <c r="K420" s="1766"/>
      <c r="L420" s="1766"/>
      <c r="M420" s="1766"/>
      <c r="N420" s="1766"/>
      <c r="O420" s="1766"/>
      <c r="P420" s="1766"/>
      <c r="Q420" s="1766"/>
      <c r="R420" s="1766"/>
      <c r="S420" s="1766"/>
      <c r="T420" s="1766"/>
      <c r="U420" s="1766"/>
      <c r="V420" s="1766"/>
      <c r="W420" s="1766"/>
      <c r="X420" s="1766"/>
      <c r="Y420" s="1766"/>
      <c r="Z420" s="1766"/>
      <c r="AA420" s="1766"/>
      <c r="AB420" s="1766"/>
      <c r="AC420" s="1766"/>
      <c r="AD420" s="1766"/>
      <c r="AE420" s="1766"/>
      <c r="AF420" s="1766"/>
      <c r="AG420" s="1766"/>
      <c r="AH420" s="1766"/>
      <c r="AI420" s="1766"/>
      <c r="AJ420" s="1766"/>
    </row>
    <row r="421" spans="1:39" ht="13" customHeight="1">
      <c r="E421" s="68" t="s">
        <v>1317</v>
      </c>
      <c r="F421" s="17"/>
      <c r="G421" s="17"/>
      <c r="H421" s="17"/>
      <c r="I421" s="1713">
        <v>3.42</v>
      </c>
      <c r="J421" s="1713"/>
      <c r="K421" s="1713"/>
      <c r="L421" s="17"/>
      <c r="M421" s="68"/>
      <c r="N421" s="17"/>
      <c r="O421" s="17"/>
      <c r="P421" s="1754">
        <f>(CS634+CS642+CS658)/I421</f>
        <v>35.964912280701753</v>
      </c>
      <c r="Q421" s="1754"/>
      <c r="R421" s="1754"/>
      <c r="S421" s="68" t="s">
        <v>1318</v>
      </c>
      <c r="T421" s="17"/>
      <c r="U421" s="17"/>
      <c r="V421" s="17"/>
      <c r="W421" s="17"/>
      <c r="X421" s="17"/>
      <c r="Y421" s="17"/>
      <c r="Z421" s="17"/>
      <c r="AA421" s="17"/>
      <c r="AB421" s="17"/>
      <c r="AC421" s="17"/>
      <c r="AD421" s="17"/>
      <c r="AE421" s="17"/>
      <c r="AF421" s="17"/>
      <c r="AG421" s="17"/>
      <c r="AH421" s="17"/>
      <c r="AI421" s="17"/>
      <c r="AJ421" s="17"/>
    </row>
    <row r="422" spans="1:39" ht="13" customHeight="1"/>
    <row r="423" spans="1:39" ht="13" customHeight="1">
      <c r="A423" s="1" t="s">
        <v>1098</v>
      </c>
      <c r="B423" s="1"/>
      <c r="C423" s="1"/>
      <c r="D423" s="1" t="s">
        <v>151</v>
      </c>
    </row>
    <row r="424" spans="1:39" ht="13" customHeight="1">
      <c r="E424" t="s">
        <v>1319</v>
      </c>
      <c r="P424" s="1381">
        <v>1</v>
      </c>
      <c r="Q424" s="1381"/>
      <c r="S424" t="s">
        <v>1320</v>
      </c>
      <c r="AE424" s="1381">
        <v>1</v>
      </c>
      <c r="AF424" s="1381"/>
    </row>
    <row r="425" spans="1:39" ht="13" customHeight="1">
      <c r="E425" t="s">
        <v>1321</v>
      </c>
      <c r="P425" s="1381">
        <v>0</v>
      </c>
      <c r="Q425" s="1381"/>
      <c r="S425" t="s">
        <v>1322</v>
      </c>
      <c r="AE425" s="1381" t="s">
        <v>299</v>
      </c>
      <c r="AF425" s="1381"/>
    </row>
    <row r="426" spans="1:39" ht="13" customHeight="1">
      <c r="F426" s="18" t="s">
        <v>1323</v>
      </c>
    </row>
    <row r="427" spans="1:39" ht="13" customHeight="1">
      <c r="F427" s="1725"/>
      <c r="G427" s="1725"/>
      <c r="H427" s="1725"/>
      <c r="I427" s="1725"/>
      <c r="J427" s="1725"/>
      <c r="K427" s="1725"/>
      <c r="L427" s="1725"/>
      <c r="M427" s="1725"/>
      <c r="N427" s="1725"/>
      <c r="O427" s="1725"/>
      <c r="P427" s="1725"/>
      <c r="Q427" s="1725"/>
      <c r="R427" s="1725"/>
      <c r="S427" s="1725"/>
      <c r="T427" s="1725"/>
      <c r="U427" s="1725"/>
      <c r="V427" s="1725"/>
      <c r="W427" s="1725"/>
      <c r="X427" s="1725"/>
      <c r="Y427" s="1725"/>
      <c r="Z427" s="1725"/>
      <c r="AA427" s="1725"/>
      <c r="AB427" s="1725"/>
      <c r="AC427" s="1725"/>
      <c r="AD427" s="1725"/>
      <c r="AE427" s="1725"/>
      <c r="AF427" s="1725"/>
      <c r="AG427" s="1725"/>
      <c r="AH427" s="1725"/>
    </row>
    <row r="428" spans="1:39" ht="13" customHeight="1">
      <c r="F428" s="1726"/>
      <c r="G428" s="1726"/>
      <c r="H428" s="1726"/>
      <c r="I428" s="1726"/>
      <c r="J428" s="1726"/>
      <c r="K428" s="1726"/>
      <c r="L428" s="1726"/>
      <c r="M428" s="1726"/>
      <c r="N428" s="1726"/>
      <c r="O428" s="1726"/>
      <c r="P428" s="1726"/>
      <c r="Q428" s="1726"/>
      <c r="R428" s="1726"/>
      <c r="S428" s="1726"/>
      <c r="T428" s="1726"/>
      <c r="U428" s="1726"/>
      <c r="V428" s="1726"/>
      <c r="W428" s="1726"/>
      <c r="X428" s="1726"/>
      <c r="Y428" s="1726"/>
      <c r="Z428" s="1726"/>
      <c r="AA428" s="1726"/>
      <c r="AB428" s="1726"/>
      <c r="AC428" s="1726"/>
      <c r="AD428" s="1726"/>
      <c r="AE428" s="1726"/>
      <c r="AF428" s="1726"/>
      <c r="AG428" s="1726"/>
      <c r="AH428" s="1726"/>
    </row>
    <row r="429" spans="1:39" ht="13" customHeight="1">
      <c r="E429" t="s">
        <v>1324</v>
      </c>
      <c r="P429" s="1126"/>
      <c r="Q429" s="1381" t="s">
        <v>837</v>
      </c>
      <c r="R429" s="1381"/>
    </row>
    <row r="430" spans="1:39" ht="13" customHeight="1">
      <c r="F430" t="s">
        <v>1325</v>
      </c>
      <c r="P430" s="1126"/>
      <c r="Q430" s="1126"/>
      <c r="AF430" s="1381" t="s">
        <v>299</v>
      </c>
      <c r="AG430" s="1718"/>
    </row>
    <row r="431" spans="1:39" ht="13" customHeight="1"/>
    <row r="432" spans="1:39" ht="13" customHeight="1">
      <c r="A432" s="1"/>
      <c r="B432" s="1"/>
      <c r="C432" s="1"/>
      <c r="E432" s="2" t="s">
        <v>1326</v>
      </c>
      <c r="Z432" s="1381" t="s">
        <v>895</v>
      </c>
      <c r="AA432" s="1381"/>
    </row>
    <row r="433" spans="1:110" ht="13" customHeight="1">
      <c r="F433" s="29" t="s">
        <v>1327</v>
      </c>
      <c r="G433" s="1179"/>
      <c r="H433" s="1179"/>
      <c r="I433" s="1179"/>
      <c r="J433" s="1179"/>
      <c r="K433" s="1179"/>
      <c r="L433" s="1179"/>
      <c r="M433" s="1179"/>
      <c r="N433" s="1179"/>
      <c r="O433" s="1179"/>
      <c r="P433" s="1179"/>
      <c r="Q433" s="1179"/>
      <c r="R433" s="1179"/>
      <c r="S433" s="1179"/>
      <c r="T433" s="1179"/>
      <c r="U433" s="1179"/>
      <c r="V433" s="1179"/>
      <c r="W433" s="1179"/>
      <c r="AB433" s="1179"/>
    </row>
    <row r="434" spans="1:110" ht="13" customHeight="1">
      <c r="F434" t="s">
        <v>1328</v>
      </c>
      <c r="G434" s="1179"/>
      <c r="I434" s="1179"/>
      <c r="J434" s="1179"/>
      <c r="K434" s="1179"/>
      <c r="L434" s="1179"/>
      <c r="M434" s="1179"/>
      <c r="N434" s="1179"/>
      <c r="O434" s="18"/>
      <c r="P434" s="1179"/>
      <c r="Q434" s="1179"/>
      <c r="R434" s="1179"/>
      <c r="S434" s="1179"/>
      <c r="T434" s="1179"/>
      <c r="U434" s="1179"/>
      <c r="V434" s="1179"/>
      <c r="W434" s="1179"/>
      <c r="Z434" s="1381" t="s">
        <v>299</v>
      </c>
      <c r="AA434" s="1381"/>
    </row>
    <row r="435" spans="1:110" ht="13" customHeight="1"/>
    <row r="436" spans="1:110" ht="13" customHeight="1">
      <c r="A436" s="1" t="s">
        <v>1160</v>
      </c>
      <c r="B436" s="1"/>
      <c r="C436" s="1"/>
      <c r="D436" s="1" t="s">
        <v>158</v>
      </c>
      <c r="AF436" s="33"/>
    </row>
    <row r="437" spans="1:110" ht="13" customHeight="1">
      <c r="D437" s="1543" t="s">
        <v>1329</v>
      </c>
      <c r="E437" s="1544"/>
      <c r="F437" s="1544"/>
      <c r="G437" s="1544"/>
      <c r="H437" s="1544"/>
      <c r="I437" s="1544"/>
      <c r="J437" s="1544"/>
      <c r="K437" s="1544"/>
      <c r="L437" s="1544"/>
      <c r="M437" s="1544"/>
      <c r="N437" s="1544"/>
      <c r="O437" s="1544"/>
      <c r="P437" s="1544"/>
      <c r="Q437" s="1544"/>
      <c r="R437" s="1544"/>
      <c r="S437" s="1544"/>
      <c r="T437" s="1544"/>
      <c r="U437" s="1544"/>
      <c r="V437" s="1544"/>
      <c r="W437" s="1544"/>
      <c r="X437" s="1544"/>
      <c r="Y437" s="1544"/>
      <c r="Z437" s="1544"/>
      <c r="AA437" s="1544"/>
      <c r="AB437" s="1544"/>
      <c r="AC437" s="1544"/>
      <c r="AD437" s="1544"/>
      <c r="AE437" s="1544"/>
      <c r="AF437" s="1717"/>
      <c r="AG437" s="1702">
        <v>53</v>
      </c>
      <c r="AH437" s="1702"/>
      <c r="AI437" s="1702"/>
      <c r="AJ437" s="1702"/>
    </row>
    <row r="438" spans="1:110" ht="13" customHeight="1">
      <c r="D438" s="1577" t="s">
        <v>1330</v>
      </c>
      <c r="E438" s="1644"/>
      <c r="F438" s="1644"/>
      <c r="G438" s="1644"/>
      <c r="H438" s="1644"/>
      <c r="I438" s="1644"/>
      <c r="J438" s="1644"/>
      <c r="K438" s="1644"/>
      <c r="L438" s="1644"/>
      <c r="M438" s="1644"/>
      <c r="N438" s="1644"/>
      <c r="O438" s="1644"/>
      <c r="P438" s="1644"/>
      <c r="Q438" s="1644"/>
      <c r="R438" s="1644"/>
      <c r="S438" s="1644"/>
      <c r="T438" s="1644"/>
      <c r="U438" s="1644"/>
      <c r="V438" s="1644"/>
      <c r="W438" s="1644"/>
      <c r="X438" s="1644"/>
      <c r="Y438" s="1644"/>
      <c r="Z438" s="1644"/>
      <c r="AA438" s="1644"/>
      <c r="AB438" s="1644"/>
      <c r="AC438" s="1644"/>
      <c r="AD438" s="1644"/>
      <c r="AE438" s="1644"/>
      <c r="AF438" s="1645"/>
      <c r="AG438" s="1763">
        <v>0</v>
      </c>
      <c r="AH438" s="1339"/>
      <c r="AI438" s="1339"/>
      <c r="AJ438" s="1339"/>
    </row>
    <row r="439" spans="1:110" ht="13" customHeight="1">
      <c r="D439" s="1577" t="s">
        <v>1331</v>
      </c>
      <c r="E439" s="1644"/>
      <c r="F439" s="1644"/>
      <c r="G439" s="1644"/>
      <c r="H439" s="1644"/>
      <c r="I439" s="1644"/>
      <c r="J439" s="1644"/>
      <c r="K439" s="1644"/>
      <c r="L439" s="1644"/>
      <c r="M439" s="1644"/>
      <c r="N439" s="1644"/>
      <c r="O439" s="1644"/>
      <c r="P439" s="1644"/>
      <c r="Q439" s="1644"/>
      <c r="R439" s="1644"/>
      <c r="S439" s="1644"/>
      <c r="T439" s="1644"/>
      <c r="U439" s="1644"/>
      <c r="V439" s="1644"/>
      <c r="W439" s="1644"/>
      <c r="X439" s="1644"/>
      <c r="Y439" s="1644"/>
      <c r="Z439" s="1644"/>
      <c r="AA439" s="1644"/>
      <c r="AB439" s="1644"/>
      <c r="AC439" s="1644"/>
      <c r="AD439" s="1644"/>
      <c r="AE439" s="1644"/>
      <c r="AF439" s="1645"/>
      <c r="AG439" s="1702">
        <v>52</v>
      </c>
      <c r="AH439" s="1702"/>
      <c r="AI439" s="1702"/>
      <c r="AJ439" s="1702"/>
    </row>
    <row r="440" spans="1:110" ht="13" customHeight="1">
      <c r="D440" s="1577" t="s">
        <v>1332</v>
      </c>
      <c r="E440" s="1644"/>
      <c r="F440" s="1644"/>
      <c r="G440" s="1644"/>
      <c r="H440" s="1644"/>
      <c r="I440" s="1644"/>
      <c r="J440" s="1644"/>
      <c r="K440" s="1644"/>
      <c r="L440" s="1644"/>
      <c r="M440" s="1644"/>
      <c r="N440" s="1644"/>
      <c r="O440" s="1644"/>
      <c r="P440" s="1644"/>
      <c r="Q440" s="1644"/>
      <c r="R440" s="1644"/>
      <c r="S440" s="1644"/>
      <c r="T440" s="1644"/>
      <c r="U440" s="1644"/>
      <c r="V440" s="1644"/>
      <c r="W440" s="1644"/>
      <c r="X440" s="1644"/>
      <c r="Y440" s="1644"/>
      <c r="Z440" s="1644"/>
      <c r="AA440" s="1644"/>
      <c r="AB440" s="1644"/>
      <c r="AC440" s="1644"/>
      <c r="AD440" s="1644"/>
      <c r="AE440" s="1644"/>
      <c r="AF440" s="1645"/>
      <c r="AG440" s="1702">
        <v>52</v>
      </c>
      <c r="AH440" s="1702"/>
      <c r="AI440" s="1702"/>
      <c r="AJ440" s="1702"/>
    </row>
    <row r="441" spans="1:110" ht="13" customHeight="1">
      <c r="D441" s="1577" t="s">
        <v>1333</v>
      </c>
      <c r="E441" s="1644"/>
      <c r="F441" s="1644"/>
      <c r="G441" s="1644"/>
      <c r="H441" s="1644"/>
      <c r="I441" s="1644"/>
      <c r="J441" s="1644"/>
      <c r="K441" s="1644"/>
      <c r="L441" s="1644"/>
      <c r="M441" s="1644"/>
      <c r="N441" s="1644"/>
      <c r="O441" s="1644"/>
      <c r="P441" s="1644"/>
      <c r="Q441" s="1644"/>
      <c r="R441" s="1644"/>
      <c r="S441" s="1644"/>
      <c r="T441" s="1644"/>
      <c r="U441" s="1644"/>
      <c r="V441" s="1644"/>
      <c r="W441" s="1644"/>
      <c r="X441" s="1644"/>
      <c r="Y441" s="1644"/>
      <c r="Z441" s="1644"/>
      <c r="AA441" s="1644"/>
      <c r="AB441" s="1644"/>
      <c r="AC441" s="1644"/>
      <c r="AD441" s="1644"/>
      <c r="AE441" s="1644"/>
      <c r="AF441" s="1645"/>
      <c r="AG441" s="1703">
        <f>IF(ISERROR(AG440/AG439),"",AG440/AG439)</f>
        <v>1</v>
      </c>
      <c r="AH441" s="1703"/>
      <c r="AI441" s="1703"/>
      <c r="AJ441" s="1703"/>
    </row>
    <row r="442" spans="1:110" ht="13" customHeight="1">
      <c r="D442" s="1577" t="s">
        <v>1334</v>
      </c>
      <c r="E442" s="1644"/>
      <c r="F442" s="1644"/>
      <c r="G442" s="1644"/>
      <c r="H442" s="1644"/>
      <c r="I442" s="1644"/>
      <c r="J442" s="1644"/>
      <c r="K442" s="1644"/>
      <c r="L442" s="1644"/>
      <c r="M442" s="1644"/>
      <c r="N442" s="1644"/>
      <c r="O442" s="1644"/>
      <c r="P442" s="1644"/>
      <c r="Q442" s="1644"/>
      <c r="R442" s="1644"/>
      <c r="S442" s="1644"/>
      <c r="T442" s="1644"/>
      <c r="U442" s="1644"/>
      <c r="V442" s="1644"/>
      <c r="W442" s="1644"/>
      <c r="X442" s="1644"/>
      <c r="Y442" s="1644"/>
      <c r="Z442" s="1644"/>
      <c r="AA442" s="1644"/>
      <c r="AB442" s="1644"/>
      <c r="AC442" s="1644"/>
      <c r="AD442" s="1644"/>
      <c r="AE442" s="1644"/>
      <c r="AF442" s="1645"/>
      <c r="AG442" s="1660">
        <v>41532</v>
      </c>
      <c r="AH442" s="1660"/>
      <c r="AI442" s="1660"/>
      <c r="AJ442" s="1660"/>
    </row>
    <row r="443" spans="1:110" ht="13" customHeight="1">
      <c r="D443" s="1577" t="s">
        <v>1335</v>
      </c>
      <c r="E443" s="1644"/>
      <c r="F443" s="1644"/>
      <c r="G443" s="1644"/>
      <c r="H443" s="1644"/>
      <c r="I443" s="1644"/>
      <c r="J443" s="1644"/>
      <c r="K443" s="1644"/>
      <c r="L443" s="1644"/>
      <c r="M443" s="1644"/>
      <c r="N443" s="1644"/>
      <c r="O443" s="1644"/>
      <c r="P443" s="1644"/>
      <c r="Q443" s="1644"/>
      <c r="R443" s="1644"/>
      <c r="S443" s="1644"/>
      <c r="T443" s="1644"/>
      <c r="U443" s="1644"/>
      <c r="V443" s="1644"/>
      <c r="W443" s="1644"/>
      <c r="X443" s="1644"/>
      <c r="Y443" s="1644"/>
      <c r="Z443" s="1644"/>
      <c r="AA443" s="1644"/>
      <c r="AB443" s="1644"/>
      <c r="AC443" s="1644"/>
      <c r="AD443" s="1644"/>
      <c r="AE443" s="1644"/>
      <c r="AF443" s="1645"/>
      <c r="AG443" s="1660">
        <v>41532</v>
      </c>
      <c r="AH443" s="1660"/>
      <c r="AI443" s="1660"/>
      <c r="AJ443" s="1660"/>
    </row>
    <row r="444" spans="1:110" ht="13" customHeight="1">
      <c r="D444" s="1577" t="s">
        <v>1336</v>
      </c>
      <c r="E444" s="1644"/>
      <c r="F444" s="1644"/>
      <c r="G444" s="1644"/>
      <c r="H444" s="1644"/>
      <c r="I444" s="1644"/>
      <c r="J444" s="1644"/>
      <c r="K444" s="1644"/>
      <c r="L444" s="1644"/>
      <c r="M444" s="1644"/>
      <c r="N444" s="1644"/>
      <c r="O444" s="1644"/>
      <c r="P444" s="1644"/>
      <c r="Q444" s="1644"/>
      <c r="R444" s="1644"/>
      <c r="S444" s="1644"/>
      <c r="T444" s="1644"/>
      <c r="U444" s="1644"/>
      <c r="V444" s="1644"/>
      <c r="W444" s="1644"/>
      <c r="X444" s="1644"/>
      <c r="Y444" s="1644"/>
      <c r="Z444" s="1644"/>
      <c r="AA444" s="1644"/>
      <c r="AB444" s="1644"/>
      <c r="AC444" s="1644"/>
      <c r="AD444" s="1644"/>
      <c r="AE444" s="1644"/>
      <c r="AF444" s="1645"/>
      <c r="AG444" s="1703">
        <f>IF(ISERROR(AG443/AG442),"",AG443/AG442)</f>
        <v>1</v>
      </c>
      <c r="AH444" s="1703"/>
      <c r="AI444" s="1703"/>
      <c r="AJ444" s="1703"/>
    </row>
    <row r="445" spans="1:110" ht="13" customHeight="1">
      <c r="D445" s="1577" t="s">
        <v>1337</v>
      </c>
      <c r="E445" s="1644"/>
      <c r="F445" s="1644"/>
      <c r="G445" s="1644"/>
      <c r="H445" s="1644"/>
      <c r="I445" s="1644"/>
      <c r="J445" s="1644"/>
      <c r="K445" s="1644"/>
      <c r="L445" s="1644"/>
      <c r="M445" s="1644"/>
      <c r="N445" s="1644"/>
      <c r="O445" s="1644"/>
      <c r="P445" s="1644"/>
      <c r="Q445" s="1644"/>
      <c r="R445" s="1644"/>
      <c r="S445" s="1644"/>
      <c r="T445" s="1644"/>
      <c r="U445" s="1644"/>
      <c r="V445" s="1644"/>
      <c r="W445" s="1644"/>
      <c r="X445" s="1644"/>
      <c r="Y445" s="1644"/>
      <c r="Z445" s="1644"/>
      <c r="AA445" s="1644"/>
      <c r="AB445" s="1644"/>
      <c r="AC445" s="1644"/>
      <c r="AD445" s="1644"/>
      <c r="AE445" s="1644"/>
      <c r="AF445" s="1645"/>
      <c r="AG445" s="1703">
        <f>MIN(IF(AG441&gt;AG444,AG444,AG441),1)</f>
        <v>1</v>
      </c>
      <c r="AH445" s="1703"/>
      <c r="AI445" s="1703"/>
      <c r="AJ445" s="1703"/>
    </row>
    <row r="446" spans="1:110" ht="13" customHeight="1">
      <c r="D446" s="1577" t="s">
        <v>1338</v>
      </c>
      <c r="E446" s="1544"/>
      <c r="F446" s="1544"/>
      <c r="G446" s="1544"/>
      <c r="H446" s="1544"/>
      <c r="I446" s="1544"/>
      <c r="J446" s="1544"/>
      <c r="K446" s="1544"/>
      <c r="L446" s="1544"/>
      <c r="M446" s="1544"/>
      <c r="N446" s="1544"/>
      <c r="O446" s="1544"/>
      <c r="P446" s="1544"/>
      <c r="Q446" s="1544"/>
      <c r="R446" s="1544"/>
      <c r="S446" s="1544"/>
      <c r="T446" s="1544"/>
      <c r="U446" s="1544"/>
      <c r="V446" s="1544"/>
      <c r="W446" s="1544"/>
      <c r="X446" s="1544"/>
      <c r="Y446" s="1544"/>
      <c r="Z446" s="1544"/>
      <c r="AA446" s="1544"/>
      <c r="AB446" s="1544"/>
      <c r="AC446" s="1544"/>
      <c r="AD446" s="1544"/>
      <c r="AE446" s="1544"/>
      <c r="AF446" s="1717"/>
      <c r="AG446" s="1660">
        <v>1086</v>
      </c>
      <c r="AH446" s="1660"/>
      <c r="AI446" s="1660"/>
      <c r="AJ446" s="1660"/>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row>
    <row r="447" spans="1:110" ht="13" customHeight="1">
      <c r="D447" s="1543" t="s">
        <v>1339</v>
      </c>
      <c r="E447" s="1544"/>
      <c r="F447" s="1544"/>
      <c r="G447" s="1544"/>
      <c r="H447" s="1544"/>
      <c r="I447" s="1544"/>
      <c r="J447" s="1544"/>
      <c r="K447" s="1544"/>
      <c r="L447" s="1544"/>
      <c r="M447" s="1544"/>
      <c r="N447" s="1544"/>
      <c r="O447" s="1544"/>
      <c r="P447" s="1544"/>
      <c r="Q447" s="1544"/>
      <c r="R447" s="1544"/>
      <c r="S447" s="1544"/>
      <c r="T447" s="1544"/>
      <c r="U447" s="1544"/>
      <c r="V447" s="1544"/>
      <c r="W447" s="1544"/>
      <c r="X447" s="1544"/>
      <c r="Y447" s="1544"/>
      <c r="Z447" s="1544"/>
      <c r="AA447" s="1544"/>
      <c r="AB447" s="1544"/>
      <c r="AC447" s="1544"/>
      <c r="AD447" s="1544"/>
      <c r="AE447" s="1544"/>
      <c r="AF447" s="1717"/>
      <c r="AG447" s="1660">
        <v>0</v>
      </c>
      <c r="AH447" s="1660"/>
      <c r="AI447" s="1660"/>
      <c r="AJ447" s="1660"/>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row>
    <row r="448" spans="1:110" ht="13" customHeight="1">
      <c r="D448" s="1577" t="s">
        <v>1340</v>
      </c>
      <c r="E448" s="1544"/>
      <c r="F448" s="1544"/>
      <c r="G448" s="1544"/>
      <c r="H448" s="1544"/>
      <c r="I448" s="1544"/>
      <c r="J448" s="1544"/>
      <c r="K448" s="1544"/>
      <c r="L448" s="1544"/>
      <c r="M448" s="1544"/>
      <c r="N448" s="1544"/>
      <c r="O448" s="1544"/>
      <c r="P448" s="1544"/>
      <c r="Q448" s="1544"/>
      <c r="R448" s="1544"/>
      <c r="S448" s="1544"/>
      <c r="T448" s="1544"/>
      <c r="U448" s="1544"/>
      <c r="V448" s="1544"/>
      <c r="W448" s="1544"/>
      <c r="X448" s="1544"/>
      <c r="Y448" s="1544"/>
      <c r="Z448" s="1544"/>
      <c r="AA448" s="1544"/>
      <c r="AB448" s="1544"/>
      <c r="AC448" s="1544"/>
      <c r="AD448" s="1544"/>
      <c r="AE448" s="1544"/>
      <c r="AF448" s="1717"/>
      <c r="AG448" s="1660">
        <v>9759</v>
      </c>
      <c r="AH448" s="1660"/>
      <c r="AI448" s="1660"/>
      <c r="AJ448" s="1660"/>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row>
    <row r="449" spans="1:110" ht="13" customHeight="1">
      <c r="D449" s="1577" t="s">
        <v>1341</v>
      </c>
      <c r="E449" s="1544"/>
      <c r="F449" s="1544"/>
      <c r="G449" s="1544"/>
      <c r="H449" s="1544"/>
      <c r="I449" s="1544"/>
      <c r="J449" s="1544"/>
      <c r="K449" s="1544"/>
      <c r="L449" s="1544"/>
      <c r="M449" s="1544"/>
      <c r="N449" s="1544"/>
      <c r="O449" s="1544"/>
      <c r="P449" s="1544"/>
      <c r="Q449" s="1544"/>
      <c r="R449" s="1544"/>
      <c r="S449" s="1544"/>
      <c r="T449" s="1544"/>
      <c r="U449" s="1544"/>
      <c r="V449" s="1544"/>
      <c r="W449" s="1544"/>
      <c r="X449" s="1544"/>
      <c r="Y449" s="1544"/>
      <c r="Z449" s="1544"/>
      <c r="AA449" s="1544"/>
      <c r="AB449" s="1544"/>
      <c r="AC449" s="1544"/>
      <c r="AD449" s="1544"/>
      <c r="AE449" s="1544"/>
      <c r="AF449" s="1717"/>
      <c r="AG449" s="1660">
        <v>0</v>
      </c>
      <c r="AH449" s="1660"/>
      <c r="AI449" s="1660"/>
      <c r="AJ449" s="1660"/>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row>
    <row r="450" spans="1:110" ht="13" customHeight="1">
      <c r="D450" s="1777" t="s">
        <v>1342</v>
      </c>
      <c r="E450" s="1778"/>
      <c r="F450" s="1778"/>
      <c r="G450" s="1778"/>
      <c r="H450" s="1778"/>
      <c r="I450" s="1778"/>
      <c r="J450" s="1778"/>
      <c r="K450" s="1778"/>
      <c r="L450" s="1778"/>
      <c r="M450" s="1778"/>
      <c r="N450" s="1778"/>
      <c r="O450" s="1778"/>
      <c r="P450" s="1778"/>
      <c r="Q450" s="1778"/>
      <c r="R450" s="1778"/>
      <c r="S450" s="1778"/>
      <c r="T450" s="1778"/>
      <c r="U450" s="1778"/>
      <c r="V450" s="1778"/>
      <c r="W450" s="1778"/>
      <c r="X450" s="1778"/>
      <c r="Y450" s="1778"/>
      <c r="Z450" s="1778"/>
      <c r="AA450" s="1778"/>
      <c r="AB450" s="1778"/>
      <c r="AC450" s="1778"/>
      <c r="AD450" s="1778"/>
      <c r="AE450" s="1778"/>
      <c r="AF450" s="1779"/>
      <c r="AG450" s="1793">
        <f>AG442+AG446+AG448+AG449</f>
        <v>52377</v>
      </c>
      <c r="AH450" s="1793"/>
      <c r="AI450" s="1793"/>
      <c r="AJ450" s="1793"/>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row>
    <row r="451" spans="1:110" ht="13" customHeight="1">
      <c r="D451" s="1780" t="s">
        <v>1343</v>
      </c>
      <c r="E451" s="1780"/>
      <c r="F451" s="1780"/>
      <c r="G451" s="1780"/>
      <c r="H451" s="1780"/>
      <c r="I451" s="1780"/>
      <c r="J451" s="1780"/>
      <c r="K451" s="1780"/>
      <c r="L451" s="1780"/>
      <c r="M451" s="1780"/>
      <c r="N451" s="1780"/>
      <c r="O451" s="1780"/>
      <c r="P451" s="1780"/>
      <c r="Q451" s="1780"/>
      <c r="R451" s="1780"/>
      <c r="S451" s="1780"/>
      <c r="T451" s="1780"/>
      <c r="U451" s="1780"/>
      <c r="V451" s="1780"/>
      <c r="W451" s="1780"/>
      <c r="X451" s="1780"/>
      <c r="Y451" s="1780"/>
      <c r="Z451" s="1780"/>
      <c r="AA451" s="1780"/>
      <c r="AB451" s="1780"/>
      <c r="AC451" s="1780"/>
      <c r="AD451" s="1780"/>
      <c r="AE451" s="1780"/>
      <c r="AF451" s="1780"/>
      <c r="AG451" s="1780"/>
      <c r="AH451" s="1780"/>
      <c r="AI451" s="1780"/>
      <c r="AJ451" s="1780"/>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row>
    <row r="452" spans="1:110" ht="13" customHeight="1">
      <c r="D452" s="1781"/>
      <c r="E452" s="1781"/>
      <c r="F452" s="1781"/>
      <c r="G452" s="1781"/>
      <c r="H452" s="1781"/>
      <c r="I452" s="1781"/>
      <c r="J452" s="1781"/>
      <c r="K452" s="1781"/>
      <c r="L452" s="1781"/>
      <c r="M452" s="1781"/>
      <c r="N452" s="1781"/>
      <c r="O452" s="1781"/>
      <c r="P452" s="1781"/>
      <c r="Q452" s="1781"/>
      <c r="R452" s="1781"/>
      <c r="S452" s="1781"/>
      <c r="T452" s="1781"/>
      <c r="U452" s="1781"/>
      <c r="V452" s="1781"/>
      <c r="W452" s="1781"/>
      <c r="X452" s="1781"/>
      <c r="Y452" s="1781"/>
      <c r="Z452" s="1781"/>
      <c r="AA452" s="1781"/>
      <c r="AB452" s="1781"/>
      <c r="AC452" s="1781"/>
      <c r="AD452" s="1781"/>
      <c r="AE452" s="1781"/>
      <c r="AF452" s="1781"/>
      <c r="AG452" s="1781"/>
      <c r="AH452" s="1781"/>
      <c r="AI452" s="1781"/>
      <c r="AJ452" s="1781"/>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row>
    <row r="453" spans="1:110" ht="13" customHeight="1">
      <c r="D453" s="400"/>
      <c r="E453" s="386"/>
      <c r="F453" s="386"/>
      <c r="G453" s="386"/>
      <c r="H453" s="386"/>
      <c r="I453" s="386"/>
      <c r="J453" s="386"/>
      <c r="K453" s="386"/>
      <c r="L453" s="386"/>
      <c r="M453" s="386"/>
      <c r="N453" s="386"/>
      <c r="O453" s="386"/>
      <c r="P453" s="386"/>
      <c r="Q453" s="386"/>
      <c r="R453" s="386"/>
      <c r="S453" s="386"/>
      <c r="T453" s="386"/>
      <c r="U453" s="386"/>
      <c r="V453" s="386"/>
      <c r="W453" s="386"/>
      <c r="X453" s="386"/>
      <c r="Y453" s="386"/>
      <c r="Z453" s="386"/>
      <c r="AA453" s="386"/>
      <c r="AB453" s="386"/>
      <c r="AC453" s="386"/>
      <c r="AD453" s="386"/>
      <c r="AE453" s="386"/>
      <c r="AF453" s="386"/>
      <c r="AG453" s="386"/>
      <c r="AH453" s="386"/>
      <c r="AI453" s="386"/>
      <c r="AJ453" s="792"/>
      <c r="AZ453" s="2"/>
      <c r="BA453" s="2" t="str">
        <f>N575</f>
        <v>Yes</v>
      </c>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row>
    <row r="454" spans="1:110" ht="13" customHeight="1">
      <c r="D454" s="119" t="s">
        <v>1344</v>
      </c>
      <c r="E454" s="386"/>
      <c r="F454" s="386"/>
      <c r="G454" s="386"/>
      <c r="H454" s="386"/>
      <c r="I454" s="386"/>
      <c r="J454" s="386"/>
      <c r="K454" s="386"/>
      <c r="L454" s="386"/>
      <c r="M454" s="386"/>
      <c r="N454" s="386"/>
      <c r="O454" s="386"/>
      <c r="P454" s="386"/>
      <c r="Q454" s="386"/>
      <c r="R454" s="386"/>
      <c r="S454" s="386"/>
      <c r="T454" s="386"/>
      <c r="U454" s="386"/>
      <c r="V454" s="386"/>
      <c r="W454" s="386"/>
      <c r="X454" s="386"/>
      <c r="Y454" s="386"/>
      <c r="Z454" s="386"/>
      <c r="AA454" s="386"/>
      <c r="AB454" s="386"/>
      <c r="AC454" s="1782">
        <f>IF(AG437=0,"",'Sources and Uses Budget'!B105/Application!AG437)</f>
        <v>876295.66037735844</v>
      </c>
      <c r="AD454" s="1782"/>
      <c r="AE454" s="1782"/>
      <c r="AF454" s="1782"/>
      <c r="AG454" s="386"/>
      <c r="AH454" s="386"/>
      <c r="AI454" s="386"/>
      <c r="AJ454" s="792"/>
      <c r="AZ454" s="2"/>
      <c r="BA454" s="2" t="str">
        <f>AG575</f>
        <v>Yes</v>
      </c>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row>
    <row r="455" spans="1:110" ht="13" customHeight="1">
      <c r="D455" s="119" t="s">
        <v>1345</v>
      </c>
      <c r="E455" s="386"/>
      <c r="F455" s="386"/>
      <c r="G455" s="386"/>
      <c r="H455" s="386"/>
      <c r="I455" s="386"/>
      <c r="J455" s="386"/>
      <c r="K455" s="386"/>
      <c r="L455" s="386"/>
      <c r="M455" s="386"/>
      <c r="N455" s="386"/>
      <c r="O455" s="386"/>
      <c r="P455" s="386"/>
      <c r="Q455" s="386"/>
      <c r="R455" s="386"/>
      <c r="S455" s="386"/>
      <c r="T455" s="386"/>
      <c r="U455" s="386"/>
      <c r="V455" s="386"/>
      <c r="W455" s="386"/>
      <c r="X455" s="386"/>
      <c r="Y455" s="386"/>
      <c r="Z455" s="386"/>
      <c r="AA455" s="386"/>
      <c r="AB455" s="386"/>
      <c r="AC455" s="1782">
        <f>IF(AG437=0,"",'Sources and Uses Budget'!C105/Application!AG437)</f>
        <v>876295.66037735844</v>
      </c>
      <c r="AD455" s="1782"/>
      <c r="AE455" s="1782"/>
      <c r="AF455" s="1782"/>
      <c r="AG455" s="386"/>
      <c r="AH455" s="386"/>
      <c r="AI455" s="386"/>
      <c r="AJ455" s="79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row>
    <row r="456" spans="1:110" ht="13" customHeight="1">
      <c r="D456" s="119" t="s">
        <v>1346</v>
      </c>
      <c r="E456" s="386"/>
      <c r="F456" s="386"/>
      <c r="G456" s="386"/>
      <c r="H456" s="386"/>
      <c r="I456" s="386"/>
      <c r="J456" s="386"/>
      <c r="K456" s="386"/>
      <c r="L456" s="386"/>
      <c r="M456" s="386"/>
      <c r="N456" s="386"/>
      <c r="O456" s="386"/>
      <c r="P456" s="386"/>
      <c r="Q456" s="386"/>
      <c r="R456" s="386"/>
      <c r="S456" s="386"/>
      <c r="T456" s="386"/>
      <c r="U456" s="386"/>
      <c r="V456" s="386"/>
      <c r="W456" s="386"/>
      <c r="X456" s="386"/>
      <c r="Y456" s="386"/>
      <c r="Z456" s="386"/>
      <c r="AA456" s="386"/>
      <c r="AB456" s="386"/>
      <c r="AC456" s="1782">
        <f>IF(AG437=0,"",('Sources and Uses Budget'!$S$107+'Sources and Uses Budget'!$T$107)/Application!AG437)</f>
        <v>803759.49056603771</v>
      </c>
      <c r="AD456" s="1782"/>
      <c r="AE456" s="1782"/>
      <c r="AF456" s="1782"/>
      <c r="AG456" s="386"/>
      <c r="AH456" s="386"/>
      <c r="AI456" s="386"/>
      <c r="AJ456" s="79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row>
    <row r="457" spans="1:110" ht="13" customHeight="1">
      <c r="D457" s="386"/>
      <c r="E457" s="386"/>
      <c r="F457" s="1365"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65"/>
      <c r="H457" s="1365"/>
      <c r="I457" s="1365"/>
      <c r="J457" s="1365"/>
      <c r="K457" s="1365"/>
      <c r="L457" s="1365"/>
      <c r="M457" s="1365"/>
      <c r="N457" s="1365"/>
      <c r="O457" s="1365"/>
      <c r="P457" s="1365"/>
      <c r="Q457" s="1365"/>
      <c r="R457" s="1365"/>
      <c r="S457" s="1365"/>
      <c r="T457" s="1365"/>
      <c r="U457" s="1365"/>
      <c r="V457" s="1365"/>
      <c r="W457" s="1365"/>
      <c r="X457" s="1365"/>
      <c r="Y457" s="1365"/>
      <c r="Z457" s="1365"/>
      <c r="AA457" s="1365"/>
      <c r="AB457" s="1365"/>
      <c r="AC457" s="386"/>
      <c r="AD457" s="386"/>
      <c r="AE457" s="386"/>
      <c r="AF457" s="386"/>
      <c r="AG457" s="386"/>
      <c r="AH457" s="386"/>
      <c r="AI457" s="386"/>
      <c r="AJ457" s="79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row>
    <row r="458" spans="1:110" ht="13" customHeight="1">
      <c r="A458" s="1"/>
      <c r="D458" s="1"/>
      <c r="E458" s="386"/>
      <c r="F458" s="1365"/>
      <c r="G458" s="1365"/>
      <c r="H458" s="1365"/>
      <c r="I458" s="1365"/>
      <c r="J458" s="1365"/>
      <c r="K458" s="1365"/>
      <c r="L458" s="1365"/>
      <c r="M458" s="1365"/>
      <c r="N458" s="1365"/>
      <c r="O458" s="1365"/>
      <c r="P458" s="1365"/>
      <c r="Q458" s="1365"/>
      <c r="R458" s="1365"/>
      <c r="S458" s="1365"/>
      <c r="T458" s="1365"/>
      <c r="U458" s="1365"/>
      <c r="V458" s="1365"/>
      <c r="W458" s="1365"/>
      <c r="X458" s="1365"/>
      <c r="Y458" s="1365"/>
      <c r="Z458" s="1365"/>
      <c r="AA458" s="1365"/>
      <c r="AB458" s="1365"/>
      <c r="AC458" s="386"/>
      <c r="AD458" s="386"/>
      <c r="AE458" s="386"/>
      <c r="AF458" s="386"/>
      <c r="AG458" s="386"/>
      <c r="AH458" s="386"/>
      <c r="AI458" s="386"/>
      <c r="AJ458" s="79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row>
    <row r="459" spans="1:110" ht="13" customHeight="1">
      <c r="A459" s="1" t="s">
        <v>1347</v>
      </c>
      <c r="D459" s="1" t="s">
        <v>161</v>
      </c>
      <c r="E459" s="386"/>
      <c r="F459" s="386"/>
      <c r="G459" s="386"/>
      <c r="H459" s="386"/>
      <c r="I459" s="386"/>
      <c r="J459" s="386"/>
      <c r="K459" s="386"/>
      <c r="L459" s="386"/>
      <c r="M459" s="386"/>
      <c r="N459" s="386"/>
      <c r="O459" s="386"/>
      <c r="P459" s="386"/>
      <c r="Q459" s="386"/>
      <c r="R459" s="386"/>
      <c r="S459" s="386"/>
      <c r="T459" s="386"/>
      <c r="U459" s="386"/>
      <c r="V459" s="386"/>
      <c r="W459" s="386"/>
      <c r="X459" s="386"/>
      <c r="Y459" s="386"/>
      <c r="Z459" s="386"/>
      <c r="AA459" s="386"/>
      <c r="AB459" s="386"/>
      <c r="AC459" s="386"/>
      <c r="AD459" s="386"/>
      <c r="AE459" s="386"/>
      <c r="AF459" s="386"/>
      <c r="AG459" s="386"/>
      <c r="AH459" s="386"/>
      <c r="AI459" s="386"/>
      <c r="AJ459" s="79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row>
    <row r="460" spans="1:110" ht="13" customHeight="1">
      <c r="D460" s="108" t="s">
        <v>1348</v>
      </c>
      <c r="E460" s="386"/>
      <c r="F460" s="386"/>
      <c r="G460" s="386"/>
      <c r="H460" s="386"/>
      <c r="I460" s="386"/>
      <c r="J460" s="386"/>
      <c r="K460" s="386"/>
      <c r="L460" s="386"/>
      <c r="M460" s="386"/>
      <c r="N460" s="386"/>
      <c r="O460" s="386"/>
      <c r="P460" s="386"/>
      <c r="Q460" s="386"/>
      <c r="R460" s="386"/>
      <c r="S460" s="386"/>
      <c r="T460" s="386"/>
      <c r="U460" s="386"/>
      <c r="V460" s="386"/>
      <c r="W460" s="386"/>
      <c r="X460" s="386"/>
      <c r="Y460" s="386"/>
      <c r="Z460" s="386"/>
      <c r="AA460" s="386"/>
      <c r="AB460" s="386"/>
      <c r="AC460" s="386"/>
      <c r="AD460" s="386"/>
      <c r="AE460" s="386"/>
      <c r="AF460" s="386"/>
      <c r="AG460" s="386"/>
      <c r="AH460" s="386"/>
      <c r="AI460" s="386"/>
      <c r="AJ460" s="79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row>
    <row r="461" spans="1:110" ht="13" customHeight="1">
      <c r="D461" s="108" t="s">
        <v>1349</v>
      </c>
      <c r="E461" s="386"/>
      <c r="F461" s="386"/>
      <c r="G461" s="386"/>
      <c r="H461" s="386"/>
      <c r="I461" s="386"/>
      <c r="J461" s="386"/>
      <c r="K461" s="386"/>
      <c r="L461" s="386"/>
      <c r="M461" s="386"/>
      <c r="N461" s="386"/>
      <c r="O461" s="386"/>
      <c r="P461" s="386"/>
      <c r="Q461" s="386"/>
      <c r="R461" s="386"/>
      <c r="S461" s="386"/>
      <c r="T461" s="386"/>
      <c r="U461" s="386"/>
      <c r="V461" s="386"/>
      <c r="W461" s="386"/>
      <c r="X461" s="386"/>
      <c r="Y461" s="386"/>
      <c r="Z461" s="386"/>
      <c r="AA461" s="386"/>
      <c r="AB461" s="386"/>
      <c r="AC461" s="386"/>
      <c r="AD461" s="386"/>
      <c r="AE461" s="386"/>
      <c r="AF461" s="386"/>
      <c r="AG461" s="386"/>
      <c r="AH461" s="386"/>
      <c r="AI461" s="386"/>
      <c r="AJ461" s="792"/>
      <c r="AZ461" s="2"/>
      <c r="BA461" s="2" t="str">
        <f>N583</f>
        <v>Yes</v>
      </c>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row>
    <row r="462" spans="1:110" ht="13" customHeight="1">
      <c r="D462" s="108" t="s">
        <v>1350</v>
      </c>
      <c r="E462" s="386"/>
      <c r="F462" s="386"/>
      <c r="G462" s="386"/>
      <c r="H462" s="386"/>
      <c r="I462" s="386"/>
      <c r="J462" s="386"/>
      <c r="K462" s="386"/>
      <c r="L462" s="386"/>
      <c r="M462" s="386"/>
      <c r="N462" s="386"/>
      <c r="O462" s="386"/>
      <c r="P462" s="386"/>
      <c r="Q462" s="386"/>
      <c r="R462" s="386"/>
      <c r="S462" s="386"/>
      <c r="T462" s="386"/>
      <c r="U462" s="386"/>
      <c r="V462" s="386"/>
      <c r="W462" s="386"/>
      <c r="X462" s="386"/>
      <c r="Y462" s="386"/>
      <c r="Z462" s="386"/>
      <c r="AA462" s="386"/>
      <c r="AB462" s="386"/>
      <c r="AC462" s="386"/>
      <c r="AD462" s="386"/>
      <c r="AE462" s="386"/>
      <c r="AF462" s="386"/>
      <c r="AG462" s="386"/>
      <c r="AH462" s="386"/>
      <c r="AI462" s="386"/>
      <c r="AJ462" s="792"/>
      <c r="AZ462" s="2"/>
      <c r="BA462" s="2" t="str">
        <f>AG583</f>
        <v>Yes</v>
      </c>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row>
    <row r="463" spans="1:110" ht="13" customHeight="1">
      <c r="D463" s="400"/>
      <c r="E463" s="386"/>
      <c r="F463" s="386"/>
      <c r="G463" s="386"/>
      <c r="H463" s="386"/>
      <c r="I463" s="386"/>
      <c r="J463" s="386"/>
      <c r="K463" s="386"/>
      <c r="L463" s="386"/>
      <c r="M463" s="386"/>
      <c r="N463" s="386"/>
      <c r="O463" s="386"/>
      <c r="P463" s="386"/>
      <c r="Q463" s="386"/>
      <c r="R463" s="386"/>
      <c r="S463" s="386"/>
      <c r="T463" s="386"/>
      <c r="U463" s="386"/>
      <c r="V463" s="386"/>
      <c r="W463" s="386"/>
      <c r="X463" s="386"/>
      <c r="Y463" s="386"/>
      <c r="Z463" s="386"/>
      <c r="AA463" s="386"/>
      <c r="AB463" s="386"/>
      <c r="AC463" s="386"/>
      <c r="AD463" s="386"/>
      <c r="AE463" s="386"/>
      <c r="AF463" s="386"/>
      <c r="AG463" s="386"/>
      <c r="AH463" s="386"/>
      <c r="AI463" s="386"/>
      <c r="AJ463" s="79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row>
    <row r="464" spans="1:110" ht="13" customHeight="1">
      <c r="A464" s="2"/>
      <c r="B464" s="2"/>
      <c r="C464" s="2"/>
      <c r="D464" s="108" t="s">
        <v>1351</v>
      </c>
      <c r="E464" s="108"/>
      <c r="F464" s="108"/>
      <c r="G464" s="108"/>
      <c r="H464" s="108"/>
      <c r="I464" s="108"/>
      <c r="J464" s="108"/>
      <c r="K464" s="108"/>
      <c r="L464" s="108"/>
      <c r="M464" s="108"/>
      <c r="N464" s="108"/>
      <c r="O464" s="108"/>
      <c r="P464" s="108"/>
      <c r="Q464" s="108"/>
      <c r="R464" s="108"/>
      <c r="S464" s="108"/>
      <c r="T464" s="108"/>
      <c r="U464" s="108"/>
      <c r="V464" s="108"/>
      <c r="W464" s="108"/>
      <c r="X464" s="108"/>
      <c r="Y464" s="108"/>
      <c r="Z464" s="108"/>
      <c r="AA464" s="108"/>
      <c r="AB464" s="108"/>
      <c r="AC464" s="108"/>
      <c r="AD464" s="386"/>
      <c r="AE464" s="386"/>
      <c r="AF464" s="386"/>
      <c r="AG464" s="386"/>
      <c r="AH464" s="386"/>
      <c r="AI464" s="386"/>
      <c r="AJ464" s="79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row>
    <row r="465" spans="1:110" ht="13" customHeight="1">
      <c r="A465" s="2"/>
      <c r="B465" s="2"/>
      <c r="C465" s="2"/>
      <c r="D465" s="1699" t="s">
        <v>1352</v>
      </c>
      <c r="E465" s="1700"/>
      <c r="F465" s="1700"/>
      <c r="G465" s="1700"/>
      <c r="H465" s="1700"/>
      <c r="I465" s="1700"/>
      <c r="J465" s="1700"/>
      <c r="K465" s="1700"/>
      <c r="L465" s="1700"/>
      <c r="M465" s="1700"/>
      <c r="N465" s="1700"/>
      <c r="O465" s="1700"/>
      <c r="P465" s="1700"/>
      <c r="Q465" s="1700"/>
      <c r="R465" s="1700"/>
      <c r="S465" s="1700"/>
      <c r="T465" s="1700"/>
      <c r="U465" s="1700"/>
      <c r="V465" s="1701"/>
      <c r="W465" s="1653">
        <v>0</v>
      </c>
      <c r="X465" s="1654"/>
      <c r="Y465" s="1655"/>
      <c r="Z465" s="108"/>
      <c r="AA465" s="108"/>
      <c r="AB465" s="108"/>
      <c r="AC465" s="108"/>
      <c r="AD465" s="386"/>
      <c r="AE465" s="386"/>
      <c r="AF465" s="386"/>
      <c r="AG465" s="386"/>
      <c r="AH465" s="386"/>
      <c r="AI465" s="386"/>
      <c r="AJ465" s="792"/>
      <c r="AZ465" s="2"/>
      <c r="BA465" s="2"/>
      <c r="BB465" s="2"/>
      <c r="BC465" s="2"/>
      <c r="BD465" s="2"/>
      <c r="BE465" s="2"/>
      <c r="BF465" s="2"/>
      <c r="BG465" s="2"/>
      <c r="BH465" s="2"/>
      <c r="BI465" s="727"/>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row>
    <row r="466" spans="1:110" ht="13" customHeight="1">
      <c r="A466" s="2"/>
      <c r="B466" s="2"/>
      <c r="C466" s="2"/>
      <c r="D466" s="1699" t="s">
        <v>1353</v>
      </c>
      <c r="E466" s="1700"/>
      <c r="F466" s="1700"/>
      <c r="G466" s="1700"/>
      <c r="H466" s="1700"/>
      <c r="I466" s="1700"/>
      <c r="J466" s="1700"/>
      <c r="K466" s="1700"/>
      <c r="L466" s="1700"/>
      <c r="M466" s="1700"/>
      <c r="N466" s="1700"/>
      <c r="O466" s="1700"/>
      <c r="P466" s="1700"/>
      <c r="Q466" s="1700"/>
      <c r="R466" s="1700"/>
      <c r="S466" s="1700"/>
      <c r="T466" s="1700"/>
      <c r="U466" s="1700"/>
      <c r="V466" s="1701"/>
      <c r="W466" s="1653">
        <v>0</v>
      </c>
      <c r="X466" s="1654"/>
      <c r="Y466" s="1655"/>
      <c r="Z466" s="108"/>
      <c r="AA466" s="108"/>
      <c r="AB466" s="108"/>
      <c r="AC466" s="108"/>
      <c r="AD466" s="386"/>
      <c r="AE466" s="386"/>
      <c r="AF466" s="386"/>
      <c r="AG466" s="386"/>
      <c r="AH466" s="386"/>
      <c r="AI466" s="386"/>
      <c r="AJ466" s="79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row>
    <row r="467" spans="1:110" ht="13" customHeight="1">
      <c r="A467" s="2"/>
      <c r="B467" s="2"/>
      <c r="C467" s="2"/>
      <c r="D467" s="1699" t="s">
        <v>1354</v>
      </c>
      <c r="E467" s="1700"/>
      <c r="F467" s="1700"/>
      <c r="G467" s="1700"/>
      <c r="H467" s="1700"/>
      <c r="I467" s="1700"/>
      <c r="J467" s="1700"/>
      <c r="K467" s="1700"/>
      <c r="L467" s="1700"/>
      <c r="M467" s="1700"/>
      <c r="N467" s="1700"/>
      <c r="O467" s="1700"/>
      <c r="P467" s="1700"/>
      <c r="Q467" s="1700"/>
      <c r="R467" s="1700"/>
      <c r="S467" s="1700"/>
      <c r="T467" s="1700"/>
      <c r="U467" s="1700"/>
      <c r="V467" s="1701"/>
      <c r="W467" s="1653">
        <v>0</v>
      </c>
      <c r="X467" s="1654"/>
      <c r="Y467" s="1655"/>
      <c r="Z467" s="108"/>
      <c r="AA467" s="108"/>
      <c r="AB467" s="108"/>
      <c r="AC467" s="108"/>
      <c r="AD467" s="386"/>
      <c r="AE467" s="386"/>
      <c r="AF467" s="386"/>
      <c r="AG467" s="386"/>
      <c r="AH467" s="386"/>
      <c r="AI467" s="386"/>
      <c r="AJ467" s="79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row>
    <row r="468" spans="1:110" ht="13" customHeight="1">
      <c r="A468" s="2"/>
      <c r="B468" s="2"/>
      <c r="C468" s="2"/>
      <c r="D468" s="1699" t="s">
        <v>1355</v>
      </c>
      <c r="E468" s="1700"/>
      <c r="F468" s="1700"/>
      <c r="G468" s="1700"/>
      <c r="H468" s="1700"/>
      <c r="I468" s="1700"/>
      <c r="J468" s="1700"/>
      <c r="K468" s="1700"/>
      <c r="L468" s="1700"/>
      <c r="M468" s="1700"/>
      <c r="N468" s="1700"/>
      <c r="O468" s="1700"/>
      <c r="P468" s="1700"/>
      <c r="Q468" s="1700"/>
      <c r="R468" s="1700"/>
      <c r="S468" s="1700"/>
      <c r="T468" s="1700"/>
      <c r="U468" s="1700"/>
      <c r="V468" s="1701"/>
      <c r="W468" s="1653">
        <v>0</v>
      </c>
      <c r="X468" s="1654"/>
      <c r="Y468" s="1655"/>
      <c r="Z468" s="108"/>
      <c r="AA468" s="108"/>
      <c r="AB468" s="108"/>
      <c r="AC468" s="108"/>
      <c r="AD468" s="386"/>
      <c r="AE468" s="386"/>
      <c r="AF468" s="386"/>
      <c r="AG468" s="386"/>
      <c r="AH468" s="386"/>
      <c r="AI468" s="386"/>
      <c r="AJ468" s="79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row>
    <row r="469" spans="1:110" ht="13" customHeight="1">
      <c r="A469" s="2"/>
      <c r="B469" s="2"/>
      <c r="C469" s="2"/>
      <c r="D469" s="1699" t="s">
        <v>1356</v>
      </c>
      <c r="E469" s="1700"/>
      <c r="F469" s="1700"/>
      <c r="G469" s="1700"/>
      <c r="H469" s="1700"/>
      <c r="I469" s="1700"/>
      <c r="J469" s="1700"/>
      <c r="K469" s="1700"/>
      <c r="L469" s="1700"/>
      <c r="M469" s="1700"/>
      <c r="N469" s="1700"/>
      <c r="O469" s="1700"/>
      <c r="P469" s="1700"/>
      <c r="Q469" s="1700"/>
      <c r="R469" s="1700"/>
      <c r="S469" s="1700"/>
      <c r="T469" s="1700"/>
      <c r="U469" s="1700"/>
      <c r="V469" s="1701"/>
      <c r="W469" s="1653">
        <v>0</v>
      </c>
      <c r="X469" s="1654"/>
      <c r="Y469" s="1655"/>
      <c r="Z469" s="108"/>
      <c r="AA469" s="108"/>
      <c r="AB469" s="108"/>
      <c r="AC469" s="108"/>
      <c r="AD469" s="386"/>
      <c r="AE469" s="386"/>
      <c r="AF469" s="386"/>
      <c r="AG469" s="386"/>
      <c r="AH469" s="386"/>
      <c r="AI469" s="386"/>
      <c r="AJ469" s="792"/>
      <c r="AZ469" s="2"/>
      <c r="BA469" s="2" t="str">
        <f>N591</f>
        <v>Yes</v>
      </c>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row>
    <row r="470" spans="1:110" ht="13" customHeight="1">
      <c r="A470" s="2"/>
      <c r="B470" s="2"/>
      <c r="C470" s="2"/>
      <c r="D470" s="1699" t="s">
        <v>1357</v>
      </c>
      <c r="E470" s="1700"/>
      <c r="F470" s="1700"/>
      <c r="G470" s="1700"/>
      <c r="H470" s="1700"/>
      <c r="I470" s="1700"/>
      <c r="J470" s="1700"/>
      <c r="K470" s="1700"/>
      <c r="L470" s="1700"/>
      <c r="M470" s="1700"/>
      <c r="N470" s="1700"/>
      <c r="O470" s="1700"/>
      <c r="P470" s="1700"/>
      <c r="Q470" s="1700"/>
      <c r="R470" s="1700"/>
      <c r="S470" s="1700"/>
      <c r="T470" s="1700"/>
      <c r="U470" s="1700"/>
      <c r="V470" s="1701"/>
      <c r="W470" s="1653">
        <v>0</v>
      </c>
      <c r="X470" s="1654"/>
      <c r="Y470" s="1655"/>
      <c r="Z470" s="108"/>
      <c r="AA470" s="108"/>
      <c r="AB470" s="108"/>
      <c r="AC470" s="108"/>
      <c r="AD470" s="386"/>
      <c r="AE470" s="386"/>
      <c r="AF470" s="386"/>
      <c r="AG470" s="386"/>
      <c r="AH470" s="386"/>
      <c r="AI470" s="386"/>
      <c r="AJ470" s="792"/>
      <c r="AZ470" s="2"/>
      <c r="BA470" s="2" t="str">
        <f>AG591</f>
        <v>No</v>
      </c>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row>
    <row r="471" spans="1:110" ht="13" customHeight="1">
      <c r="A471" s="2"/>
      <c r="B471" s="2"/>
      <c r="C471" s="2"/>
      <c r="D471" s="1699" t="s">
        <v>1358</v>
      </c>
      <c r="E471" s="1700"/>
      <c r="F471" s="1700"/>
      <c r="G471" s="1700"/>
      <c r="H471" s="1700"/>
      <c r="I471" s="1700"/>
      <c r="J471" s="1700"/>
      <c r="K471" s="1700"/>
      <c r="L471" s="1700"/>
      <c r="M471" s="1700"/>
      <c r="N471" s="1700"/>
      <c r="O471" s="1700"/>
      <c r="P471" s="1700"/>
      <c r="Q471" s="1700"/>
      <c r="R471" s="1700"/>
      <c r="S471" s="1700"/>
      <c r="T471" s="1700"/>
      <c r="U471" s="1700"/>
      <c r="V471" s="1701"/>
      <c r="W471" s="1653">
        <v>0</v>
      </c>
      <c r="X471" s="1654"/>
      <c r="Y471" s="1655"/>
      <c r="Z471" s="108"/>
      <c r="AA471" s="108"/>
      <c r="AB471" s="108"/>
      <c r="AC471" s="108"/>
      <c r="AD471" s="386"/>
      <c r="AE471" s="386"/>
      <c r="AF471" s="386"/>
      <c r="AG471" s="386"/>
      <c r="AH471" s="386"/>
      <c r="AI471" s="386"/>
      <c r="AJ471" s="79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row>
    <row r="472" spans="1:110" ht="13" customHeight="1">
      <c r="A472" s="2"/>
      <c r="B472" s="2"/>
      <c r="C472" s="2"/>
      <c r="D472" s="1699" t="s">
        <v>1359</v>
      </c>
      <c r="E472" s="1700"/>
      <c r="F472" s="1700"/>
      <c r="G472" s="1700"/>
      <c r="H472" s="1700"/>
      <c r="I472" s="1700"/>
      <c r="J472" s="1700"/>
      <c r="K472" s="1700"/>
      <c r="L472" s="1700"/>
      <c r="M472" s="1700"/>
      <c r="N472" s="1700"/>
      <c r="O472" s="1700"/>
      <c r="P472" s="1700"/>
      <c r="Q472" s="1700"/>
      <c r="R472" s="1700"/>
      <c r="S472" s="1700"/>
      <c r="T472" s="1700"/>
      <c r="U472" s="1700"/>
      <c r="V472" s="1701"/>
      <c r="W472" s="1653">
        <v>0</v>
      </c>
      <c r="X472" s="1654"/>
      <c r="Y472" s="1655"/>
      <c r="Z472" s="108"/>
      <c r="AA472" s="108"/>
      <c r="AB472" s="108"/>
      <c r="AC472" s="108"/>
      <c r="AD472" s="386"/>
      <c r="AE472" s="386"/>
      <c r="AF472" s="386"/>
      <c r="AG472" s="386"/>
      <c r="AH472" s="386"/>
      <c r="AI472" s="386"/>
      <c r="AJ472" s="79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row>
    <row r="473" spans="1:110" ht="13" customHeight="1">
      <c r="A473" s="2"/>
      <c r="B473" s="2"/>
      <c r="C473" s="2"/>
      <c r="D473" s="1699" t="s">
        <v>1360</v>
      </c>
      <c r="E473" s="1700"/>
      <c r="F473" s="1700"/>
      <c r="G473" s="1700"/>
      <c r="H473" s="1700"/>
      <c r="I473" s="1700"/>
      <c r="J473" s="1700"/>
      <c r="K473" s="1700"/>
      <c r="L473" s="1700"/>
      <c r="M473" s="1700"/>
      <c r="N473" s="1700"/>
      <c r="O473" s="1700"/>
      <c r="P473" s="1700"/>
      <c r="Q473" s="1700"/>
      <c r="R473" s="1700"/>
      <c r="S473" s="1700"/>
      <c r="T473" s="1700"/>
      <c r="U473" s="1700"/>
      <c r="V473" s="1701"/>
      <c r="W473" s="1653">
        <v>0</v>
      </c>
      <c r="X473" s="1654"/>
      <c r="Y473" s="1655"/>
      <c r="Z473" s="108"/>
      <c r="AA473" s="108"/>
      <c r="AB473" s="108"/>
      <c r="AC473" s="108"/>
      <c r="AD473" s="386"/>
      <c r="AE473" s="386"/>
      <c r="AF473" s="386"/>
      <c r="AG473" s="386"/>
      <c r="AH473" s="386"/>
      <c r="AI473" s="386"/>
      <c r="AJ473" s="79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row>
    <row r="474" spans="1:110" ht="13" customHeight="1">
      <c r="A474" s="2"/>
      <c r="B474" s="2"/>
      <c r="C474" s="2"/>
      <c r="D474" s="1046" t="s">
        <v>232</v>
      </c>
      <c r="E474" s="1047"/>
      <c r="F474" s="1048"/>
      <c r="G474" s="1783" t="s">
        <v>990</v>
      </c>
      <c r="H474" s="1784"/>
      <c r="I474" s="1784"/>
      <c r="J474" s="1784"/>
      <c r="K474" s="1784"/>
      <c r="L474" s="1784"/>
      <c r="M474" s="1784"/>
      <c r="N474" s="1784"/>
      <c r="O474" s="1784"/>
      <c r="P474" s="1784"/>
      <c r="Q474" s="1784"/>
      <c r="R474" s="1784"/>
      <c r="S474" s="1784"/>
      <c r="T474" s="1784"/>
      <c r="U474" s="1784"/>
      <c r="V474" s="1785"/>
      <c r="W474" s="1653">
        <v>52</v>
      </c>
      <c r="X474" s="1654"/>
      <c r="Y474" s="1655"/>
      <c r="Z474" s="108"/>
      <c r="AA474" s="108"/>
      <c r="AB474" s="108"/>
      <c r="AC474" s="108"/>
      <c r="AD474" s="386"/>
      <c r="AE474" s="386"/>
      <c r="AF474" s="386"/>
      <c r="AG474" s="386"/>
      <c r="AH474" s="386"/>
      <c r="AI474" s="386"/>
      <c r="AJ474" s="79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row>
    <row r="475" spans="1:110" ht="13" customHeight="1">
      <c r="A475" s="2"/>
      <c r="B475" s="2"/>
      <c r="C475" s="2"/>
      <c r="D475" s="1049" t="s">
        <v>1361</v>
      </c>
      <c r="E475" s="1050"/>
      <c r="F475" s="1050"/>
      <c r="G475" s="108"/>
      <c r="H475" s="108"/>
      <c r="I475" s="108"/>
      <c r="J475" s="108"/>
      <c r="K475" s="108"/>
      <c r="L475" s="108"/>
      <c r="M475" s="108"/>
      <c r="N475" s="108"/>
      <c r="O475" s="108"/>
      <c r="P475" s="108"/>
      <c r="Q475" s="108"/>
      <c r="R475" s="108"/>
      <c r="S475" s="108"/>
      <c r="T475" s="108"/>
      <c r="U475" s="108"/>
      <c r="V475" s="108"/>
      <c r="W475" s="1051"/>
      <c r="X475" s="1051"/>
      <c r="Y475" s="1052"/>
      <c r="Z475" s="108"/>
      <c r="AA475" s="108"/>
      <c r="AB475" s="108"/>
      <c r="AC475" s="108"/>
      <c r="AD475" s="386"/>
      <c r="AE475" s="386"/>
      <c r="AF475" s="386"/>
      <c r="AG475" s="386"/>
      <c r="AH475" s="386"/>
      <c r="AI475" s="386"/>
      <c r="AJ475" s="79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row>
    <row r="476" spans="1:110" ht="13" customHeight="1">
      <c r="A476" s="2"/>
      <c r="B476" s="2"/>
      <c r="C476" s="2"/>
      <c r="D476" s="1170"/>
      <c r="E476" s="1156"/>
      <c r="F476" s="1156"/>
      <c r="G476" s="1156"/>
      <c r="H476" s="1156"/>
      <c r="I476" s="1156"/>
      <c r="J476" s="1156"/>
      <c r="K476" s="1156"/>
      <c r="L476" s="1156"/>
      <c r="M476" s="1156"/>
      <c r="N476" s="1156"/>
      <c r="O476" s="1156"/>
      <c r="P476" s="1156"/>
      <c r="Q476" s="1156"/>
      <c r="R476" s="1156"/>
      <c r="S476" s="1156"/>
      <c r="T476" s="1156"/>
      <c r="U476" s="1156"/>
      <c r="V476" s="1156"/>
      <c r="W476" s="1053"/>
      <c r="X476" s="1053"/>
      <c r="Y476" s="1054"/>
      <c r="Z476" s="108"/>
      <c r="AA476" s="108"/>
      <c r="AB476" s="108"/>
      <c r="AC476" s="108"/>
      <c r="AD476" s="386"/>
      <c r="AE476" s="386"/>
      <c r="AF476" s="386"/>
      <c r="AG476" s="386"/>
      <c r="AH476" s="386"/>
      <c r="AI476" s="386"/>
      <c r="AJ476" s="79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row>
    <row r="477" spans="1:110" ht="13" customHeight="1">
      <c r="A477" s="2"/>
      <c r="B477" s="2"/>
      <c r="C477" s="2"/>
      <c r="D477" s="1170"/>
      <c r="E477" s="1156"/>
      <c r="F477" s="1156"/>
      <c r="G477" s="1156"/>
      <c r="H477" s="1156"/>
      <c r="I477" s="1156"/>
      <c r="J477" s="1156"/>
      <c r="K477" s="1156"/>
      <c r="L477" s="1156"/>
      <c r="M477" s="1156"/>
      <c r="N477" s="1156"/>
      <c r="O477" s="1156"/>
      <c r="P477" s="1156"/>
      <c r="Q477" s="1156"/>
      <c r="R477" s="1156"/>
      <c r="S477" s="1156"/>
      <c r="T477" s="1156"/>
      <c r="U477" s="1156"/>
      <c r="V477" s="1156"/>
      <c r="W477" s="1053"/>
      <c r="X477" s="1053"/>
      <c r="Y477" s="1054"/>
      <c r="Z477" s="108"/>
      <c r="AA477" s="108"/>
      <c r="AB477" s="108"/>
      <c r="AC477" s="108"/>
      <c r="AD477" s="386"/>
      <c r="AE477" s="386"/>
      <c r="AF477" s="386"/>
      <c r="AG477" s="386"/>
      <c r="AH477" s="386"/>
      <c r="AI477" s="386"/>
      <c r="AJ477" s="79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row>
    <row r="478" spans="1:110" ht="13" customHeight="1">
      <c r="A478" s="2"/>
      <c r="B478" s="2"/>
      <c r="C478" s="2"/>
      <c r="D478" s="1170"/>
      <c r="E478" s="1156"/>
      <c r="F478" s="1156"/>
      <c r="G478" s="1156"/>
      <c r="H478" s="1156"/>
      <c r="I478" s="1156"/>
      <c r="J478" s="1156"/>
      <c r="K478" s="1156"/>
      <c r="L478" s="1156"/>
      <c r="M478" s="1156"/>
      <c r="N478" s="1156"/>
      <c r="O478" s="1156"/>
      <c r="P478" s="1156"/>
      <c r="Q478" s="1156"/>
      <c r="R478" s="1156"/>
      <c r="S478" s="1156"/>
      <c r="T478" s="1156"/>
      <c r="U478" s="1156"/>
      <c r="V478" s="1156"/>
      <c r="W478" s="1053"/>
      <c r="X478" s="1053"/>
      <c r="Y478" s="1054"/>
      <c r="Z478" s="108"/>
      <c r="AA478" s="108"/>
      <c r="AB478" s="108"/>
      <c r="AC478" s="108"/>
      <c r="AD478" s="386"/>
      <c r="AE478" s="386"/>
      <c r="AF478" s="386"/>
      <c r="AG478" s="386"/>
      <c r="AH478" s="386"/>
      <c r="AI478" s="386"/>
      <c r="AJ478" s="792"/>
      <c r="AZ478" s="2"/>
      <c r="BA478" s="2" t="str">
        <f>N599</f>
        <v>No</v>
      </c>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row>
    <row r="479" spans="1:110" ht="13" customHeight="1">
      <c r="AU479" s="54"/>
      <c r="AV479" s="54"/>
      <c r="AW479" s="54"/>
      <c r="AX479" s="54"/>
      <c r="AY479" s="54"/>
      <c r="AZ479" s="2"/>
      <c r="BA479" s="2" t="str">
        <f>AG599</f>
        <v>No</v>
      </c>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row>
    <row r="480" spans="1:110" ht="13" customHeight="1">
      <c r="A480" s="1389" t="s">
        <v>1362</v>
      </c>
      <c r="B480" s="1389"/>
      <c r="C480" s="1389"/>
      <c r="D480" s="1389"/>
      <c r="E480" s="1389"/>
      <c r="F480" s="1389"/>
      <c r="G480" s="1389"/>
      <c r="H480" s="1389"/>
      <c r="I480" s="1389"/>
      <c r="J480" s="1389"/>
      <c r="K480" s="1389"/>
      <c r="L480" s="1389"/>
      <c r="M480" s="1389"/>
      <c r="N480" s="1389"/>
      <c r="O480" s="1389"/>
      <c r="P480" s="1389"/>
      <c r="Q480" s="1389"/>
      <c r="R480" s="1389"/>
      <c r="S480" s="1389"/>
      <c r="T480" s="1389"/>
      <c r="U480" s="1389"/>
      <c r="V480" s="1389"/>
      <c r="W480" s="1389"/>
      <c r="X480" s="1389"/>
      <c r="Y480" s="1389"/>
      <c r="Z480" s="1389"/>
      <c r="AA480" s="1389"/>
      <c r="AB480" s="1389"/>
      <c r="AC480" s="1389"/>
      <c r="AD480" s="1389"/>
      <c r="AE480" s="1389"/>
      <c r="AF480" s="1389"/>
      <c r="AG480" s="1389"/>
      <c r="AH480" s="1389"/>
      <c r="AI480" s="1389"/>
      <c r="AJ480" s="1389"/>
      <c r="AK480" s="1389"/>
      <c r="AL480" s="1389"/>
      <c r="AM480" s="1389"/>
      <c r="AN480" s="1389"/>
      <c r="AO480" s="1389"/>
      <c r="AP480" s="1389"/>
      <c r="AQ480" s="1389"/>
      <c r="AR480" s="1389"/>
      <c r="AS480" s="1389"/>
      <c r="AT480" s="1389"/>
      <c r="AU480" s="54"/>
      <c r="AV480" s="54"/>
      <c r="AW480" s="54"/>
      <c r="AX480" s="54"/>
      <c r="AY480" s="54"/>
      <c r="AZ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row>
    <row r="481" spans="1:110" ht="13" customHeight="1">
      <c r="A481" s="1389"/>
      <c r="B481" s="1389"/>
      <c r="C481" s="1389"/>
      <c r="D481" s="1389"/>
      <c r="E481" s="1389"/>
      <c r="F481" s="1389"/>
      <c r="G481" s="1389"/>
      <c r="H481" s="1389"/>
      <c r="I481" s="1389"/>
      <c r="J481" s="1389"/>
      <c r="K481" s="1389"/>
      <c r="L481" s="1389"/>
      <c r="M481" s="1389"/>
      <c r="N481" s="1389"/>
      <c r="O481" s="1389"/>
      <c r="P481" s="1389"/>
      <c r="Q481" s="1389"/>
      <c r="R481" s="1389"/>
      <c r="S481" s="1389"/>
      <c r="T481" s="1389"/>
      <c r="U481" s="1389"/>
      <c r="V481" s="1389"/>
      <c r="W481" s="1389"/>
      <c r="X481" s="1389"/>
      <c r="Y481" s="1389"/>
      <c r="Z481" s="1389"/>
      <c r="AA481" s="1389"/>
      <c r="AB481" s="1389"/>
      <c r="AC481" s="1389"/>
      <c r="AD481" s="1389"/>
      <c r="AE481" s="1389"/>
      <c r="AF481" s="1389"/>
      <c r="AG481" s="1389"/>
      <c r="AH481" s="1389"/>
      <c r="AI481" s="1389"/>
      <c r="AJ481" s="1389"/>
      <c r="AK481" s="1389"/>
      <c r="AL481" s="1389"/>
      <c r="AM481" s="1389"/>
      <c r="AN481" s="1389"/>
      <c r="AO481" s="1389"/>
      <c r="AP481" s="1389"/>
      <c r="AQ481" s="1389"/>
      <c r="AR481" s="1389"/>
      <c r="AS481" s="1389"/>
      <c r="AT481" s="1389"/>
      <c r="AZ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row>
    <row r="482" spans="1:110" ht="13" customHeight="1">
      <c r="AZ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row>
    <row r="483" spans="1:110" ht="13" customHeight="1">
      <c r="A483" s="1" t="s">
        <v>922</v>
      </c>
      <c r="C483" s="1" t="s">
        <v>164</v>
      </c>
      <c r="AZ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row>
    <row r="484" spans="1:110" ht="13" customHeight="1">
      <c r="AZ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row>
    <row r="485" spans="1:110" ht="13" customHeight="1">
      <c r="B485" s="1033"/>
      <c r="C485" s="4"/>
      <c r="D485" s="4"/>
      <c r="E485" s="4"/>
      <c r="F485" s="4"/>
      <c r="G485" s="4"/>
      <c r="H485" s="4"/>
      <c r="I485" s="4"/>
      <c r="J485" s="4"/>
      <c r="K485" s="4"/>
      <c r="L485" s="4"/>
      <c r="M485" s="4"/>
      <c r="N485" s="4"/>
      <c r="O485" s="4"/>
      <c r="P485" s="1034"/>
      <c r="Q485" s="1641" t="s">
        <v>1363</v>
      </c>
      <c r="R485" s="1642"/>
      <c r="S485" s="1642"/>
      <c r="T485" s="1642"/>
      <c r="U485" s="1642"/>
      <c r="V485" s="1642"/>
      <c r="W485" s="1642"/>
      <c r="X485" s="1642"/>
      <c r="Y485" s="1642"/>
      <c r="Z485" s="1642"/>
      <c r="AA485" s="1642"/>
      <c r="AB485" s="1642"/>
      <c r="AC485" s="1642"/>
      <c r="AD485" s="1642"/>
      <c r="AE485" s="1642"/>
      <c r="AF485" s="1642"/>
      <c r="AG485" s="1642"/>
      <c r="AH485" s="1642"/>
      <c r="AI485" s="1642"/>
      <c r="AJ485" s="1642"/>
      <c r="AK485" s="1643"/>
      <c r="AZ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row>
    <row r="486" spans="1:110" ht="13" customHeight="1">
      <c r="B486" s="1033" t="s">
        <v>1364</v>
      </c>
      <c r="C486" s="4"/>
      <c r="D486" s="4"/>
      <c r="E486" s="4"/>
      <c r="F486" s="4"/>
      <c r="G486" s="4"/>
      <c r="H486" s="4"/>
      <c r="I486" s="4"/>
      <c r="J486" s="4"/>
      <c r="K486" s="4"/>
      <c r="L486" s="4"/>
      <c r="M486" s="4"/>
      <c r="N486" s="4"/>
      <c r="O486" s="4"/>
      <c r="P486" s="4"/>
      <c r="Q486" s="1480" t="s">
        <v>1365</v>
      </c>
      <c r="R486" s="1385"/>
      <c r="S486" s="1385"/>
      <c r="T486" s="1385"/>
      <c r="U486" s="1385"/>
      <c r="V486" s="1385"/>
      <c r="W486" s="1385"/>
      <c r="X486" s="1385"/>
      <c r="Y486" s="1385"/>
      <c r="Z486" s="1385"/>
      <c r="AA486" s="1385"/>
      <c r="AB486" s="1385"/>
      <c r="AC486" s="1385"/>
      <c r="AD486" s="1385"/>
      <c r="AE486" s="1385"/>
      <c r="AF486" s="1385"/>
      <c r="AG486" s="1385"/>
      <c r="AH486" s="1385"/>
      <c r="AI486" s="1385"/>
      <c r="AJ486" s="1385"/>
      <c r="AK486" s="1640"/>
      <c r="AZ486" s="2"/>
      <c r="BB486" s="2"/>
      <c r="BC486" s="2"/>
      <c r="BD486" s="2"/>
      <c r="BE486" s="2"/>
      <c r="BF486" s="2"/>
      <c r="BG486" s="2"/>
      <c r="BH486" s="2"/>
      <c r="BI486" s="2"/>
      <c r="BJ486" s="2"/>
      <c r="BK486" s="2"/>
      <c r="BL486" s="2"/>
      <c r="BM486" s="2"/>
      <c r="BN486" s="2"/>
      <c r="BO486" s="2"/>
      <c r="BP486" s="2"/>
      <c r="BQ486" s="2"/>
      <c r="BR486" s="2"/>
      <c r="BS486" s="2"/>
      <c r="BT486" s="2"/>
      <c r="BU486" s="2"/>
      <c r="BV486" s="113" t="s">
        <v>1366</v>
      </c>
      <c r="BW486" s="114"/>
      <c r="BX486" s="114"/>
      <c r="BY486" s="114"/>
      <c r="BZ486" s="114"/>
      <c r="CA486" s="114"/>
      <c r="CB486" s="114"/>
      <c r="CC486" s="2"/>
      <c r="CD486" s="113" t="s">
        <v>1367</v>
      </c>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row>
    <row r="487" spans="1:110" ht="13" customHeight="1">
      <c r="B487" s="1033" t="s">
        <v>1368</v>
      </c>
      <c r="C487" s="4"/>
      <c r="D487" s="4"/>
      <c r="E487" s="4"/>
      <c r="F487" s="4"/>
      <c r="G487" s="4"/>
      <c r="H487" s="4"/>
      <c r="I487" s="4"/>
      <c r="J487" s="4"/>
      <c r="K487" s="4"/>
      <c r="L487" s="4"/>
      <c r="M487" s="4"/>
      <c r="N487" s="4"/>
      <c r="O487" s="4"/>
      <c r="P487" s="4"/>
      <c r="Q487" s="1480" t="s">
        <v>1369</v>
      </c>
      <c r="R487" s="1385"/>
      <c r="S487" s="1385"/>
      <c r="T487" s="1385"/>
      <c r="U487" s="1385"/>
      <c r="V487" s="1385"/>
      <c r="W487" s="1385"/>
      <c r="X487" s="1385"/>
      <c r="Y487" s="1385"/>
      <c r="Z487" s="1385"/>
      <c r="AA487" s="1385"/>
      <c r="AB487" s="1385"/>
      <c r="AC487" s="1385"/>
      <c r="AD487" s="1385"/>
      <c r="AE487" s="1385"/>
      <c r="AF487" s="1385"/>
      <c r="AG487" s="1385"/>
      <c r="AH487" s="1385"/>
      <c r="AI487" s="1385"/>
      <c r="AJ487" s="1385"/>
      <c r="AK487" s="1640"/>
      <c r="AZ487" s="2"/>
      <c r="BB487" s="2"/>
      <c r="BC487" s="2"/>
      <c r="BD487" s="2"/>
      <c r="BE487" s="2"/>
      <c r="BF487" s="2"/>
      <c r="BG487" s="2"/>
      <c r="BH487" s="2"/>
      <c r="BI487" s="2"/>
      <c r="BJ487" s="2"/>
      <c r="BK487" s="2"/>
      <c r="BL487" s="2"/>
      <c r="BM487" s="2"/>
      <c r="BN487" s="2"/>
      <c r="BO487" s="2"/>
      <c r="BP487" s="2"/>
      <c r="BQ487" s="2"/>
      <c r="BR487" s="2"/>
      <c r="BS487" s="2"/>
      <c r="BT487" s="2"/>
      <c r="BU487" s="2"/>
      <c r="BV487" s="183" t="s">
        <v>1370</v>
      </c>
      <c r="BW487" s="114"/>
      <c r="BX487" s="114"/>
      <c r="BY487" s="114"/>
      <c r="BZ487" s="114"/>
      <c r="CA487" s="114"/>
      <c r="CB487" s="114"/>
      <c r="CC487" s="2"/>
      <c r="CD487" s="183" t="s">
        <v>1371</v>
      </c>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row>
    <row r="488" spans="1:110" ht="13" customHeight="1">
      <c r="B488" s="1033" t="s">
        <v>1372</v>
      </c>
      <c r="C488" s="4"/>
      <c r="D488" s="4"/>
      <c r="E488" s="4"/>
      <c r="F488" s="4"/>
      <c r="G488" s="4"/>
      <c r="H488" s="4"/>
      <c r="I488" s="4"/>
      <c r="J488" s="4"/>
      <c r="K488" s="4"/>
      <c r="L488" s="4"/>
      <c r="M488" s="4"/>
      <c r="N488" s="4"/>
      <c r="O488" s="4"/>
      <c r="P488" s="4"/>
      <c r="Q488" s="1659" t="s">
        <v>1373</v>
      </c>
      <c r="R488" s="1385"/>
      <c r="S488" s="1385"/>
      <c r="T488" s="1385"/>
      <c r="U488" s="1385"/>
      <c r="V488" s="1385"/>
      <c r="W488" s="1385"/>
      <c r="X488" s="1385"/>
      <c r="Y488" s="1385"/>
      <c r="Z488" s="1385"/>
      <c r="AA488" s="1385"/>
      <c r="AB488" s="1385"/>
      <c r="AC488" s="1385"/>
      <c r="AD488" s="1385"/>
      <c r="AE488" s="1385"/>
      <c r="AF488" s="1385"/>
      <c r="AG488" s="1385"/>
      <c r="AH488" s="1385"/>
      <c r="AI488" s="1385"/>
      <c r="AJ488" s="1385"/>
      <c r="AK488" s="1640"/>
      <c r="AZ488" s="2"/>
      <c r="BA488" s="2"/>
      <c r="BB488" s="2"/>
      <c r="BC488" s="2"/>
      <c r="BD488" s="2"/>
      <c r="BE488" s="2"/>
      <c r="BF488" s="2"/>
      <c r="BG488" s="2"/>
      <c r="BH488" s="2"/>
      <c r="BI488" s="2"/>
      <c r="BJ488" s="2"/>
      <c r="BK488" s="2"/>
      <c r="BL488" s="2"/>
      <c r="BM488" s="2"/>
      <c r="BN488" s="2"/>
      <c r="BO488" s="2"/>
      <c r="BP488" s="2"/>
      <c r="BQ488" s="2"/>
      <c r="BR488" s="2"/>
      <c r="BS488" s="2"/>
      <c r="BT488" s="2"/>
      <c r="BU488" s="2"/>
      <c r="BV488" s="1055"/>
      <c r="BW488" s="1056"/>
      <c r="BX488" s="1057"/>
      <c r="BY488" s="1057"/>
      <c r="BZ488" s="1057"/>
      <c r="CA488" s="1057"/>
      <c r="CB488" s="1057"/>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row>
    <row r="489" spans="1:110" ht="13" customHeight="1" thickBot="1">
      <c r="B489" s="1704" t="s">
        <v>1374</v>
      </c>
      <c r="C489" s="1705"/>
      <c r="D489" s="1705"/>
      <c r="E489" s="1705"/>
      <c r="F489" s="1705"/>
      <c r="G489" s="1705"/>
      <c r="H489" s="1705"/>
      <c r="I489" s="1705"/>
      <c r="J489" s="1705"/>
      <c r="K489" s="1705"/>
      <c r="L489" s="1705"/>
      <c r="M489" s="1705"/>
      <c r="N489" s="1705"/>
      <c r="O489" s="1705"/>
      <c r="P489" s="1706"/>
      <c r="Q489" s="1787" t="s">
        <v>895</v>
      </c>
      <c r="R489" s="1788"/>
      <c r="S489" s="1756" t="s">
        <v>1375</v>
      </c>
      <c r="T489" s="1757"/>
      <c r="U489" s="1757"/>
      <c r="V489" s="1757"/>
      <c r="W489" s="1757"/>
      <c r="X489" s="1757"/>
      <c r="Y489" s="1757"/>
      <c r="Z489" s="1757"/>
      <c r="AA489" s="1757"/>
      <c r="AB489" s="1757"/>
      <c r="AC489" s="1757"/>
      <c r="AD489" s="1757"/>
      <c r="AE489" s="1757"/>
      <c r="AF489" s="1757"/>
      <c r="AG489" s="1757"/>
      <c r="AH489" s="1757"/>
      <c r="AI489" s="1757"/>
      <c r="AJ489" s="1757"/>
      <c r="AK489" s="1758"/>
      <c r="AZ489" s="2"/>
      <c r="BA489" s="2"/>
      <c r="BB489" s="2"/>
      <c r="BC489" s="2"/>
      <c r="BD489" s="2"/>
      <c r="BE489" s="2"/>
      <c r="BF489" s="2"/>
      <c r="BG489" s="2"/>
      <c r="BH489" s="2"/>
      <c r="BI489" s="2"/>
      <c r="BJ489" s="2"/>
      <c r="BK489" s="2"/>
      <c r="BL489" s="2"/>
      <c r="BM489" s="2"/>
      <c r="BN489" s="2"/>
      <c r="BO489" s="2"/>
      <c r="BP489" s="2"/>
      <c r="BQ489" s="2"/>
      <c r="BR489" s="2"/>
      <c r="BS489" s="2"/>
      <c r="BT489" s="2"/>
      <c r="BU489" s="2"/>
      <c r="BV489" s="238" t="s">
        <v>1376</v>
      </c>
      <c r="BW489" s="239" t="s">
        <v>1377</v>
      </c>
      <c r="BX489" s="239" t="s">
        <v>1378</v>
      </c>
      <c r="BY489" s="239" t="s">
        <v>1379</v>
      </c>
      <c r="BZ489" s="239" t="s">
        <v>1380</v>
      </c>
      <c r="CA489" s="239" t="s">
        <v>1381</v>
      </c>
      <c r="CB489" s="239" t="s">
        <v>1382</v>
      </c>
      <c r="CC489" s="2"/>
      <c r="CD489" s="239" t="s">
        <v>1377</v>
      </c>
      <c r="CE489" s="239" t="s">
        <v>1378</v>
      </c>
      <c r="CF489" s="239" t="s">
        <v>1379</v>
      </c>
      <c r="CG489" s="239" t="s">
        <v>1380</v>
      </c>
      <c r="CH489" s="239" t="s">
        <v>1381</v>
      </c>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row>
    <row r="490" spans="1:110" ht="13" customHeight="1">
      <c r="B490" s="1707"/>
      <c r="C490" s="1708"/>
      <c r="D490" s="1708"/>
      <c r="E490" s="1708"/>
      <c r="F490" s="1708"/>
      <c r="G490" s="1708"/>
      <c r="H490" s="1708"/>
      <c r="I490" s="1708"/>
      <c r="J490" s="1708"/>
      <c r="K490" s="1708"/>
      <c r="L490" s="1708"/>
      <c r="M490" s="1708"/>
      <c r="N490" s="1708"/>
      <c r="O490" s="1708"/>
      <c r="P490" s="1709"/>
      <c r="Q490" s="1789"/>
      <c r="R490" s="1790"/>
      <c r="S490" s="1759"/>
      <c r="T490" s="1726"/>
      <c r="U490" s="1726"/>
      <c r="V490" s="1726"/>
      <c r="W490" s="1726"/>
      <c r="X490" s="1726"/>
      <c r="Y490" s="1726"/>
      <c r="Z490" s="1726"/>
      <c r="AA490" s="1726"/>
      <c r="AB490" s="1726"/>
      <c r="AC490" s="1726"/>
      <c r="AD490" s="1726"/>
      <c r="AE490" s="1726"/>
      <c r="AF490" s="1726"/>
      <c r="AG490" s="1726"/>
      <c r="AH490" s="1726"/>
      <c r="AI490" s="1726"/>
      <c r="AJ490" s="1726"/>
      <c r="AK490" s="1760"/>
      <c r="AZ490" s="2"/>
      <c r="BA490" s="2"/>
      <c r="BB490" s="2"/>
      <c r="BC490" s="2"/>
      <c r="BD490" s="2"/>
      <c r="BE490" s="2"/>
      <c r="BF490" s="2"/>
      <c r="BG490" s="2"/>
      <c r="BH490" s="2"/>
      <c r="BI490" s="2"/>
      <c r="BJ490" s="2"/>
      <c r="BK490" s="2"/>
      <c r="BL490" s="2"/>
      <c r="BM490" s="2"/>
      <c r="BN490" s="2"/>
      <c r="BO490" s="2"/>
      <c r="BP490" s="2"/>
      <c r="BQ490" s="2"/>
      <c r="BR490" s="2"/>
      <c r="BS490" s="2"/>
      <c r="BT490" s="2"/>
      <c r="BU490" s="2"/>
      <c r="BV490" s="240" t="s">
        <v>880</v>
      </c>
      <c r="BW490" s="333">
        <v>2724</v>
      </c>
      <c r="BX490" s="334">
        <v>2920</v>
      </c>
      <c r="BY490" s="335">
        <v>3504</v>
      </c>
      <c r="BZ490" s="334">
        <v>4048</v>
      </c>
      <c r="CA490" s="335">
        <v>4516</v>
      </c>
      <c r="CB490" s="336">
        <v>4982</v>
      </c>
      <c r="CC490" s="2"/>
      <c r="CD490" s="703">
        <v>1825</v>
      </c>
      <c r="CE490" s="703">
        <v>2131</v>
      </c>
      <c r="CF490" s="703">
        <v>2590</v>
      </c>
      <c r="CG490" s="703">
        <v>3342</v>
      </c>
      <c r="CH490" s="703">
        <v>3954</v>
      </c>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row>
    <row r="491" spans="1:110" ht="13" customHeight="1">
      <c r="B491" s="728" t="s">
        <v>1383</v>
      </c>
      <c r="C491" s="1175"/>
      <c r="D491" s="1175"/>
      <c r="E491" s="1175"/>
      <c r="F491" s="1175"/>
      <c r="G491" s="1175"/>
      <c r="H491" s="1175"/>
      <c r="I491" s="1175"/>
      <c r="J491" s="1175"/>
      <c r="K491" s="1175"/>
      <c r="L491" s="1175"/>
      <c r="M491" s="1175"/>
      <c r="N491" s="1175"/>
      <c r="O491" s="1175"/>
      <c r="P491" s="1175"/>
      <c r="Q491" s="1769" t="s">
        <v>895</v>
      </c>
      <c r="R491" s="1770"/>
      <c r="S491" s="1770"/>
      <c r="T491" s="1770"/>
      <c r="U491" s="1770"/>
      <c r="V491" s="1770"/>
      <c r="W491" s="1770"/>
      <c r="X491" s="1770"/>
      <c r="Y491" s="1770"/>
      <c r="Z491" s="1770"/>
      <c r="AA491" s="1770"/>
      <c r="AB491" s="1770"/>
      <c r="AC491" s="1770"/>
      <c r="AD491" s="1770"/>
      <c r="AE491" s="1770"/>
      <c r="AF491" s="1770"/>
      <c r="AG491" s="1770"/>
      <c r="AH491" s="1770"/>
      <c r="AI491" s="1770"/>
      <c r="AJ491" s="1770"/>
      <c r="AK491" s="1771"/>
      <c r="AZ491" s="2"/>
      <c r="BA491" s="2"/>
      <c r="BB491" s="2"/>
      <c r="BC491" s="2"/>
      <c r="BD491" s="2"/>
      <c r="BE491" s="2"/>
      <c r="BF491" s="2"/>
      <c r="BG491" s="2"/>
      <c r="BH491" s="2"/>
      <c r="BI491" s="2"/>
      <c r="BJ491" s="2"/>
      <c r="BK491" s="2"/>
      <c r="BL491" s="2"/>
      <c r="BM491" s="2"/>
      <c r="BN491" s="2"/>
      <c r="BO491" s="2"/>
      <c r="BP491" s="2"/>
      <c r="BQ491" s="2"/>
      <c r="BR491" s="2"/>
      <c r="BS491" s="2"/>
      <c r="BT491" s="2"/>
      <c r="BU491" s="2"/>
      <c r="BV491" s="241" t="s">
        <v>883</v>
      </c>
      <c r="BW491" s="337">
        <v>1850</v>
      </c>
      <c r="BX491" s="338">
        <v>1980</v>
      </c>
      <c r="BY491" s="337">
        <v>2376</v>
      </c>
      <c r="BZ491" s="338">
        <v>2746</v>
      </c>
      <c r="CA491" s="338">
        <v>3064</v>
      </c>
      <c r="CB491" s="339">
        <v>3382</v>
      </c>
      <c r="CC491" s="2"/>
      <c r="CD491" s="703">
        <v>911</v>
      </c>
      <c r="CE491" s="703">
        <v>1005</v>
      </c>
      <c r="CF491" s="703">
        <v>1321</v>
      </c>
      <c r="CG491" s="703">
        <v>1862</v>
      </c>
      <c r="CH491" s="703">
        <v>2168</v>
      </c>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row>
    <row r="492" spans="1:110" ht="13" customHeight="1">
      <c r="B492" s="1033" t="s">
        <v>1384</v>
      </c>
      <c r="C492" s="4"/>
      <c r="D492" s="4"/>
      <c r="E492" s="4"/>
      <c r="F492" s="4"/>
      <c r="G492" s="4"/>
      <c r="H492" s="4"/>
      <c r="I492" s="4"/>
      <c r="J492" s="4"/>
      <c r="K492" s="4"/>
      <c r="L492" s="4"/>
      <c r="M492" s="4"/>
      <c r="N492" s="4"/>
      <c r="O492" s="4"/>
      <c r="P492" s="4"/>
      <c r="Q492" s="1659">
        <v>0</v>
      </c>
      <c r="R492" s="1385"/>
      <c r="S492" s="1385"/>
      <c r="T492" s="1385"/>
      <c r="U492" s="1385"/>
      <c r="V492" s="1385"/>
      <c r="W492" s="1385"/>
      <c r="X492" s="1385"/>
      <c r="Y492" s="1385"/>
      <c r="Z492" s="1385"/>
      <c r="AA492" s="1385"/>
      <c r="AB492" s="1385"/>
      <c r="AC492" s="1385"/>
      <c r="AD492" s="1385"/>
      <c r="AE492" s="1385"/>
      <c r="AF492" s="1385"/>
      <c r="AG492" s="1385"/>
      <c r="AH492" s="1385"/>
      <c r="AI492" s="1385"/>
      <c r="AJ492" s="1385"/>
      <c r="AK492" s="1640"/>
      <c r="AZ492" s="2"/>
      <c r="BA492" s="2"/>
      <c r="BB492" s="2"/>
      <c r="BC492" s="2"/>
      <c r="BD492" s="2"/>
      <c r="BE492" s="2"/>
      <c r="BF492" s="2"/>
      <c r="BG492" s="2"/>
      <c r="BH492" s="2"/>
      <c r="BI492" s="2"/>
      <c r="BJ492" s="2"/>
      <c r="BK492" s="2"/>
      <c r="BL492" s="2"/>
      <c r="BM492" s="2"/>
      <c r="BN492" s="2"/>
      <c r="BO492" s="2"/>
      <c r="BP492" s="2"/>
      <c r="BQ492" s="2"/>
      <c r="BR492" s="2"/>
      <c r="BS492" s="2"/>
      <c r="BT492" s="2"/>
      <c r="BU492" s="2"/>
      <c r="BV492" s="241" t="s">
        <v>888</v>
      </c>
      <c r="BW492" s="340">
        <v>1764</v>
      </c>
      <c r="BX492" s="341">
        <v>1890</v>
      </c>
      <c r="BY492" s="340">
        <v>2270</v>
      </c>
      <c r="BZ492" s="341">
        <v>2620</v>
      </c>
      <c r="CA492" s="341">
        <v>2924</v>
      </c>
      <c r="CB492" s="342">
        <v>3226</v>
      </c>
      <c r="CC492" s="2"/>
      <c r="CD492" s="703">
        <v>1128</v>
      </c>
      <c r="CE492" s="703">
        <v>1135</v>
      </c>
      <c r="CF492" s="703">
        <v>1347</v>
      </c>
      <c r="CG492" s="703">
        <v>1898</v>
      </c>
      <c r="CH492" s="703">
        <v>2286</v>
      </c>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row>
    <row r="493" spans="1:110" ht="13" customHeight="1">
      <c r="B493" s="1033" t="s">
        <v>1385</v>
      </c>
      <c r="C493" s="4"/>
      <c r="D493" s="4"/>
      <c r="E493" s="4"/>
      <c r="F493" s="4"/>
      <c r="G493" s="4"/>
      <c r="H493" s="4"/>
      <c r="I493" s="4"/>
      <c r="J493" s="4"/>
      <c r="K493" s="4"/>
      <c r="L493" s="4"/>
      <c r="M493" s="4"/>
      <c r="N493" s="4"/>
      <c r="O493" s="4"/>
      <c r="P493" s="4"/>
      <c r="Q493" s="1659">
        <v>0</v>
      </c>
      <c r="R493" s="1385"/>
      <c r="S493" s="1385"/>
      <c r="T493" s="1385"/>
      <c r="U493" s="1385"/>
      <c r="V493" s="1385"/>
      <c r="W493" s="1385"/>
      <c r="X493" s="1385"/>
      <c r="Y493" s="1385"/>
      <c r="Z493" s="1385"/>
      <c r="AA493" s="1385"/>
      <c r="AB493" s="1385"/>
      <c r="AC493" s="1385"/>
      <c r="AD493" s="1385"/>
      <c r="AE493" s="1385"/>
      <c r="AF493" s="1385"/>
      <c r="AG493" s="1385"/>
      <c r="AH493" s="1385"/>
      <c r="AI493" s="1385"/>
      <c r="AJ493" s="1385"/>
      <c r="AK493" s="1640"/>
      <c r="AZ493" s="2"/>
      <c r="BA493" s="2"/>
      <c r="BB493" s="2"/>
      <c r="BC493" s="2"/>
      <c r="BD493" s="2"/>
      <c r="BE493" s="2"/>
      <c r="BF493" s="2"/>
      <c r="BG493" s="2"/>
      <c r="BH493" s="2"/>
      <c r="BI493" s="2"/>
      <c r="BJ493" s="2"/>
      <c r="BK493" s="2"/>
      <c r="BL493" s="2"/>
      <c r="BM493" s="2"/>
      <c r="BN493" s="2"/>
      <c r="BO493" s="2"/>
      <c r="BP493" s="2"/>
      <c r="BQ493" s="2"/>
      <c r="BR493" s="2"/>
      <c r="BS493" s="2"/>
      <c r="BT493" s="2"/>
      <c r="BU493" s="2"/>
      <c r="BV493" s="241" t="s">
        <v>892</v>
      </c>
      <c r="BW493" s="340">
        <v>1586</v>
      </c>
      <c r="BX493" s="341">
        <v>1700</v>
      </c>
      <c r="BY493" s="340">
        <v>2042</v>
      </c>
      <c r="BZ493" s="341">
        <v>2358</v>
      </c>
      <c r="CA493" s="341">
        <v>2630</v>
      </c>
      <c r="CB493" s="342">
        <v>2902</v>
      </c>
      <c r="CC493" s="2"/>
      <c r="CD493" s="703">
        <v>1049</v>
      </c>
      <c r="CE493" s="703">
        <v>1091</v>
      </c>
      <c r="CF493" s="703">
        <v>1428</v>
      </c>
      <c r="CG493" s="703">
        <v>2012</v>
      </c>
      <c r="CH493" s="703">
        <v>2423</v>
      </c>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row>
    <row r="494" spans="1:110" ht="13" customHeight="1">
      <c r="B494" s="1035" t="s">
        <v>1386</v>
      </c>
      <c r="C494" s="4"/>
      <c r="D494" s="4"/>
      <c r="E494" s="4"/>
      <c r="F494" s="4"/>
      <c r="G494" s="4"/>
      <c r="H494" s="4"/>
      <c r="I494" s="4"/>
      <c r="J494" s="4"/>
      <c r="K494" s="4"/>
      <c r="L494" s="4"/>
      <c r="M494" s="4"/>
      <c r="N494" s="4"/>
      <c r="O494" s="4"/>
      <c r="P494" s="4"/>
      <c r="Q494" s="1659">
        <v>88</v>
      </c>
      <c r="R494" s="1385"/>
      <c r="S494" s="1385"/>
      <c r="T494" s="1385"/>
      <c r="U494" s="1385"/>
      <c r="V494" s="1385"/>
      <c r="W494" s="1385"/>
      <c r="X494" s="1385"/>
      <c r="Y494" s="1385"/>
      <c r="Z494" s="1385"/>
      <c r="AA494" s="1385"/>
      <c r="AB494" s="1385"/>
      <c r="AC494" s="1385"/>
      <c r="AD494" s="1385"/>
      <c r="AE494" s="1385"/>
      <c r="AF494" s="1385"/>
      <c r="AG494" s="1385"/>
      <c r="AH494" s="1385"/>
      <c r="AI494" s="1385"/>
      <c r="AJ494" s="1385"/>
      <c r="AK494" s="1640"/>
      <c r="AZ494" s="2"/>
      <c r="BA494" s="2"/>
      <c r="BB494" s="2"/>
      <c r="BC494" s="2"/>
      <c r="BD494" s="2"/>
      <c r="BE494" s="2"/>
      <c r="BF494" s="2"/>
      <c r="BG494" s="2"/>
      <c r="BH494" s="2"/>
      <c r="BI494" s="2"/>
      <c r="BJ494" s="2"/>
      <c r="BK494" s="2"/>
      <c r="BL494" s="2"/>
      <c r="BM494" s="2"/>
      <c r="BN494" s="2"/>
      <c r="BO494" s="2"/>
      <c r="BP494" s="2"/>
      <c r="BQ494" s="2"/>
      <c r="BR494" s="2"/>
      <c r="BS494" s="2"/>
      <c r="BT494" s="2"/>
      <c r="BU494" s="2"/>
      <c r="BV494" s="241" t="s">
        <v>897</v>
      </c>
      <c r="BW494" s="340">
        <v>1656</v>
      </c>
      <c r="BX494" s="341">
        <v>1774</v>
      </c>
      <c r="BY494" s="340">
        <v>2130</v>
      </c>
      <c r="BZ494" s="341">
        <v>2460</v>
      </c>
      <c r="CA494" s="341">
        <v>2744</v>
      </c>
      <c r="CB494" s="342">
        <v>3028</v>
      </c>
      <c r="CC494" s="2"/>
      <c r="CD494" s="703">
        <v>1049</v>
      </c>
      <c r="CE494" s="703">
        <v>1055</v>
      </c>
      <c r="CF494" s="703">
        <v>1309</v>
      </c>
      <c r="CG494" s="703">
        <v>1845</v>
      </c>
      <c r="CH494" s="703">
        <v>2135</v>
      </c>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row>
    <row r="495" spans="1:110" ht="13" customHeight="1">
      <c r="B495" s="1035" t="s">
        <v>1387</v>
      </c>
      <c r="C495" s="4"/>
      <c r="D495" s="4"/>
      <c r="E495" s="4"/>
      <c r="F495" s="4"/>
      <c r="G495" s="4"/>
      <c r="H495" s="4"/>
      <c r="I495" s="4"/>
      <c r="J495" s="4"/>
      <c r="K495" s="4"/>
      <c r="L495" s="4"/>
      <c r="M495" s="1386">
        <v>0</v>
      </c>
      <c r="N495" s="1387"/>
      <c r="O495" s="1387"/>
      <c r="P495" s="1388"/>
      <c r="Q495" s="1035" t="s">
        <v>1388</v>
      </c>
      <c r="R495" s="4"/>
      <c r="S495" s="4"/>
      <c r="T495" s="4"/>
      <c r="U495" s="4"/>
      <c r="V495" s="4"/>
      <c r="W495" s="4"/>
      <c r="X495" s="4"/>
      <c r="Y495" s="4"/>
      <c r="Z495" s="4"/>
      <c r="AA495" s="4"/>
      <c r="AB495" s="4"/>
      <c r="AC495" s="4"/>
      <c r="AD495" s="4"/>
      <c r="AE495" s="4"/>
      <c r="AF495" s="4"/>
      <c r="AG495" s="4"/>
      <c r="AH495" s="1386">
        <v>88</v>
      </c>
      <c r="AI495" s="1387"/>
      <c r="AJ495" s="1387"/>
      <c r="AK495" s="1388"/>
      <c r="AZ495" s="2"/>
      <c r="BA495" s="2"/>
      <c r="BB495" s="2"/>
      <c r="BC495" s="2"/>
      <c r="BD495" s="2"/>
      <c r="BE495" s="2"/>
      <c r="BF495" s="2"/>
      <c r="BG495" s="2"/>
      <c r="BH495" s="2"/>
      <c r="BI495" s="2"/>
      <c r="BJ495" s="2"/>
      <c r="BK495" s="2"/>
      <c r="BL495" s="2"/>
      <c r="BM495" s="2"/>
      <c r="BN495" s="2"/>
      <c r="BO495" s="2"/>
      <c r="BP495" s="2"/>
      <c r="BQ495" s="2"/>
      <c r="BR495" s="2"/>
      <c r="BS495" s="2"/>
      <c r="BT495" s="2"/>
      <c r="BU495" s="2"/>
      <c r="BV495" s="241" t="s">
        <v>899</v>
      </c>
      <c r="BW495" s="340">
        <v>1540</v>
      </c>
      <c r="BX495" s="341">
        <v>1650</v>
      </c>
      <c r="BY495" s="340">
        <v>1980</v>
      </c>
      <c r="BZ495" s="341">
        <v>2286</v>
      </c>
      <c r="CA495" s="341">
        <v>2550</v>
      </c>
      <c r="CB495" s="342">
        <v>2812</v>
      </c>
      <c r="CC495" s="2"/>
      <c r="CD495" s="703">
        <v>823</v>
      </c>
      <c r="CE495" s="703">
        <v>829</v>
      </c>
      <c r="CF495" s="703">
        <v>1089</v>
      </c>
      <c r="CG495" s="703">
        <v>1519</v>
      </c>
      <c r="CH495" s="703">
        <v>1525</v>
      </c>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row>
    <row r="496" spans="1:110" ht="13" customHeight="1">
      <c r="B496" s="383"/>
      <c r="Q496" s="7"/>
      <c r="R496" s="7"/>
      <c r="S496" s="7"/>
      <c r="T496" s="7"/>
      <c r="U496" s="7"/>
      <c r="V496" s="7"/>
      <c r="W496" s="7"/>
      <c r="X496" s="7"/>
      <c r="Y496" s="7"/>
      <c r="Z496" s="7"/>
      <c r="AA496" s="7"/>
      <c r="AB496" s="7"/>
      <c r="AC496" s="7"/>
      <c r="AD496" s="7"/>
      <c r="AE496" s="7"/>
      <c r="AF496" s="7"/>
      <c r="AG496" s="7"/>
      <c r="AH496" s="7"/>
      <c r="AI496" s="7"/>
      <c r="AJ496" s="7"/>
      <c r="AK496" s="7"/>
      <c r="AZ496" s="2"/>
      <c r="BA496" s="2"/>
      <c r="BB496" s="2"/>
      <c r="BC496" s="2"/>
      <c r="BD496" s="2"/>
      <c r="BE496" s="2"/>
      <c r="BF496" s="2"/>
      <c r="BG496" s="2"/>
      <c r="BH496" s="2"/>
      <c r="BI496" s="2"/>
      <c r="BJ496" s="2"/>
      <c r="BK496" s="2"/>
      <c r="BL496" s="2"/>
      <c r="BM496" s="2"/>
      <c r="BN496" s="2"/>
      <c r="BO496" s="2"/>
      <c r="BP496" s="2"/>
      <c r="BQ496" s="2"/>
      <c r="BR496" s="2"/>
      <c r="BS496" s="2"/>
      <c r="BT496" s="2"/>
      <c r="BU496" s="2"/>
      <c r="BV496" s="241" t="s">
        <v>903</v>
      </c>
      <c r="BW496" s="340">
        <v>2724</v>
      </c>
      <c r="BX496" s="341">
        <v>2920</v>
      </c>
      <c r="BY496" s="340">
        <v>3504</v>
      </c>
      <c r="BZ496" s="341">
        <v>4048</v>
      </c>
      <c r="CA496" s="341">
        <v>4516</v>
      </c>
      <c r="CB496" s="342">
        <v>4982</v>
      </c>
      <c r="CC496" s="2"/>
      <c r="CD496" s="703">
        <v>1825</v>
      </c>
      <c r="CE496" s="703">
        <v>2131</v>
      </c>
      <c r="CF496" s="703">
        <v>2590</v>
      </c>
      <c r="CG496" s="703">
        <v>3342</v>
      </c>
      <c r="CH496" s="703">
        <v>3954</v>
      </c>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row>
    <row r="497" spans="1:110" ht="13" customHeight="1">
      <c r="A497" s="1" t="s">
        <v>963</v>
      </c>
      <c r="C497" s="1" t="s">
        <v>166</v>
      </c>
      <c r="Q497" s="7"/>
      <c r="R497" s="7"/>
      <c r="S497" s="7"/>
      <c r="T497" s="7"/>
      <c r="U497" s="7"/>
      <c r="V497" s="7"/>
      <c r="W497" s="7"/>
      <c r="X497" s="7"/>
      <c r="Y497" s="7"/>
      <c r="Z497" s="7"/>
      <c r="AA497" s="7"/>
      <c r="AB497" s="7"/>
      <c r="AC497" s="7"/>
      <c r="AD497" s="7"/>
      <c r="AE497" s="7"/>
      <c r="AF497" s="7"/>
      <c r="AG497" s="7"/>
      <c r="AH497" s="7"/>
      <c r="AI497" s="7"/>
      <c r="AJ497" s="7"/>
      <c r="AK497" s="7"/>
      <c r="AZ497" s="2"/>
      <c r="BA497" s="2"/>
      <c r="BB497" s="2"/>
      <c r="BC497" s="2"/>
      <c r="BD497" s="2"/>
      <c r="BE497" s="2"/>
      <c r="BF497" s="2"/>
      <c r="BG497" s="2"/>
      <c r="BH497" s="2"/>
      <c r="BI497" s="2"/>
      <c r="BJ497" s="2"/>
      <c r="BK497" s="2"/>
      <c r="BL497" s="2"/>
      <c r="BM497" s="2"/>
      <c r="BN497" s="2"/>
      <c r="BO497" s="2"/>
      <c r="BP497" s="2"/>
      <c r="BQ497" s="2"/>
      <c r="BR497" s="2"/>
      <c r="BS497" s="2"/>
      <c r="BT497" s="2"/>
      <c r="BU497" s="2"/>
      <c r="BV497" s="241" t="s">
        <v>906</v>
      </c>
      <c r="BW497" s="340">
        <v>1540</v>
      </c>
      <c r="BX497" s="341">
        <v>1650</v>
      </c>
      <c r="BY497" s="340">
        <v>1980</v>
      </c>
      <c r="BZ497" s="341">
        <v>2286</v>
      </c>
      <c r="CA497" s="341">
        <v>2550</v>
      </c>
      <c r="CB497" s="342">
        <v>2812</v>
      </c>
      <c r="CC497" s="2"/>
      <c r="CD497" s="703">
        <v>791</v>
      </c>
      <c r="CE497" s="703">
        <v>970</v>
      </c>
      <c r="CF497" s="703">
        <v>1147</v>
      </c>
      <c r="CG497" s="703">
        <v>1616</v>
      </c>
      <c r="CH497" s="703">
        <v>1946</v>
      </c>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row>
    <row r="498" spans="1:110" ht="13" customHeight="1">
      <c r="B498" s="397"/>
      <c r="C498" s="383"/>
      <c r="Q498" s="7"/>
      <c r="R498" s="7"/>
      <c r="S498" s="7"/>
      <c r="T498" s="7"/>
      <c r="U498" s="7"/>
      <c r="V498" s="7"/>
      <c r="W498" s="7"/>
      <c r="X498" s="7"/>
      <c r="Y498" s="7"/>
      <c r="Z498" s="7"/>
      <c r="AA498" s="7"/>
      <c r="AB498" s="7"/>
      <c r="AC498" s="7"/>
      <c r="AD498" s="7"/>
      <c r="AE498" s="7"/>
      <c r="AF498" s="7"/>
      <c r="AG498" s="7"/>
      <c r="AH498" s="7"/>
      <c r="AI498" s="7"/>
      <c r="AJ498" s="7"/>
      <c r="AK498" s="7"/>
      <c r="AZ498" s="2"/>
      <c r="BA498" s="2"/>
      <c r="BB498" s="2"/>
      <c r="BC498" s="2"/>
      <c r="BD498" s="2"/>
      <c r="BE498" s="2"/>
      <c r="BF498" s="2"/>
      <c r="BG498" s="2"/>
      <c r="BH498" s="2"/>
      <c r="BI498" s="2"/>
      <c r="BJ498" s="2"/>
      <c r="BK498" s="2"/>
      <c r="BL498" s="2"/>
      <c r="BM498" s="2"/>
      <c r="BN498" s="2"/>
      <c r="BO498" s="2"/>
      <c r="BP498" s="2"/>
      <c r="BQ498" s="2"/>
      <c r="BR498" s="2"/>
      <c r="BS498" s="2"/>
      <c r="BT498" s="2"/>
      <c r="BU498" s="2"/>
      <c r="BV498" s="241" t="s">
        <v>908</v>
      </c>
      <c r="BW498" s="340">
        <v>2064</v>
      </c>
      <c r="BX498" s="341">
        <v>2210</v>
      </c>
      <c r="BY498" s="340">
        <v>2652</v>
      </c>
      <c r="BZ498" s="341">
        <v>3064</v>
      </c>
      <c r="CA498" s="341">
        <v>3420</v>
      </c>
      <c r="CB498" s="342">
        <v>3772</v>
      </c>
      <c r="CC498" s="2"/>
      <c r="CD498" s="703">
        <v>1543</v>
      </c>
      <c r="CE498" s="703">
        <v>1666</v>
      </c>
      <c r="CF498" s="703">
        <v>2072</v>
      </c>
      <c r="CG498" s="703">
        <v>2884</v>
      </c>
      <c r="CH498" s="703">
        <v>3321</v>
      </c>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row>
    <row r="499" spans="1:110" ht="13" customHeight="1">
      <c r="B499" s="30"/>
      <c r="C499" s="31"/>
      <c r="D499" s="67"/>
      <c r="E499" s="31"/>
      <c r="F499" s="31"/>
      <c r="G499" s="31"/>
      <c r="H499" s="31"/>
      <c r="I499" s="31"/>
      <c r="J499" s="31"/>
      <c r="K499" s="31"/>
      <c r="L499" s="31"/>
      <c r="M499" s="31"/>
      <c r="N499" s="31"/>
      <c r="O499" s="31"/>
      <c r="P499" s="31"/>
      <c r="Q499" s="31"/>
      <c r="R499" s="31"/>
      <c r="S499" s="31"/>
      <c r="T499" s="31"/>
      <c r="U499" s="31"/>
      <c r="V499" s="31"/>
      <c r="W499" s="31"/>
      <c r="X499" s="31"/>
      <c r="Y499" s="31"/>
      <c r="Z499" s="31"/>
      <c r="AA499" s="31"/>
      <c r="AB499" s="39"/>
      <c r="AC499" s="1641" t="s">
        <v>1389</v>
      </c>
      <c r="AD499" s="1642"/>
      <c r="AE499" s="1642"/>
      <c r="AF499" s="1642"/>
      <c r="AG499" s="1642"/>
      <c r="AH499" s="1642"/>
      <c r="AI499" s="1642"/>
      <c r="AJ499" s="1642"/>
      <c r="AK499" s="1643"/>
      <c r="AZ499" s="2"/>
      <c r="BA499" s="2"/>
      <c r="BB499" s="2"/>
      <c r="BC499" s="2"/>
      <c r="BD499" s="2"/>
      <c r="BE499" s="2"/>
      <c r="BF499" s="2"/>
      <c r="BG499" s="2"/>
      <c r="BH499" s="2"/>
      <c r="BI499" s="2"/>
      <c r="BJ499" s="2"/>
      <c r="BK499" s="2"/>
      <c r="BL499" s="2"/>
      <c r="BM499" s="2"/>
      <c r="BN499" s="2"/>
      <c r="BO499" s="2"/>
      <c r="BP499" s="2"/>
      <c r="BQ499" s="2"/>
      <c r="BR499" s="2"/>
      <c r="BS499" s="2"/>
      <c r="BT499" s="2"/>
      <c r="BU499" s="2"/>
      <c r="BV499" s="241" t="s">
        <v>910</v>
      </c>
      <c r="BW499" s="340">
        <v>1540</v>
      </c>
      <c r="BX499" s="341">
        <v>1650</v>
      </c>
      <c r="BY499" s="340">
        <v>1980</v>
      </c>
      <c r="BZ499" s="341">
        <v>2286</v>
      </c>
      <c r="CA499" s="341">
        <v>2550</v>
      </c>
      <c r="CB499" s="342">
        <v>2812</v>
      </c>
      <c r="CC499" s="2"/>
      <c r="CD499" s="703">
        <v>1149</v>
      </c>
      <c r="CE499" s="703">
        <v>1157</v>
      </c>
      <c r="CF499" s="703">
        <v>1443</v>
      </c>
      <c r="CG499" s="703">
        <v>2033</v>
      </c>
      <c r="CH499" s="703">
        <v>2330</v>
      </c>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row>
    <row r="500" spans="1:110" ht="13" customHeight="1">
      <c r="B500" s="32"/>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c r="AB500" s="34"/>
      <c r="AC500" s="1641" t="s">
        <v>1390</v>
      </c>
      <c r="AD500" s="1642"/>
      <c r="AE500" s="1642"/>
      <c r="AF500" s="1642"/>
      <c r="AG500" s="1171" t="s">
        <v>1391</v>
      </c>
      <c r="AH500" s="1642" t="s">
        <v>1392</v>
      </c>
      <c r="AI500" s="1642"/>
      <c r="AJ500" s="1642"/>
      <c r="AK500" s="1643"/>
      <c r="AZ500" s="2"/>
      <c r="BA500" s="2"/>
      <c r="BB500" s="2"/>
      <c r="BC500" s="2"/>
      <c r="BD500" s="2"/>
      <c r="BE500" s="2"/>
      <c r="BF500" s="2"/>
      <c r="BG500" s="2"/>
      <c r="BH500" s="2"/>
      <c r="BI500" s="2"/>
      <c r="BJ500" s="2"/>
      <c r="BK500" s="2"/>
      <c r="BL500" s="2"/>
      <c r="BM500" s="2"/>
      <c r="BN500" s="2"/>
      <c r="BO500" s="2"/>
      <c r="BP500" s="2"/>
      <c r="BQ500" s="2"/>
      <c r="BR500" s="2"/>
      <c r="BS500" s="2"/>
      <c r="BT500" s="2"/>
      <c r="BU500" s="2"/>
      <c r="BV500" s="241" t="s">
        <v>912</v>
      </c>
      <c r="BW500" s="340">
        <v>1540</v>
      </c>
      <c r="BX500" s="341">
        <v>1650</v>
      </c>
      <c r="BY500" s="340">
        <v>1980</v>
      </c>
      <c r="BZ500" s="341">
        <v>2286</v>
      </c>
      <c r="CA500" s="341">
        <v>2550</v>
      </c>
      <c r="CB500" s="342">
        <v>2812</v>
      </c>
      <c r="CC500" s="2"/>
      <c r="CD500" s="703">
        <v>771</v>
      </c>
      <c r="CE500" s="703">
        <v>866</v>
      </c>
      <c r="CF500" s="703">
        <v>1138</v>
      </c>
      <c r="CG500" s="703">
        <v>1484</v>
      </c>
      <c r="CH500" s="703">
        <v>1846</v>
      </c>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row>
    <row r="501" spans="1:110" ht="13" customHeight="1">
      <c r="B501" s="1646" t="s">
        <v>1393</v>
      </c>
      <c r="C501" s="1545"/>
      <c r="D501" s="1545"/>
      <c r="E501" s="1545"/>
      <c r="F501" s="1545"/>
      <c r="G501" s="1545"/>
      <c r="H501" s="1546"/>
      <c r="I501" s="31" t="s">
        <v>1394</v>
      </c>
      <c r="J501" s="31"/>
      <c r="K501" s="31"/>
      <c r="L501" s="31"/>
      <c r="M501" s="31"/>
      <c r="N501" s="31"/>
      <c r="O501" s="31"/>
      <c r="P501" s="31"/>
      <c r="Q501" s="31"/>
      <c r="R501" s="31"/>
      <c r="S501" s="31"/>
      <c r="T501" s="31"/>
      <c r="U501" s="31"/>
      <c r="V501" s="31"/>
      <c r="W501" s="31"/>
      <c r="AC501" s="1667">
        <v>8</v>
      </c>
      <c r="AD501" s="1563"/>
      <c r="AE501" s="1563"/>
      <c r="AF501" s="1563"/>
      <c r="AG501" s="1127" t="s">
        <v>1391</v>
      </c>
      <c r="AH501" s="1489">
        <v>2024</v>
      </c>
      <c r="AI501" s="1489"/>
      <c r="AJ501" s="1489"/>
      <c r="AK501" s="1490"/>
      <c r="AZ501" s="2"/>
      <c r="BA501" s="2"/>
      <c r="BB501" s="2"/>
      <c r="BC501" s="2"/>
      <c r="BD501" s="2"/>
      <c r="BE501" s="2"/>
      <c r="BF501" s="2"/>
      <c r="BG501" s="2"/>
      <c r="BH501" s="2"/>
      <c r="BI501" s="2"/>
      <c r="BJ501" s="2"/>
      <c r="BK501" s="2"/>
      <c r="BL501" s="2"/>
      <c r="BM501" s="2"/>
      <c r="BN501" s="2"/>
      <c r="BO501" s="2"/>
      <c r="BP501" s="2"/>
      <c r="BQ501" s="2"/>
      <c r="BR501" s="2"/>
      <c r="BS501" s="2"/>
      <c r="BT501" s="2"/>
      <c r="BU501" s="2"/>
      <c r="BV501" s="241" t="s">
        <v>914</v>
      </c>
      <c r="BW501" s="340">
        <v>1546</v>
      </c>
      <c r="BX501" s="341">
        <v>1656</v>
      </c>
      <c r="BY501" s="340">
        <v>1986</v>
      </c>
      <c r="BZ501" s="341">
        <v>2296</v>
      </c>
      <c r="CA501" s="341">
        <v>2562</v>
      </c>
      <c r="CB501" s="342">
        <v>2826</v>
      </c>
      <c r="CC501" s="2"/>
      <c r="CD501" s="703">
        <v>950</v>
      </c>
      <c r="CE501" s="703">
        <v>1032</v>
      </c>
      <c r="CF501" s="703">
        <v>1352</v>
      </c>
      <c r="CG501" s="703">
        <v>1905</v>
      </c>
      <c r="CH501" s="703">
        <v>2294</v>
      </c>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row>
    <row r="502" spans="1:110" ht="13" customHeight="1">
      <c r="B502" s="1647"/>
      <c r="C502" s="1547"/>
      <c r="D502" s="1547"/>
      <c r="E502" s="1547"/>
      <c r="F502" s="1547"/>
      <c r="G502" s="1547"/>
      <c r="H502" s="1548"/>
      <c r="I502" s="33" t="s">
        <v>1395</v>
      </c>
      <c r="J502" s="33"/>
      <c r="K502" s="33"/>
      <c r="L502" s="33"/>
      <c r="M502" s="33"/>
      <c r="N502" s="33"/>
      <c r="O502" s="33"/>
      <c r="P502" s="33"/>
      <c r="Q502" s="33"/>
      <c r="R502" s="33"/>
      <c r="S502" s="33"/>
      <c r="T502" s="33"/>
      <c r="U502" s="33"/>
      <c r="V502" s="33"/>
      <c r="W502" s="33"/>
      <c r="X502" s="33"/>
      <c r="Y502" s="33"/>
      <c r="Z502" s="33"/>
      <c r="AA502" s="33"/>
      <c r="AB502" s="33"/>
      <c r="AC502" s="1667">
        <v>10</v>
      </c>
      <c r="AD502" s="1563"/>
      <c r="AE502" s="1563"/>
      <c r="AF502" s="1563"/>
      <c r="AG502" s="1168" t="s">
        <v>1391</v>
      </c>
      <c r="AH502" s="1489">
        <v>2023</v>
      </c>
      <c r="AI502" s="1489"/>
      <c r="AJ502" s="1489"/>
      <c r="AK502" s="1490"/>
      <c r="AZ502" s="2"/>
      <c r="BA502" s="2"/>
      <c r="BB502" s="2"/>
      <c r="BC502" s="2"/>
      <c r="BD502" s="2"/>
      <c r="BE502" s="2"/>
      <c r="BF502" s="2"/>
      <c r="BG502" s="2"/>
      <c r="BH502" s="2"/>
      <c r="BI502" s="2"/>
      <c r="BJ502" s="2"/>
      <c r="BK502" s="2"/>
      <c r="BL502" s="2"/>
      <c r="BM502" s="2"/>
      <c r="BN502" s="2"/>
      <c r="BO502" s="2"/>
      <c r="BP502" s="2"/>
      <c r="BQ502" s="2"/>
      <c r="BR502" s="2"/>
      <c r="BS502" s="2"/>
      <c r="BT502" s="2"/>
      <c r="BU502" s="2"/>
      <c r="BV502" s="241" t="s">
        <v>917</v>
      </c>
      <c r="BW502" s="340">
        <v>1540</v>
      </c>
      <c r="BX502" s="341">
        <v>1650</v>
      </c>
      <c r="BY502" s="340">
        <v>1980</v>
      </c>
      <c r="BZ502" s="341">
        <v>2286</v>
      </c>
      <c r="CA502" s="341">
        <v>2550</v>
      </c>
      <c r="CB502" s="342">
        <v>2812</v>
      </c>
      <c r="CC502" s="2"/>
      <c r="CD502" s="703">
        <v>872</v>
      </c>
      <c r="CE502" s="703">
        <v>1001</v>
      </c>
      <c r="CF502" s="703">
        <v>1286</v>
      </c>
      <c r="CG502" s="703">
        <v>1771</v>
      </c>
      <c r="CH502" s="703">
        <v>2138</v>
      </c>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row>
    <row r="503" spans="1:110" ht="13" customHeight="1">
      <c r="B503" s="1646" t="s">
        <v>1396</v>
      </c>
      <c r="C503" s="1545"/>
      <c r="D503" s="1545"/>
      <c r="E503" s="1545"/>
      <c r="F503" s="1545"/>
      <c r="G503" s="1545"/>
      <c r="H503" s="1546"/>
      <c r="I503" s="31" t="s">
        <v>1397</v>
      </c>
      <c r="J503" s="31"/>
      <c r="K503" s="31"/>
      <c r="L503" s="31"/>
      <c r="M503" s="31"/>
      <c r="N503" s="31"/>
      <c r="O503" s="31"/>
      <c r="P503" s="31"/>
      <c r="Q503" s="31"/>
      <c r="R503" s="31"/>
      <c r="S503" s="31"/>
      <c r="T503" s="31"/>
      <c r="U503" s="31"/>
      <c r="V503" s="31"/>
      <c r="W503" s="31"/>
      <c r="AC503" s="1667" t="s">
        <v>299</v>
      </c>
      <c r="AD503" s="1563"/>
      <c r="AE503" s="1563"/>
      <c r="AF503" s="1563"/>
      <c r="AG503" s="1127" t="s">
        <v>1391</v>
      </c>
      <c r="AH503" s="1489"/>
      <c r="AI503" s="1489"/>
      <c r="AJ503" s="1489"/>
      <c r="AK503" s="1490"/>
      <c r="AZ503" s="2"/>
      <c r="BA503" s="2"/>
      <c r="BB503" s="2"/>
      <c r="BC503" s="2"/>
      <c r="BD503" s="2"/>
      <c r="BE503" s="2"/>
      <c r="BF503" s="2"/>
      <c r="BG503" s="2"/>
      <c r="BH503" s="2"/>
      <c r="BI503" s="2"/>
      <c r="BJ503" s="2"/>
      <c r="BK503" s="2"/>
      <c r="BL503" s="2"/>
      <c r="BM503" s="2"/>
      <c r="BN503" s="2"/>
      <c r="BO503" s="2"/>
      <c r="BP503" s="2"/>
      <c r="BQ503" s="2"/>
      <c r="BR503" s="2"/>
      <c r="BS503" s="2"/>
      <c r="BT503" s="2"/>
      <c r="BU503" s="2"/>
      <c r="BV503" s="241" t="s">
        <v>919</v>
      </c>
      <c r="BW503" s="340">
        <v>1540</v>
      </c>
      <c r="BX503" s="341">
        <v>1650</v>
      </c>
      <c r="BY503" s="340">
        <v>1980</v>
      </c>
      <c r="BZ503" s="341">
        <v>2286</v>
      </c>
      <c r="CA503" s="341">
        <v>2550</v>
      </c>
      <c r="CB503" s="342">
        <v>2812</v>
      </c>
      <c r="CC503" s="2"/>
      <c r="CD503" s="703">
        <v>924</v>
      </c>
      <c r="CE503" s="703">
        <v>1079</v>
      </c>
      <c r="CF503" s="703">
        <v>1363</v>
      </c>
      <c r="CG503" s="703">
        <v>1648</v>
      </c>
      <c r="CH503" s="703">
        <v>2237</v>
      </c>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row>
    <row r="504" spans="1:110" ht="13" customHeight="1">
      <c r="B504" s="1647"/>
      <c r="C504" s="1547"/>
      <c r="D504" s="1547"/>
      <c r="E504" s="1547"/>
      <c r="F504" s="1547"/>
      <c r="G504" s="1547"/>
      <c r="H504" s="1548"/>
      <c r="I504" t="s">
        <v>1398</v>
      </c>
      <c r="AC504" s="1667" t="s">
        <v>299</v>
      </c>
      <c r="AD504" s="1563"/>
      <c r="AE504" s="1563"/>
      <c r="AF504" s="1563"/>
      <c r="AG504" s="1127" t="s">
        <v>1391</v>
      </c>
      <c r="AH504" s="1489"/>
      <c r="AI504" s="1489"/>
      <c r="AJ504" s="1489"/>
      <c r="AK504" s="1490"/>
      <c r="AZ504" s="2"/>
      <c r="BA504" s="2"/>
      <c r="BB504" s="2"/>
      <c r="BC504" s="2"/>
      <c r="BD504" s="2"/>
      <c r="BE504" s="2"/>
      <c r="BF504" s="2"/>
      <c r="BG504" s="2"/>
      <c r="BH504" s="2"/>
      <c r="BI504" s="2"/>
      <c r="BJ504" s="2"/>
      <c r="BK504" s="2"/>
      <c r="BL504" s="2"/>
      <c r="BM504" s="2"/>
      <c r="BN504" s="2"/>
      <c r="BO504" s="2"/>
      <c r="BP504" s="2"/>
      <c r="BQ504" s="2"/>
      <c r="BR504" s="2"/>
      <c r="BS504" s="2"/>
      <c r="BT504" s="2"/>
      <c r="BU504" s="2"/>
      <c r="BV504" s="241" t="s">
        <v>921</v>
      </c>
      <c r="BW504" s="340">
        <v>1540</v>
      </c>
      <c r="BX504" s="341">
        <v>1650</v>
      </c>
      <c r="BY504" s="340">
        <v>1980</v>
      </c>
      <c r="BZ504" s="341">
        <v>2286</v>
      </c>
      <c r="CA504" s="341">
        <v>2550</v>
      </c>
      <c r="CB504" s="342">
        <v>2812</v>
      </c>
      <c r="CC504" s="2"/>
      <c r="CD504" s="703">
        <v>960</v>
      </c>
      <c r="CE504" s="703">
        <v>967</v>
      </c>
      <c r="CF504" s="703">
        <v>1258</v>
      </c>
      <c r="CG504" s="703">
        <v>1773</v>
      </c>
      <c r="CH504" s="703">
        <v>2135</v>
      </c>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row>
    <row r="505" spans="1:110" ht="13" customHeight="1">
      <c r="B505" s="1647"/>
      <c r="C505" s="1547"/>
      <c r="D505" s="1547"/>
      <c r="E505" s="1547"/>
      <c r="F505" s="1547"/>
      <c r="G505" s="1547"/>
      <c r="H505" s="1548"/>
      <c r="I505" t="s">
        <v>1399</v>
      </c>
      <c r="AC505" s="1667" t="s">
        <v>299</v>
      </c>
      <c r="AD505" s="1563"/>
      <c r="AE505" s="1563"/>
      <c r="AF505" s="1563"/>
      <c r="AG505" s="1127" t="s">
        <v>1391</v>
      </c>
      <c r="AH505" s="1489"/>
      <c r="AI505" s="1489"/>
      <c r="AJ505" s="1489"/>
      <c r="AK505" s="1490"/>
      <c r="AZ505" s="2"/>
      <c r="BA505" s="2"/>
      <c r="BB505" s="2"/>
      <c r="BC505" s="2"/>
      <c r="BD505" s="2"/>
      <c r="BE505" s="2"/>
      <c r="BF505" s="2"/>
      <c r="BG505" s="2"/>
      <c r="BH505" s="2"/>
      <c r="BI505" s="2"/>
      <c r="BJ505" s="2"/>
      <c r="BK505" s="2"/>
      <c r="BL505" s="2"/>
      <c r="BM505" s="2"/>
      <c r="BN505" s="2"/>
      <c r="BO505" s="2"/>
      <c r="BP505" s="2"/>
      <c r="BQ505" s="2"/>
      <c r="BR505" s="2"/>
      <c r="BS505" s="2"/>
      <c r="BT505" s="2"/>
      <c r="BU505" s="2"/>
      <c r="BV505" s="241" t="s">
        <v>924</v>
      </c>
      <c r="BW505" s="340">
        <v>1540</v>
      </c>
      <c r="BX505" s="341">
        <v>1650</v>
      </c>
      <c r="BY505" s="340">
        <v>1980</v>
      </c>
      <c r="BZ505" s="341">
        <v>2286</v>
      </c>
      <c r="CA505" s="341">
        <v>2550</v>
      </c>
      <c r="CB505" s="342">
        <v>2812</v>
      </c>
      <c r="CC505" s="2"/>
      <c r="CD505" s="703">
        <v>1080</v>
      </c>
      <c r="CE505" s="703">
        <v>1087</v>
      </c>
      <c r="CF505" s="703">
        <v>1371</v>
      </c>
      <c r="CG505" s="703">
        <v>1932</v>
      </c>
      <c r="CH505" s="703">
        <v>2310</v>
      </c>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row>
    <row r="506" spans="1:110" ht="13" customHeight="1">
      <c r="B506" s="1647"/>
      <c r="C506" s="1547"/>
      <c r="D506" s="1547"/>
      <c r="E506" s="1547"/>
      <c r="F506" s="1547"/>
      <c r="G506" s="1547"/>
      <c r="H506" s="1548"/>
      <c r="I506" t="s">
        <v>1400</v>
      </c>
      <c r="AC506" s="1667" t="s">
        <v>299</v>
      </c>
      <c r="AD506" s="1563"/>
      <c r="AE506" s="1563"/>
      <c r="AF506" s="1563"/>
      <c r="AG506" s="1127" t="s">
        <v>1391</v>
      </c>
      <c r="AH506" s="1489"/>
      <c r="AI506" s="1489"/>
      <c r="AJ506" s="1489"/>
      <c r="AK506" s="1490"/>
      <c r="AZ506" s="2"/>
      <c r="BA506" s="2"/>
      <c r="BB506" s="2"/>
      <c r="BC506" s="2"/>
      <c r="BD506" s="2"/>
      <c r="BE506" s="2"/>
      <c r="BF506" s="2"/>
      <c r="BG506" s="2"/>
      <c r="BH506" s="2"/>
      <c r="BI506" s="2"/>
      <c r="BJ506" s="2"/>
      <c r="BK506" s="2"/>
      <c r="BL506" s="2"/>
      <c r="BM506" s="2"/>
      <c r="BN506" s="2"/>
      <c r="BO506" s="2"/>
      <c r="BP506" s="2"/>
      <c r="BQ506" s="2"/>
      <c r="BR506" s="2"/>
      <c r="BS506" s="2"/>
      <c r="BT506" s="2"/>
      <c r="BU506" s="2"/>
      <c r="BV506" s="241" t="s">
        <v>928</v>
      </c>
      <c r="BW506" s="340">
        <v>1540</v>
      </c>
      <c r="BX506" s="341">
        <v>1650</v>
      </c>
      <c r="BY506" s="340">
        <v>1980</v>
      </c>
      <c r="BZ506" s="341">
        <v>2286</v>
      </c>
      <c r="CA506" s="341">
        <v>2550</v>
      </c>
      <c r="CB506" s="342">
        <v>2812</v>
      </c>
      <c r="CC506" s="2"/>
      <c r="CD506" s="703">
        <v>928</v>
      </c>
      <c r="CE506" s="703">
        <v>964</v>
      </c>
      <c r="CF506" s="703">
        <v>1267</v>
      </c>
      <c r="CG506" s="703">
        <v>1785</v>
      </c>
      <c r="CH506" s="703">
        <v>2150</v>
      </c>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row>
    <row r="507" spans="1:110" ht="13" customHeight="1">
      <c r="B507" s="1647"/>
      <c r="C507" s="1547"/>
      <c r="D507" s="1547"/>
      <c r="E507" s="1547"/>
      <c r="F507" s="1547"/>
      <c r="G507" s="1547"/>
      <c r="H507" s="1548"/>
      <c r="I507" s="2" t="s">
        <v>1401</v>
      </c>
      <c r="AC507" s="1313" t="s">
        <v>299</v>
      </c>
      <c r="AD507" s="1314"/>
      <c r="AE507" s="1314"/>
      <c r="AF507" s="1314"/>
      <c r="AG507" s="1127" t="s">
        <v>1391</v>
      </c>
      <c r="AH507" s="1489"/>
      <c r="AI507" s="1489"/>
      <c r="AJ507" s="1489"/>
      <c r="AK507" s="1490"/>
      <c r="AZ507" s="2"/>
      <c r="BA507" s="2"/>
      <c r="BB507" s="2"/>
      <c r="BC507" s="2"/>
      <c r="BD507" s="2"/>
      <c r="BE507" s="2"/>
      <c r="BF507" s="2"/>
      <c r="BG507" s="2"/>
      <c r="BH507" s="2"/>
      <c r="BI507" s="2"/>
      <c r="BJ507" s="2"/>
      <c r="BK507" s="2"/>
      <c r="BL507" s="2"/>
      <c r="BM507" s="2"/>
      <c r="BN507" s="2"/>
      <c r="BO507" s="2"/>
      <c r="BP507" s="2"/>
      <c r="BQ507" s="2"/>
      <c r="BR507" s="2"/>
      <c r="BS507" s="2"/>
      <c r="BT507" s="2"/>
      <c r="BU507" s="2"/>
      <c r="BV507" s="241" t="s">
        <v>933</v>
      </c>
      <c r="BW507" s="340">
        <v>1540</v>
      </c>
      <c r="BX507" s="341">
        <v>1650</v>
      </c>
      <c r="BY507" s="340">
        <v>1980</v>
      </c>
      <c r="BZ507" s="341">
        <v>2286</v>
      </c>
      <c r="CA507" s="341">
        <v>2550</v>
      </c>
      <c r="CB507" s="342">
        <v>2812</v>
      </c>
      <c r="CC507" s="2"/>
      <c r="CD507" s="703">
        <v>760</v>
      </c>
      <c r="CE507" s="703">
        <v>853</v>
      </c>
      <c r="CF507" s="703">
        <v>1121</v>
      </c>
      <c r="CG507" s="703">
        <v>1580</v>
      </c>
      <c r="CH507" s="703">
        <v>1789</v>
      </c>
      <c r="CI507" s="2"/>
      <c r="CJ507" s="2"/>
      <c r="CK507" s="2"/>
      <c r="CL507" s="2"/>
      <c r="CM507" s="2"/>
      <c r="CN507" s="2"/>
      <c r="CO507" s="2"/>
      <c r="CP507" s="2"/>
      <c r="CQ507" s="2"/>
      <c r="CR507" s="2"/>
      <c r="CS507" s="2"/>
      <c r="CT507" s="2"/>
    </row>
    <row r="508" spans="1:110" ht="13" customHeight="1">
      <c r="B508" s="1647"/>
      <c r="C508" s="1547"/>
      <c r="D508" s="1547"/>
      <c r="E508" s="1547"/>
      <c r="F508" s="1547"/>
      <c r="G508" s="1547"/>
      <c r="H508" s="1548"/>
      <c r="I508" s="729" t="s">
        <v>232</v>
      </c>
      <c r="J508" s="33"/>
      <c r="K508" s="33"/>
      <c r="L508" s="1714" t="s">
        <v>1402</v>
      </c>
      <c r="M508" s="1715"/>
      <c r="N508" s="1715"/>
      <c r="O508" s="1715"/>
      <c r="P508" s="1715"/>
      <c r="Q508" s="1715"/>
      <c r="R508" s="1715"/>
      <c r="S508" s="1715"/>
      <c r="T508" s="1715"/>
      <c r="U508" s="1715"/>
      <c r="V508" s="1715"/>
      <c r="W508" s="1715"/>
      <c r="X508" s="1715"/>
      <c r="Y508" s="1715"/>
      <c r="Z508" s="1715"/>
      <c r="AA508" s="1715"/>
      <c r="AB508" s="1786"/>
      <c r="AC508" s="1667" t="s">
        <v>299</v>
      </c>
      <c r="AD508" s="1563"/>
      <c r="AE508" s="1563"/>
      <c r="AF508" s="1563"/>
      <c r="AG508" s="1168" t="s">
        <v>1391</v>
      </c>
      <c r="AH508" s="1489"/>
      <c r="AI508" s="1489"/>
      <c r="AJ508" s="1489"/>
      <c r="AK508" s="1490"/>
      <c r="AZ508" s="2"/>
      <c r="BA508" s="2"/>
      <c r="BB508" s="2"/>
      <c r="BC508" s="2"/>
      <c r="BD508" s="2"/>
      <c r="BE508" s="2"/>
      <c r="BF508" s="2"/>
      <c r="BG508" s="2"/>
      <c r="BH508" s="2"/>
      <c r="BI508" s="2"/>
      <c r="BJ508" s="2"/>
      <c r="BK508" s="2"/>
      <c r="BL508" s="2"/>
      <c r="BM508" s="2"/>
      <c r="BN508" s="2"/>
      <c r="BO508" s="2"/>
      <c r="BP508" s="2"/>
      <c r="BQ508" s="2"/>
      <c r="BR508" s="2"/>
      <c r="BS508" s="2"/>
      <c r="BT508" s="2"/>
      <c r="BU508" s="2"/>
      <c r="BV508" s="241" t="s">
        <v>937</v>
      </c>
      <c r="BW508" s="340">
        <v>2426</v>
      </c>
      <c r="BX508" s="341">
        <v>2600</v>
      </c>
      <c r="BY508" s="340">
        <v>3120</v>
      </c>
      <c r="BZ508" s="341">
        <v>3606</v>
      </c>
      <c r="CA508" s="341">
        <v>4022</v>
      </c>
      <c r="CB508" s="342">
        <v>4438</v>
      </c>
      <c r="CC508" s="2"/>
      <c r="CD508" s="703">
        <v>1777</v>
      </c>
      <c r="CE508" s="703">
        <v>2006</v>
      </c>
      <c r="CF508" s="703">
        <v>2544</v>
      </c>
      <c r="CG508" s="703">
        <v>3263</v>
      </c>
      <c r="CH508" s="703">
        <v>3600</v>
      </c>
      <c r="CI508" s="2"/>
      <c r="CJ508" s="2"/>
      <c r="CK508" s="2"/>
      <c r="CL508" s="2"/>
      <c r="CM508" s="2"/>
      <c r="CN508" s="2"/>
      <c r="CO508" s="2"/>
      <c r="CP508" s="2"/>
      <c r="CQ508" s="2"/>
      <c r="CR508" s="2"/>
      <c r="CS508" s="2"/>
      <c r="CT508" s="2"/>
    </row>
    <row r="509" spans="1:110" ht="13" customHeight="1">
      <c r="B509" s="1172"/>
      <c r="C509" s="1162"/>
      <c r="D509" s="1162"/>
      <c r="E509" s="1162"/>
      <c r="F509" s="1162"/>
      <c r="G509" s="1162"/>
      <c r="H509" s="1163"/>
      <c r="I509" s="2" t="s">
        <v>1403</v>
      </c>
      <c r="AC509" s="1702" t="s">
        <v>1079</v>
      </c>
      <c r="AD509" s="1702"/>
      <c r="AE509" s="1702"/>
      <c r="AF509" s="1702"/>
      <c r="AG509" s="1127"/>
      <c r="AH509" s="1256"/>
      <c r="AI509" s="1256"/>
      <c r="AJ509" s="1256"/>
      <c r="AK509" s="1716"/>
      <c r="AZ509" s="2"/>
      <c r="BA509" s="2"/>
      <c r="BB509" s="2"/>
      <c r="BC509" s="2"/>
      <c r="BD509" s="2"/>
      <c r="BE509" s="2"/>
      <c r="BF509" s="2"/>
      <c r="BG509" s="2"/>
      <c r="BH509" s="2"/>
      <c r="BI509" s="2"/>
      <c r="BJ509" s="2"/>
      <c r="BK509" s="2"/>
      <c r="BL509" s="2"/>
      <c r="BM509" s="2"/>
      <c r="BN509" s="2"/>
      <c r="BO509" s="2"/>
      <c r="BP509" s="2"/>
      <c r="BQ509" s="2"/>
      <c r="BR509" s="2"/>
      <c r="BS509" s="2"/>
      <c r="BT509" s="2"/>
      <c r="BU509" s="2"/>
      <c r="BV509" s="241" t="s">
        <v>944</v>
      </c>
      <c r="BW509" s="340">
        <v>1540</v>
      </c>
      <c r="BX509" s="341">
        <v>1650</v>
      </c>
      <c r="BY509" s="340">
        <v>1980</v>
      </c>
      <c r="BZ509" s="341">
        <v>2286</v>
      </c>
      <c r="CA509" s="341">
        <v>2550</v>
      </c>
      <c r="CB509" s="342">
        <v>2812</v>
      </c>
      <c r="CC509" s="2"/>
      <c r="CD509" s="703">
        <v>1083</v>
      </c>
      <c r="CE509" s="703">
        <v>1090</v>
      </c>
      <c r="CF509" s="703">
        <v>1432</v>
      </c>
      <c r="CG509" s="703">
        <v>1998</v>
      </c>
      <c r="CH509" s="703">
        <v>2208</v>
      </c>
      <c r="CI509" s="2"/>
      <c r="CJ509" s="2"/>
      <c r="CK509" s="2"/>
      <c r="CL509" s="2"/>
      <c r="CM509" s="2"/>
      <c r="CN509" s="2"/>
      <c r="CO509" s="2"/>
      <c r="CP509" s="2"/>
      <c r="CQ509" s="2"/>
      <c r="CR509" s="2"/>
      <c r="CS509" s="2"/>
      <c r="CT509" s="2"/>
    </row>
    <row r="510" spans="1:110" ht="13" customHeight="1">
      <c r="B510" s="1172"/>
      <c r="C510" s="1162"/>
      <c r="D510" s="1162"/>
      <c r="E510" s="1162"/>
      <c r="F510" s="1162"/>
      <c r="G510" s="1162"/>
      <c r="H510" s="1163"/>
      <c r="I510" t="s">
        <v>1404</v>
      </c>
      <c r="AC510" s="1313"/>
      <c r="AD510" s="1314"/>
      <c r="AE510" s="1314"/>
      <c r="AF510" s="1315"/>
      <c r="AG510" s="1127"/>
      <c r="AH510" s="1256"/>
      <c r="AI510" s="1256"/>
      <c r="AJ510" s="1256"/>
      <c r="AK510" s="1716"/>
      <c r="AZ510" s="2"/>
      <c r="BA510" s="2"/>
      <c r="BB510" s="2"/>
      <c r="BC510" s="2"/>
      <c r="BD510" s="2"/>
      <c r="BE510" s="2"/>
      <c r="BF510" s="2"/>
      <c r="BG510" s="2"/>
      <c r="BH510" s="2"/>
      <c r="BI510" s="2"/>
      <c r="BJ510" s="2"/>
      <c r="BK510" s="2"/>
      <c r="BL510" s="2"/>
      <c r="BM510" s="2"/>
      <c r="BN510" s="2"/>
      <c r="BO510" s="2"/>
      <c r="BP510" s="2"/>
      <c r="BQ510" s="2"/>
      <c r="BR510" s="2"/>
      <c r="BS510" s="2"/>
      <c r="BT510" s="2"/>
      <c r="BU510" s="2"/>
      <c r="BV510" s="241" t="s">
        <v>948</v>
      </c>
      <c r="BW510" s="340">
        <v>3426</v>
      </c>
      <c r="BX510" s="341">
        <v>3672</v>
      </c>
      <c r="BY510" s="340">
        <v>4406</v>
      </c>
      <c r="BZ510" s="341">
        <v>5090</v>
      </c>
      <c r="CA510" s="341">
        <v>5680</v>
      </c>
      <c r="CB510" s="342">
        <v>6266</v>
      </c>
      <c r="CC510" s="2"/>
      <c r="CD510" s="703">
        <v>2292</v>
      </c>
      <c r="CE510" s="703">
        <v>2818</v>
      </c>
      <c r="CF510" s="703">
        <v>3359</v>
      </c>
      <c r="CG510" s="703">
        <v>4112</v>
      </c>
      <c r="CH510" s="703">
        <v>4473</v>
      </c>
      <c r="CI510" s="2"/>
      <c r="CJ510" s="2"/>
      <c r="CK510" s="2"/>
      <c r="CL510" s="2"/>
      <c r="CM510" s="2"/>
      <c r="CN510" s="2"/>
      <c r="CO510" s="2"/>
      <c r="CP510" s="2"/>
      <c r="CQ510" s="2"/>
      <c r="CR510" s="2"/>
      <c r="CS510" s="2"/>
      <c r="CT510" s="2"/>
    </row>
    <row r="511" spans="1:110" ht="13" customHeight="1">
      <c r="B511" s="1172"/>
      <c r="C511" s="1162"/>
      <c r="D511" s="1162"/>
      <c r="E511" s="1162"/>
      <c r="F511" s="1162"/>
      <c r="G511" s="1162"/>
      <c r="H511" s="1163"/>
      <c r="I511" t="s">
        <v>1405</v>
      </c>
      <c r="AC511" s="1157"/>
      <c r="AD511" s="1158"/>
      <c r="AE511" s="1158"/>
      <c r="AF511" s="1159"/>
      <c r="AG511" s="1127"/>
      <c r="AH511" s="1126"/>
      <c r="AI511" s="1126"/>
      <c r="AJ511" s="1126"/>
      <c r="AK511" s="1176"/>
      <c r="AZ511" s="2"/>
      <c r="BA511" s="2"/>
      <c r="BB511" s="2"/>
      <c r="BC511" s="2"/>
      <c r="BD511" s="2"/>
      <c r="BE511" s="2"/>
      <c r="BF511" s="2"/>
      <c r="BG511" s="2"/>
      <c r="BH511" s="2"/>
      <c r="BI511" s="2"/>
      <c r="BJ511" s="2"/>
      <c r="BK511" s="2"/>
      <c r="BL511" s="2"/>
      <c r="BM511" s="2"/>
      <c r="BN511" s="2"/>
      <c r="BO511" s="2"/>
      <c r="BP511" s="2"/>
      <c r="BQ511" s="2"/>
      <c r="BR511" s="2"/>
      <c r="BS511" s="2"/>
      <c r="BT511" s="2"/>
      <c r="BU511" s="2"/>
      <c r="BV511" s="241" t="s">
        <v>952</v>
      </c>
      <c r="BW511" s="340">
        <v>1540</v>
      </c>
      <c r="BX511" s="341">
        <v>1650</v>
      </c>
      <c r="BY511" s="340">
        <v>1980</v>
      </c>
      <c r="BZ511" s="341">
        <v>2286</v>
      </c>
      <c r="CA511" s="341">
        <v>2550</v>
      </c>
      <c r="CB511" s="342">
        <v>2812</v>
      </c>
      <c r="CC511" s="2"/>
      <c r="CD511" s="703">
        <v>891</v>
      </c>
      <c r="CE511" s="703">
        <v>1010</v>
      </c>
      <c r="CF511" s="703">
        <v>1218</v>
      </c>
      <c r="CG511" s="703">
        <v>1716</v>
      </c>
      <c r="CH511" s="703">
        <v>2067</v>
      </c>
      <c r="CI511" s="2"/>
      <c r="CJ511" s="2"/>
      <c r="CK511" s="2"/>
      <c r="CL511" s="2"/>
      <c r="CM511" s="2"/>
      <c r="CN511" s="2"/>
      <c r="CO511" s="2"/>
      <c r="CP511" s="2"/>
      <c r="CQ511" s="2"/>
      <c r="CR511" s="2"/>
      <c r="CS511" s="2"/>
      <c r="CT511" s="2"/>
    </row>
    <row r="512" spans="1:110" ht="13" customHeight="1">
      <c r="B512" s="1172"/>
      <c r="C512" s="1162"/>
      <c r="D512" s="1162"/>
      <c r="E512" s="1162"/>
      <c r="F512" s="1162"/>
      <c r="G512" s="1162"/>
      <c r="H512" s="1163"/>
      <c r="I512" s="730" t="s">
        <v>1406</v>
      </c>
      <c r="J512" s="33"/>
      <c r="K512" s="33"/>
      <c r="L512" s="33"/>
      <c r="M512" s="33"/>
      <c r="N512" s="33"/>
      <c r="O512" s="33"/>
      <c r="P512" s="33"/>
      <c r="Q512" s="33"/>
      <c r="R512" s="33"/>
      <c r="S512" s="33"/>
      <c r="T512" s="33"/>
      <c r="U512" s="33"/>
      <c r="V512" s="33"/>
      <c r="W512" s="33"/>
      <c r="X512" s="33"/>
      <c r="Y512" s="33"/>
      <c r="Z512" s="33"/>
      <c r="AA512" s="33"/>
      <c r="AB512" s="33"/>
      <c r="AC512" s="1772"/>
      <c r="AD512" s="1773"/>
      <c r="AE512" s="1773"/>
      <c r="AF512" s="1774"/>
      <c r="AG512" s="1168"/>
      <c r="AH512" s="1775"/>
      <c r="AI512" s="1775"/>
      <c r="AJ512" s="1775"/>
      <c r="AK512" s="1776"/>
      <c r="AZ512" s="2"/>
      <c r="BA512" s="2"/>
      <c r="BB512" s="2"/>
      <c r="BC512" s="2"/>
      <c r="BD512" s="2"/>
      <c r="BE512" s="2"/>
      <c r="BF512" s="2"/>
      <c r="BG512" s="2"/>
      <c r="BH512" s="2"/>
      <c r="BI512" s="2"/>
      <c r="BJ512" s="2"/>
      <c r="BK512" s="2"/>
      <c r="BL512" s="2"/>
      <c r="BM512" s="2"/>
      <c r="BN512" s="2" t="s">
        <v>1079</v>
      </c>
      <c r="BO512" s="2"/>
      <c r="BP512" s="2"/>
      <c r="BQ512" s="2"/>
      <c r="BR512" s="2"/>
      <c r="BS512" s="2"/>
      <c r="BT512" s="2"/>
      <c r="BU512" s="2"/>
      <c r="BV512" s="241" t="s">
        <v>954</v>
      </c>
      <c r="BW512" s="340">
        <v>1582</v>
      </c>
      <c r="BX512" s="341">
        <v>1696</v>
      </c>
      <c r="BY512" s="340">
        <v>2034</v>
      </c>
      <c r="BZ512" s="341">
        <v>2350</v>
      </c>
      <c r="CA512" s="341">
        <v>2622</v>
      </c>
      <c r="CB512" s="342">
        <v>2892</v>
      </c>
      <c r="CC512" s="2"/>
      <c r="CD512" s="703">
        <v>1119</v>
      </c>
      <c r="CE512" s="703">
        <v>1132</v>
      </c>
      <c r="CF512" s="703">
        <v>1488</v>
      </c>
      <c r="CG512" s="703">
        <v>2097</v>
      </c>
      <c r="CH512" s="703">
        <v>2525</v>
      </c>
      <c r="CI512" s="2"/>
      <c r="CJ512" s="2"/>
      <c r="CK512" s="2"/>
      <c r="CL512" s="2"/>
      <c r="CM512" s="2"/>
      <c r="CN512" s="2"/>
      <c r="CO512" s="2"/>
      <c r="CP512" s="2"/>
      <c r="CQ512" s="2"/>
      <c r="CR512" s="2"/>
      <c r="CS512" s="2"/>
      <c r="CT512" s="2"/>
    </row>
    <row r="513" spans="2:110" ht="13" customHeight="1">
      <c r="B513" s="1172"/>
      <c r="C513" s="1162"/>
      <c r="D513" s="1162"/>
      <c r="E513" s="1162"/>
      <c r="F513" s="1162"/>
      <c r="G513" s="1162"/>
      <c r="H513" s="1163"/>
      <c r="I513" s="2"/>
      <c r="L513" s="7"/>
      <c r="M513" s="7"/>
      <c r="N513" s="7"/>
      <c r="O513" s="7"/>
      <c r="P513" s="7"/>
      <c r="Q513" s="7"/>
      <c r="R513" s="7"/>
      <c r="S513" s="7"/>
      <c r="T513" s="7"/>
      <c r="U513" s="7"/>
      <c r="V513" s="7"/>
      <c r="W513" s="7"/>
      <c r="X513" s="1155"/>
      <c r="Y513" s="1155"/>
      <c r="Z513" s="1155"/>
      <c r="AA513" s="1155"/>
      <c r="AB513" s="824"/>
      <c r="AC513" s="1791" t="s">
        <v>1390</v>
      </c>
      <c r="AD513" s="1609"/>
      <c r="AE513" s="1609"/>
      <c r="AF513" s="1609"/>
      <c r="AG513" s="1168" t="s">
        <v>1391</v>
      </c>
      <c r="AH513" s="1609" t="s">
        <v>1392</v>
      </c>
      <c r="AI513" s="1609"/>
      <c r="AJ513" s="1609"/>
      <c r="AK513" s="1768"/>
      <c r="AZ513" s="2"/>
      <c r="BA513" s="2"/>
      <c r="BB513" s="2"/>
      <c r="BC513" s="2"/>
      <c r="BD513" s="2"/>
      <c r="BE513" s="2"/>
      <c r="BF513" s="2"/>
      <c r="BG513" s="2"/>
      <c r="BH513" s="2"/>
      <c r="BI513" s="2"/>
      <c r="BJ513" s="2"/>
      <c r="BK513" s="2"/>
      <c r="BL513" s="2"/>
      <c r="BM513" s="2"/>
      <c r="BN513" s="2" t="s">
        <v>1407</v>
      </c>
      <c r="BO513" s="2"/>
      <c r="BP513" s="2"/>
      <c r="BQ513" s="2"/>
      <c r="BR513" s="2"/>
      <c r="BS513" s="2"/>
      <c r="BT513" s="2"/>
      <c r="BU513" s="2"/>
      <c r="BV513" s="241" t="s">
        <v>957</v>
      </c>
      <c r="BW513" s="340">
        <v>1540</v>
      </c>
      <c r="BX513" s="341">
        <v>1650</v>
      </c>
      <c r="BY513" s="340">
        <v>1980</v>
      </c>
      <c r="BZ513" s="341">
        <v>2286</v>
      </c>
      <c r="CA513" s="341">
        <v>2550</v>
      </c>
      <c r="CB513" s="342">
        <v>2812</v>
      </c>
      <c r="CC513" s="2"/>
      <c r="CD513" s="703">
        <v>994</v>
      </c>
      <c r="CE513" s="703">
        <v>1159</v>
      </c>
      <c r="CF513" s="703">
        <v>1420</v>
      </c>
      <c r="CG513" s="703">
        <v>1995</v>
      </c>
      <c r="CH513" s="703">
        <v>2410</v>
      </c>
      <c r="CI513" s="2"/>
      <c r="CJ513" s="2"/>
      <c r="CK513" s="2"/>
      <c r="CL513" s="2"/>
      <c r="CM513" s="2"/>
      <c r="CN513" s="2"/>
      <c r="CO513" s="2"/>
      <c r="CP513" s="2"/>
      <c r="CQ513" s="2"/>
      <c r="CR513" s="2"/>
      <c r="CS513" s="2"/>
      <c r="CT513" s="2"/>
    </row>
    <row r="514" spans="2:110" ht="13" customHeight="1">
      <c r="B514" s="1646" t="s">
        <v>1408</v>
      </c>
      <c r="C514" s="1545"/>
      <c r="D514" s="1545"/>
      <c r="E514" s="1545"/>
      <c r="F514" s="1545"/>
      <c r="G514" s="1545"/>
      <c r="H514" s="1546"/>
      <c r="I514" s="31" t="s">
        <v>1409</v>
      </c>
      <c r="J514" s="31"/>
      <c r="K514" s="31"/>
      <c r="L514" s="31"/>
      <c r="M514" s="31"/>
      <c r="N514" s="31"/>
      <c r="O514" s="31"/>
      <c r="P514" s="31"/>
      <c r="Q514" s="31"/>
      <c r="R514" s="31"/>
      <c r="S514" s="31"/>
      <c r="T514" s="31"/>
      <c r="U514" s="31"/>
      <c r="V514" s="31"/>
      <c r="W514" s="31"/>
      <c r="AC514" s="1667">
        <v>8</v>
      </c>
      <c r="AD514" s="1563"/>
      <c r="AE514" s="1563"/>
      <c r="AF514" s="1563"/>
      <c r="AG514" s="1127" t="s">
        <v>1391</v>
      </c>
      <c r="AH514" s="1489">
        <v>2024</v>
      </c>
      <c r="AI514" s="1489"/>
      <c r="AJ514" s="1489"/>
      <c r="AK514" s="1490"/>
      <c r="AZ514" s="2"/>
      <c r="BA514" s="2"/>
      <c r="BB514" s="2"/>
      <c r="BC514" s="2"/>
      <c r="BD514" s="2"/>
      <c r="BE514" s="2"/>
      <c r="BF514" s="2"/>
      <c r="BG514" s="2"/>
      <c r="BH514" s="2"/>
      <c r="BI514" s="2"/>
      <c r="BJ514" s="2"/>
      <c r="BK514" s="2"/>
      <c r="BL514" s="2"/>
      <c r="BM514" s="2"/>
      <c r="BN514" s="2" t="s">
        <v>1410</v>
      </c>
      <c r="BO514" s="2"/>
      <c r="BP514" s="2"/>
      <c r="BQ514" s="2"/>
      <c r="BR514" s="2"/>
      <c r="BS514" s="2"/>
      <c r="BT514" s="2"/>
      <c r="BU514" s="2"/>
      <c r="BV514" s="241" t="s">
        <v>960</v>
      </c>
      <c r="BW514" s="340">
        <v>1540</v>
      </c>
      <c r="BX514" s="341">
        <v>1650</v>
      </c>
      <c r="BY514" s="340">
        <v>1980</v>
      </c>
      <c r="BZ514" s="341">
        <v>2286</v>
      </c>
      <c r="CA514" s="341">
        <v>2550</v>
      </c>
      <c r="CB514" s="342">
        <v>2812</v>
      </c>
      <c r="CC514" s="2"/>
      <c r="CD514" s="703">
        <v>660</v>
      </c>
      <c r="CE514" s="703">
        <v>802</v>
      </c>
      <c r="CF514" s="703">
        <v>958</v>
      </c>
      <c r="CG514" s="703">
        <v>1158</v>
      </c>
      <c r="CH514" s="703">
        <v>1572</v>
      </c>
      <c r="CI514" s="2"/>
      <c r="CJ514" s="2"/>
      <c r="CK514" s="2"/>
      <c r="CL514" s="2"/>
      <c r="CM514" s="2"/>
      <c r="CN514" s="2"/>
      <c r="CO514" s="2"/>
      <c r="CP514" s="2"/>
      <c r="CQ514" s="2"/>
      <c r="CR514" s="2"/>
      <c r="CS514" s="2"/>
      <c r="CT514" s="2"/>
    </row>
    <row r="515" spans="2:110" ht="13" customHeight="1">
      <c r="B515" s="1647"/>
      <c r="C515" s="1547"/>
      <c r="D515" s="1547"/>
      <c r="E515" s="1547"/>
      <c r="F515" s="1547"/>
      <c r="G515" s="1547"/>
      <c r="H515" s="1548"/>
      <c r="I515" t="s">
        <v>1411</v>
      </c>
      <c r="AC515" s="1667">
        <v>8</v>
      </c>
      <c r="AD515" s="1563"/>
      <c r="AE515" s="1563"/>
      <c r="AF515" s="1563"/>
      <c r="AG515" s="1127" t="s">
        <v>1391</v>
      </c>
      <c r="AH515" s="1489">
        <v>2024</v>
      </c>
      <c r="AI515" s="1489"/>
      <c r="AJ515" s="1489"/>
      <c r="AK515" s="1490"/>
      <c r="AZ515" s="2"/>
      <c r="BA515" s="2"/>
      <c r="BB515" s="2"/>
      <c r="BC515" s="2"/>
      <c r="BD515" s="2"/>
      <c r="BE515" s="2"/>
      <c r="BF515" s="2"/>
      <c r="BG515" s="2"/>
      <c r="BH515" s="2"/>
      <c r="BI515" s="2"/>
      <c r="BJ515" s="2"/>
      <c r="BK515" s="2"/>
      <c r="BL515" s="2"/>
      <c r="BM515" s="2"/>
      <c r="BN515" s="2" t="s">
        <v>1412</v>
      </c>
      <c r="BO515" s="2"/>
      <c r="BP515" s="2"/>
      <c r="BQ515" s="2"/>
      <c r="BR515" s="2"/>
      <c r="BS515" s="2"/>
      <c r="BT515" s="2"/>
      <c r="BU515" s="2"/>
      <c r="BV515" s="241" t="s">
        <v>962</v>
      </c>
      <c r="BW515" s="340">
        <v>1634</v>
      </c>
      <c r="BX515" s="341">
        <v>1752</v>
      </c>
      <c r="BY515" s="340">
        <v>2102</v>
      </c>
      <c r="BZ515" s="341">
        <v>2430</v>
      </c>
      <c r="CA515" s="341">
        <v>2710</v>
      </c>
      <c r="CB515" s="342">
        <v>2990</v>
      </c>
      <c r="CC515" s="2"/>
      <c r="CD515" s="703">
        <v>1000</v>
      </c>
      <c r="CE515" s="703">
        <v>1292</v>
      </c>
      <c r="CF515" s="703">
        <v>1450</v>
      </c>
      <c r="CG515" s="703">
        <v>2043</v>
      </c>
      <c r="CH515" s="703">
        <v>2380</v>
      </c>
      <c r="CI515" s="2"/>
      <c r="CJ515" s="2"/>
      <c r="CK515" s="2"/>
      <c r="CL515" s="2"/>
      <c r="CM515" s="2"/>
      <c r="CN515" s="2"/>
      <c r="CO515" s="2"/>
      <c r="CP515" s="2"/>
      <c r="CQ515" s="2"/>
      <c r="CR515" s="2"/>
      <c r="CS515" s="2"/>
      <c r="CT515" s="2"/>
    </row>
    <row r="516" spans="2:110" ht="13" customHeight="1">
      <c r="B516" s="1647"/>
      <c r="C516" s="1547"/>
      <c r="D516" s="1547"/>
      <c r="E516" s="1547"/>
      <c r="F516" s="1547"/>
      <c r="G516" s="1547"/>
      <c r="H516" s="1548"/>
      <c r="I516" s="33" t="s">
        <v>1413</v>
      </c>
      <c r="J516" s="33"/>
      <c r="K516" s="33"/>
      <c r="L516" s="33"/>
      <c r="M516" s="33"/>
      <c r="N516" s="33"/>
      <c r="O516" s="33"/>
      <c r="P516" s="33"/>
      <c r="Q516" s="33"/>
      <c r="R516" s="33"/>
      <c r="S516" s="33"/>
      <c r="T516" s="33"/>
      <c r="U516" s="33"/>
      <c r="V516" s="33"/>
      <c r="W516" s="33"/>
      <c r="X516" s="33"/>
      <c r="Y516" s="33"/>
      <c r="Z516" s="33"/>
      <c r="AA516" s="33"/>
      <c r="AB516" s="33"/>
      <c r="AC516" s="1667">
        <v>12</v>
      </c>
      <c r="AD516" s="1563"/>
      <c r="AE516" s="1563"/>
      <c r="AF516" s="1563"/>
      <c r="AG516" s="1168" t="s">
        <v>1391</v>
      </c>
      <c r="AH516" s="1489">
        <v>2024</v>
      </c>
      <c r="AI516" s="1489"/>
      <c r="AJ516" s="1489"/>
      <c r="AK516" s="1490"/>
      <c r="AZ516" s="2"/>
      <c r="BA516" s="2"/>
      <c r="BB516" s="2"/>
      <c r="BC516" s="2"/>
      <c r="BD516" s="2"/>
      <c r="BE516" s="2"/>
      <c r="BF516" s="2"/>
      <c r="BG516" s="2"/>
      <c r="BH516" s="2"/>
      <c r="BI516" s="2"/>
      <c r="BJ516" s="2"/>
      <c r="BK516" s="2"/>
      <c r="BL516" s="2"/>
      <c r="BM516" s="2"/>
      <c r="BN516" s="2" t="s">
        <v>1414</v>
      </c>
      <c r="BO516" s="2"/>
      <c r="BP516" s="2"/>
      <c r="BQ516" s="2"/>
      <c r="BR516" s="2"/>
      <c r="BS516" s="2"/>
      <c r="BT516" s="2"/>
      <c r="BU516" s="2"/>
      <c r="BV516" s="241" t="s">
        <v>965</v>
      </c>
      <c r="BW516" s="340">
        <v>2316</v>
      </c>
      <c r="BX516" s="341">
        <v>2482</v>
      </c>
      <c r="BY516" s="340">
        <v>2980</v>
      </c>
      <c r="BZ516" s="341">
        <v>3442</v>
      </c>
      <c r="CA516" s="341">
        <v>3840</v>
      </c>
      <c r="CB516" s="342">
        <v>4236</v>
      </c>
      <c r="CC516" s="2"/>
      <c r="CD516" s="703">
        <v>2340</v>
      </c>
      <c r="CE516" s="703">
        <v>2367</v>
      </c>
      <c r="CF516" s="703">
        <v>2879</v>
      </c>
      <c r="CG516" s="703">
        <v>3990</v>
      </c>
      <c r="CH516" s="703">
        <v>4400</v>
      </c>
      <c r="CI516" s="2"/>
      <c r="CJ516" s="2"/>
      <c r="CK516" s="2"/>
      <c r="CL516" s="2"/>
      <c r="CM516" s="2"/>
      <c r="CN516" s="2"/>
      <c r="CO516" s="2"/>
      <c r="CP516" s="2"/>
      <c r="CQ516" s="2"/>
      <c r="CR516" s="2"/>
      <c r="CS516" s="2"/>
      <c r="CT516" s="2"/>
    </row>
    <row r="517" spans="2:110" ht="13" customHeight="1">
      <c r="B517" s="1646" t="s">
        <v>1415</v>
      </c>
      <c r="C517" s="1545"/>
      <c r="D517" s="1545"/>
      <c r="E517" s="1545"/>
      <c r="F517" s="1545"/>
      <c r="G517" s="1545"/>
      <c r="H517" s="1546"/>
      <c r="I517" s="31" t="s">
        <v>1409</v>
      </c>
      <c r="J517" s="31"/>
      <c r="K517" s="31"/>
      <c r="L517" s="31"/>
      <c r="M517" s="31"/>
      <c r="N517" s="31"/>
      <c r="O517" s="31"/>
      <c r="P517" s="31"/>
      <c r="Q517" s="31"/>
      <c r="R517" s="31"/>
      <c r="S517" s="31"/>
      <c r="T517" s="31"/>
      <c r="U517" s="31"/>
      <c r="V517" s="31"/>
      <c r="W517" s="31"/>
      <c r="X517" s="31"/>
      <c r="Y517" s="31"/>
      <c r="Z517" s="31"/>
      <c r="AA517" s="31"/>
      <c r="AB517" s="31"/>
      <c r="AC517" s="1313">
        <v>8</v>
      </c>
      <c r="AD517" s="1314"/>
      <c r="AE517" s="1314"/>
      <c r="AF517" s="1314"/>
      <c r="AG517" s="1160" t="s">
        <v>1391</v>
      </c>
      <c r="AH517" s="1489">
        <v>2024</v>
      </c>
      <c r="AI517" s="1489"/>
      <c r="AJ517" s="1489"/>
      <c r="AK517" s="1490"/>
      <c r="AZ517" s="2"/>
      <c r="BB517" s="2"/>
      <c r="BC517" s="2"/>
      <c r="BD517" s="2"/>
      <c r="BE517" s="2"/>
      <c r="BF517" s="2"/>
      <c r="BG517" s="2"/>
      <c r="BH517" s="2"/>
      <c r="BI517" s="2"/>
      <c r="BJ517" s="2"/>
      <c r="BK517" s="2"/>
      <c r="BL517" s="2"/>
      <c r="BM517" s="2"/>
      <c r="BN517" s="2" t="s">
        <v>1416</v>
      </c>
      <c r="BO517" s="2"/>
      <c r="BP517" s="2"/>
      <c r="BQ517" s="2"/>
      <c r="BR517" s="2"/>
      <c r="BS517" s="2"/>
      <c r="BT517" s="2"/>
      <c r="BU517" s="2"/>
      <c r="BV517" s="241" t="s">
        <v>969</v>
      </c>
      <c r="BW517" s="340">
        <v>2570</v>
      </c>
      <c r="BX517" s="341">
        <v>2752</v>
      </c>
      <c r="BY517" s="340">
        <v>3304</v>
      </c>
      <c r="BZ517" s="341">
        <v>3816</v>
      </c>
      <c r="CA517" s="341">
        <v>4256</v>
      </c>
      <c r="CB517" s="342">
        <v>4698</v>
      </c>
      <c r="CC517" s="2"/>
      <c r="CD517" s="703">
        <v>1819</v>
      </c>
      <c r="CE517" s="703">
        <v>2043</v>
      </c>
      <c r="CF517" s="703">
        <v>2684</v>
      </c>
      <c r="CG517" s="703">
        <v>3634</v>
      </c>
      <c r="CH517" s="703">
        <v>3915</v>
      </c>
      <c r="CI517" s="2"/>
      <c r="CJ517" s="2"/>
      <c r="CK517" s="2"/>
      <c r="CL517" s="2"/>
      <c r="CM517" s="2"/>
      <c r="CN517" s="2"/>
      <c r="CO517" s="2"/>
      <c r="CP517" s="2"/>
      <c r="CQ517" s="2"/>
      <c r="CR517" s="2"/>
      <c r="CS517" s="2"/>
      <c r="CT517" s="2"/>
    </row>
    <row r="518" spans="2:110" ht="13" customHeight="1">
      <c r="B518" s="1647"/>
      <c r="C518" s="1547"/>
      <c r="D518" s="1547"/>
      <c r="E518" s="1547"/>
      <c r="F518" s="1547"/>
      <c r="G518" s="1547"/>
      <c r="H518" s="1548"/>
      <c r="I518" t="s">
        <v>1411</v>
      </c>
      <c r="AC518" s="1667">
        <v>8</v>
      </c>
      <c r="AD518" s="1563"/>
      <c r="AE518" s="1563"/>
      <c r="AF518" s="1563"/>
      <c r="AG518" s="1127" t="s">
        <v>1391</v>
      </c>
      <c r="AH518" s="1489">
        <v>2024</v>
      </c>
      <c r="AI518" s="1489"/>
      <c r="AJ518" s="1489"/>
      <c r="AK518" s="1490"/>
      <c r="BB518" s="2"/>
      <c r="BC518" s="2"/>
      <c r="BD518" s="2"/>
      <c r="BE518" s="2"/>
      <c r="BF518" s="2"/>
      <c r="BG518" s="2"/>
      <c r="BH518" s="2"/>
      <c r="BI518" s="2"/>
      <c r="BJ518" s="2"/>
      <c r="BK518" s="2"/>
      <c r="BL518" s="2"/>
      <c r="BM518" s="2"/>
      <c r="BN518" s="2" t="s">
        <v>1417</v>
      </c>
      <c r="BO518" s="2"/>
      <c r="BP518" s="2"/>
      <c r="BQ518" s="2"/>
      <c r="BR518" s="2"/>
      <c r="BS518" s="2"/>
      <c r="BT518" s="2"/>
      <c r="BU518" s="2"/>
      <c r="BV518" s="241" t="s">
        <v>974</v>
      </c>
      <c r="BW518" s="340">
        <v>1824</v>
      </c>
      <c r="BX518" s="341">
        <v>1954</v>
      </c>
      <c r="BY518" s="340">
        <v>2344</v>
      </c>
      <c r="BZ518" s="341">
        <v>2710</v>
      </c>
      <c r="CA518" s="341">
        <v>3022</v>
      </c>
      <c r="CB518" s="342">
        <v>3336</v>
      </c>
      <c r="CC518" s="2"/>
      <c r="CD518" s="703">
        <v>1209</v>
      </c>
      <c r="CE518" s="703">
        <v>1217</v>
      </c>
      <c r="CF518" s="703">
        <v>1596</v>
      </c>
      <c r="CG518" s="703">
        <v>2249</v>
      </c>
      <c r="CH518" s="703">
        <v>2708</v>
      </c>
      <c r="CI518" s="2"/>
      <c r="CJ518" s="2"/>
      <c r="CK518" s="2"/>
      <c r="CL518" s="2"/>
      <c r="CM518" s="2"/>
      <c r="CN518" s="2"/>
      <c r="CO518" s="2"/>
      <c r="CP518" s="2"/>
      <c r="CQ518" s="2"/>
      <c r="CR518" s="2"/>
      <c r="CS518" s="2"/>
      <c r="CT518" s="2"/>
    </row>
    <row r="519" spans="2:110" ht="13" customHeight="1">
      <c r="B519" s="1648"/>
      <c r="C519" s="1549"/>
      <c r="D519" s="1549"/>
      <c r="E519" s="1549"/>
      <c r="F519" s="1549"/>
      <c r="G519" s="1549"/>
      <c r="H519" s="1550"/>
      <c r="I519" s="33" t="s">
        <v>1413</v>
      </c>
      <c r="J519" s="33"/>
      <c r="K519" s="33"/>
      <c r="L519" s="33"/>
      <c r="M519" s="33"/>
      <c r="N519" s="33"/>
      <c r="O519" s="33"/>
      <c r="P519" s="33"/>
      <c r="Q519" s="33"/>
      <c r="R519" s="33"/>
      <c r="S519" s="33"/>
      <c r="T519" s="33"/>
      <c r="U519" s="33"/>
      <c r="V519" s="33"/>
      <c r="W519" s="33"/>
      <c r="X519" s="33"/>
      <c r="Y519" s="33"/>
      <c r="Z519" s="33"/>
      <c r="AA519" s="33"/>
      <c r="AB519" s="33"/>
      <c r="AC519" s="1667">
        <v>9</v>
      </c>
      <c r="AD519" s="1563"/>
      <c r="AE519" s="1563"/>
      <c r="AF519" s="1563"/>
      <c r="AG519" s="1168" t="s">
        <v>1391</v>
      </c>
      <c r="AH519" s="1489">
        <v>2027</v>
      </c>
      <c r="AI519" s="1489"/>
      <c r="AJ519" s="1489"/>
      <c r="AK519" s="1490"/>
      <c r="BB519" s="2"/>
      <c r="BC519" s="2"/>
      <c r="BD519" s="2"/>
      <c r="BE519" s="2"/>
      <c r="BF519" s="2"/>
      <c r="BG519" s="2"/>
      <c r="BH519" s="2"/>
      <c r="BI519" s="2"/>
      <c r="BJ519" s="2"/>
      <c r="BK519" s="2"/>
      <c r="BL519" s="2"/>
      <c r="BM519" s="2"/>
      <c r="BN519" s="2" t="s">
        <v>1418</v>
      </c>
      <c r="BO519" s="2"/>
      <c r="BP519" s="2"/>
      <c r="BQ519" s="2"/>
      <c r="BR519" s="2"/>
      <c r="BS519" s="2"/>
      <c r="BT519" s="2"/>
      <c r="BU519" s="2"/>
      <c r="BV519" s="241" t="s">
        <v>977</v>
      </c>
      <c r="BW519" s="340">
        <v>2762</v>
      </c>
      <c r="BX519" s="341">
        <v>2958</v>
      </c>
      <c r="BY519" s="340">
        <v>3552</v>
      </c>
      <c r="BZ519" s="341">
        <v>4102</v>
      </c>
      <c r="CA519" s="341">
        <v>4576</v>
      </c>
      <c r="CB519" s="342">
        <v>5050</v>
      </c>
      <c r="CC519" s="2"/>
      <c r="CD519" s="703">
        <v>2200</v>
      </c>
      <c r="CE519" s="703">
        <v>2344</v>
      </c>
      <c r="CF519" s="703">
        <v>2783</v>
      </c>
      <c r="CG519" s="703">
        <v>3769</v>
      </c>
      <c r="CH519" s="703">
        <v>4467</v>
      </c>
      <c r="CI519" s="2"/>
      <c r="CJ519" s="2"/>
      <c r="CK519" s="2"/>
      <c r="CL519" s="2"/>
      <c r="CM519" s="2"/>
      <c r="CN519" s="2"/>
      <c r="CO519" s="2"/>
      <c r="CP519" s="2"/>
      <c r="CQ519" s="2"/>
      <c r="CR519" s="2"/>
      <c r="CS519" s="2"/>
      <c r="CT519" s="2"/>
    </row>
    <row r="520" spans="2:110" ht="13" customHeight="1">
      <c r="B520" s="1646" t="s">
        <v>1419</v>
      </c>
      <c r="C520" s="1545"/>
      <c r="D520" s="1545"/>
      <c r="E520" s="1545"/>
      <c r="F520" s="1545"/>
      <c r="G520" s="1545"/>
      <c r="H520" s="1546"/>
      <c r="I520" s="30" t="s">
        <v>1420</v>
      </c>
      <c r="J520" s="31"/>
      <c r="K520" s="31"/>
      <c r="L520" s="31"/>
      <c r="M520" s="31"/>
      <c r="N520" s="31"/>
      <c r="O520" s="1714" t="s">
        <v>1421</v>
      </c>
      <c r="P520" s="1715"/>
      <c r="Q520" s="1715"/>
      <c r="R520" s="1715"/>
      <c r="S520" s="1715"/>
      <c r="T520" s="1715"/>
      <c r="U520" s="1715"/>
      <c r="V520" s="1715"/>
      <c r="W520" s="1715"/>
      <c r="X520" s="1715"/>
      <c r="Y520" s="1715"/>
      <c r="Z520" s="1715"/>
      <c r="AA520" s="1715"/>
      <c r="AB520" s="39"/>
      <c r="AC520" s="1313" t="s">
        <v>299</v>
      </c>
      <c r="AD520" s="1314"/>
      <c r="AE520" s="1314"/>
      <c r="AF520" s="1314"/>
      <c r="AG520" s="1160" t="s">
        <v>1391</v>
      </c>
      <c r="AH520" s="1489"/>
      <c r="AI520" s="1489"/>
      <c r="AJ520" s="1489"/>
      <c r="AK520" s="1490"/>
      <c r="AZ520" s="2"/>
      <c r="BB520" s="2"/>
      <c r="BC520" s="2"/>
      <c r="BD520" s="2"/>
      <c r="BE520" s="2"/>
      <c r="BF520" s="2"/>
      <c r="BG520" s="2"/>
      <c r="BH520" s="2"/>
      <c r="BI520" s="2"/>
      <c r="BJ520" s="2"/>
      <c r="BK520" s="2"/>
      <c r="BL520" s="2"/>
      <c r="BM520" s="2"/>
      <c r="BN520" s="2" t="s">
        <v>1422</v>
      </c>
      <c r="BO520" s="2"/>
      <c r="BP520" s="2"/>
      <c r="BQ520" s="2"/>
      <c r="BR520" s="2"/>
      <c r="BS520" s="2"/>
      <c r="BT520" s="2"/>
      <c r="BU520" s="2"/>
      <c r="BV520" s="241" t="s">
        <v>979</v>
      </c>
      <c r="BW520" s="340">
        <v>2064</v>
      </c>
      <c r="BX520" s="341">
        <v>2210</v>
      </c>
      <c r="BY520" s="340">
        <v>2652</v>
      </c>
      <c r="BZ520" s="341">
        <v>3064</v>
      </c>
      <c r="CA520" s="341">
        <v>3420</v>
      </c>
      <c r="CB520" s="342">
        <v>3772</v>
      </c>
      <c r="CC520" s="2"/>
      <c r="CD520" s="703">
        <v>1543</v>
      </c>
      <c r="CE520" s="703">
        <v>1666</v>
      </c>
      <c r="CF520" s="703">
        <v>2072</v>
      </c>
      <c r="CG520" s="703">
        <v>2884</v>
      </c>
      <c r="CH520" s="703">
        <v>3321</v>
      </c>
      <c r="CI520" s="2"/>
      <c r="CJ520" s="2"/>
      <c r="CK520" s="2"/>
      <c r="CL520" s="2"/>
      <c r="CM520" s="2"/>
      <c r="CN520" s="2"/>
      <c r="CO520" s="2"/>
      <c r="CP520" s="2"/>
      <c r="CQ520" s="2"/>
      <c r="CR520" s="2"/>
      <c r="CS520" s="2"/>
      <c r="CT520" s="2"/>
    </row>
    <row r="521" spans="2:110" ht="13" customHeight="1">
      <c r="B521" s="1647"/>
      <c r="C521" s="1547"/>
      <c r="D521" s="1547"/>
      <c r="E521" s="1547"/>
      <c r="F521" s="1547"/>
      <c r="G521" s="1547"/>
      <c r="H521" s="1548"/>
      <c r="I521" s="66" t="s">
        <v>43</v>
      </c>
      <c r="AB521" s="42"/>
      <c r="AC521" s="1667" t="s">
        <v>299</v>
      </c>
      <c r="AD521" s="1563"/>
      <c r="AE521" s="1563"/>
      <c r="AF521" s="1563"/>
      <c r="AG521" s="1127" t="s">
        <v>1391</v>
      </c>
      <c r="AH521" s="1489"/>
      <c r="AI521" s="1489"/>
      <c r="AJ521" s="1489"/>
      <c r="AK521" s="1490"/>
      <c r="AZ521" s="2"/>
      <c r="BB521" s="2"/>
      <c r="BC521" s="2"/>
      <c r="BD521" s="2"/>
      <c r="BE521" s="2"/>
      <c r="BF521" s="2"/>
      <c r="BG521" s="2"/>
      <c r="BH521" s="2"/>
      <c r="BI521" s="2"/>
      <c r="BJ521" s="2"/>
      <c r="BK521" s="2"/>
      <c r="BL521" s="2"/>
      <c r="BM521" s="2"/>
      <c r="BN521" s="2" t="s">
        <v>1423</v>
      </c>
      <c r="BO521" s="2"/>
      <c r="BP521" s="2"/>
      <c r="BQ521" s="2"/>
      <c r="BR521" s="2"/>
      <c r="BS521" s="2"/>
      <c r="BT521" s="2"/>
      <c r="BU521" s="2"/>
      <c r="BV521" s="241" t="s">
        <v>981</v>
      </c>
      <c r="BW521" s="340">
        <v>1612</v>
      </c>
      <c r="BX521" s="341">
        <v>1726</v>
      </c>
      <c r="BY521" s="340">
        <v>2072</v>
      </c>
      <c r="BZ521" s="341">
        <v>2394</v>
      </c>
      <c r="CA521" s="341">
        <v>2672</v>
      </c>
      <c r="CB521" s="342">
        <v>2948</v>
      </c>
      <c r="CC521" s="2"/>
      <c r="CD521" s="703">
        <v>803</v>
      </c>
      <c r="CE521" s="703">
        <v>887</v>
      </c>
      <c r="CF521" s="703">
        <v>1165</v>
      </c>
      <c r="CG521" s="703">
        <v>1642</v>
      </c>
      <c r="CH521" s="703">
        <v>1867</v>
      </c>
      <c r="CI521" s="2"/>
      <c r="CJ521" s="2"/>
      <c r="CK521" s="2"/>
      <c r="CL521" s="2"/>
      <c r="CM521" s="2"/>
      <c r="CN521" s="2"/>
      <c r="CO521" s="2"/>
      <c r="CP521" s="2"/>
      <c r="CQ521" s="2"/>
      <c r="CR521" s="2"/>
      <c r="CS521" s="2"/>
      <c r="CT521" s="2"/>
    </row>
    <row r="522" spans="2:110" ht="13" customHeight="1">
      <c r="B522" s="1647"/>
      <c r="C522" s="1547"/>
      <c r="D522" s="1547"/>
      <c r="E522" s="1547"/>
      <c r="F522" s="1547"/>
      <c r="G522" s="1547"/>
      <c r="H522" s="1548"/>
      <c r="I522" s="32" t="s">
        <v>1424</v>
      </c>
      <c r="J522" s="33"/>
      <c r="K522" s="33"/>
      <c r="L522" s="33"/>
      <c r="M522" s="33"/>
      <c r="N522" s="33"/>
      <c r="O522" s="33"/>
      <c r="P522" s="33"/>
      <c r="Q522" s="33"/>
      <c r="R522" s="33"/>
      <c r="S522" s="33"/>
      <c r="T522" s="33"/>
      <c r="U522" s="33"/>
      <c r="V522" s="33"/>
      <c r="W522" s="33"/>
      <c r="X522" s="33"/>
      <c r="Y522" s="33"/>
      <c r="Z522" s="33"/>
      <c r="AA522" s="33"/>
      <c r="AB522" s="34"/>
      <c r="AC522" s="1667">
        <v>8</v>
      </c>
      <c r="AD522" s="1563"/>
      <c r="AE522" s="1563"/>
      <c r="AF522" s="1563"/>
      <c r="AG522" s="1168" t="s">
        <v>1391</v>
      </c>
      <c r="AH522" s="1489">
        <v>2024</v>
      </c>
      <c r="AI522" s="1489"/>
      <c r="AJ522" s="1489"/>
      <c r="AK522" s="1490"/>
      <c r="AZ522" s="2"/>
      <c r="BA522" s="2"/>
      <c r="BB522" s="2"/>
      <c r="BC522" s="2"/>
      <c r="BD522" s="2"/>
      <c r="BE522" s="2"/>
      <c r="BF522" s="2"/>
      <c r="BG522" s="2"/>
      <c r="BH522" s="2"/>
      <c r="BI522" s="2"/>
      <c r="BJ522" s="2"/>
      <c r="BK522" s="2"/>
      <c r="BL522" s="2"/>
      <c r="BM522" s="2"/>
      <c r="BN522" s="2" t="s">
        <v>1425</v>
      </c>
      <c r="BO522" s="2"/>
      <c r="BP522" s="2"/>
      <c r="BQ522" s="2"/>
      <c r="BR522" s="2"/>
      <c r="BS522" s="2"/>
      <c r="BT522" s="2"/>
      <c r="BU522" s="2"/>
      <c r="BV522" s="241" t="s">
        <v>986</v>
      </c>
      <c r="BW522" s="340">
        <v>1794</v>
      </c>
      <c r="BX522" s="341">
        <v>1922</v>
      </c>
      <c r="BY522" s="340">
        <v>2304</v>
      </c>
      <c r="BZ522" s="341">
        <v>2664</v>
      </c>
      <c r="CA522" s="341">
        <v>2972</v>
      </c>
      <c r="CB522" s="342">
        <v>3280</v>
      </c>
      <c r="CC522" s="2"/>
      <c r="CD522" s="703">
        <v>1517</v>
      </c>
      <c r="CE522" s="703">
        <v>1611</v>
      </c>
      <c r="CF522" s="703">
        <v>2010</v>
      </c>
      <c r="CG522" s="703">
        <v>2707</v>
      </c>
      <c r="CH522" s="703">
        <v>3304</v>
      </c>
      <c r="CI522" s="2"/>
      <c r="CJ522" s="2"/>
      <c r="CK522" s="2"/>
      <c r="CL522" s="2"/>
      <c r="CM522" s="2"/>
      <c r="CN522" s="2"/>
      <c r="CO522" s="2"/>
      <c r="CP522" s="2"/>
      <c r="CQ522" s="2"/>
      <c r="CR522" s="2"/>
      <c r="CS522" s="2"/>
      <c r="CT522" s="2"/>
    </row>
    <row r="523" spans="2:110" ht="13" customHeight="1">
      <c r="B523" s="1647"/>
      <c r="C523" s="1547"/>
      <c r="D523" s="1547"/>
      <c r="E523" s="1547"/>
      <c r="F523" s="1547"/>
      <c r="G523" s="1547"/>
      <c r="H523" s="1548"/>
      <c r="I523" s="31" t="s">
        <v>1426</v>
      </c>
      <c r="J523" s="31"/>
      <c r="K523" s="31"/>
      <c r="L523" s="31"/>
      <c r="M523" s="31"/>
      <c r="N523" s="31"/>
      <c r="O523" s="1714" t="s">
        <v>1402</v>
      </c>
      <c r="P523" s="1715"/>
      <c r="Q523" s="1715"/>
      <c r="R523" s="1715"/>
      <c r="S523" s="1715"/>
      <c r="T523" s="1715"/>
      <c r="U523" s="1715"/>
      <c r="V523" s="1715"/>
      <c r="W523" s="1715"/>
      <c r="X523" s="1715"/>
      <c r="Y523" s="1715"/>
      <c r="Z523" s="1715"/>
      <c r="AA523" s="1715"/>
      <c r="AC523" s="1667" t="s">
        <v>299</v>
      </c>
      <c r="AD523" s="1563"/>
      <c r="AE523" s="1563"/>
      <c r="AF523" s="1563"/>
      <c r="AG523" s="1127" t="s">
        <v>1391</v>
      </c>
      <c r="AH523" s="1489"/>
      <c r="AI523" s="1489"/>
      <c r="AJ523" s="1489"/>
      <c r="AK523" s="1490"/>
      <c r="AZ523" s="2"/>
      <c r="BA523" s="2"/>
      <c r="BB523" s="2"/>
      <c r="BC523" s="2"/>
      <c r="BD523" s="2"/>
      <c r="BE523" s="2"/>
      <c r="BF523" s="2"/>
      <c r="BG523" s="2"/>
      <c r="BH523" s="2"/>
      <c r="BI523" s="2"/>
      <c r="BJ523" s="2"/>
      <c r="BK523" s="2"/>
      <c r="BL523" s="2"/>
      <c r="BM523" s="2"/>
      <c r="BN523" s="2" t="s">
        <v>1427</v>
      </c>
      <c r="BO523" s="2"/>
      <c r="BP523" s="2"/>
      <c r="BQ523" s="2"/>
      <c r="BR523" s="2"/>
      <c r="BS523" s="2"/>
      <c r="BT523" s="2"/>
      <c r="BU523" s="2"/>
      <c r="BV523" s="241" t="s">
        <v>992</v>
      </c>
      <c r="BW523" s="340">
        <v>2064</v>
      </c>
      <c r="BX523" s="341">
        <v>2210</v>
      </c>
      <c r="BY523" s="340">
        <v>2652</v>
      </c>
      <c r="BZ523" s="341">
        <v>3064</v>
      </c>
      <c r="CA523" s="341">
        <v>3420</v>
      </c>
      <c r="CB523" s="342">
        <v>3772</v>
      </c>
      <c r="CC523" s="2"/>
      <c r="CD523" s="703">
        <v>1543</v>
      </c>
      <c r="CE523" s="703">
        <v>1666</v>
      </c>
      <c r="CF523" s="703">
        <v>2072</v>
      </c>
      <c r="CG523" s="703">
        <v>2884</v>
      </c>
      <c r="CH523" s="703">
        <v>3321</v>
      </c>
      <c r="CI523" s="2"/>
      <c r="CJ523" s="2"/>
      <c r="CK523" s="2"/>
      <c r="CL523" s="2"/>
      <c r="CM523" s="2"/>
      <c r="CN523" s="2"/>
      <c r="CO523" s="2"/>
      <c r="CP523" s="2"/>
      <c r="CQ523" s="2"/>
      <c r="CR523" s="2"/>
      <c r="CS523" s="2"/>
      <c r="CT523" s="2"/>
    </row>
    <row r="524" spans="2:110" ht="13" customHeight="1">
      <c r="B524" s="1647"/>
      <c r="C524" s="1547"/>
      <c r="D524" s="1547"/>
      <c r="E524" s="1547"/>
      <c r="F524" s="1547"/>
      <c r="G524" s="1547"/>
      <c r="H524" s="1548"/>
      <c r="I524" t="s">
        <v>43</v>
      </c>
      <c r="AC524" s="1667" t="s">
        <v>299</v>
      </c>
      <c r="AD524" s="1563"/>
      <c r="AE524" s="1563"/>
      <c r="AF524" s="1563"/>
      <c r="AG524" s="1127" t="s">
        <v>1391</v>
      </c>
      <c r="AH524" s="1489"/>
      <c r="AI524" s="1489"/>
      <c r="AJ524" s="1489"/>
      <c r="AK524" s="1490"/>
      <c r="AZ524" s="2"/>
      <c r="BA524" s="2"/>
      <c r="BB524" s="2"/>
      <c r="BC524" s="2"/>
      <c r="BD524" s="2"/>
      <c r="BE524" s="2"/>
      <c r="BF524" s="2"/>
      <c r="BG524" s="2"/>
      <c r="BH524" s="2"/>
      <c r="BI524" s="2"/>
      <c r="BJ524" s="2"/>
      <c r="BK524" s="2"/>
      <c r="BL524" s="2"/>
      <c r="BM524" s="2"/>
      <c r="BN524" s="2" t="s">
        <v>1428</v>
      </c>
      <c r="BO524" s="2"/>
      <c r="BP524" s="2"/>
      <c r="BQ524" s="2"/>
      <c r="BR524" s="2"/>
      <c r="BS524" s="2"/>
      <c r="BT524" s="2"/>
      <c r="BU524" s="2"/>
      <c r="BV524" s="241" t="s">
        <v>984</v>
      </c>
      <c r="BW524" s="340">
        <v>2142</v>
      </c>
      <c r="BX524" s="341">
        <v>2296</v>
      </c>
      <c r="BY524" s="340">
        <v>2754</v>
      </c>
      <c r="BZ524" s="341">
        <v>3182</v>
      </c>
      <c r="CA524" s="341">
        <v>3550</v>
      </c>
      <c r="CB524" s="342">
        <v>3916</v>
      </c>
      <c r="CC524" s="2"/>
      <c r="CD524" s="703">
        <v>1707</v>
      </c>
      <c r="CE524" s="703">
        <v>1917</v>
      </c>
      <c r="CF524" s="703">
        <v>2519</v>
      </c>
      <c r="CG524" s="703">
        <v>3550</v>
      </c>
      <c r="CH524" s="703">
        <v>4121</v>
      </c>
      <c r="CI524" s="2"/>
      <c r="CJ524" s="2"/>
      <c r="CK524" s="2"/>
      <c r="CL524" s="2"/>
      <c r="CM524" s="2"/>
      <c r="CN524" s="2"/>
      <c r="CO524" s="2"/>
      <c r="CP524" s="2"/>
      <c r="CQ524" s="2"/>
      <c r="CR524" s="2"/>
      <c r="CS524" s="2"/>
      <c r="CT524" s="2"/>
    </row>
    <row r="525" spans="2:110" ht="13" customHeight="1">
      <c r="B525" s="1647"/>
      <c r="C525" s="1547"/>
      <c r="D525" s="1547"/>
      <c r="E525" s="1547"/>
      <c r="F525" s="1547"/>
      <c r="G525" s="1547"/>
      <c r="H525" s="1548"/>
      <c r="I525" s="33" t="s">
        <v>1424</v>
      </c>
      <c r="J525" s="33"/>
      <c r="K525" s="33"/>
      <c r="L525" s="33"/>
      <c r="M525" s="33"/>
      <c r="N525" s="33"/>
      <c r="O525" s="33"/>
      <c r="P525" s="33"/>
      <c r="Q525" s="33"/>
      <c r="R525" s="33"/>
      <c r="S525" s="33"/>
      <c r="T525" s="33"/>
      <c r="U525" s="33"/>
      <c r="V525" s="33"/>
      <c r="W525" s="33"/>
      <c r="X525" s="33"/>
      <c r="Y525" s="33"/>
      <c r="Z525" s="33"/>
      <c r="AA525" s="33"/>
      <c r="AB525" s="33"/>
      <c r="AC525" s="1667" t="s">
        <v>299</v>
      </c>
      <c r="AD525" s="1563"/>
      <c r="AE525" s="1563"/>
      <c r="AF525" s="1563"/>
      <c r="AG525" s="1168" t="s">
        <v>1391</v>
      </c>
      <c r="AH525" s="1489"/>
      <c r="AI525" s="1489"/>
      <c r="AJ525" s="1489"/>
      <c r="AK525" s="1490"/>
      <c r="AZ525" s="2"/>
      <c r="BA525" s="2"/>
      <c r="BB525" s="2"/>
      <c r="BC525" s="2"/>
      <c r="BD525" s="2"/>
      <c r="BE525" s="2"/>
      <c r="BF525" s="2"/>
      <c r="BG525" s="2"/>
      <c r="BH525" s="2"/>
      <c r="BI525" s="2"/>
      <c r="BJ525" s="2"/>
      <c r="BK525" s="2"/>
      <c r="BL525" s="2"/>
      <c r="BM525" s="2"/>
      <c r="BN525" s="2" t="s">
        <v>1429</v>
      </c>
      <c r="BO525" s="2"/>
      <c r="BP525" s="2"/>
      <c r="BQ525" s="2"/>
      <c r="BR525" s="2"/>
      <c r="BS525" s="2"/>
      <c r="BT525" s="2"/>
      <c r="BU525" s="2"/>
      <c r="BV525" s="241" t="s">
        <v>1000</v>
      </c>
      <c r="BW525" s="340">
        <v>1794</v>
      </c>
      <c r="BX525" s="341">
        <v>1922</v>
      </c>
      <c r="BY525" s="340">
        <v>2304</v>
      </c>
      <c r="BZ525" s="341">
        <v>2664</v>
      </c>
      <c r="CA525" s="341">
        <v>2972</v>
      </c>
      <c r="CB525" s="342">
        <v>3280</v>
      </c>
      <c r="CC525" s="2"/>
      <c r="CD525" s="703">
        <v>1517</v>
      </c>
      <c r="CE525" s="703">
        <v>1611</v>
      </c>
      <c r="CF525" s="703">
        <v>2010</v>
      </c>
      <c r="CG525" s="703">
        <v>2707</v>
      </c>
      <c r="CH525" s="703">
        <v>3304</v>
      </c>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row>
    <row r="526" spans="2:110" ht="13" customHeight="1">
      <c r="B526" s="1647"/>
      <c r="C526" s="1547"/>
      <c r="D526" s="1547"/>
      <c r="E526" s="1547"/>
      <c r="F526" s="1547"/>
      <c r="G526" s="1547"/>
      <c r="H526" s="1548"/>
      <c r="I526" s="31" t="s">
        <v>1426</v>
      </c>
      <c r="J526" s="31"/>
      <c r="K526" s="31"/>
      <c r="L526" s="31"/>
      <c r="M526" s="31"/>
      <c r="N526" s="31"/>
      <c r="O526" s="1714" t="s">
        <v>1402</v>
      </c>
      <c r="P526" s="1715"/>
      <c r="Q526" s="1715"/>
      <c r="R526" s="1715"/>
      <c r="S526" s="1715"/>
      <c r="T526" s="1715"/>
      <c r="U526" s="1715"/>
      <c r="V526" s="1715"/>
      <c r="W526" s="1715"/>
      <c r="X526" s="1715"/>
      <c r="Y526" s="1715"/>
      <c r="Z526" s="1715"/>
      <c r="AA526" s="1715"/>
      <c r="AC526" s="1667" t="s">
        <v>299</v>
      </c>
      <c r="AD526" s="1563"/>
      <c r="AE526" s="1563"/>
      <c r="AF526" s="1563"/>
      <c r="AG526" s="1127" t="s">
        <v>1391</v>
      </c>
      <c r="AH526" s="1489"/>
      <c r="AI526" s="1489"/>
      <c r="AJ526" s="1489"/>
      <c r="AK526" s="1490"/>
      <c r="AZ526" s="2"/>
      <c r="BA526" s="2"/>
      <c r="BB526" s="2"/>
      <c r="BC526" s="2"/>
      <c r="BD526" s="2"/>
      <c r="BE526" s="2"/>
      <c r="BF526" s="2"/>
      <c r="BG526" s="2"/>
      <c r="BH526" s="2"/>
      <c r="BI526" s="2"/>
      <c r="BJ526" s="2"/>
      <c r="BK526" s="2"/>
      <c r="BL526" s="2"/>
      <c r="BM526" s="2"/>
      <c r="BN526" s="2" t="s">
        <v>1430</v>
      </c>
      <c r="BO526" s="2"/>
      <c r="BP526" s="2"/>
      <c r="BQ526" s="2"/>
      <c r="BR526" s="2"/>
      <c r="BS526" s="2"/>
      <c r="BT526" s="2"/>
      <c r="BU526" s="2"/>
      <c r="BV526" s="241" t="s">
        <v>1005</v>
      </c>
      <c r="BW526" s="340">
        <v>2652</v>
      </c>
      <c r="BX526" s="341">
        <v>2840</v>
      </c>
      <c r="BY526" s="340">
        <v>3410</v>
      </c>
      <c r="BZ526" s="341">
        <v>3940</v>
      </c>
      <c r="CA526" s="341">
        <v>4394</v>
      </c>
      <c r="CB526" s="342">
        <v>4848</v>
      </c>
      <c r="CC526" s="2"/>
      <c r="CD526" s="703">
        <v>2062</v>
      </c>
      <c r="CE526" s="703">
        <v>2248</v>
      </c>
      <c r="CF526" s="703">
        <v>2833</v>
      </c>
      <c r="CG526" s="703">
        <v>3819</v>
      </c>
      <c r="CH526" s="703">
        <v>4638</v>
      </c>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row>
    <row r="527" spans="2:110" ht="13" customHeight="1">
      <c r="B527" s="1647"/>
      <c r="C527" s="1547"/>
      <c r="D527" s="1547"/>
      <c r="E527" s="1547"/>
      <c r="F527" s="1547"/>
      <c r="G527" s="1547"/>
      <c r="H527" s="1548"/>
      <c r="I527" t="s">
        <v>43</v>
      </c>
      <c r="AC527" s="1667" t="s">
        <v>299</v>
      </c>
      <c r="AD527" s="1563"/>
      <c r="AE527" s="1563"/>
      <c r="AF527" s="1563"/>
      <c r="AG527" s="1127" t="s">
        <v>1391</v>
      </c>
      <c r="AH527" s="1489"/>
      <c r="AI527" s="1489"/>
      <c r="AJ527" s="1489"/>
      <c r="AK527" s="1490"/>
      <c r="AZ527" s="2"/>
      <c r="BA527" s="2"/>
      <c r="BB527" s="2"/>
      <c r="BC527" s="2"/>
      <c r="BD527" s="2"/>
      <c r="BE527" s="2"/>
      <c r="BF527" s="2"/>
      <c r="BG527" s="2"/>
      <c r="BH527" s="2"/>
      <c r="BI527" s="2"/>
      <c r="BJ527" s="2"/>
      <c r="BK527" s="2"/>
      <c r="BL527" s="2"/>
      <c r="BM527" s="2"/>
      <c r="BN527" s="2" t="s">
        <v>1431</v>
      </c>
      <c r="BO527" s="2"/>
      <c r="BP527" s="2"/>
      <c r="BQ527" s="2"/>
      <c r="BR527" s="2"/>
      <c r="BS527" s="2"/>
      <c r="BT527" s="2"/>
      <c r="BU527" s="2"/>
      <c r="BV527" s="241" t="s">
        <v>1008</v>
      </c>
      <c r="BW527" s="340">
        <v>3426</v>
      </c>
      <c r="BX527" s="341">
        <v>3672</v>
      </c>
      <c r="BY527" s="340">
        <v>4406</v>
      </c>
      <c r="BZ527" s="341">
        <v>5090</v>
      </c>
      <c r="CA527" s="341">
        <v>5680</v>
      </c>
      <c r="CB527" s="342">
        <v>6266</v>
      </c>
      <c r="CC527" s="2"/>
      <c r="CD527" s="703">
        <v>2292</v>
      </c>
      <c r="CE527" s="703">
        <v>2818</v>
      </c>
      <c r="CF527" s="703">
        <v>3359</v>
      </c>
      <c r="CG527" s="703">
        <v>4112</v>
      </c>
      <c r="CH527" s="703">
        <v>4473</v>
      </c>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row>
    <row r="528" spans="2:110" ht="13" customHeight="1">
      <c r="B528" s="1647"/>
      <c r="C528" s="1547"/>
      <c r="D528" s="1547"/>
      <c r="E528" s="1547"/>
      <c r="F528" s="1547"/>
      <c r="G528" s="1547"/>
      <c r="H528" s="1548"/>
      <c r="I528" s="33" t="s">
        <v>1424</v>
      </c>
      <c r="J528" s="33"/>
      <c r="K528" s="33"/>
      <c r="L528" s="33"/>
      <c r="M528" s="33"/>
      <c r="N528" s="33"/>
      <c r="O528" s="33"/>
      <c r="P528" s="33"/>
      <c r="Q528" s="33"/>
      <c r="R528" s="33"/>
      <c r="S528" s="33"/>
      <c r="T528" s="33"/>
      <c r="U528" s="33"/>
      <c r="V528" s="33"/>
      <c r="W528" s="33"/>
      <c r="X528" s="33"/>
      <c r="Y528" s="33"/>
      <c r="Z528" s="33"/>
      <c r="AA528" s="33"/>
      <c r="AB528" s="33"/>
      <c r="AC528" s="1667" t="s">
        <v>299</v>
      </c>
      <c r="AD528" s="1563"/>
      <c r="AE528" s="1563"/>
      <c r="AF528" s="1563"/>
      <c r="AG528" s="1168" t="s">
        <v>1391</v>
      </c>
      <c r="AH528" s="1489"/>
      <c r="AI528" s="1489"/>
      <c r="AJ528" s="1489"/>
      <c r="AK528" s="1490"/>
      <c r="AZ528" s="2"/>
      <c r="BA528" s="2"/>
      <c r="BB528" s="2"/>
      <c r="BC528" s="2"/>
      <c r="BD528" s="2"/>
      <c r="BE528" s="2"/>
      <c r="BF528" s="2"/>
      <c r="BG528" s="2"/>
      <c r="BH528" s="2"/>
      <c r="BI528" s="2"/>
      <c r="BJ528" s="2"/>
      <c r="BK528" s="2"/>
      <c r="BL528" s="2"/>
      <c r="BM528" s="2"/>
      <c r="BN528" s="2" t="s">
        <v>1432</v>
      </c>
      <c r="BO528" s="2"/>
      <c r="BP528" s="2"/>
      <c r="BQ528" s="2"/>
      <c r="BR528" s="2"/>
      <c r="BS528" s="2"/>
      <c r="BT528" s="2"/>
      <c r="BU528" s="2"/>
      <c r="BV528" s="241" t="s">
        <v>1013</v>
      </c>
      <c r="BW528" s="340">
        <v>1686</v>
      </c>
      <c r="BX528" s="341">
        <v>1808</v>
      </c>
      <c r="BY528" s="340">
        <v>2170</v>
      </c>
      <c r="BZ528" s="341">
        <v>2506</v>
      </c>
      <c r="CA528" s="341">
        <v>2796</v>
      </c>
      <c r="CB528" s="342">
        <v>3086</v>
      </c>
      <c r="CC528" s="2"/>
      <c r="CD528" s="703">
        <v>1122</v>
      </c>
      <c r="CE528" s="703">
        <v>1245</v>
      </c>
      <c r="CF528" s="703">
        <v>1607</v>
      </c>
      <c r="CG528" s="703">
        <v>2265</v>
      </c>
      <c r="CH528" s="703">
        <v>2727</v>
      </c>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row>
    <row r="529" spans="1:110" ht="13" customHeight="1">
      <c r="B529" s="1647"/>
      <c r="C529" s="1547"/>
      <c r="D529" s="1547"/>
      <c r="E529" s="1547"/>
      <c r="F529" s="1547"/>
      <c r="G529" s="1547"/>
      <c r="H529" s="1548"/>
      <c r="I529" s="31" t="s">
        <v>1426</v>
      </c>
      <c r="J529" s="31"/>
      <c r="K529" s="31"/>
      <c r="L529" s="31"/>
      <c r="M529" s="31"/>
      <c r="N529" s="31"/>
      <c r="O529" s="1714" t="s">
        <v>1402</v>
      </c>
      <c r="P529" s="1715"/>
      <c r="Q529" s="1715"/>
      <c r="R529" s="1715"/>
      <c r="S529" s="1715"/>
      <c r="T529" s="1715"/>
      <c r="U529" s="1715"/>
      <c r="V529" s="1715"/>
      <c r="W529" s="1715"/>
      <c r="X529" s="1715"/>
      <c r="Y529" s="1715"/>
      <c r="Z529" s="1715"/>
      <c r="AA529" s="1715"/>
      <c r="AC529" s="1667" t="s">
        <v>299</v>
      </c>
      <c r="AD529" s="1563"/>
      <c r="AE529" s="1563"/>
      <c r="AF529" s="1563"/>
      <c r="AG529" s="1127" t="s">
        <v>1391</v>
      </c>
      <c r="AH529" s="1489"/>
      <c r="AI529" s="1489"/>
      <c r="AJ529" s="1489"/>
      <c r="AK529" s="1490"/>
      <c r="AZ529" s="2"/>
      <c r="BA529" s="2"/>
      <c r="BB529" s="2"/>
      <c r="BC529" s="2"/>
      <c r="BD529" s="2"/>
      <c r="BE529" s="2"/>
      <c r="BF529" s="2"/>
      <c r="BG529" s="2"/>
      <c r="BH529" s="2"/>
      <c r="BI529" s="2"/>
      <c r="BJ529" s="2"/>
      <c r="BK529" s="2"/>
      <c r="BL529" s="2"/>
      <c r="BM529" s="2"/>
      <c r="BN529" s="2" t="s">
        <v>1433</v>
      </c>
      <c r="BO529" s="2"/>
      <c r="BP529" s="2"/>
      <c r="BQ529" s="2"/>
      <c r="BR529" s="2"/>
      <c r="BS529" s="2"/>
      <c r="BT529" s="2"/>
      <c r="BU529" s="2"/>
      <c r="BV529" s="241" t="s">
        <v>1017</v>
      </c>
      <c r="BW529" s="340">
        <v>2230</v>
      </c>
      <c r="BX529" s="341">
        <v>2388</v>
      </c>
      <c r="BY529" s="340">
        <v>2864</v>
      </c>
      <c r="BZ529" s="341">
        <v>3310</v>
      </c>
      <c r="CA529" s="341">
        <v>3692</v>
      </c>
      <c r="CB529" s="342">
        <v>4074</v>
      </c>
      <c r="CC529" s="2"/>
      <c r="CD529" s="703">
        <v>1541</v>
      </c>
      <c r="CE529" s="703">
        <v>1731</v>
      </c>
      <c r="CF529" s="703">
        <v>2274</v>
      </c>
      <c r="CG529" s="703">
        <v>3045</v>
      </c>
      <c r="CH529" s="703">
        <v>3465</v>
      </c>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row>
    <row r="530" spans="1:110" ht="13" customHeight="1">
      <c r="B530" s="1647"/>
      <c r="C530" s="1547"/>
      <c r="D530" s="1547"/>
      <c r="E530" s="1547"/>
      <c r="F530" s="1547"/>
      <c r="G530" s="1547"/>
      <c r="H530" s="1548"/>
      <c r="I530" t="s">
        <v>43</v>
      </c>
      <c r="AC530" s="1667" t="s">
        <v>299</v>
      </c>
      <c r="AD530" s="1563"/>
      <c r="AE530" s="1563"/>
      <c r="AF530" s="1563"/>
      <c r="AG530" s="1127" t="s">
        <v>1391</v>
      </c>
      <c r="AH530" s="1489"/>
      <c r="AI530" s="1489"/>
      <c r="AJ530" s="1489"/>
      <c r="AK530" s="1490"/>
      <c r="AZ530" s="2"/>
      <c r="BA530" s="2"/>
      <c r="BB530" s="2"/>
      <c r="BC530" s="2"/>
      <c r="BD530" s="2"/>
      <c r="BE530" s="2"/>
      <c r="BF530" s="2"/>
      <c r="BG530" s="2"/>
      <c r="BH530" s="2"/>
      <c r="BI530" s="2"/>
      <c r="BJ530" s="2"/>
      <c r="BK530" s="2"/>
      <c r="BL530" s="2"/>
      <c r="BM530" s="2"/>
      <c r="BN530" s="2" t="s">
        <v>1434</v>
      </c>
      <c r="BO530" s="2"/>
      <c r="BP530" s="2"/>
      <c r="BQ530" s="2"/>
      <c r="BR530" s="2"/>
      <c r="BS530" s="2"/>
      <c r="BT530" s="2"/>
      <c r="BU530" s="2"/>
      <c r="BV530" s="241" t="s">
        <v>1021</v>
      </c>
      <c r="BW530" s="340">
        <v>3426</v>
      </c>
      <c r="BX530" s="341">
        <v>3672</v>
      </c>
      <c r="BY530" s="340">
        <v>4406</v>
      </c>
      <c r="BZ530" s="341">
        <v>5090</v>
      </c>
      <c r="CA530" s="341">
        <v>5680</v>
      </c>
      <c r="CB530" s="342">
        <v>6266</v>
      </c>
      <c r="CC530" s="2"/>
      <c r="CD530" s="703">
        <v>2292</v>
      </c>
      <c r="CE530" s="703">
        <v>2818</v>
      </c>
      <c r="CF530" s="703">
        <v>3359</v>
      </c>
      <c r="CG530" s="703">
        <v>4112</v>
      </c>
      <c r="CH530" s="703">
        <v>4473</v>
      </c>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row>
    <row r="531" spans="1:110" ht="13" customHeight="1">
      <c r="B531" s="1647"/>
      <c r="C531" s="1547"/>
      <c r="D531" s="1547"/>
      <c r="E531" s="1547"/>
      <c r="F531" s="1547"/>
      <c r="G531" s="1547"/>
      <c r="H531" s="1548"/>
      <c r="I531" s="33" t="s">
        <v>1424</v>
      </c>
      <c r="J531" s="33"/>
      <c r="K531" s="33"/>
      <c r="L531" s="33"/>
      <c r="M531" s="33"/>
      <c r="N531" s="33"/>
      <c r="O531" s="33"/>
      <c r="P531" s="33"/>
      <c r="Q531" s="33"/>
      <c r="R531" s="33"/>
      <c r="S531" s="33"/>
      <c r="T531" s="33"/>
      <c r="U531" s="33"/>
      <c r="V531" s="33"/>
      <c r="W531" s="33"/>
      <c r="X531" s="33"/>
      <c r="Y531" s="33"/>
      <c r="Z531" s="33"/>
      <c r="AA531" s="33"/>
      <c r="AB531" s="33"/>
      <c r="AC531" s="1667" t="s">
        <v>299</v>
      </c>
      <c r="AD531" s="1563"/>
      <c r="AE531" s="1563"/>
      <c r="AF531" s="1563"/>
      <c r="AG531" s="1168" t="s">
        <v>1391</v>
      </c>
      <c r="AH531" s="1489"/>
      <c r="AI531" s="1489"/>
      <c r="AJ531" s="1489"/>
      <c r="AK531" s="1490"/>
      <c r="AZ531" s="2"/>
      <c r="BA531" s="2"/>
      <c r="BB531" s="2"/>
      <c r="BC531" s="2"/>
      <c r="BD531" s="2"/>
      <c r="BE531" s="2"/>
      <c r="BF531" s="2"/>
      <c r="BG531" s="2"/>
      <c r="BH531" s="2"/>
      <c r="BI531" s="2"/>
      <c r="BJ531" s="2"/>
      <c r="BK531" s="2"/>
      <c r="BL531" s="2"/>
      <c r="BM531" s="2"/>
      <c r="BN531" s="2" t="s">
        <v>1435</v>
      </c>
      <c r="BO531" s="2"/>
      <c r="BP531" s="2"/>
      <c r="BQ531" s="2"/>
      <c r="BR531" s="2"/>
      <c r="BS531" s="2"/>
      <c r="BT531" s="2"/>
      <c r="BU531" s="2"/>
      <c r="BV531" s="241" t="s">
        <v>1025</v>
      </c>
      <c r="BW531" s="340">
        <v>2846</v>
      </c>
      <c r="BX531" s="341">
        <v>3050</v>
      </c>
      <c r="BY531" s="340">
        <v>3660</v>
      </c>
      <c r="BZ531" s="341">
        <v>4228</v>
      </c>
      <c r="CA531" s="341">
        <v>4716</v>
      </c>
      <c r="CB531" s="342">
        <v>5204</v>
      </c>
      <c r="CC531" s="2"/>
      <c r="CD531" s="703">
        <v>2330</v>
      </c>
      <c r="CE531" s="703">
        <v>2651</v>
      </c>
      <c r="CF531" s="703">
        <v>2994</v>
      </c>
      <c r="CG531" s="703">
        <v>3996</v>
      </c>
      <c r="CH531" s="703">
        <v>4528</v>
      </c>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row>
    <row r="532" spans="1:110" ht="13" customHeight="1">
      <c r="B532" s="1647"/>
      <c r="C532" s="1547"/>
      <c r="D532" s="1547"/>
      <c r="E532" s="1547"/>
      <c r="F532" s="1547"/>
      <c r="G532" s="1547"/>
      <c r="H532" s="1548"/>
      <c r="I532" s="31" t="s">
        <v>1426</v>
      </c>
      <c r="J532" s="31"/>
      <c r="K532" s="31"/>
      <c r="L532" s="31"/>
      <c r="M532" s="31"/>
      <c r="N532" s="31"/>
      <c r="O532" s="1714" t="s">
        <v>1402</v>
      </c>
      <c r="P532" s="1715"/>
      <c r="Q532" s="1715"/>
      <c r="R532" s="1715"/>
      <c r="S532" s="1715"/>
      <c r="T532" s="1715"/>
      <c r="U532" s="1715"/>
      <c r="V532" s="1715"/>
      <c r="W532" s="1715"/>
      <c r="X532" s="1715"/>
      <c r="Y532" s="1715"/>
      <c r="Z532" s="1715"/>
      <c r="AA532" s="1715"/>
      <c r="AC532" s="1667" t="s">
        <v>299</v>
      </c>
      <c r="AD532" s="1563"/>
      <c r="AE532" s="1563"/>
      <c r="AF532" s="1563"/>
      <c r="AG532" s="1127" t="s">
        <v>1391</v>
      </c>
      <c r="AH532" s="1489"/>
      <c r="AI532" s="1489"/>
      <c r="AJ532" s="1489"/>
      <c r="AK532" s="1490"/>
      <c r="AZ532" s="2"/>
      <c r="BA532" s="2"/>
      <c r="BB532" s="2"/>
      <c r="BC532" s="2"/>
      <c r="BD532" s="2"/>
      <c r="BE532" s="2"/>
      <c r="BF532" s="2"/>
      <c r="BG532" s="2"/>
      <c r="BH532" s="2"/>
      <c r="BI532" s="2"/>
      <c r="BJ532" s="2"/>
      <c r="BK532" s="2"/>
      <c r="BL532" s="2"/>
      <c r="BM532" s="2"/>
      <c r="BN532" s="2" t="s">
        <v>1436</v>
      </c>
      <c r="BO532" s="2"/>
      <c r="BP532" s="2"/>
      <c r="BQ532" s="2"/>
      <c r="BR532" s="2"/>
      <c r="BS532" s="2"/>
      <c r="BT532" s="2"/>
      <c r="BU532" s="2"/>
      <c r="BV532" s="241" t="s">
        <v>1029</v>
      </c>
      <c r="BW532" s="340">
        <v>3226</v>
      </c>
      <c r="BX532" s="341">
        <v>3456</v>
      </c>
      <c r="BY532" s="340">
        <v>4146</v>
      </c>
      <c r="BZ532" s="341">
        <v>4792</v>
      </c>
      <c r="CA532" s="341">
        <v>5344</v>
      </c>
      <c r="CB532" s="342">
        <v>5898</v>
      </c>
      <c r="CC532" s="2"/>
      <c r="CD532" s="703">
        <v>2383</v>
      </c>
      <c r="CE532" s="703">
        <v>2694</v>
      </c>
      <c r="CF532" s="703">
        <v>3132</v>
      </c>
      <c r="CG532" s="703">
        <v>4011</v>
      </c>
      <c r="CH532" s="703">
        <v>4425</v>
      </c>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row>
    <row r="533" spans="1:110" ht="13" customHeight="1">
      <c r="B533" s="1647"/>
      <c r="C533" s="1547"/>
      <c r="D533" s="1547"/>
      <c r="E533" s="1547"/>
      <c r="F533" s="1547"/>
      <c r="G533" s="1547"/>
      <c r="H533" s="1548"/>
      <c r="I533" t="s">
        <v>43</v>
      </c>
      <c r="AC533" s="1667" t="s">
        <v>299</v>
      </c>
      <c r="AD533" s="1563"/>
      <c r="AE533" s="1563"/>
      <c r="AF533" s="1563"/>
      <c r="AG533" s="1168" t="s">
        <v>1391</v>
      </c>
      <c r="AH533" s="1489"/>
      <c r="AI533" s="1489"/>
      <c r="AJ533" s="1489"/>
      <c r="AK533" s="1490"/>
      <c r="AZ533" s="2"/>
      <c r="BA533" s="2"/>
      <c r="BB533" s="2"/>
      <c r="BC533" s="2"/>
      <c r="BD533" s="2"/>
      <c r="BE533" s="2"/>
      <c r="BF533" s="2"/>
      <c r="BG533" s="2"/>
      <c r="BH533" s="2"/>
      <c r="BI533" s="2"/>
      <c r="BJ533" s="2"/>
      <c r="BK533" s="2"/>
      <c r="BL533" s="2"/>
      <c r="BM533" s="2"/>
      <c r="BN533" s="2" t="s">
        <v>1437</v>
      </c>
      <c r="BO533" s="2"/>
      <c r="BP533" s="2"/>
      <c r="BQ533" s="2"/>
      <c r="BR533" s="2"/>
      <c r="BS533" s="2"/>
      <c r="BT533" s="2"/>
      <c r="BU533" s="2"/>
      <c r="BV533" s="241" t="s">
        <v>1033</v>
      </c>
      <c r="BW533" s="340">
        <v>3170</v>
      </c>
      <c r="BX533" s="341">
        <v>3396</v>
      </c>
      <c r="BY533" s="340">
        <v>4074</v>
      </c>
      <c r="BZ533" s="341">
        <v>4708</v>
      </c>
      <c r="CA533" s="341">
        <v>5252</v>
      </c>
      <c r="CB533" s="342">
        <v>5796</v>
      </c>
      <c r="CC533" s="2"/>
      <c r="CD533" s="703">
        <v>2849</v>
      </c>
      <c r="CE533" s="703">
        <v>3085</v>
      </c>
      <c r="CF533" s="703">
        <v>4054</v>
      </c>
      <c r="CG533" s="703">
        <v>5000</v>
      </c>
      <c r="CH533" s="703">
        <v>5504</v>
      </c>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row>
    <row r="534" spans="1:110" ht="13" customHeight="1">
      <c r="B534" s="1647"/>
      <c r="C534" s="1547"/>
      <c r="D534" s="1547"/>
      <c r="E534" s="1547"/>
      <c r="F534" s="1547"/>
      <c r="G534" s="1547"/>
      <c r="H534" s="1548"/>
      <c r="I534" s="33" t="s">
        <v>1424</v>
      </c>
      <c r="J534" s="33"/>
      <c r="K534" s="33"/>
      <c r="L534" s="33"/>
      <c r="M534" s="33"/>
      <c r="N534" s="33"/>
      <c r="O534" s="33"/>
      <c r="P534" s="33"/>
      <c r="Q534" s="33"/>
      <c r="R534" s="33"/>
      <c r="S534" s="33"/>
      <c r="T534" s="33"/>
      <c r="U534" s="33"/>
      <c r="V534" s="33"/>
      <c r="W534" s="33"/>
      <c r="X534" s="33"/>
      <c r="Y534" s="33"/>
      <c r="Z534" s="33"/>
      <c r="AA534" s="33"/>
      <c r="AB534" s="33"/>
      <c r="AC534" s="1667" t="s">
        <v>299</v>
      </c>
      <c r="AD534" s="1563"/>
      <c r="AE534" s="1563"/>
      <c r="AF534" s="1563"/>
      <c r="AG534" s="1127" t="s">
        <v>1391</v>
      </c>
      <c r="AH534" s="1489"/>
      <c r="AI534" s="1489"/>
      <c r="AJ534" s="1489"/>
      <c r="AK534" s="1490"/>
      <c r="AZ534" s="2"/>
      <c r="BA534" s="2"/>
      <c r="BB534" s="2"/>
      <c r="BC534" s="2"/>
      <c r="BD534" s="2"/>
      <c r="BE534" s="2"/>
      <c r="BF534" s="2"/>
      <c r="BG534" s="2"/>
      <c r="BH534" s="2"/>
      <c r="BI534" s="2"/>
      <c r="BJ534" s="2"/>
      <c r="BK534" s="2"/>
      <c r="BL534" s="2"/>
      <c r="BM534" s="2"/>
      <c r="BN534" s="2" t="s">
        <v>1438</v>
      </c>
      <c r="BO534" s="2"/>
      <c r="BP534" s="2"/>
      <c r="BQ534" s="2"/>
      <c r="BR534" s="2"/>
      <c r="BS534" s="2"/>
      <c r="BT534" s="2"/>
      <c r="BU534" s="2"/>
      <c r="BV534" s="241" t="s">
        <v>1038</v>
      </c>
      <c r="BW534" s="340">
        <v>1560</v>
      </c>
      <c r="BX534" s="341">
        <v>1670</v>
      </c>
      <c r="BY534" s="340">
        <v>2004</v>
      </c>
      <c r="BZ534" s="341">
        <v>2316</v>
      </c>
      <c r="CA534" s="341">
        <v>2584</v>
      </c>
      <c r="CB534" s="342">
        <v>2852</v>
      </c>
      <c r="CC534" s="2"/>
      <c r="CD534" s="703">
        <v>1014</v>
      </c>
      <c r="CE534" s="703">
        <v>1132</v>
      </c>
      <c r="CF534" s="703">
        <v>1487</v>
      </c>
      <c r="CG534" s="703">
        <v>2095</v>
      </c>
      <c r="CH534" s="703">
        <v>2523</v>
      </c>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row>
    <row r="535" spans="1:110" ht="13" customHeight="1">
      <c r="B535" s="1647"/>
      <c r="C535" s="1547"/>
      <c r="D535" s="1547"/>
      <c r="E535" s="1547"/>
      <c r="F535" s="1547"/>
      <c r="G535" s="1547"/>
      <c r="H535" s="1548"/>
      <c r="I535" s="31" t="s">
        <v>1426</v>
      </c>
      <c r="J535" s="31"/>
      <c r="K535" s="31"/>
      <c r="L535" s="31"/>
      <c r="M535" s="31"/>
      <c r="N535" s="31"/>
      <c r="O535" s="1714" t="s">
        <v>1402</v>
      </c>
      <c r="P535" s="1715"/>
      <c r="Q535" s="1715"/>
      <c r="R535" s="1715"/>
      <c r="S535" s="1715"/>
      <c r="T535" s="1715"/>
      <c r="U535" s="1715"/>
      <c r="V535" s="1715"/>
      <c r="W535" s="1715"/>
      <c r="X535" s="1715"/>
      <c r="Y535" s="1715"/>
      <c r="Z535" s="1715"/>
      <c r="AA535" s="1715"/>
      <c r="AC535" s="1667" t="s">
        <v>299</v>
      </c>
      <c r="AD535" s="1563"/>
      <c r="AE535" s="1563"/>
      <c r="AF535" s="1563"/>
      <c r="AG535" s="1168" t="s">
        <v>1391</v>
      </c>
      <c r="AH535" s="1489"/>
      <c r="AI535" s="1489"/>
      <c r="AJ535" s="1489"/>
      <c r="AK535" s="1490"/>
      <c r="AZ535" s="2"/>
      <c r="BA535" s="2"/>
      <c r="BB535" s="2"/>
      <c r="BC535" s="2"/>
      <c r="BD535" s="2"/>
      <c r="BE535" s="2"/>
      <c r="BF535" s="2"/>
      <c r="BG535" s="2"/>
      <c r="BH535" s="2"/>
      <c r="BI535" s="2"/>
      <c r="BJ535" s="2"/>
      <c r="BK535" s="2"/>
      <c r="BL535" s="2"/>
      <c r="BM535" s="2"/>
      <c r="BN535" s="2" t="s">
        <v>1439</v>
      </c>
      <c r="BO535" s="2"/>
      <c r="BP535" s="2"/>
      <c r="BQ535" s="2"/>
      <c r="BR535" s="2"/>
      <c r="BS535" s="2"/>
      <c r="BT535" s="2"/>
      <c r="BU535" s="2"/>
      <c r="BV535" s="241" t="s">
        <v>1041</v>
      </c>
      <c r="BW535" s="340">
        <v>1540</v>
      </c>
      <c r="BX535" s="341">
        <v>1650</v>
      </c>
      <c r="BY535" s="340">
        <v>1980</v>
      </c>
      <c r="BZ535" s="341">
        <v>2286</v>
      </c>
      <c r="CA535" s="341">
        <v>2550</v>
      </c>
      <c r="CB535" s="342">
        <v>2812</v>
      </c>
      <c r="CC535" s="2"/>
      <c r="CD535" s="703">
        <v>911</v>
      </c>
      <c r="CE535" s="703">
        <v>1005</v>
      </c>
      <c r="CF535" s="703">
        <v>1321</v>
      </c>
      <c r="CG535" s="703">
        <v>1862</v>
      </c>
      <c r="CH535" s="703">
        <v>2168</v>
      </c>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row>
    <row r="536" spans="1:110" ht="13" customHeight="1">
      <c r="B536" s="1647"/>
      <c r="C536" s="1547"/>
      <c r="D536" s="1547"/>
      <c r="E536" s="1547"/>
      <c r="F536" s="1547"/>
      <c r="G536" s="1547"/>
      <c r="H536" s="1548"/>
      <c r="I536" t="s">
        <v>43</v>
      </c>
      <c r="AC536" s="1667" t="s">
        <v>299</v>
      </c>
      <c r="AD536" s="1563"/>
      <c r="AE536" s="1563"/>
      <c r="AF536" s="1563"/>
      <c r="AG536" s="1127" t="s">
        <v>1391</v>
      </c>
      <c r="AH536" s="1489"/>
      <c r="AI536" s="1489"/>
      <c r="AJ536" s="1489"/>
      <c r="AK536" s="1490"/>
      <c r="AZ536" s="2"/>
      <c r="BA536" s="2"/>
      <c r="BB536" s="2"/>
      <c r="BC536" s="2"/>
      <c r="BD536" s="2"/>
      <c r="BE536" s="2"/>
      <c r="BF536" s="2"/>
      <c r="BG536" s="2"/>
      <c r="BH536" s="2"/>
      <c r="BI536" s="2"/>
      <c r="BJ536" s="2"/>
      <c r="BK536" s="2"/>
      <c r="BL536" s="2"/>
      <c r="BM536" s="2"/>
      <c r="BN536" s="2" t="s">
        <v>1440</v>
      </c>
      <c r="BO536" s="2"/>
      <c r="BP536" s="2"/>
      <c r="BQ536" s="2"/>
      <c r="BR536" s="2"/>
      <c r="BS536" s="2"/>
      <c r="BT536" s="2"/>
      <c r="BU536" s="2"/>
      <c r="BV536" s="241" t="s">
        <v>1046</v>
      </c>
      <c r="BW536" s="340">
        <v>1540</v>
      </c>
      <c r="BX536" s="341">
        <v>1650</v>
      </c>
      <c r="BY536" s="340">
        <v>1980</v>
      </c>
      <c r="BZ536" s="341">
        <v>2286</v>
      </c>
      <c r="CA536" s="341">
        <v>2550</v>
      </c>
      <c r="CB536" s="342">
        <v>2812</v>
      </c>
      <c r="CC536" s="2"/>
      <c r="CD536" s="703">
        <v>838</v>
      </c>
      <c r="CE536" s="703">
        <v>843</v>
      </c>
      <c r="CF536" s="703">
        <v>1089</v>
      </c>
      <c r="CG536" s="703">
        <v>1535</v>
      </c>
      <c r="CH536" s="703">
        <v>1620</v>
      </c>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row>
    <row r="537" spans="1:110" ht="13" customHeight="1">
      <c r="B537" s="1647"/>
      <c r="C537" s="1547"/>
      <c r="D537" s="1547"/>
      <c r="E537" s="1547"/>
      <c r="F537" s="1547"/>
      <c r="G537" s="1547"/>
      <c r="H537" s="1548"/>
      <c r="I537" s="33" t="s">
        <v>1424</v>
      </c>
      <c r="J537" s="33"/>
      <c r="K537" s="33"/>
      <c r="L537" s="33"/>
      <c r="M537" s="33"/>
      <c r="N537" s="33"/>
      <c r="O537" s="33"/>
      <c r="P537" s="33"/>
      <c r="Q537" s="33"/>
      <c r="R537" s="33"/>
      <c r="S537" s="33"/>
      <c r="T537" s="33"/>
      <c r="U537" s="33"/>
      <c r="V537" s="33"/>
      <c r="W537" s="33"/>
      <c r="X537" s="33"/>
      <c r="Y537" s="33"/>
      <c r="Z537" s="33"/>
      <c r="AA537" s="33"/>
      <c r="AB537" s="33"/>
      <c r="AC537" s="1667" t="s">
        <v>299</v>
      </c>
      <c r="AD537" s="1563"/>
      <c r="AE537" s="1563"/>
      <c r="AF537" s="1563"/>
      <c r="AG537" s="1168" t="s">
        <v>1391</v>
      </c>
      <c r="AH537" s="1489"/>
      <c r="AI537" s="1489"/>
      <c r="AJ537" s="1489"/>
      <c r="AK537" s="1490"/>
      <c r="AZ537" s="2"/>
      <c r="BA537" s="2"/>
      <c r="BB537" s="2"/>
      <c r="BC537" s="2"/>
      <c r="BD537" s="2"/>
      <c r="BE537" s="2"/>
      <c r="BF537" s="2"/>
      <c r="BG537" s="2"/>
      <c r="BH537" s="2"/>
      <c r="BI537" s="2"/>
      <c r="BJ537" s="2"/>
      <c r="BK537" s="2"/>
      <c r="BL537" s="2"/>
      <c r="BM537" s="2"/>
      <c r="BN537" s="2" t="s">
        <v>1441</v>
      </c>
      <c r="BO537" s="2"/>
      <c r="BP537" s="2"/>
      <c r="BQ537" s="2"/>
      <c r="BR537" s="2"/>
      <c r="BS537" s="2"/>
      <c r="BT537" s="2"/>
      <c r="BU537" s="2"/>
      <c r="BV537" s="241" t="s">
        <v>1050</v>
      </c>
      <c r="BW537" s="340">
        <v>2202</v>
      </c>
      <c r="BX537" s="341">
        <v>2360</v>
      </c>
      <c r="BY537" s="340">
        <v>2832</v>
      </c>
      <c r="BZ537" s="341">
        <v>3270</v>
      </c>
      <c r="CA537" s="341">
        <v>3650</v>
      </c>
      <c r="CB537" s="342">
        <v>4026</v>
      </c>
      <c r="CC537" s="2"/>
      <c r="CD537" s="703">
        <v>1652</v>
      </c>
      <c r="CE537" s="703">
        <v>1853</v>
      </c>
      <c r="CF537" s="703">
        <v>2308</v>
      </c>
      <c r="CG537" s="703">
        <v>3199</v>
      </c>
      <c r="CH537" s="703">
        <v>3643</v>
      </c>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row>
    <row r="538" spans="1:110" ht="13" customHeight="1">
      <c r="B538" s="1647"/>
      <c r="C538" s="1547"/>
      <c r="D538" s="1547"/>
      <c r="E538" s="1547"/>
      <c r="F538" s="1547"/>
      <c r="G538" s="1547"/>
      <c r="H538" s="1548"/>
      <c r="I538" s="31" t="s">
        <v>1442</v>
      </c>
      <c r="J538" s="31"/>
      <c r="K538" s="31"/>
      <c r="L538" s="31"/>
      <c r="M538" s="31"/>
      <c r="N538" s="31"/>
      <c r="O538" s="31"/>
      <c r="P538" s="31"/>
      <c r="Q538" s="31"/>
      <c r="R538" s="31"/>
      <c r="S538" s="31"/>
      <c r="T538" s="31"/>
      <c r="U538" s="31"/>
      <c r="V538" s="31"/>
      <c r="W538" s="31"/>
      <c r="AC538" s="1667" t="s">
        <v>299</v>
      </c>
      <c r="AD538" s="1563"/>
      <c r="AE538" s="1563"/>
      <c r="AF538" s="1563"/>
      <c r="AG538" s="1168" t="s">
        <v>1391</v>
      </c>
      <c r="AH538" s="1489"/>
      <c r="AI538" s="1489"/>
      <c r="AJ538" s="1489"/>
      <c r="AK538" s="1490"/>
      <c r="AZ538" s="2"/>
      <c r="BA538" s="2"/>
      <c r="BB538" s="2"/>
      <c r="BC538" s="2"/>
      <c r="BD538" s="2"/>
      <c r="BE538" s="2"/>
      <c r="BF538" s="2"/>
      <c r="BG538" s="2"/>
      <c r="BH538" s="2"/>
      <c r="BI538" s="2"/>
      <c r="BJ538" s="2"/>
      <c r="BK538" s="2"/>
      <c r="BL538" s="2"/>
      <c r="BM538" s="2"/>
      <c r="BN538" s="2"/>
      <c r="BO538" s="2"/>
      <c r="BP538" s="2"/>
      <c r="BQ538" s="2"/>
      <c r="BR538" s="2"/>
      <c r="BS538" s="2"/>
      <c r="BT538" s="2"/>
      <c r="BU538" s="2"/>
      <c r="BV538" s="241" t="s">
        <v>1056</v>
      </c>
      <c r="BW538" s="340">
        <v>2422</v>
      </c>
      <c r="BX538" s="341">
        <v>2594</v>
      </c>
      <c r="BY538" s="340">
        <v>3112</v>
      </c>
      <c r="BZ538" s="341">
        <v>3596</v>
      </c>
      <c r="CA538" s="341">
        <v>4012</v>
      </c>
      <c r="CB538" s="342">
        <v>4426</v>
      </c>
      <c r="CC538" s="2"/>
      <c r="CD538" s="703">
        <v>1611</v>
      </c>
      <c r="CE538" s="703">
        <v>1809</v>
      </c>
      <c r="CF538" s="703">
        <v>2377</v>
      </c>
      <c r="CG538" s="703">
        <v>3228</v>
      </c>
      <c r="CH538" s="703">
        <v>3425</v>
      </c>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row>
    <row r="539" spans="1:110" ht="13" customHeight="1">
      <c r="B539" s="1647"/>
      <c r="C539" s="1547"/>
      <c r="D539" s="1547"/>
      <c r="E539" s="1547"/>
      <c r="F539" s="1547"/>
      <c r="G539" s="1547"/>
      <c r="H539" s="1548"/>
      <c r="I539" t="s">
        <v>1443</v>
      </c>
      <c r="AC539" s="1667">
        <v>6</v>
      </c>
      <c r="AD539" s="1563"/>
      <c r="AE539" s="1563"/>
      <c r="AF539" s="1563"/>
      <c r="AG539" s="1127" t="s">
        <v>1391</v>
      </c>
      <c r="AH539" s="1489">
        <v>2025</v>
      </c>
      <c r="AI539" s="1489"/>
      <c r="AJ539" s="1489"/>
      <c r="AK539" s="1490"/>
      <c r="AZ539" s="2"/>
      <c r="BA539" s="2"/>
      <c r="BB539" s="2"/>
      <c r="BC539" s="2"/>
      <c r="BD539" s="2"/>
      <c r="BE539" s="2"/>
      <c r="BF539" s="2"/>
      <c r="BG539" s="2"/>
      <c r="BH539" s="2"/>
      <c r="BI539" s="2"/>
      <c r="BJ539" s="2"/>
      <c r="BK539" s="2"/>
      <c r="BL539" s="2"/>
      <c r="BM539" s="2"/>
      <c r="BN539" s="2"/>
      <c r="BO539" s="2"/>
      <c r="BP539" s="2"/>
      <c r="BQ539" s="2"/>
      <c r="BR539" s="2"/>
      <c r="BS539" s="2"/>
      <c r="BT539" s="2"/>
      <c r="BU539" s="2"/>
      <c r="BV539" s="241" t="s">
        <v>1059</v>
      </c>
      <c r="BW539" s="340">
        <v>1594</v>
      </c>
      <c r="BX539" s="341">
        <v>1708</v>
      </c>
      <c r="BY539" s="340">
        <v>2050</v>
      </c>
      <c r="BZ539" s="341">
        <v>2368</v>
      </c>
      <c r="CA539" s="341">
        <v>2642</v>
      </c>
      <c r="CB539" s="342">
        <v>2916</v>
      </c>
      <c r="CC539" s="2"/>
      <c r="CD539" s="703">
        <v>1143</v>
      </c>
      <c r="CE539" s="703">
        <v>1188</v>
      </c>
      <c r="CF539" s="703">
        <v>1528</v>
      </c>
      <c r="CG539" s="703">
        <v>2153</v>
      </c>
      <c r="CH539" s="703">
        <v>2536</v>
      </c>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row>
    <row r="540" spans="1:110" ht="13" customHeight="1">
      <c r="B540" s="1647"/>
      <c r="C540" s="1547"/>
      <c r="D540" s="1547"/>
      <c r="E540" s="1547"/>
      <c r="F540" s="1547"/>
      <c r="G540" s="1547"/>
      <c r="H540" s="1548"/>
      <c r="I540" t="s">
        <v>1444</v>
      </c>
      <c r="AC540" s="1667">
        <v>3</v>
      </c>
      <c r="AD540" s="1563"/>
      <c r="AE540" s="1563"/>
      <c r="AF540" s="1563"/>
      <c r="AG540" s="1168" t="s">
        <v>1391</v>
      </c>
      <c r="AH540" s="1489">
        <v>2027</v>
      </c>
      <c r="AI540" s="1489"/>
      <c r="AJ540" s="1489"/>
      <c r="AK540" s="1490"/>
      <c r="AZ540" s="2"/>
      <c r="BA540" s="2"/>
      <c r="BB540" s="2"/>
      <c r="BC540" s="2"/>
      <c r="BD540" s="2"/>
      <c r="BE540" s="2"/>
      <c r="BF540" s="2"/>
      <c r="BG540" s="2"/>
      <c r="BH540" s="2"/>
      <c r="BI540" s="2"/>
      <c r="BJ540" s="2"/>
      <c r="BK540" s="2"/>
      <c r="BL540" s="2"/>
      <c r="BM540" s="2"/>
      <c r="BN540" s="2"/>
      <c r="BO540" s="2"/>
      <c r="BP540" s="2"/>
      <c r="BQ540" s="2"/>
      <c r="BR540" s="2"/>
      <c r="BS540" s="2"/>
      <c r="BT540" s="2"/>
      <c r="BU540" s="2"/>
      <c r="BV540" s="241" t="s">
        <v>1064</v>
      </c>
      <c r="BW540" s="340">
        <v>1540</v>
      </c>
      <c r="BX540" s="341">
        <v>1650</v>
      </c>
      <c r="BY540" s="340">
        <v>1980</v>
      </c>
      <c r="BZ540" s="341">
        <v>2286</v>
      </c>
      <c r="CA540" s="341">
        <v>2550</v>
      </c>
      <c r="CB540" s="342">
        <v>2812</v>
      </c>
      <c r="CC540" s="2"/>
      <c r="CD540" s="703">
        <v>1125</v>
      </c>
      <c r="CE540" s="703">
        <v>1132</v>
      </c>
      <c r="CF540" s="703">
        <v>1461</v>
      </c>
      <c r="CG540" s="703">
        <v>2059</v>
      </c>
      <c r="CH540" s="703">
        <v>2479</v>
      </c>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row>
    <row r="541" spans="1:110" ht="13" customHeight="1">
      <c r="B541" s="1647"/>
      <c r="C541" s="1547"/>
      <c r="D541" s="1547"/>
      <c r="E541" s="1547"/>
      <c r="F541" s="1547"/>
      <c r="G541" s="1547"/>
      <c r="H541" s="1548"/>
      <c r="I541" t="s">
        <v>1445</v>
      </c>
      <c r="AC541" s="1667">
        <v>6</v>
      </c>
      <c r="AD541" s="1563"/>
      <c r="AE541" s="1563"/>
      <c r="AF541" s="1563"/>
      <c r="AG541" s="1168" t="s">
        <v>1391</v>
      </c>
      <c r="AH541" s="1489">
        <v>2027</v>
      </c>
      <c r="AI541" s="1489"/>
      <c r="AJ541" s="1489"/>
      <c r="AK541" s="1490"/>
      <c r="AZ541" s="2"/>
      <c r="BA541" s="2"/>
      <c r="BB541" s="2"/>
      <c r="BC541" s="2"/>
      <c r="BD541" s="2"/>
      <c r="BE541" s="2"/>
      <c r="BF541" s="2"/>
      <c r="BG541" s="2"/>
      <c r="BH541" s="2"/>
      <c r="BI541" s="2"/>
      <c r="BJ541" s="2"/>
      <c r="BK541" s="2"/>
      <c r="BL541" s="2"/>
      <c r="BM541" s="2"/>
      <c r="BN541" s="2"/>
      <c r="BO541" s="2"/>
      <c r="BP541" s="2"/>
      <c r="BQ541" s="2"/>
      <c r="BR541" s="2"/>
      <c r="BS541" s="2"/>
      <c r="BT541" s="2"/>
      <c r="BU541" s="2"/>
      <c r="BV541" s="241" t="s">
        <v>1068</v>
      </c>
      <c r="BW541" s="340">
        <v>1540</v>
      </c>
      <c r="BX541" s="341">
        <v>1650</v>
      </c>
      <c r="BY541" s="340">
        <v>1980</v>
      </c>
      <c r="BZ541" s="341">
        <v>2286</v>
      </c>
      <c r="CA541" s="341">
        <v>2550</v>
      </c>
      <c r="CB541" s="342">
        <v>2812</v>
      </c>
      <c r="CC541" s="2"/>
      <c r="CD541" s="703">
        <v>844</v>
      </c>
      <c r="CE541" s="703">
        <v>948</v>
      </c>
      <c r="CF541" s="703">
        <v>1245</v>
      </c>
      <c r="CG541" s="703">
        <v>1695</v>
      </c>
      <c r="CH541" s="703">
        <v>2010</v>
      </c>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row>
    <row r="542" spans="1:110" ht="13" customHeight="1">
      <c r="B542" s="1648"/>
      <c r="C542" s="1549"/>
      <c r="D542" s="1549"/>
      <c r="E542" s="1549"/>
      <c r="F542" s="1549"/>
      <c r="G542" s="1549"/>
      <c r="H542" s="1550"/>
      <c r="I542" s="33" t="s">
        <v>1446</v>
      </c>
      <c r="J542" s="33"/>
      <c r="K542" s="33"/>
      <c r="L542" s="33"/>
      <c r="M542" s="33"/>
      <c r="N542" s="33"/>
      <c r="O542" s="33"/>
      <c r="P542" s="33"/>
      <c r="Q542" s="33"/>
      <c r="R542" s="33"/>
      <c r="S542" s="33"/>
      <c r="T542" s="33"/>
      <c r="U542" s="33"/>
      <c r="V542" s="33"/>
      <c r="W542" s="33"/>
      <c r="X542" s="33"/>
      <c r="Y542" s="33"/>
      <c r="Z542" s="33"/>
      <c r="AA542" s="33"/>
      <c r="AB542" s="33"/>
      <c r="AC542" s="1667">
        <v>9</v>
      </c>
      <c r="AD542" s="1563"/>
      <c r="AE542" s="1563"/>
      <c r="AF542" s="1563"/>
      <c r="AG542" s="1168" t="s">
        <v>1391</v>
      </c>
      <c r="AH542" s="1489">
        <v>2027</v>
      </c>
      <c r="AI542" s="1489"/>
      <c r="AJ542" s="1489"/>
      <c r="AK542" s="1490"/>
      <c r="BB542" s="2"/>
      <c r="BC542" s="2"/>
      <c r="BD542" s="2"/>
      <c r="BE542" s="2"/>
      <c r="BF542" s="2"/>
      <c r="BG542" s="2"/>
      <c r="BH542" s="2" t="s">
        <v>17</v>
      </c>
      <c r="BI542" s="2" t="str">
        <f>N649</f>
        <v>Yes</v>
      </c>
      <c r="BJ542" s="2"/>
      <c r="BK542" s="2"/>
      <c r="BL542" s="2"/>
      <c r="BM542" s="2"/>
      <c r="BN542" s="2"/>
      <c r="BO542" s="2"/>
      <c r="BP542" s="2"/>
      <c r="BQ542" s="2"/>
      <c r="BR542" s="2"/>
      <c r="BS542" s="2"/>
      <c r="BT542" s="2"/>
      <c r="BU542" s="2"/>
      <c r="BV542" s="241" t="s">
        <v>1071</v>
      </c>
      <c r="BW542" s="340">
        <v>1540</v>
      </c>
      <c r="BX542" s="341">
        <v>1650</v>
      </c>
      <c r="BY542" s="340">
        <v>1980</v>
      </c>
      <c r="BZ542" s="341">
        <v>2286</v>
      </c>
      <c r="CA542" s="341">
        <v>2550</v>
      </c>
      <c r="CB542" s="342">
        <v>2812</v>
      </c>
      <c r="CC542" s="2"/>
      <c r="CD542" s="703">
        <v>710</v>
      </c>
      <c r="CE542" s="703">
        <v>784</v>
      </c>
      <c r="CF542" s="703">
        <v>1030</v>
      </c>
      <c r="CG542" s="703">
        <v>1451</v>
      </c>
      <c r="CH542" s="703">
        <v>1657</v>
      </c>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row>
    <row r="543" spans="1:110" ht="13" customHeight="1">
      <c r="B543" s="401"/>
      <c r="C543" s="1162"/>
      <c r="D543" s="1162"/>
      <c r="E543" s="1162"/>
      <c r="F543" s="1162"/>
      <c r="G543" s="1162"/>
      <c r="H543" s="1162"/>
      <c r="AB543" s="1162"/>
      <c r="AU543" s="731"/>
      <c r="AV543" s="731"/>
      <c r="AW543" s="731"/>
      <c r="AX543" s="731"/>
      <c r="AY543" s="731"/>
      <c r="BB543" s="2"/>
      <c r="BC543" s="2"/>
      <c r="BD543" s="2"/>
      <c r="BE543" s="2"/>
      <c r="BF543" s="2"/>
      <c r="BG543" s="2"/>
      <c r="BH543" s="2" t="s">
        <v>30</v>
      </c>
      <c r="BI543" s="2" t="str">
        <f>AG649</f>
        <v>No</v>
      </c>
      <c r="BJ543" s="2"/>
      <c r="BK543" s="2"/>
      <c r="BL543" s="2"/>
      <c r="BM543" s="2"/>
      <c r="BN543" s="2"/>
      <c r="BO543" s="2"/>
      <c r="BP543" s="2"/>
      <c r="BQ543" s="2"/>
      <c r="BR543" s="2"/>
      <c r="BS543" s="2"/>
      <c r="BT543" s="2"/>
      <c r="BU543" s="2"/>
      <c r="BV543" s="241" t="s">
        <v>1075</v>
      </c>
      <c r="BW543" s="340">
        <v>1540</v>
      </c>
      <c r="BX543" s="341">
        <v>1650</v>
      </c>
      <c r="BY543" s="340">
        <v>1980</v>
      </c>
      <c r="BZ543" s="341">
        <v>2286</v>
      </c>
      <c r="CA543" s="341">
        <v>2550</v>
      </c>
      <c r="CB543" s="342">
        <v>2812</v>
      </c>
      <c r="CC543" s="2"/>
      <c r="CD543" s="703">
        <v>977</v>
      </c>
      <c r="CE543" s="703">
        <v>989</v>
      </c>
      <c r="CF543" s="703">
        <v>1299</v>
      </c>
      <c r="CG543" s="703">
        <v>1809</v>
      </c>
      <c r="CH543" s="703">
        <v>2065</v>
      </c>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row>
    <row r="544" spans="1:110" ht="13" customHeight="1">
      <c r="A544" s="1220" t="s">
        <v>1447</v>
      </c>
      <c r="B544" s="1220"/>
      <c r="C544" s="1220"/>
      <c r="D544" s="1220"/>
      <c r="E544" s="1220"/>
      <c r="F544" s="1220"/>
      <c r="G544" s="1220"/>
      <c r="H544" s="1220"/>
      <c r="I544" s="1220"/>
      <c r="J544" s="1220"/>
      <c r="K544" s="1220"/>
      <c r="L544" s="1220"/>
      <c r="M544" s="1220"/>
      <c r="N544" s="1220"/>
      <c r="O544" s="1220"/>
      <c r="P544" s="1220"/>
      <c r="Q544" s="1220"/>
      <c r="R544" s="1220"/>
      <c r="S544" s="1220"/>
      <c r="T544" s="1220"/>
      <c r="U544" s="1220"/>
      <c r="V544" s="1220"/>
      <c r="W544" s="1220"/>
      <c r="X544" s="1220"/>
      <c r="Y544" s="1220"/>
      <c r="Z544" s="1220"/>
      <c r="AA544" s="1220"/>
      <c r="AB544" s="1220"/>
      <c r="AC544" s="1220"/>
      <c r="AD544" s="1220"/>
      <c r="AE544" s="1220"/>
      <c r="AF544" s="1220"/>
      <c r="AG544" s="1220"/>
      <c r="AH544" s="1220"/>
      <c r="AI544" s="1220"/>
      <c r="AJ544" s="1220"/>
      <c r="AK544" s="1220"/>
      <c r="AL544" s="1220"/>
      <c r="AM544" s="1220"/>
      <c r="AN544" s="1220"/>
      <c r="AO544" s="1220"/>
      <c r="AP544" s="1220"/>
      <c r="AQ544" s="1220"/>
      <c r="AR544" s="1220"/>
      <c r="AS544" s="1220"/>
      <c r="AT544" s="1220"/>
      <c r="AU544" s="731"/>
      <c r="AV544" s="731"/>
      <c r="AW544" s="731"/>
      <c r="AX544" s="731"/>
      <c r="AY544" s="731"/>
      <c r="BB544" s="2"/>
      <c r="BC544" s="2"/>
      <c r="BD544" s="2"/>
      <c r="BE544" s="2"/>
      <c r="BF544" s="2"/>
      <c r="BG544" s="2"/>
      <c r="BH544" s="2"/>
      <c r="BI544" s="2"/>
      <c r="BJ544" s="2"/>
      <c r="BK544" s="2"/>
      <c r="BL544" s="2"/>
      <c r="BM544" s="2"/>
      <c r="BN544" s="2"/>
      <c r="BO544" s="2"/>
      <c r="BP544" s="2"/>
      <c r="BQ544" s="2"/>
      <c r="BR544" s="2"/>
      <c r="BS544" s="2"/>
      <c r="BT544" s="2"/>
      <c r="BU544" s="2"/>
      <c r="BV544" s="241" t="s">
        <v>1077</v>
      </c>
      <c r="BW544" s="340">
        <v>1694</v>
      </c>
      <c r="BX544" s="341">
        <v>1816</v>
      </c>
      <c r="BY544" s="340">
        <v>2180</v>
      </c>
      <c r="BZ544" s="341">
        <v>2520</v>
      </c>
      <c r="CA544" s="341">
        <v>2810</v>
      </c>
      <c r="CB544" s="342">
        <v>3100</v>
      </c>
      <c r="CC544" s="2"/>
      <c r="CD544" s="703">
        <v>919</v>
      </c>
      <c r="CE544" s="703">
        <v>1032</v>
      </c>
      <c r="CF544" s="703">
        <v>1356</v>
      </c>
      <c r="CG544" s="703">
        <v>1795</v>
      </c>
      <c r="CH544" s="703">
        <v>2301</v>
      </c>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row>
    <row r="545" spans="1:110" ht="13" customHeight="1">
      <c r="A545" s="1220"/>
      <c r="B545" s="1220"/>
      <c r="C545" s="1220"/>
      <c r="D545" s="1220"/>
      <c r="E545" s="1220"/>
      <c r="F545" s="1220"/>
      <c r="G545" s="1220"/>
      <c r="H545" s="1220"/>
      <c r="I545" s="1220"/>
      <c r="J545" s="1220"/>
      <c r="K545" s="1220"/>
      <c r="L545" s="1220"/>
      <c r="M545" s="1220"/>
      <c r="N545" s="1220"/>
      <c r="O545" s="1220"/>
      <c r="P545" s="1220"/>
      <c r="Q545" s="1220"/>
      <c r="R545" s="1220"/>
      <c r="S545" s="1220"/>
      <c r="T545" s="1220"/>
      <c r="U545" s="1220"/>
      <c r="V545" s="1220"/>
      <c r="W545" s="1220"/>
      <c r="X545" s="1220"/>
      <c r="Y545" s="1220"/>
      <c r="Z545" s="1220"/>
      <c r="AA545" s="1220"/>
      <c r="AB545" s="1220"/>
      <c r="AC545" s="1220"/>
      <c r="AD545" s="1220"/>
      <c r="AE545" s="1220"/>
      <c r="AF545" s="1220"/>
      <c r="AG545" s="1220"/>
      <c r="AH545" s="1220"/>
      <c r="AI545" s="1220"/>
      <c r="AJ545" s="1220"/>
      <c r="AK545" s="1220"/>
      <c r="AL545" s="1220"/>
      <c r="AM545" s="1220"/>
      <c r="AN545" s="1220"/>
      <c r="AO545" s="1220"/>
      <c r="AP545" s="1220"/>
      <c r="AQ545" s="1220"/>
      <c r="AR545" s="1220"/>
      <c r="AS545" s="1220"/>
      <c r="AT545" s="1220"/>
      <c r="BB545" s="2"/>
      <c r="BC545" s="2"/>
      <c r="BD545" s="2"/>
      <c r="BE545" s="2"/>
      <c r="BF545" s="2"/>
      <c r="BG545" s="2"/>
      <c r="BH545" s="2"/>
      <c r="BI545" s="2"/>
      <c r="BJ545" s="2"/>
      <c r="BK545" s="2"/>
      <c r="BL545" s="2"/>
      <c r="BM545" s="2"/>
      <c r="BN545" s="2"/>
      <c r="BO545" s="2"/>
      <c r="BP545" s="2"/>
      <c r="BQ545" s="2"/>
      <c r="BR545" s="2"/>
      <c r="BS545" s="2"/>
      <c r="BT545" s="2"/>
      <c r="BU545" s="2"/>
      <c r="BV545" s="241" t="s">
        <v>1081</v>
      </c>
      <c r="BW545" s="343">
        <v>2462</v>
      </c>
      <c r="BX545" s="344">
        <v>2638</v>
      </c>
      <c r="BY545" s="343">
        <v>3166</v>
      </c>
      <c r="BZ545" s="344">
        <v>3658</v>
      </c>
      <c r="CA545" s="344">
        <v>4082</v>
      </c>
      <c r="CB545" s="345">
        <v>4502</v>
      </c>
      <c r="CC545" s="2"/>
      <c r="CD545" s="703">
        <v>1725</v>
      </c>
      <c r="CE545" s="703">
        <v>2011</v>
      </c>
      <c r="CF545" s="703">
        <v>2414</v>
      </c>
      <c r="CG545" s="703">
        <v>3310</v>
      </c>
      <c r="CH545" s="703">
        <v>3867</v>
      </c>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row>
    <row r="546" spans="1:110" ht="13" customHeight="1">
      <c r="BB546" s="2"/>
      <c r="BC546" s="2"/>
      <c r="BD546" s="2"/>
      <c r="BE546" s="2"/>
      <c r="BF546" s="2"/>
      <c r="BG546" s="2"/>
      <c r="BH546" s="2"/>
      <c r="BI546" s="2"/>
      <c r="BJ546" s="2"/>
      <c r="BK546" s="2"/>
      <c r="BL546" s="2"/>
      <c r="BM546" s="2"/>
      <c r="BN546" s="2"/>
      <c r="BO546" s="2"/>
      <c r="BP546" s="2"/>
      <c r="BQ546" s="2"/>
      <c r="BR546" s="2"/>
      <c r="BS546" s="2"/>
      <c r="BT546" s="2"/>
      <c r="BU546" s="2"/>
      <c r="BV546" s="241" t="s">
        <v>1085</v>
      </c>
      <c r="BW546" s="346">
        <v>2020</v>
      </c>
      <c r="BX546" s="347">
        <v>2162</v>
      </c>
      <c r="BY546" s="346">
        <v>2594</v>
      </c>
      <c r="BZ546" s="347">
        <v>2998</v>
      </c>
      <c r="CA546" s="347">
        <v>3344</v>
      </c>
      <c r="CB546" s="348">
        <v>3690</v>
      </c>
      <c r="CC546" s="2"/>
      <c r="CD546" s="703">
        <v>1497</v>
      </c>
      <c r="CE546" s="703">
        <v>1507</v>
      </c>
      <c r="CF546" s="703">
        <v>1980</v>
      </c>
      <c r="CG546" s="703">
        <v>2717</v>
      </c>
      <c r="CH546" s="703">
        <v>3169</v>
      </c>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row>
    <row r="547" spans="1:110" ht="13" customHeight="1" thickBot="1">
      <c r="A547" s="1" t="s">
        <v>922</v>
      </c>
      <c r="B547" s="1"/>
      <c r="C547" s="1" t="s">
        <v>171</v>
      </c>
      <c r="BB547" s="2"/>
      <c r="BC547" s="2"/>
      <c r="BD547" s="2"/>
      <c r="BE547" s="2"/>
      <c r="BF547" s="2"/>
      <c r="BG547" s="2"/>
      <c r="BH547" s="2"/>
      <c r="BI547" s="2"/>
      <c r="BJ547" s="2"/>
      <c r="BK547" s="2"/>
      <c r="BL547" s="2"/>
      <c r="BM547" s="2"/>
      <c r="BN547" s="2"/>
      <c r="BO547" s="2"/>
      <c r="BP547" s="2"/>
      <c r="BQ547" s="2"/>
      <c r="BR547" s="2"/>
      <c r="BS547" s="2"/>
      <c r="BT547" s="2"/>
      <c r="BU547" s="2"/>
      <c r="BV547" s="241" t="s">
        <v>1089</v>
      </c>
      <c r="BW547" s="349">
        <v>1540</v>
      </c>
      <c r="BX547" s="350">
        <v>1650</v>
      </c>
      <c r="BY547" s="349">
        <v>1980</v>
      </c>
      <c r="BZ547" s="350">
        <v>2286</v>
      </c>
      <c r="CA547" s="350">
        <v>2550</v>
      </c>
      <c r="CB547" s="351">
        <v>2812</v>
      </c>
      <c r="CC547" s="2"/>
      <c r="CD547" s="703">
        <v>1125</v>
      </c>
      <c r="CE547" s="703">
        <v>1132</v>
      </c>
      <c r="CF547" s="703">
        <v>1461</v>
      </c>
      <c r="CG547" s="703">
        <v>2059</v>
      </c>
      <c r="CH547" s="703">
        <v>2479</v>
      </c>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row>
    <row r="548" spans="1:110" ht="13" customHeight="1">
      <c r="A548" s="1"/>
      <c r="B548" s="1"/>
      <c r="C548" s="1"/>
      <c r="BB548" s="2"/>
      <c r="BC548" s="2"/>
      <c r="BD548" s="2"/>
      <c r="BE548" s="2"/>
      <c r="BF548" s="2"/>
      <c r="BG548" s="2"/>
      <c r="BH548" s="2"/>
      <c r="BI548" s="2"/>
      <c r="BJ548" s="2"/>
      <c r="BK548" s="2"/>
      <c r="BL548" s="2"/>
      <c r="BM548" s="2"/>
      <c r="BN548" s="2"/>
      <c r="BO548" s="2"/>
      <c r="BP548" s="2"/>
      <c r="BQ548" s="2"/>
      <c r="BR548" s="2"/>
      <c r="BS548" s="2"/>
      <c r="BT548" s="2"/>
      <c r="BU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row>
    <row r="549" spans="1:110" ht="13" customHeight="1">
      <c r="A549" s="1"/>
      <c r="B549" s="1"/>
      <c r="C549" s="1"/>
      <c r="D549" s="1" t="s">
        <v>1448</v>
      </c>
      <c r="AC549" s="57"/>
      <c r="BB549" s="2"/>
      <c r="BC549" s="2"/>
      <c r="BD549" s="2"/>
      <c r="BE549" s="2"/>
      <c r="BF549" s="2"/>
      <c r="BG549" s="2"/>
      <c r="BH549" s="2"/>
      <c r="BI549" s="2"/>
      <c r="BJ549" s="2"/>
      <c r="BK549" s="2"/>
      <c r="BL549" s="2"/>
      <c r="BM549" s="2"/>
      <c r="BN549" s="2"/>
      <c r="BO549" s="2"/>
      <c r="BP549" s="2"/>
      <c r="BQ549" s="2"/>
      <c r="BR549" s="2"/>
      <c r="BS549" s="2"/>
      <c r="BT549" s="2"/>
      <c r="BU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row>
    <row r="550" spans="1:110" ht="13" customHeight="1">
      <c r="B550" s="383"/>
      <c r="BB550" s="2"/>
      <c r="BC550" s="2"/>
      <c r="BD550" s="2"/>
      <c r="BE550" s="2"/>
      <c r="BF550" s="2"/>
      <c r="BG550" s="2"/>
      <c r="BH550" s="2" t="s">
        <v>38</v>
      </c>
      <c r="BI550" s="2" t="str">
        <f>N657</f>
        <v>Yes</v>
      </c>
      <c r="BJ550" s="2"/>
      <c r="BK550" s="2"/>
      <c r="BL550" s="2"/>
      <c r="BM550" s="2"/>
      <c r="BN550" s="2"/>
      <c r="BO550" s="2"/>
      <c r="BP550" s="2"/>
      <c r="BQ550" s="2"/>
      <c r="BR550" s="2"/>
      <c r="BS550" s="2"/>
      <c r="BT550" s="2"/>
      <c r="BU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row>
    <row r="551" spans="1:110" ht="13" customHeight="1">
      <c r="B551" s="1646" t="s">
        <v>1449</v>
      </c>
      <c r="C551" s="1545"/>
      <c r="D551" s="1545"/>
      <c r="E551" s="1545"/>
      <c r="F551" s="1545"/>
      <c r="G551" s="1545"/>
      <c r="H551" s="1545"/>
      <c r="I551" s="1545"/>
      <c r="J551" s="1545"/>
      <c r="K551" s="1545"/>
      <c r="L551" s="1546"/>
      <c r="M551" s="1646" t="s">
        <v>1450</v>
      </c>
      <c r="N551" s="1545"/>
      <c r="O551" s="1545"/>
      <c r="P551" s="1546"/>
      <c r="Q551" s="1646" t="s">
        <v>1451</v>
      </c>
      <c r="R551" s="1545"/>
      <c r="S551" s="1546"/>
      <c r="T551" s="1646" t="s">
        <v>1452</v>
      </c>
      <c r="U551" s="1545"/>
      <c r="V551" s="1546"/>
      <c r="W551" s="1646" t="s">
        <v>1453</v>
      </c>
      <c r="X551" s="1545"/>
      <c r="Y551" s="1546"/>
      <c r="Z551" s="1646" t="s">
        <v>1454</v>
      </c>
      <c r="AA551" s="1545"/>
      <c r="AB551" s="1545"/>
      <c r="AC551" s="1545"/>
      <c r="AD551" s="1546"/>
      <c r="AE551" s="1646" t="s">
        <v>1455</v>
      </c>
      <c r="AF551" s="1545"/>
      <c r="AG551" s="1545"/>
      <c r="AH551" s="1546"/>
      <c r="AI551" s="1646" t="s">
        <v>1456</v>
      </c>
      <c r="AJ551" s="1545"/>
      <c r="AK551" s="1545"/>
      <c r="AL551" s="1546"/>
      <c r="AM551" s="1646" t="s">
        <v>1457</v>
      </c>
      <c r="AN551" s="1545"/>
      <c r="AO551" s="1545"/>
      <c r="AP551" s="1545"/>
      <c r="AQ551" s="1545"/>
      <c r="AR551" s="1545"/>
      <c r="AS551" s="1546"/>
      <c r="BB551" s="2"/>
      <c r="BC551" s="2"/>
      <c r="BD551" s="2"/>
      <c r="BE551" s="2"/>
      <c r="BF551" s="2"/>
      <c r="BG551" s="2"/>
      <c r="BH551" s="2" t="s">
        <v>81</v>
      </c>
      <c r="BI551" s="2" t="str">
        <f>AG657</f>
        <v>No</v>
      </c>
      <c r="BJ551" s="2"/>
      <c r="BK551" s="2"/>
      <c r="BL551" s="2"/>
      <c r="BM551" s="2"/>
      <c r="BN551" s="2"/>
      <c r="BO551" s="2"/>
      <c r="BP551" s="2"/>
      <c r="BQ551" s="2"/>
      <c r="BR551" s="2"/>
      <c r="BS551" s="2"/>
      <c r="BT551" s="2"/>
      <c r="BU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row>
    <row r="552" spans="1:110" ht="13" customHeight="1">
      <c r="B552" s="1647"/>
      <c r="C552" s="1547"/>
      <c r="D552" s="1547"/>
      <c r="E552" s="1547"/>
      <c r="F552" s="1547"/>
      <c r="G552" s="1547"/>
      <c r="H552" s="1547"/>
      <c r="I552" s="1547"/>
      <c r="J552" s="1547"/>
      <c r="K552" s="1547"/>
      <c r="L552" s="1548"/>
      <c r="M552" s="1647"/>
      <c r="N552" s="1547"/>
      <c r="O552" s="1547"/>
      <c r="P552" s="1548"/>
      <c r="Q552" s="1647"/>
      <c r="R552" s="1547"/>
      <c r="S552" s="1548"/>
      <c r="T552" s="1647"/>
      <c r="U552" s="1547"/>
      <c r="V552" s="1548"/>
      <c r="W552" s="1647"/>
      <c r="X552" s="1547"/>
      <c r="Y552" s="1548"/>
      <c r="Z552" s="1647"/>
      <c r="AA552" s="1547"/>
      <c r="AB552" s="1547"/>
      <c r="AC552" s="1547"/>
      <c r="AD552" s="1548"/>
      <c r="AE552" s="1647"/>
      <c r="AF552" s="1547"/>
      <c r="AG552" s="1547"/>
      <c r="AH552" s="1548"/>
      <c r="AI552" s="1647"/>
      <c r="AJ552" s="1547"/>
      <c r="AK552" s="1547"/>
      <c r="AL552" s="1548"/>
      <c r="AM552" s="1647"/>
      <c r="AN552" s="1547"/>
      <c r="AO552" s="1547"/>
      <c r="AP552" s="1547"/>
      <c r="AQ552" s="1547"/>
      <c r="AR552" s="1547"/>
      <c r="AS552" s="1548"/>
      <c r="AU552" s="959"/>
      <c r="BB552" s="2"/>
      <c r="BC552" s="2"/>
      <c r="BD552" s="2"/>
      <c r="BE552" s="2"/>
      <c r="BF552" s="2"/>
      <c r="BG552" s="2"/>
      <c r="BH552" s="2"/>
      <c r="BI552" s="2"/>
      <c r="BJ552" s="2"/>
      <c r="BK552" s="2"/>
      <c r="BL552" s="2"/>
      <c r="BM552" s="2"/>
      <c r="BN552" s="2"/>
      <c r="BO552" s="2"/>
      <c r="BP552" s="2"/>
      <c r="BQ552" s="2"/>
      <c r="BR552" s="2"/>
      <c r="BS552" s="2"/>
      <c r="BT552" s="2"/>
      <c r="BU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row>
    <row r="553" spans="1:110" ht="13" customHeight="1">
      <c r="B553" s="1648"/>
      <c r="C553" s="1549"/>
      <c r="D553" s="1549"/>
      <c r="E553" s="1549"/>
      <c r="F553" s="1549"/>
      <c r="G553" s="1549"/>
      <c r="H553" s="1549"/>
      <c r="I553" s="1549"/>
      <c r="J553" s="1549"/>
      <c r="K553" s="1549"/>
      <c r="L553" s="1550"/>
      <c r="M553" s="1648"/>
      <c r="N553" s="1549"/>
      <c r="O553" s="1549"/>
      <c r="P553" s="1550"/>
      <c r="Q553" s="1648"/>
      <c r="R553" s="1549"/>
      <c r="S553" s="1550"/>
      <c r="T553" s="1648"/>
      <c r="U553" s="1549"/>
      <c r="V553" s="1550"/>
      <c r="W553" s="1648"/>
      <c r="X553" s="1549"/>
      <c r="Y553" s="1550"/>
      <c r="Z553" s="1648"/>
      <c r="AA553" s="1549"/>
      <c r="AB553" s="1549"/>
      <c r="AC553" s="1549"/>
      <c r="AD553" s="1550"/>
      <c r="AE553" s="1648"/>
      <c r="AF553" s="1549"/>
      <c r="AG553" s="1549"/>
      <c r="AH553" s="1550"/>
      <c r="AI553" s="1648"/>
      <c r="AJ553" s="1549"/>
      <c r="AK553" s="1549"/>
      <c r="AL553" s="1550"/>
      <c r="AM553" s="1648"/>
      <c r="AN553" s="1549"/>
      <c r="AO553" s="1549"/>
      <c r="AP553" s="1549"/>
      <c r="AQ553" s="1549"/>
      <c r="AR553" s="1549"/>
      <c r="AS553" s="1550"/>
      <c r="AU553" s="959"/>
      <c r="BB553" s="2"/>
      <c r="BC553" s="2"/>
      <c r="BD553" s="2"/>
      <c r="BE553" s="2"/>
      <c r="BF553" s="2"/>
      <c r="BG553" s="2"/>
      <c r="BH553" s="2"/>
      <c r="BI553" s="2"/>
      <c r="BJ553" s="2"/>
      <c r="BK553" s="2"/>
      <c r="BL553" s="2"/>
      <c r="BM553" s="2"/>
      <c r="BN553" s="2"/>
      <c r="BO553" s="2"/>
      <c r="BP553" s="2"/>
      <c r="BQ553" s="2"/>
      <c r="BR553" s="2"/>
      <c r="BS553" s="2"/>
      <c r="BT553" s="2"/>
      <c r="BU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row>
    <row r="554" spans="1:110" ht="13" customHeight="1">
      <c r="B554" s="35" t="s">
        <v>17</v>
      </c>
      <c r="C554" s="1657" t="s">
        <v>1458</v>
      </c>
      <c r="D554" s="1657"/>
      <c r="E554" s="1657"/>
      <c r="F554" s="1657"/>
      <c r="G554" s="1657"/>
      <c r="H554" s="1657"/>
      <c r="I554" s="1657"/>
      <c r="J554" s="1657"/>
      <c r="K554" s="1657"/>
      <c r="L554" s="1657"/>
      <c r="M554" s="1657" t="s">
        <v>1432</v>
      </c>
      <c r="N554" s="1657"/>
      <c r="O554" s="1657"/>
      <c r="P554" s="1657"/>
      <c r="Q554" s="1634">
        <v>24</v>
      </c>
      <c r="R554" s="1634"/>
      <c r="S554" s="1635"/>
      <c r="T554" s="1633"/>
      <c r="U554" s="1634"/>
      <c r="V554" s="1635"/>
      <c r="W554" s="1650">
        <v>6.5000000000000002E-2</v>
      </c>
      <c r="X554" s="1651"/>
      <c r="Y554" s="1652"/>
      <c r="Z554" s="1658" t="s">
        <v>1459</v>
      </c>
      <c r="AA554" s="1658"/>
      <c r="AB554" s="1658"/>
      <c r="AC554" s="1658"/>
      <c r="AD554" s="1658"/>
      <c r="AE554" s="1661">
        <v>1</v>
      </c>
      <c r="AF554" s="1662"/>
      <c r="AG554" s="1662"/>
      <c r="AH554" s="1663"/>
      <c r="AI554" s="1664"/>
      <c r="AJ554" s="1665"/>
      <c r="AK554" s="1665"/>
      <c r="AL554" s="1666"/>
      <c r="AM554" s="1637">
        <v>22460019</v>
      </c>
      <c r="AN554" s="1638"/>
      <c r="AO554" s="1638"/>
      <c r="AP554" s="1638"/>
      <c r="AQ554" s="1638"/>
      <c r="AR554" s="1638"/>
      <c r="AS554" s="1639"/>
      <c r="AT554" s="960"/>
      <c r="AU554" s="959"/>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row>
    <row r="555" spans="1:110" ht="13" customHeight="1">
      <c r="B555" s="36" t="s">
        <v>30</v>
      </c>
      <c r="C555" s="1656" t="s">
        <v>1458</v>
      </c>
      <c r="D555" s="1656"/>
      <c r="E555" s="1656"/>
      <c r="F555" s="1656"/>
      <c r="G555" s="1656"/>
      <c r="H555" s="1656"/>
      <c r="I555" s="1656"/>
      <c r="J555" s="1656"/>
      <c r="K555" s="1656"/>
      <c r="L555" s="1656"/>
      <c r="M555" s="1657" t="s">
        <v>1431</v>
      </c>
      <c r="N555" s="1657"/>
      <c r="O555" s="1657"/>
      <c r="P555" s="1657"/>
      <c r="Q555" s="1633">
        <v>24</v>
      </c>
      <c r="R555" s="1634"/>
      <c r="S555" s="1635"/>
      <c r="T555" s="1633"/>
      <c r="U555" s="1634"/>
      <c r="V555" s="1635"/>
      <c r="W555" s="1650">
        <v>7.0000000000000007E-2</v>
      </c>
      <c r="X555" s="1651"/>
      <c r="Y555" s="1652"/>
      <c r="Z555" s="1658" t="s">
        <v>1459</v>
      </c>
      <c r="AA555" s="1658"/>
      <c r="AB555" s="1658"/>
      <c r="AC555" s="1658"/>
      <c r="AD555" s="1658"/>
      <c r="AE555" s="1661">
        <v>1</v>
      </c>
      <c r="AF555" s="1662"/>
      <c r="AG555" s="1662"/>
      <c r="AH555" s="1663"/>
      <c r="AI555" s="1664"/>
      <c r="AJ555" s="1665"/>
      <c r="AK555" s="1665"/>
      <c r="AL555" s="1666"/>
      <c r="AM555" s="1637">
        <v>12391045</v>
      </c>
      <c r="AN555" s="1638"/>
      <c r="AO555" s="1638"/>
      <c r="AP555" s="1638"/>
      <c r="AQ555" s="1638"/>
      <c r="AR555" s="1638"/>
      <c r="AS555" s="1639"/>
      <c r="AT555" s="960" t="str">
        <f>IF(AND(NOT(C554=""),C555="",NOT(C556="")),"!","")</f>
        <v/>
      </c>
      <c r="AU555" s="959"/>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row>
    <row r="556" spans="1:110" ht="13" customHeight="1">
      <c r="B556" s="36" t="s">
        <v>38</v>
      </c>
      <c r="C556" s="1656" t="s">
        <v>1460</v>
      </c>
      <c r="D556" s="1656"/>
      <c r="E556" s="1656"/>
      <c r="F556" s="1656"/>
      <c r="G556" s="1656"/>
      <c r="H556" s="1656"/>
      <c r="I556" s="1656"/>
      <c r="J556" s="1656"/>
      <c r="K556" s="1656"/>
      <c r="L556" s="1656"/>
      <c r="M556" s="1657" t="s">
        <v>1418</v>
      </c>
      <c r="N556" s="1657"/>
      <c r="O556" s="1657"/>
      <c r="P556" s="1657"/>
      <c r="Q556" s="1633"/>
      <c r="R556" s="1634"/>
      <c r="S556" s="1635"/>
      <c r="T556" s="1633"/>
      <c r="U556" s="1634"/>
      <c r="V556" s="1635"/>
      <c r="W556" s="1650"/>
      <c r="X556" s="1651"/>
      <c r="Y556" s="1652"/>
      <c r="Z556" s="1658" t="s">
        <v>1079</v>
      </c>
      <c r="AA556" s="1658"/>
      <c r="AB556" s="1658"/>
      <c r="AC556" s="1658"/>
      <c r="AD556" s="1658"/>
      <c r="AE556" s="1661"/>
      <c r="AF556" s="1662"/>
      <c r="AG556" s="1662"/>
      <c r="AH556" s="1663"/>
      <c r="AI556" s="1664"/>
      <c r="AJ556" s="1665"/>
      <c r="AK556" s="1665"/>
      <c r="AL556" s="1666"/>
      <c r="AM556" s="1637">
        <v>4706747</v>
      </c>
      <c r="AN556" s="1638"/>
      <c r="AO556" s="1638"/>
      <c r="AP556" s="1638"/>
      <c r="AQ556" s="1638"/>
      <c r="AR556" s="1638"/>
      <c r="AS556" s="1639"/>
      <c r="AT556" s="960" t="str">
        <f>IF(AND(NOT(C555=""),C556="",NOT(C557="")),"!","")</f>
        <v/>
      </c>
      <c r="AU556" s="959"/>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row>
    <row r="557" spans="1:110" ht="13" customHeight="1">
      <c r="B557" s="36" t="s">
        <v>81</v>
      </c>
      <c r="C557" s="1656" t="s">
        <v>1461</v>
      </c>
      <c r="D557" s="1656"/>
      <c r="E557" s="1656"/>
      <c r="F557" s="1656"/>
      <c r="G557" s="1656"/>
      <c r="H557" s="1656"/>
      <c r="I557" s="1656"/>
      <c r="J557" s="1656"/>
      <c r="K557" s="1656"/>
      <c r="L557" s="1656"/>
      <c r="M557" s="1657" t="s">
        <v>1418</v>
      </c>
      <c r="N557" s="1657"/>
      <c r="O557" s="1657"/>
      <c r="P557" s="1657"/>
      <c r="Q557" s="1633"/>
      <c r="R557" s="1634"/>
      <c r="S557" s="1635"/>
      <c r="T557" s="1633"/>
      <c r="U557" s="1634"/>
      <c r="V557" s="1635"/>
      <c r="W557" s="1650"/>
      <c r="X557" s="1651"/>
      <c r="Y557" s="1652"/>
      <c r="Z557" s="1658" t="s">
        <v>1079</v>
      </c>
      <c r="AA557" s="1658"/>
      <c r="AB557" s="1658"/>
      <c r="AC557" s="1658"/>
      <c r="AD557" s="1658"/>
      <c r="AE557" s="1661"/>
      <c r="AF557" s="1662"/>
      <c r="AG557" s="1662"/>
      <c r="AH557" s="1663"/>
      <c r="AI557" s="1664"/>
      <c r="AJ557" s="1665"/>
      <c r="AK557" s="1665"/>
      <c r="AL557" s="1666"/>
      <c r="AM557" s="1637">
        <v>1145383</v>
      </c>
      <c r="AN557" s="1638"/>
      <c r="AO557" s="1638"/>
      <c r="AP557" s="1638"/>
      <c r="AQ557" s="1638"/>
      <c r="AR557" s="1638"/>
      <c r="AS557" s="1639"/>
      <c r="AT557" s="960" t="str">
        <f>IF(AND(NOT(C556=""),C557="",NOT(C558="")),"!","")</f>
        <v/>
      </c>
      <c r="AU557" s="959"/>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row>
    <row r="558" spans="1:110" ht="13" customHeight="1">
      <c r="B558" s="36" t="s">
        <v>85</v>
      </c>
      <c r="C558" s="1656" t="s">
        <v>1462</v>
      </c>
      <c r="D558" s="1656"/>
      <c r="E558" s="1656"/>
      <c r="F558" s="1656"/>
      <c r="G558" s="1656"/>
      <c r="H558" s="1656"/>
      <c r="I558" s="1656"/>
      <c r="J558" s="1656"/>
      <c r="K558" s="1656"/>
      <c r="L558" s="1656"/>
      <c r="M558" s="1657" t="s">
        <v>1410</v>
      </c>
      <c r="N558" s="1657"/>
      <c r="O558" s="1657"/>
      <c r="P558" s="1657"/>
      <c r="Q558" s="1633"/>
      <c r="R558" s="1634"/>
      <c r="S558" s="1635"/>
      <c r="T558" s="1633"/>
      <c r="U558" s="1634"/>
      <c r="V558" s="1635"/>
      <c r="W558" s="1650"/>
      <c r="X558" s="1651"/>
      <c r="Y558" s="1652"/>
      <c r="Z558" s="1658" t="s">
        <v>1079</v>
      </c>
      <c r="AA558" s="1658"/>
      <c r="AB558" s="1658"/>
      <c r="AC558" s="1658"/>
      <c r="AD558" s="1658"/>
      <c r="AE558" s="1661"/>
      <c r="AF558" s="1662"/>
      <c r="AG558" s="1662"/>
      <c r="AH558" s="1663"/>
      <c r="AI558" s="1664"/>
      <c r="AJ558" s="1665"/>
      <c r="AK558" s="1665"/>
      <c r="AL558" s="1666"/>
      <c r="AM558" s="1637">
        <f>46165849-40703194</f>
        <v>5462655</v>
      </c>
      <c r="AN558" s="1638"/>
      <c r="AO558" s="1638"/>
      <c r="AP558" s="1638"/>
      <c r="AQ558" s="1638"/>
      <c r="AR558" s="1638"/>
      <c r="AS558" s="1639"/>
      <c r="AT558" s="960" t="str">
        <f t="shared" ref="AT558:AT565" si="0">IF(AND(NOT(C557=""),C558="",NOT(C559="")),"!","")</f>
        <v/>
      </c>
      <c r="AU558" s="959"/>
      <c r="BB558" s="2"/>
      <c r="BC558" s="2"/>
      <c r="BD558" s="2"/>
      <c r="BE558" s="2"/>
      <c r="BF558" s="2"/>
      <c r="BG558" s="2"/>
      <c r="BH558" s="2" t="s">
        <v>85</v>
      </c>
      <c r="BI558" s="2" t="str">
        <f>N665</f>
        <v>No</v>
      </c>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row>
    <row r="559" spans="1:110" ht="13" customHeight="1">
      <c r="B559" s="36" t="s">
        <v>1463</v>
      </c>
      <c r="C559" s="1656"/>
      <c r="D559" s="1656"/>
      <c r="E559" s="1656"/>
      <c r="F559" s="1656"/>
      <c r="G559" s="1656"/>
      <c r="H559" s="1656"/>
      <c r="I559" s="1656"/>
      <c r="J559" s="1656"/>
      <c r="K559" s="1656"/>
      <c r="L559" s="1656"/>
      <c r="M559" s="1657" t="s">
        <v>1079</v>
      </c>
      <c r="N559" s="1657"/>
      <c r="O559" s="1657"/>
      <c r="P559" s="1657"/>
      <c r="Q559" s="1633"/>
      <c r="R559" s="1634"/>
      <c r="S559" s="1635"/>
      <c r="T559" s="1633"/>
      <c r="U559" s="1634"/>
      <c r="V559" s="1635"/>
      <c r="W559" s="1650"/>
      <c r="X559" s="1651"/>
      <c r="Y559" s="1652"/>
      <c r="Z559" s="1658" t="s">
        <v>1079</v>
      </c>
      <c r="AA559" s="1658"/>
      <c r="AB559" s="1658"/>
      <c r="AC559" s="1658"/>
      <c r="AD559" s="1658"/>
      <c r="AE559" s="1661"/>
      <c r="AF559" s="1662"/>
      <c r="AG559" s="1662"/>
      <c r="AH559" s="1663"/>
      <c r="AI559" s="1664"/>
      <c r="AJ559" s="1665"/>
      <c r="AK559" s="1665"/>
      <c r="AL559" s="1666"/>
      <c r="AM559" s="1637"/>
      <c r="AN559" s="1638"/>
      <c r="AO559" s="1638"/>
      <c r="AP559" s="1638"/>
      <c r="AQ559" s="1638"/>
      <c r="AR559" s="1638"/>
      <c r="AS559" s="1639"/>
      <c r="AT559" s="960" t="str">
        <f t="shared" si="0"/>
        <v/>
      </c>
      <c r="AU559" s="959"/>
      <c r="BB559" s="2"/>
      <c r="BC559" s="2"/>
      <c r="BD559" s="2"/>
      <c r="BE559" s="2"/>
      <c r="BF559" s="2"/>
      <c r="BG559" s="2"/>
      <c r="BH559" s="2" t="s">
        <v>1463</v>
      </c>
      <c r="BI559" s="2" t="str">
        <f>AG665</f>
        <v>No</v>
      </c>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row>
    <row r="560" spans="1:110" ht="13" customHeight="1">
      <c r="B560" s="36" t="s">
        <v>1464</v>
      </c>
      <c r="C560" s="1656"/>
      <c r="D560" s="1656"/>
      <c r="E560" s="1656"/>
      <c r="F560" s="1656"/>
      <c r="G560" s="1656"/>
      <c r="H560" s="1656"/>
      <c r="I560" s="1656"/>
      <c r="J560" s="1656"/>
      <c r="K560" s="1656"/>
      <c r="L560" s="1656"/>
      <c r="M560" s="1657" t="s">
        <v>1079</v>
      </c>
      <c r="N560" s="1657"/>
      <c r="O560" s="1657"/>
      <c r="P560" s="1657"/>
      <c r="Q560" s="1633"/>
      <c r="R560" s="1634"/>
      <c r="S560" s="1635"/>
      <c r="T560" s="1633"/>
      <c r="U560" s="1634"/>
      <c r="V560" s="1635"/>
      <c r="W560" s="1650"/>
      <c r="X560" s="1651"/>
      <c r="Y560" s="1652"/>
      <c r="Z560" s="1658" t="s">
        <v>1079</v>
      </c>
      <c r="AA560" s="1658"/>
      <c r="AB560" s="1658"/>
      <c r="AC560" s="1658"/>
      <c r="AD560" s="1658"/>
      <c r="AE560" s="1661"/>
      <c r="AF560" s="1662"/>
      <c r="AG560" s="1662"/>
      <c r="AH560" s="1663"/>
      <c r="AI560" s="1664"/>
      <c r="AJ560" s="1665"/>
      <c r="AK560" s="1665"/>
      <c r="AL560" s="1666"/>
      <c r="AM560" s="1637"/>
      <c r="AN560" s="1638"/>
      <c r="AO560" s="1638"/>
      <c r="AP560" s="1638"/>
      <c r="AQ560" s="1638"/>
      <c r="AR560" s="1638"/>
      <c r="AS560" s="1639"/>
      <c r="AT560" s="960" t="str">
        <f t="shared" si="0"/>
        <v/>
      </c>
      <c r="AU560" s="959"/>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row>
    <row r="561" spans="1:110" ht="13" customHeight="1">
      <c r="B561" s="36" t="s">
        <v>1465</v>
      </c>
      <c r="C561" s="1656"/>
      <c r="D561" s="1656"/>
      <c r="E561" s="1656"/>
      <c r="F561" s="1656"/>
      <c r="G561" s="1656"/>
      <c r="H561" s="1656"/>
      <c r="I561" s="1656"/>
      <c r="J561" s="1656"/>
      <c r="K561" s="1656"/>
      <c r="L561" s="1656"/>
      <c r="M561" s="1657" t="s">
        <v>1079</v>
      </c>
      <c r="N561" s="1657"/>
      <c r="O561" s="1657"/>
      <c r="P561" s="1657"/>
      <c r="Q561" s="1633"/>
      <c r="R561" s="1634"/>
      <c r="S561" s="1635"/>
      <c r="T561" s="1633"/>
      <c r="U561" s="1634"/>
      <c r="V561" s="1635"/>
      <c r="W561" s="1650"/>
      <c r="X561" s="1651"/>
      <c r="Y561" s="1652"/>
      <c r="Z561" s="1658" t="s">
        <v>1079</v>
      </c>
      <c r="AA561" s="1658"/>
      <c r="AB561" s="1658"/>
      <c r="AC561" s="1658"/>
      <c r="AD561" s="1658"/>
      <c r="AE561" s="1661"/>
      <c r="AF561" s="1662"/>
      <c r="AG561" s="1662"/>
      <c r="AH561" s="1663"/>
      <c r="AI561" s="1664"/>
      <c r="AJ561" s="1665"/>
      <c r="AK561" s="1665"/>
      <c r="AL561" s="1666"/>
      <c r="AM561" s="1637"/>
      <c r="AN561" s="1638"/>
      <c r="AO561" s="1638"/>
      <c r="AP561" s="1638"/>
      <c r="AQ561" s="1638"/>
      <c r="AR561" s="1638"/>
      <c r="AS561" s="1639"/>
      <c r="AT561" s="960" t="str">
        <f t="shared" si="0"/>
        <v/>
      </c>
      <c r="AU561" s="959"/>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row>
    <row r="562" spans="1:110" ht="13" customHeight="1">
      <c r="B562" s="36" t="s">
        <v>1466</v>
      </c>
      <c r="C562" s="1656"/>
      <c r="D562" s="1656"/>
      <c r="E562" s="1656"/>
      <c r="F562" s="1656"/>
      <c r="G562" s="1656"/>
      <c r="H562" s="1656"/>
      <c r="I562" s="1656"/>
      <c r="J562" s="1656"/>
      <c r="K562" s="1656"/>
      <c r="L562" s="1656"/>
      <c r="M562" s="1657" t="s">
        <v>1079</v>
      </c>
      <c r="N562" s="1657"/>
      <c r="O562" s="1657"/>
      <c r="P562" s="1657"/>
      <c r="Q562" s="1633"/>
      <c r="R562" s="1634"/>
      <c r="S562" s="1635"/>
      <c r="T562" s="1633"/>
      <c r="U562" s="1634"/>
      <c r="V562" s="1635"/>
      <c r="W562" s="1650"/>
      <c r="X562" s="1651"/>
      <c r="Y562" s="1652"/>
      <c r="Z562" s="1658" t="s">
        <v>1079</v>
      </c>
      <c r="AA562" s="1658"/>
      <c r="AB562" s="1658"/>
      <c r="AC562" s="1658"/>
      <c r="AD562" s="1658"/>
      <c r="AE562" s="1661"/>
      <c r="AF562" s="1662"/>
      <c r="AG562" s="1662"/>
      <c r="AH562" s="1663"/>
      <c r="AI562" s="1664"/>
      <c r="AJ562" s="1665"/>
      <c r="AK562" s="1665"/>
      <c r="AL562" s="1666"/>
      <c r="AM562" s="1637"/>
      <c r="AN562" s="1638"/>
      <c r="AO562" s="1638"/>
      <c r="AP562" s="1638"/>
      <c r="AQ562" s="1638"/>
      <c r="AR562" s="1638"/>
      <c r="AS562" s="1639"/>
      <c r="AT562" s="960" t="str">
        <f t="shared" si="0"/>
        <v/>
      </c>
      <c r="AU562" s="959"/>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row>
    <row r="563" spans="1:110" ht="13" customHeight="1">
      <c r="B563" s="36" t="s">
        <v>1467</v>
      </c>
      <c r="C563" s="1656"/>
      <c r="D563" s="1656"/>
      <c r="E563" s="1656"/>
      <c r="F563" s="1656"/>
      <c r="G563" s="1656"/>
      <c r="H563" s="1656"/>
      <c r="I563" s="1656"/>
      <c r="J563" s="1656"/>
      <c r="K563" s="1656"/>
      <c r="L563" s="1656"/>
      <c r="M563" s="1657" t="s">
        <v>1079</v>
      </c>
      <c r="N563" s="1657"/>
      <c r="O563" s="1657"/>
      <c r="P563" s="1657"/>
      <c r="Q563" s="1633"/>
      <c r="R563" s="1634"/>
      <c r="S563" s="1635"/>
      <c r="T563" s="1633"/>
      <c r="U563" s="1634"/>
      <c r="V563" s="1635"/>
      <c r="W563" s="1650"/>
      <c r="X563" s="1651"/>
      <c r="Y563" s="1652"/>
      <c r="Z563" s="1658" t="s">
        <v>1079</v>
      </c>
      <c r="AA563" s="1658"/>
      <c r="AB563" s="1658"/>
      <c r="AC563" s="1658"/>
      <c r="AD563" s="1658"/>
      <c r="AE563" s="1661"/>
      <c r="AF563" s="1662"/>
      <c r="AG563" s="1662"/>
      <c r="AH563" s="1663"/>
      <c r="AI563" s="1664"/>
      <c r="AJ563" s="1665"/>
      <c r="AK563" s="1665"/>
      <c r="AL563" s="1666"/>
      <c r="AM563" s="1637"/>
      <c r="AN563" s="1638"/>
      <c r="AO563" s="1638"/>
      <c r="AP563" s="1638"/>
      <c r="AQ563" s="1638"/>
      <c r="AR563" s="1638"/>
      <c r="AS563" s="1639"/>
      <c r="AT563" s="960" t="str">
        <f t="shared" si="0"/>
        <v/>
      </c>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row>
    <row r="564" spans="1:110" ht="13" customHeight="1">
      <c r="B564" s="36" t="s">
        <v>1468</v>
      </c>
      <c r="C564" s="1656"/>
      <c r="D564" s="1656"/>
      <c r="E564" s="1656"/>
      <c r="F564" s="1656"/>
      <c r="G564" s="1656"/>
      <c r="H564" s="1656"/>
      <c r="I564" s="1656"/>
      <c r="J564" s="1656"/>
      <c r="K564" s="1656"/>
      <c r="L564" s="1656"/>
      <c r="M564" s="1657" t="s">
        <v>1079</v>
      </c>
      <c r="N564" s="1657"/>
      <c r="O564" s="1657"/>
      <c r="P564" s="1657"/>
      <c r="Q564" s="1633"/>
      <c r="R564" s="1634"/>
      <c r="S564" s="1635"/>
      <c r="T564" s="1633"/>
      <c r="U564" s="1634"/>
      <c r="V564" s="1635"/>
      <c r="W564" s="1650"/>
      <c r="X564" s="1651"/>
      <c r="Y564" s="1652"/>
      <c r="Z564" s="1658" t="s">
        <v>1079</v>
      </c>
      <c r="AA564" s="1658"/>
      <c r="AB564" s="1658"/>
      <c r="AC564" s="1658"/>
      <c r="AD564" s="1658"/>
      <c r="AE564" s="1661"/>
      <c r="AF564" s="1662"/>
      <c r="AG564" s="1662"/>
      <c r="AH564" s="1663"/>
      <c r="AI564" s="1664"/>
      <c r="AJ564" s="1665"/>
      <c r="AK564" s="1665"/>
      <c r="AL564" s="1666"/>
      <c r="AM564" s="1637"/>
      <c r="AN564" s="1638"/>
      <c r="AO564" s="1638"/>
      <c r="AP564" s="1638"/>
      <c r="AQ564" s="1638"/>
      <c r="AR564" s="1638"/>
      <c r="AS564" s="1639"/>
      <c r="AT564" s="960" t="str">
        <f t="shared" si="0"/>
        <v/>
      </c>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row>
    <row r="565" spans="1:110" ht="13" customHeight="1">
      <c r="B565" s="36" t="s">
        <v>1469</v>
      </c>
      <c r="C565" s="1656"/>
      <c r="D565" s="1656"/>
      <c r="E565" s="1656"/>
      <c r="F565" s="1656"/>
      <c r="G565" s="1656"/>
      <c r="H565" s="1656"/>
      <c r="I565" s="1656"/>
      <c r="J565" s="1656"/>
      <c r="K565" s="1656"/>
      <c r="L565" s="1656"/>
      <c r="M565" s="1657" t="s">
        <v>1079</v>
      </c>
      <c r="N565" s="1657"/>
      <c r="O565" s="1657"/>
      <c r="P565" s="1657"/>
      <c r="Q565" s="1633"/>
      <c r="R565" s="1634"/>
      <c r="S565" s="1635"/>
      <c r="T565" s="1633"/>
      <c r="U565" s="1634"/>
      <c r="V565" s="1635"/>
      <c r="W565" s="1650"/>
      <c r="X565" s="1651"/>
      <c r="Y565" s="1652"/>
      <c r="Z565" s="1658" t="s">
        <v>1079</v>
      </c>
      <c r="AA565" s="1658"/>
      <c r="AB565" s="1658"/>
      <c r="AC565" s="1658"/>
      <c r="AD565" s="1658"/>
      <c r="AE565" s="1661"/>
      <c r="AF565" s="1662"/>
      <c r="AG565" s="1662"/>
      <c r="AH565" s="1663"/>
      <c r="AI565" s="1664"/>
      <c r="AJ565" s="1665"/>
      <c r="AK565" s="1665"/>
      <c r="AL565" s="1666"/>
      <c r="AM565" s="1637"/>
      <c r="AN565" s="1638"/>
      <c r="AO565" s="1638"/>
      <c r="AP565" s="1638"/>
      <c r="AQ565" s="1638"/>
      <c r="AR565" s="1638"/>
      <c r="AS565" s="1639"/>
      <c r="AT565" s="960" t="str">
        <f t="shared" si="0"/>
        <v/>
      </c>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row>
    <row r="566" spans="1:110" ht="13" customHeight="1">
      <c r="B566" s="1418" t="s">
        <v>1470</v>
      </c>
      <c r="C566" s="1419"/>
      <c r="D566" s="1419"/>
      <c r="E566" s="1419"/>
      <c r="F566" s="1419"/>
      <c r="G566" s="1419"/>
      <c r="H566" s="1419"/>
      <c r="I566" s="1419"/>
      <c r="J566" s="1419"/>
      <c r="K566" s="1419"/>
      <c r="L566" s="1419"/>
      <c r="M566" s="1419"/>
      <c r="N566" s="1419"/>
      <c r="O566" s="1419"/>
      <c r="P566" s="1419"/>
      <c r="Q566" s="1419"/>
      <c r="R566" s="1419"/>
      <c r="S566" s="1419"/>
      <c r="T566" s="1419"/>
      <c r="U566" s="1422"/>
      <c r="V566" s="1419"/>
      <c r="W566" s="1419"/>
      <c r="X566" s="1419"/>
      <c r="Y566" s="1419"/>
      <c r="Z566" s="1419"/>
      <c r="AA566" s="1419"/>
      <c r="AB566" s="1419"/>
      <c r="AC566" s="1419"/>
      <c r="AD566" s="1419"/>
      <c r="AE566" s="1419"/>
      <c r="AF566" s="1419"/>
      <c r="AG566" s="1419"/>
      <c r="AH566" s="1419"/>
      <c r="AI566" s="1419"/>
      <c r="AJ566" s="1419"/>
      <c r="AK566" s="1419"/>
      <c r="AL566" s="1420"/>
      <c r="AM566" s="1565">
        <f>SUM(AM554:AS565)</f>
        <v>46165849</v>
      </c>
      <c r="AN566" s="1566"/>
      <c r="AO566" s="1566"/>
      <c r="AP566" s="1566"/>
      <c r="AQ566" s="1566"/>
      <c r="AR566" s="1566"/>
      <c r="AS566" s="1567"/>
      <c r="BB566" s="2"/>
      <c r="BC566" s="2"/>
      <c r="BD566" s="2"/>
      <c r="BE566" s="2"/>
      <c r="BF566" s="2"/>
      <c r="BG566" s="2"/>
      <c r="BH566" s="2" t="s">
        <v>1464</v>
      </c>
      <c r="BI566" s="2" t="str">
        <f>N673</f>
        <v>No</v>
      </c>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row>
    <row r="567" spans="1:110" ht="13" customHeight="1">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c r="AE567" s="71"/>
      <c r="AF567" s="71"/>
      <c r="AG567" s="71"/>
      <c r="AH567" s="71"/>
      <c r="AI567" s="71"/>
      <c r="AJ567" s="71"/>
      <c r="AK567" s="71"/>
      <c r="BB567" s="2"/>
      <c r="BC567" s="2"/>
      <c r="BD567" s="2"/>
      <c r="BE567" s="2"/>
      <c r="BF567" s="2"/>
      <c r="BG567" s="2"/>
      <c r="BH567" s="2" t="s">
        <v>1465</v>
      </c>
      <c r="BI567" s="2" t="str">
        <f>AG673</f>
        <v>No</v>
      </c>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row>
    <row r="568" spans="1:110" ht="13" customHeight="1">
      <c r="A568" s="37" t="s">
        <v>17</v>
      </c>
      <c r="B568" t="s">
        <v>1471</v>
      </c>
      <c r="G568" s="1395" t="str">
        <f>C554</f>
        <v>Citibank</v>
      </c>
      <c r="H568" s="1395"/>
      <c r="I568" s="1395"/>
      <c r="J568" s="1395"/>
      <c r="K568" s="1395"/>
      <c r="L568" s="1395"/>
      <c r="M568" s="1395"/>
      <c r="N568" s="1395"/>
      <c r="O568" s="1395"/>
      <c r="P568" s="1395"/>
      <c r="Q568" s="1395"/>
      <c r="R568" s="1395"/>
      <c r="S568" s="7"/>
      <c r="T568" s="37" t="s">
        <v>30</v>
      </c>
      <c r="U568" t="s">
        <v>1471</v>
      </c>
      <c r="Z568" s="1395" t="str">
        <f>C555</f>
        <v>Citibank</v>
      </c>
      <c r="AA568" s="1395"/>
      <c r="AB568" s="1395"/>
      <c r="AC568" s="1395"/>
      <c r="AD568" s="1395"/>
      <c r="AE568" s="1395"/>
      <c r="AF568" s="1395"/>
      <c r="AG568" s="1395"/>
      <c r="AH568" s="1395"/>
      <c r="AI568" s="1395"/>
      <c r="AJ568" s="1395"/>
      <c r="AK568" s="1395"/>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row>
    <row r="569" spans="1:110" ht="13" customHeight="1">
      <c r="A569" s="18"/>
      <c r="B569" t="s">
        <v>1113</v>
      </c>
      <c r="G569" s="1335" t="s">
        <v>1472</v>
      </c>
      <c r="H569" s="1335"/>
      <c r="I569" s="1335"/>
      <c r="J569" s="1335"/>
      <c r="K569" s="1335"/>
      <c r="L569" s="1335"/>
      <c r="M569" s="1335"/>
      <c r="N569" s="1335"/>
      <c r="O569" s="1335"/>
      <c r="P569" s="1335"/>
      <c r="Q569" s="1335"/>
      <c r="R569" s="1335"/>
      <c r="S569" s="7"/>
      <c r="T569" s="18"/>
      <c r="U569" t="s">
        <v>1113</v>
      </c>
      <c r="Z569" s="1335" t="s">
        <v>1472</v>
      </c>
      <c r="AA569" s="1335"/>
      <c r="AB569" s="1335"/>
      <c r="AC569" s="1335"/>
      <c r="AD569" s="1335"/>
      <c r="AE569" s="1335"/>
      <c r="AF569" s="1335"/>
      <c r="AG569" s="1335"/>
      <c r="AH569" s="1335"/>
      <c r="AI569" s="1335"/>
      <c r="AJ569" s="1335"/>
      <c r="AK569" s="1335"/>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row>
    <row r="570" spans="1:110" ht="13" customHeight="1">
      <c r="A570" s="18"/>
      <c r="B570" t="s">
        <v>982</v>
      </c>
      <c r="G570" s="1335" t="s">
        <v>937</v>
      </c>
      <c r="H570" s="1335"/>
      <c r="I570" s="1335"/>
      <c r="J570" s="1335"/>
      <c r="K570" s="1335"/>
      <c r="L570" s="1335"/>
      <c r="M570" s="1335"/>
      <c r="N570" s="1335"/>
      <c r="O570" s="1335"/>
      <c r="P570" s="1335"/>
      <c r="Q570" s="1335"/>
      <c r="R570" s="1335"/>
      <c r="T570" s="18"/>
      <c r="U570" t="s">
        <v>982</v>
      </c>
      <c r="Z570" s="1385" t="s">
        <v>937</v>
      </c>
      <c r="AA570" s="1385"/>
      <c r="AB570" s="1385"/>
      <c r="AC570" s="1385"/>
      <c r="AD570" s="1385"/>
      <c r="AE570" s="1385"/>
      <c r="AF570" s="1385"/>
      <c r="AG570" s="1385"/>
      <c r="AH570" s="1385"/>
      <c r="AI570" s="1385"/>
      <c r="AJ570" s="1385"/>
      <c r="AK570" s="1385"/>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row>
    <row r="571" spans="1:110" ht="13" customHeight="1">
      <c r="A571" s="18"/>
      <c r="B571" t="s">
        <v>1473</v>
      </c>
      <c r="G571" s="1335" t="s">
        <v>1474</v>
      </c>
      <c r="H571" s="1335"/>
      <c r="I571" s="1335"/>
      <c r="J571" s="1335"/>
      <c r="K571" s="1335"/>
      <c r="L571" s="1335"/>
      <c r="M571" s="1335"/>
      <c r="N571" s="1335"/>
      <c r="O571" s="1335"/>
      <c r="P571" s="1335"/>
      <c r="Q571" s="1335"/>
      <c r="R571" s="1335"/>
      <c r="S571" s="7"/>
      <c r="T571" s="18"/>
      <c r="U571" t="s">
        <v>1473</v>
      </c>
      <c r="Z571" s="1385" t="s">
        <v>1474</v>
      </c>
      <c r="AA571" s="1385"/>
      <c r="AB571" s="1385"/>
      <c r="AC571" s="1385"/>
      <c r="AD571" s="1385"/>
      <c r="AE571" s="1385"/>
      <c r="AF571" s="1385"/>
      <c r="AG571" s="1385"/>
      <c r="AH571" s="1385"/>
      <c r="AI571" s="1385"/>
      <c r="AJ571" s="1385"/>
      <c r="AK571" s="1385"/>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row>
    <row r="572" spans="1:110" ht="13" customHeight="1">
      <c r="A572" s="18"/>
      <c r="B572" t="s">
        <v>884</v>
      </c>
      <c r="G572" s="1417" t="s">
        <v>1475</v>
      </c>
      <c r="H572" s="1417"/>
      <c r="I572" s="1417"/>
      <c r="J572" s="1417"/>
      <c r="K572" s="1417"/>
      <c r="L572" s="1417"/>
      <c r="O572" s="840" t="s">
        <v>1121</v>
      </c>
      <c r="P572" s="1394"/>
      <c r="Q572" s="1394"/>
      <c r="R572" s="1394"/>
      <c r="S572" s="9"/>
      <c r="T572" s="18"/>
      <c r="U572" t="s">
        <v>884</v>
      </c>
      <c r="Z572" s="1417" t="s">
        <v>1475</v>
      </c>
      <c r="AA572" s="1417"/>
      <c r="AB572" s="1417"/>
      <c r="AC572" s="1417"/>
      <c r="AD572" s="1417"/>
      <c r="AE572" s="1417"/>
      <c r="AH572" s="840" t="s">
        <v>1121</v>
      </c>
      <c r="AI572" s="1394"/>
      <c r="AJ572" s="1394"/>
      <c r="AK572" s="1394"/>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row>
    <row r="573" spans="1:110" ht="13" customHeight="1">
      <c r="A573" s="18"/>
      <c r="B573" t="s">
        <v>1476</v>
      </c>
      <c r="H573" s="1335" t="s">
        <v>1477</v>
      </c>
      <c r="I573" s="1335"/>
      <c r="J573" s="1335"/>
      <c r="K573" s="1335"/>
      <c r="L573" s="1335"/>
      <c r="M573" s="1335"/>
      <c r="N573" s="1335"/>
      <c r="O573" s="1335"/>
      <c r="P573" s="1335"/>
      <c r="Q573" s="1335"/>
      <c r="R573" s="1335"/>
      <c r="S573" s="7"/>
      <c r="T573" s="18"/>
      <c r="U573" t="s">
        <v>1476</v>
      </c>
      <c r="AA573" s="1335" t="s">
        <v>1478</v>
      </c>
      <c r="AB573" s="1335"/>
      <c r="AC573" s="1335"/>
      <c r="AD573" s="1335"/>
      <c r="AE573" s="1335"/>
      <c r="AF573" s="1335"/>
      <c r="AG573" s="1335"/>
      <c r="AH573" s="1335"/>
      <c r="AI573" s="1335"/>
      <c r="AJ573" s="1335"/>
      <c r="AK573" s="1335"/>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row>
    <row r="574" spans="1:110" ht="13" customHeight="1">
      <c r="A574" s="18"/>
      <c r="B574" s="216" t="s">
        <v>1479</v>
      </c>
      <c r="H574" s="7"/>
      <c r="I574" s="7"/>
      <c r="J574" s="7"/>
      <c r="K574" s="7"/>
      <c r="L574" s="7"/>
      <c r="M574" s="1668"/>
      <c r="N574" s="1668"/>
      <c r="O574" s="1668"/>
      <c r="P574" s="1668"/>
      <c r="Q574" s="1668"/>
      <c r="R574" s="1668"/>
      <c r="S574" s="7"/>
      <c r="T574" s="18"/>
      <c r="U574" s="216" t="s">
        <v>1479</v>
      </c>
      <c r="AA574" s="7"/>
      <c r="AB574" s="7"/>
      <c r="AC574" s="7"/>
      <c r="AD574" s="7"/>
      <c r="AE574" s="7"/>
      <c r="AF574" s="1668"/>
      <c r="AG574" s="1668"/>
      <c r="AH574" s="1668"/>
      <c r="AI574" s="1668"/>
      <c r="AJ574" s="1668"/>
      <c r="AK574" s="1668"/>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row>
    <row r="575" spans="1:110" ht="13" customHeight="1">
      <c r="A575" s="18"/>
      <c r="B575" t="s">
        <v>1480</v>
      </c>
      <c r="N575" s="1381" t="s">
        <v>837</v>
      </c>
      <c r="O575" s="1381"/>
      <c r="T575" s="18"/>
      <c r="U575" t="s">
        <v>1480</v>
      </c>
      <c r="AG575" s="1381" t="s">
        <v>837</v>
      </c>
      <c r="AH575" s="1381"/>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row>
    <row r="576" spans="1:110" ht="13" customHeight="1">
      <c r="A576" s="18"/>
      <c r="T576" s="18"/>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row>
    <row r="577" spans="1:110" ht="13" customHeight="1">
      <c r="A577" s="37" t="s">
        <v>38</v>
      </c>
      <c r="B577" t="s">
        <v>1471</v>
      </c>
      <c r="G577" s="1395" t="str">
        <f>C556</f>
        <v>Federal LIHTC Equity</v>
      </c>
      <c r="H577" s="1395"/>
      <c r="I577" s="1395"/>
      <c r="J577" s="1395"/>
      <c r="K577" s="1395"/>
      <c r="L577" s="1395"/>
      <c r="M577" s="1395"/>
      <c r="N577" s="1395"/>
      <c r="O577" s="1395"/>
      <c r="P577" s="1395"/>
      <c r="Q577" s="1395"/>
      <c r="R577" s="1395"/>
      <c r="T577" s="37" t="s">
        <v>81</v>
      </c>
      <c r="U577" t="s">
        <v>1471</v>
      </c>
      <c r="Z577" s="1395" t="str">
        <f>C557</f>
        <v>State LIHTC Equity</v>
      </c>
      <c r="AA577" s="1395"/>
      <c r="AB577" s="1395"/>
      <c r="AC577" s="1395"/>
      <c r="AD577" s="1395"/>
      <c r="AE577" s="1395"/>
      <c r="AF577" s="1395"/>
      <c r="AG577" s="1395"/>
      <c r="AH577" s="1395"/>
      <c r="AI577" s="1395"/>
      <c r="AJ577" s="1395"/>
      <c r="AK577" s="1395"/>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row>
    <row r="578" spans="1:110" ht="13" customHeight="1">
      <c r="A578" s="18"/>
      <c r="B578" t="s">
        <v>1113</v>
      </c>
      <c r="G578" s="1335" t="s">
        <v>1210</v>
      </c>
      <c r="H578" s="1335"/>
      <c r="I578" s="1335"/>
      <c r="J578" s="1335"/>
      <c r="K578" s="1335"/>
      <c r="L578" s="1335"/>
      <c r="M578" s="1335"/>
      <c r="N578" s="1335"/>
      <c r="O578" s="1335"/>
      <c r="P578" s="1335"/>
      <c r="Q578" s="1335"/>
      <c r="R578" s="1335"/>
      <c r="T578" s="18"/>
      <c r="U578" t="s">
        <v>1113</v>
      </c>
      <c r="Z578" s="1335" t="str">
        <f>G578</f>
        <v>114 Turner Street, Unit #3</v>
      </c>
      <c r="AA578" s="1335"/>
      <c r="AB578" s="1335"/>
      <c r="AC578" s="1335"/>
      <c r="AD578" s="1335"/>
      <c r="AE578" s="1335"/>
      <c r="AF578" s="1335"/>
      <c r="AG578" s="1335"/>
      <c r="AH578" s="1335"/>
      <c r="AI578" s="1335"/>
      <c r="AJ578" s="1335"/>
      <c r="AK578" s="1335"/>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row>
    <row r="579" spans="1:110" ht="13" customHeight="1">
      <c r="A579" s="18"/>
      <c r="B579" t="s">
        <v>982</v>
      </c>
      <c r="G579" s="1385" t="s">
        <v>1481</v>
      </c>
      <c r="H579" s="1385"/>
      <c r="I579" s="1385"/>
      <c r="J579" s="1385"/>
      <c r="K579" s="1385"/>
      <c r="L579" s="1385"/>
      <c r="M579" s="1385"/>
      <c r="N579" s="1385"/>
      <c r="O579" s="1385"/>
      <c r="P579" s="1385"/>
      <c r="Q579" s="1385"/>
      <c r="R579" s="1385"/>
      <c r="T579" s="18"/>
      <c r="U579" t="s">
        <v>982</v>
      </c>
      <c r="Z579" s="1385" t="str">
        <f>G579</f>
        <v>Clearwater, FL 33756</v>
      </c>
      <c r="AA579" s="1385"/>
      <c r="AB579" s="1385"/>
      <c r="AC579" s="1385"/>
      <c r="AD579" s="1385"/>
      <c r="AE579" s="1385"/>
      <c r="AF579" s="1385"/>
      <c r="AG579" s="1385"/>
      <c r="AH579" s="1385"/>
      <c r="AI579" s="1385"/>
      <c r="AJ579" s="1385"/>
      <c r="AK579" s="1385"/>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row>
    <row r="580" spans="1:110" ht="13" customHeight="1">
      <c r="A580" s="18"/>
      <c r="B580" t="s">
        <v>1473</v>
      </c>
      <c r="G580" s="1385" t="s">
        <v>1214</v>
      </c>
      <c r="H580" s="1385"/>
      <c r="I580" s="1385"/>
      <c r="J580" s="1385"/>
      <c r="K580" s="1385"/>
      <c r="L580" s="1385"/>
      <c r="M580" s="1385"/>
      <c r="N580" s="1385"/>
      <c r="O580" s="1385"/>
      <c r="P580" s="1385"/>
      <c r="Q580" s="1385"/>
      <c r="R580" s="1385"/>
      <c r="T580" s="18"/>
      <c r="U580" t="s">
        <v>1473</v>
      </c>
      <c r="Z580" s="1385" t="str">
        <f>G580</f>
        <v>Dana Mayo</v>
      </c>
      <c r="AA580" s="1385"/>
      <c r="AB580" s="1385"/>
      <c r="AC580" s="1385"/>
      <c r="AD580" s="1385"/>
      <c r="AE580" s="1385"/>
      <c r="AF580" s="1385"/>
      <c r="AG580" s="1385"/>
      <c r="AH580" s="1385"/>
      <c r="AI580" s="1385"/>
      <c r="AJ580" s="1385"/>
      <c r="AK580" s="1385"/>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row>
    <row r="581" spans="1:110" ht="13" customHeight="1">
      <c r="A581" s="18"/>
      <c r="B581" t="s">
        <v>884</v>
      </c>
      <c r="G581" s="1417">
        <v>3107175578</v>
      </c>
      <c r="H581" s="1417"/>
      <c r="I581" s="1417"/>
      <c r="J581" s="1417"/>
      <c r="K581" s="1417"/>
      <c r="L581" s="1417"/>
      <c r="O581" s="840" t="s">
        <v>1121</v>
      </c>
      <c r="P581" s="1394"/>
      <c r="Q581" s="1394"/>
      <c r="R581" s="1394"/>
      <c r="T581" s="18"/>
      <c r="U581" t="s">
        <v>884</v>
      </c>
      <c r="Z581" s="1417">
        <f>G581</f>
        <v>3107175578</v>
      </c>
      <c r="AA581" s="1417"/>
      <c r="AB581" s="1417"/>
      <c r="AC581" s="1417"/>
      <c r="AD581" s="1417"/>
      <c r="AE581" s="1417"/>
      <c r="AH581" s="840" t="s">
        <v>1121</v>
      </c>
      <c r="AI581" s="1394"/>
      <c r="AJ581" s="1394"/>
      <c r="AK581" s="1394"/>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row>
    <row r="582" spans="1:110" ht="13" customHeight="1">
      <c r="A582" s="18"/>
      <c r="B582" t="s">
        <v>1476</v>
      </c>
      <c r="H582" s="1335" t="s">
        <v>1418</v>
      </c>
      <c r="I582" s="1335"/>
      <c r="J582" s="1335"/>
      <c r="K582" s="1335"/>
      <c r="L582" s="1335"/>
      <c r="M582" s="1335"/>
      <c r="N582" s="1335"/>
      <c r="O582" s="1335"/>
      <c r="P582" s="1335"/>
      <c r="Q582" s="1335"/>
      <c r="R582" s="1335"/>
      <c r="T582" s="18"/>
      <c r="U582" t="s">
        <v>1476</v>
      </c>
      <c r="AA582" s="1335" t="str">
        <f>H582</f>
        <v>Equity, LIHTC Investor</v>
      </c>
      <c r="AB582" s="1335"/>
      <c r="AC582" s="1335"/>
      <c r="AD582" s="1335"/>
      <c r="AE582" s="1335"/>
      <c r="AF582" s="1335"/>
      <c r="AG582" s="1335"/>
      <c r="AH582" s="1335"/>
      <c r="AI582" s="1335"/>
      <c r="AJ582" s="1335"/>
      <c r="AK582" s="1335"/>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row>
    <row r="583" spans="1:110" ht="13" customHeight="1">
      <c r="A583" s="18"/>
      <c r="B583" t="s">
        <v>1480</v>
      </c>
      <c r="N583" s="1381" t="s">
        <v>837</v>
      </c>
      <c r="O583" s="1381"/>
      <c r="T583" s="18"/>
      <c r="U583" t="s">
        <v>1480</v>
      </c>
      <c r="AG583" s="1381" t="s">
        <v>837</v>
      </c>
      <c r="AH583" s="1381"/>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row>
    <row r="584" spans="1:110" ht="13" customHeight="1">
      <c r="A584" s="18"/>
      <c r="T584" s="18"/>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row>
    <row r="585" spans="1:110" ht="13" customHeight="1">
      <c r="A585" s="37" t="s">
        <v>85</v>
      </c>
      <c r="B585" t="s">
        <v>1471</v>
      </c>
      <c r="G585" s="1395" t="str">
        <f>C558</f>
        <v>Deferred Cost</v>
      </c>
      <c r="H585" s="1395"/>
      <c r="I585" s="1395"/>
      <c r="J585" s="1395"/>
      <c r="K585" s="1395"/>
      <c r="L585" s="1395"/>
      <c r="M585" s="1395"/>
      <c r="N585" s="1395"/>
      <c r="O585" s="1395"/>
      <c r="P585" s="1395"/>
      <c r="Q585" s="1395"/>
      <c r="R585" s="1395"/>
      <c r="T585" s="37" t="s">
        <v>1463</v>
      </c>
      <c r="U585" t="s">
        <v>1471</v>
      </c>
      <c r="Z585" s="1395">
        <f>C559</f>
        <v>0</v>
      </c>
      <c r="AA585" s="1395"/>
      <c r="AB585" s="1395"/>
      <c r="AC585" s="1395"/>
      <c r="AD585" s="1395"/>
      <c r="AE585" s="1395"/>
      <c r="AF585" s="1395"/>
      <c r="AG585" s="1395"/>
      <c r="AH585" s="1395"/>
      <c r="AI585" s="1395"/>
      <c r="AJ585" s="1395"/>
      <c r="AK585" s="1395"/>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row>
    <row r="586" spans="1:110" ht="13" customHeight="1">
      <c r="A586" s="18"/>
      <c r="B586" t="s">
        <v>1113</v>
      </c>
      <c r="G586" s="1335" t="s">
        <v>1482</v>
      </c>
      <c r="H586" s="1335"/>
      <c r="I586" s="1335"/>
      <c r="J586" s="1335"/>
      <c r="K586" s="1335"/>
      <c r="L586" s="1335"/>
      <c r="M586" s="1335"/>
      <c r="N586" s="1335"/>
      <c r="O586" s="1335"/>
      <c r="P586" s="1335"/>
      <c r="Q586" s="1335"/>
      <c r="R586" s="1335"/>
      <c r="T586" s="18"/>
      <c r="U586" t="s">
        <v>1113</v>
      </c>
      <c r="Z586" s="1335"/>
      <c r="AA586" s="1335"/>
      <c r="AB586" s="1335"/>
      <c r="AC586" s="1335"/>
      <c r="AD586" s="1335"/>
      <c r="AE586" s="1335"/>
      <c r="AF586" s="1335"/>
      <c r="AG586" s="1335"/>
      <c r="AH586" s="1335"/>
      <c r="AI586" s="1335"/>
      <c r="AJ586" s="1335"/>
      <c r="AK586" s="1335"/>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row>
    <row r="587" spans="1:110" ht="13" customHeight="1">
      <c r="A587" s="18"/>
      <c r="B587" t="s">
        <v>982</v>
      </c>
      <c r="G587" s="1335" t="s">
        <v>1483</v>
      </c>
      <c r="H587" s="1335"/>
      <c r="I587" s="1335"/>
      <c r="J587" s="1335"/>
      <c r="K587" s="1335"/>
      <c r="L587" s="1335"/>
      <c r="M587" s="1335"/>
      <c r="N587" s="1335"/>
      <c r="O587" s="1335"/>
      <c r="P587" s="1335"/>
      <c r="Q587" s="1335"/>
      <c r="R587" s="1335"/>
      <c r="T587" s="18"/>
      <c r="U587" t="s">
        <v>982</v>
      </c>
      <c r="Z587" s="1385"/>
      <c r="AA587" s="1385"/>
      <c r="AB587" s="1385"/>
      <c r="AC587" s="1385"/>
      <c r="AD587" s="1385"/>
      <c r="AE587" s="1385"/>
      <c r="AF587" s="1385"/>
      <c r="AG587" s="1385"/>
      <c r="AH587" s="1385"/>
      <c r="AI587" s="1385"/>
      <c r="AJ587" s="1385"/>
      <c r="AK587" s="1385"/>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row>
    <row r="588" spans="1:110" ht="13" customHeight="1">
      <c r="A588" s="18"/>
      <c r="B588" t="s">
        <v>1473</v>
      </c>
      <c r="G588" s="1335" t="s">
        <v>865</v>
      </c>
      <c r="H588" s="1335"/>
      <c r="I588" s="1335"/>
      <c r="J588" s="1335"/>
      <c r="K588" s="1335"/>
      <c r="L588" s="1335"/>
      <c r="M588" s="1335"/>
      <c r="N588" s="1335"/>
      <c r="O588" s="1335"/>
      <c r="P588" s="1335"/>
      <c r="Q588" s="1335"/>
      <c r="R588" s="1335"/>
      <c r="T588" s="18"/>
      <c r="U588" t="s">
        <v>1473</v>
      </c>
      <c r="Z588" s="1385"/>
      <c r="AA588" s="1385"/>
      <c r="AB588" s="1385"/>
      <c r="AC588" s="1385"/>
      <c r="AD588" s="1385"/>
      <c r="AE588" s="1385"/>
      <c r="AF588" s="1385"/>
      <c r="AG588" s="1385"/>
      <c r="AH588" s="1385"/>
      <c r="AI588" s="1385"/>
      <c r="AJ588" s="1385"/>
      <c r="AK588" s="1385"/>
    </row>
    <row r="589" spans="1:110" ht="13" customHeight="1">
      <c r="A589" s="18"/>
      <c r="B589" t="s">
        <v>884</v>
      </c>
      <c r="G589" s="1417" t="s">
        <v>1120</v>
      </c>
      <c r="H589" s="1417"/>
      <c r="I589" s="1417"/>
      <c r="J589" s="1417"/>
      <c r="K589" s="1417"/>
      <c r="L589" s="1417"/>
      <c r="O589" s="840" t="s">
        <v>1121</v>
      </c>
      <c r="P589" s="1394"/>
      <c r="Q589" s="1394"/>
      <c r="R589" s="1394"/>
      <c r="T589" s="18"/>
      <c r="U589" t="s">
        <v>884</v>
      </c>
      <c r="Z589" s="1417"/>
      <c r="AA589" s="1417"/>
      <c r="AB589" s="1417"/>
      <c r="AC589" s="1417"/>
      <c r="AD589" s="1417"/>
      <c r="AE589" s="1417"/>
      <c r="AH589" s="840" t="s">
        <v>1121</v>
      </c>
      <c r="AI589" s="1394"/>
      <c r="AJ589" s="1394"/>
      <c r="AK589" s="1394"/>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row>
    <row r="590" spans="1:110" ht="13" customHeight="1">
      <c r="A590" s="18"/>
      <c r="B590" t="s">
        <v>1476</v>
      </c>
      <c r="H590" s="1335" t="s">
        <v>1484</v>
      </c>
      <c r="I590" s="1335"/>
      <c r="J590" s="1335"/>
      <c r="K590" s="1335"/>
      <c r="L590" s="1335"/>
      <c r="M590" s="1335"/>
      <c r="N590" s="1335"/>
      <c r="O590" s="1335"/>
      <c r="P590" s="1335"/>
      <c r="Q590" s="1335"/>
      <c r="R590" s="1335"/>
      <c r="T590" s="18"/>
      <c r="U590" t="s">
        <v>1476</v>
      </c>
      <c r="AA590" s="1335"/>
      <c r="AB590" s="1335"/>
      <c r="AC590" s="1335"/>
      <c r="AD590" s="1335"/>
      <c r="AE590" s="1335"/>
      <c r="AF590" s="1335"/>
      <c r="AG590" s="1335"/>
      <c r="AH590" s="1335"/>
      <c r="AI590" s="1335"/>
      <c r="AJ590" s="1335"/>
      <c r="AK590" s="1335"/>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row>
    <row r="591" spans="1:110" ht="13" customHeight="1">
      <c r="A591" s="18"/>
      <c r="B591" t="s">
        <v>1480</v>
      </c>
      <c r="N591" s="1381" t="s">
        <v>837</v>
      </c>
      <c r="O591" s="1381"/>
      <c r="T591" s="18"/>
      <c r="U591" t="s">
        <v>1480</v>
      </c>
      <c r="AG591" s="1381" t="s">
        <v>895</v>
      </c>
      <c r="AH591" s="1381"/>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row>
    <row r="592" spans="1:110" ht="13" customHeight="1">
      <c r="A592" s="18"/>
      <c r="T592" s="18"/>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row>
    <row r="593" spans="1:157" ht="13" customHeight="1">
      <c r="A593" s="37" t="s">
        <v>1464</v>
      </c>
      <c r="B593" t="s">
        <v>1471</v>
      </c>
      <c r="G593" s="1395">
        <f>C560</f>
        <v>0</v>
      </c>
      <c r="H593" s="1395"/>
      <c r="I593" s="1395"/>
      <c r="J593" s="1395"/>
      <c r="K593" s="1395"/>
      <c r="L593" s="1395"/>
      <c r="M593" s="1395"/>
      <c r="N593" s="1395"/>
      <c r="O593" s="1395"/>
      <c r="P593" s="1395"/>
      <c r="Q593" s="1395"/>
      <c r="R593" s="1395"/>
      <c r="T593" s="37" t="s">
        <v>1465</v>
      </c>
      <c r="U593" t="s">
        <v>1471</v>
      </c>
      <c r="Z593" s="1395">
        <f>C561</f>
        <v>0</v>
      </c>
      <c r="AA593" s="1395"/>
      <c r="AB593" s="1395"/>
      <c r="AC593" s="1395"/>
      <c r="AD593" s="1395"/>
      <c r="AE593" s="1395"/>
      <c r="AF593" s="1395"/>
      <c r="AG593" s="1395"/>
      <c r="AH593" s="1395"/>
      <c r="AI593" s="1395"/>
      <c r="AJ593" s="1395"/>
      <c r="AK593" s="1395"/>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row>
    <row r="594" spans="1:157" s="3" customFormat="1" ht="13" customHeight="1">
      <c r="A594" s="18"/>
      <c r="B594" t="s">
        <v>1113</v>
      </c>
      <c r="C594"/>
      <c r="D594"/>
      <c r="E594"/>
      <c r="F594"/>
      <c r="G594" s="1335"/>
      <c r="H594" s="1335"/>
      <c r="I594" s="1335"/>
      <c r="J594" s="1335"/>
      <c r="K594" s="1335"/>
      <c r="L594" s="1335"/>
      <c r="M594" s="1335"/>
      <c r="N594" s="1335"/>
      <c r="O594" s="1335"/>
      <c r="P594" s="1335"/>
      <c r="Q594" s="1335"/>
      <c r="R594" s="1335"/>
      <c r="S594"/>
      <c r="T594" s="18"/>
      <c r="U594" t="s">
        <v>1113</v>
      </c>
      <c r="V594"/>
      <c r="W594"/>
      <c r="X594"/>
      <c r="Y594"/>
      <c r="Z594" s="1335"/>
      <c r="AA594" s="1335"/>
      <c r="AB594" s="1335"/>
      <c r="AC594" s="1335"/>
      <c r="AD594" s="1335"/>
      <c r="AE594" s="1335"/>
      <c r="AF594" s="1335"/>
      <c r="AG594" s="1335"/>
      <c r="AH594" s="1335"/>
      <c r="AI594" s="1335"/>
      <c r="AJ594" s="1335"/>
      <c r="AK594" s="1335"/>
      <c r="AL594"/>
      <c r="AM594"/>
      <c r="AN594"/>
      <c r="AO594"/>
      <c r="AP594"/>
      <c r="AQ594"/>
      <c r="AR594"/>
      <c r="AS594"/>
      <c r="AT594"/>
      <c r="AU594"/>
      <c r="AV594"/>
      <c r="AW594"/>
      <c r="AX594"/>
      <c r="AY594"/>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row>
    <row r="595" spans="1:157" s="3" customFormat="1" ht="13" customHeight="1">
      <c r="A595" s="18"/>
      <c r="B595" t="s">
        <v>982</v>
      </c>
      <c r="C595"/>
      <c r="D595"/>
      <c r="E595"/>
      <c r="F595"/>
      <c r="G595" s="1335"/>
      <c r="H595" s="1335"/>
      <c r="I595" s="1335"/>
      <c r="J595" s="1335"/>
      <c r="K595" s="1335"/>
      <c r="L595" s="1335"/>
      <c r="M595" s="1335"/>
      <c r="N595" s="1335"/>
      <c r="O595" s="1335"/>
      <c r="P595" s="1335"/>
      <c r="Q595" s="1335"/>
      <c r="R595" s="1335"/>
      <c r="S595"/>
      <c r="T595" s="18"/>
      <c r="U595" t="s">
        <v>982</v>
      </c>
      <c r="V595"/>
      <c r="W595"/>
      <c r="X595"/>
      <c r="Y595"/>
      <c r="Z595" s="1385"/>
      <c r="AA595" s="1385"/>
      <c r="AB595" s="1385"/>
      <c r="AC595" s="1385"/>
      <c r="AD595" s="1385"/>
      <c r="AE595" s="1385"/>
      <c r="AF595" s="1385"/>
      <c r="AG595" s="1385"/>
      <c r="AH595" s="1385"/>
      <c r="AI595" s="1385"/>
      <c r="AJ595" s="1385"/>
      <c r="AK595" s="1385"/>
      <c r="AL595"/>
      <c r="AM595"/>
      <c r="AN595"/>
      <c r="AO595"/>
      <c r="AP595"/>
      <c r="AQ595"/>
      <c r="AR595"/>
      <c r="AS595"/>
      <c r="AT595"/>
      <c r="AU595"/>
      <c r="AV595"/>
      <c r="AW595"/>
      <c r="AX595"/>
      <c r="AY595"/>
      <c r="AZ595" s="2"/>
      <c r="BA595" s="2"/>
      <c r="BB595" s="2"/>
      <c r="BC595" s="2"/>
      <c r="BD595" s="2"/>
      <c r="BE595" s="2"/>
      <c r="BF595" s="2"/>
      <c r="BG595" s="2"/>
      <c r="BH595" s="2"/>
      <c r="BI595" s="2"/>
      <c r="BJ595" s="2"/>
      <c r="BK595" s="2"/>
      <c r="BL595" s="2"/>
      <c r="BM595" s="2"/>
      <c r="BN595" s="2" t="s">
        <v>1485</v>
      </c>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t="s">
        <v>1486</v>
      </c>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t="s">
        <v>1487</v>
      </c>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row>
    <row r="596" spans="1:157" s="3" customFormat="1" ht="13" customHeight="1">
      <c r="A596" s="18"/>
      <c r="B596" t="s">
        <v>1473</v>
      </c>
      <c r="C596"/>
      <c r="D596"/>
      <c r="E596"/>
      <c r="F596"/>
      <c r="G596" s="1335"/>
      <c r="H596" s="1335"/>
      <c r="I596" s="1335"/>
      <c r="J596" s="1335"/>
      <c r="K596" s="1335"/>
      <c r="L596" s="1335"/>
      <c r="M596" s="1335"/>
      <c r="N596" s="1335"/>
      <c r="O596" s="1335"/>
      <c r="P596" s="1335"/>
      <c r="Q596" s="1335"/>
      <c r="R596" s="1335"/>
      <c r="S596"/>
      <c r="T596" s="18"/>
      <c r="U596" t="s">
        <v>1473</v>
      </c>
      <c r="V596"/>
      <c r="W596"/>
      <c r="X596"/>
      <c r="Y596"/>
      <c r="Z596" s="1385"/>
      <c r="AA596" s="1385"/>
      <c r="AB596" s="1385"/>
      <c r="AC596" s="1385"/>
      <c r="AD596" s="1385"/>
      <c r="AE596" s="1385"/>
      <c r="AF596" s="1385"/>
      <c r="AG596" s="1385"/>
      <c r="AH596" s="1385"/>
      <c r="AI596" s="1385"/>
      <c r="AJ596" s="1385"/>
      <c r="AK596" s="1385"/>
      <c r="AL596"/>
      <c r="AM596"/>
      <c r="AN596"/>
      <c r="AO596"/>
      <c r="AP596"/>
      <c r="AQ596"/>
      <c r="AR596"/>
      <c r="AS596"/>
      <c r="AT596"/>
      <c r="AU596"/>
      <c r="AV596"/>
      <c r="AW596"/>
      <c r="AX596"/>
      <c r="AY596"/>
      <c r="AZ596" s="2"/>
      <c r="BA596" s="2" t="s">
        <v>1377</v>
      </c>
      <c r="BB596" s="2"/>
      <c r="BC596" s="2"/>
      <c r="BD596" s="2"/>
      <c r="BE596" s="1035" t="s">
        <v>1488</v>
      </c>
      <c r="BF596" s="1037"/>
      <c r="BG596" s="1410"/>
      <c r="BH596" s="1412"/>
      <c r="BI596" s="1035" t="s">
        <v>1489</v>
      </c>
      <c r="BJ596" s="1037"/>
      <c r="BK596" s="1410"/>
      <c r="BL596" s="1412"/>
      <c r="BM596" s="2"/>
      <c r="BN596" s="1358" t="s">
        <v>1490</v>
      </c>
      <c r="BO596" s="1359"/>
      <c r="BP596" s="1359"/>
      <c r="BQ596" s="1359"/>
      <c r="BR596" s="1360"/>
      <c r="BS596" s="1441" t="s">
        <v>1378</v>
      </c>
      <c r="BT596" s="1441"/>
      <c r="BU596" s="1441"/>
      <c r="BV596" s="1441"/>
      <c r="BW596" s="1441"/>
      <c r="BX596" s="1441" t="s">
        <v>1379</v>
      </c>
      <c r="BY596" s="1441"/>
      <c r="BZ596" s="1441"/>
      <c r="CA596" s="1441"/>
      <c r="CB596" s="1441"/>
      <c r="CC596" s="1441" t="s">
        <v>1380</v>
      </c>
      <c r="CD596" s="1441"/>
      <c r="CE596" s="1441"/>
      <c r="CF596" s="1441"/>
      <c r="CG596" s="1441"/>
      <c r="CH596" s="1441" t="s">
        <v>1491</v>
      </c>
      <c r="CI596" s="1441"/>
      <c r="CJ596" s="1441"/>
      <c r="CK596" s="1441"/>
      <c r="CL596" s="1441"/>
      <c r="CM596" s="1441" t="s">
        <v>1382</v>
      </c>
      <c r="CN596" s="1441"/>
      <c r="CO596" s="1441"/>
      <c r="CP596" s="1441"/>
      <c r="CQ596" s="1441"/>
      <c r="CR596" s="1166"/>
      <c r="CS596" s="1441" t="s">
        <v>1490</v>
      </c>
      <c r="CT596" s="1441"/>
      <c r="CU596" s="1441"/>
      <c r="CV596" s="1441"/>
      <c r="CW596" s="1441"/>
      <c r="CX596" s="1441" t="s">
        <v>1378</v>
      </c>
      <c r="CY596" s="1441"/>
      <c r="CZ596" s="1441"/>
      <c r="DA596" s="1441"/>
      <c r="DB596" s="1441"/>
      <c r="DC596" s="1441" t="s">
        <v>1379</v>
      </c>
      <c r="DD596" s="1441"/>
      <c r="DE596" s="1441"/>
      <c r="DF596" s="1441"/>
      <c r="DG596" s="1441"/>
      <c r="DH596" s="1441" t="s">
        <v>1380</v>
      </c>
      <c r="DI596" s="1441"/>
      <c r="DJ596" s="1441"/>
      <c r="DK596" s="1441"/>
      <c r="DL596" s="1441"/>
      <c r="DM596" s="1441" t="s">
        <v>1491</v>
      </c>
      <c r="DN596" s="1441"/>
      <c r="DO596" s="1441"/>
      <c r="DP596" s="1441"/>
      <c r="DQ596" s="1441"/>
      <c r="DR596" s="1441" t="s">
        <v>1382</v>
      </c>
      <c r="DS596" s="1441"/>
      <c r="DT596" s="1441"/>
      <c r="DU596" s="1441"/>
      <c r="DV596" s="1441"/>
      <c r="DW596" s="2"/>
      <c r="DX596" s="1441" t="s">
        <v>1490</v>
      </c>
      <c r="DY596" s="1441"/>
      <c r="DZ596" s="1441"/>
      <c r="EA596" s="1441"/>
      <c r="EB596" s="1441"/>
      <c r="EC596" s="1441" t="s">
        <v>1378</v>
      </c>
      <c r="ED596" s="1441"/>
      <c r="EE596" s="1441"/>
      <c r="EF596" s="1441"/>
      <c r="EG596" s="1441"/>
      <c r="EH596" s="1441" t="s">
        <v>1379</v>
      </c>
      <c r="EI596" s="1441"/>
      <c r="EJ596" s="1441"/>
      <c r="EK596" s="1441"/>
      <c r="EL596" s="1441"/>
      <c r="EM596" s="1441" t="s">
        <v>1380</v>
      </c>
      <c r="EN596" s="1441"/>
      <c r="EO596" s="1441"/>
      <c r="EP596" s="1441"/>
      <c r="EQ596" s="1441"/>
      <c r="ER596" s="1441" t="s">
        <v>1491</v>
      </c>
      <c r="ES596" s="1441"/>
      <c r="ET596" s="1441"/>
      <c r="EU596" s="1441"/>
      <c r="EV596" s="1441"/>
      <c r="EW596" s="1441" t="s">
        <v>1382</v>
      </c>
      <c r="EX596" s="1441"/>
      <c r="EY596" s="1441"/>
      <c r="EZ596" s="1441"/>
      <c r="FA596" s="1441"/>
    </row>
    <row r="597" spans="1:157" s="3" customFormat="1" ht="13" customHeight="1">
      <c r="A597" s="18"/>
      <c r="B597" t="s">
        <v>884</v>
      </c>
      <c r="C597"/>
      <c r="D597"/>
      <c r="E597"/>
      <c r="F597"/>
      <c r="G597" s="1417"/>
      <c r="H597" s="1417"/>
      <c r="I597" s="1417"/>
      <c r="J597" s="1417"/>
      <c r="K597" s="1417"/>
      <c r="L597" s="1417"/>
      <c r="M597"/>
      <c r="N597"/>
      <c r="O597" s="840" t="s">
        <v>1121</v>
      </c>
      <c r="P597" s="1394"/>
      <c r="Q597" s="1394"/>
      <c r="R597" s="1394"/>
      <c r="S597"/>
      <c r="T597" s="18"/>
      <c r="U597" t="s">
        <v>884</v>
      </c>
      <c r="V597"/>
      <c r="W597"/>
      <c r="X597"/>
      <c r="Y597"/>
      <c r="Z597" s="1417"/>
      <c r="AA597" s="1417"/>
      <c r="AB597" s="1417"/>
      <c r="AC597" s="1417"/>
      <c r="AD597" s="1417"/>
      <c r="AE597" s="1417"/>
      <c r="AF597"/>
      <c r="AG597"/>
      <c r="AH597" s="840" t="s">
        <v>1121</v>
      </c>
      <c r="AI597" s="1394"/>
      <c r="AJ597" s="1394"/>
      <c r="AK597" s="1394"/>
      <c r="AL597"/>
      <c r="AM597"/>
      <c r="AN597"/>
      <c r="AO597"/>
      <c r="AP597"/>
      <c r="AQ597"/>
      <c r="AR597"/>
      <c r="AS597"/>
      <c r="AT597"/>
      <c r="AU597"/>
      <c r="AV597"/>
      <c r="AW597"/>
      <c r="AX597"/>
      <c r="AY597"/>
      <c r="AZ597" s="2"/>
      <c r="BA597" s="2" t="s">
        <v>1378</v>
      </c>
      <c r="BB597" s="2"/>
      <c r="BC597" s="2"/>
      <c r="BD597" s="2"/>
      <c r="BE597" s="1410">
        <f t="shared" ref="BE597:BE631" si="1">IF(AND(AC718&lt;=0.5,AC718&gt;=0.36),1,0)</f>
        <v>0</v>
      </c>
      <c r="BF597" s="1412"/>
      <c r="BG597" s="1410">
        <f t="shared" ref="BG597:BG631" si="2">IF(BE597=1,G718,0)</f>
        <v>0</v>
      </c>
      <c r="BH597" s="1412"/>
      <c r="BI597" s="1410">
        <f t="shared" ref="BI597:BI631" si="3">IF(AND(AC718&lt;=0.35,AC718&gt;0),1,0)</f>
        <v>0</v>
      </c>
      <c r="BJ597" s="1412"/>
      <c r="BK597" s="1410">
        <f t="shared" ref="BK597:BK631" si="4">IF(BI597=1,G718,0)</f>
        <v>0</v>
      </c>
      <c r="BL597" s="1412"/>
      <c r="BM597" s="2"/>
      <c r="BN597" s="1414">
        <f t="shared" ref="BN597:BN631" si="5">IF(B718="SRO/Studio",G718,0)</f>
        <v>0</v>
      </c>
      <c r="BO597" s="1415"/>
      <c r="BP597" s="1415"/>
      <c r="BQ597" s="1415"/>
      <c r="BR597" s="1416"/>
      <c r="BS597" s="1413">
        <f t="shared" ref="BS597:BS631" si="6">IF(B718="1 Bedroom",G718,0)</f>
        <v>6</v>
      </c>
      <c r="BT597" s="1413"/>
      <c r="BU597" s="1413"/>
      <c r="BV597" s="1413"/>
      <c r="BW597" s="1413"/>
      <c r="BX597" s="1413">
        <f t="shared" ref="BX597:BX631" si="7">IF(B718="2 Bedrooms",G718,0)</f>
        <v>0</v>
      </c>
      <c r="BY597" s="1413"/>
      <c r="BZ597" s="1413"/>
      <c r="CA597" s="1413"/>
      <c r="CB597" s="1413"/>
      <c r="CC597" s="1413">
        <f t="shared" ref="CC597:CC631" si="8">IF(B718="3 Bedrooms",G718,0)</f>
        <v>0</v>
      </c>
      <c r="CD597" s="1413"/>
      <c r="CE597" s="1413"/>
      <c r="CF597" s="1413"/>
      <c r="CG597" s="1413"/>
      <c r="CH597" s="1413">
        <f t="shared" ref="CH597:CH631" si="9">IF(B718="4 Bedrooms",G718,0)</f>
        <v>0</v>
      </c>
      <c r="CI597" s="1413"/>
      <c r="CJ597" s="1413"/>
      <c r="CK597" s="1413"/>
      <c r="CL597" s="1413"/>
      <c r="CM597" s="1413">
        <f t="shared" ref="CM597:CM631" si="10">IF(B718="5 Bedrooms",G718,0)</f>
        <v>0</v>
      </c>
      <c r="CN597" s="1413"/>
      <c r="CO597" s="1413"/>
      <c r="CP597" s="1413"/>
      <c r="CQ597" s="1413"/>
      <c r="CR597" s="1148"/>
      <c r="CS597" s="1434">
        <f t="shared" ref="CS597:CS631" si="11">IF(AND(B718="SRO/Studio",AC718&lt;=0.3),G718,0)</f>
        <v>0</v>
      </c>
      <c r="CT597" s="1434"/>
      <c r="CU597" s="1434"/>
      <c r="CV597" s="1434"/>
      <c r="CW597" s="1434"/>
      <c r="CX597" s="1434">
        <f t="shared" ref="CX597:CX631" si="12">IF(AND(B718="1 Bedroom",AC718&lt;=0.3),G718,0)</f>
        <v>0</v>
      </c>
      <c r="CY597" s="1434"/>
      <c r="CZ597" s="1434"/>
      <c r="DA597" s="1434"/>
      <c r="DB597" s="1434"/>
      <c r="DC597" s="1434">
        <f t="shared" ref="DC597:DC631" si="13">IF(AND(B718="2 Bedrooms",AC718&lt;=0.3),G718,0)</f>
        <v>0</v>
      </c>
      <c r="DD597" s="1434"/>
      <c r="DE597" s="1434"/>
      <c r="DF597" s="1434"/>
      <c r="DG597" s="1434"/>
      <c r="DH597" s="1434">
        <f t="shared" ref="DH597:DH631" si="14">IF(AND(B718="3 Bedrooms",AC718&lt;=0.3),G718,0)</f>
        <v>0</v>
      </c>
      <c r="DI597" s="1434"/>
      <c r="DJ597" s="1434"/>
      <c r="DK597" s="1434"/>
      <c r="DL597" s="1434"/>
      <c r="DM597" s="1434">
        <f t="shared" ref="DM597:DM631" si="15">IF(AND(B718="4 Bedrooms",AC718&lt;=0.3),G718,0)</f>
        <v>0</v>
      </c>
      <c r="DN597" s="1434"/>
      <c r="DO597" s="1434"/>
      <c r="DP597" s="1434"/>
      <c r="DQ597" s="1434"/>
      <c r="DR597" s="1434">
        <f t="shared" ref="DR597:DR631" si="16">IF(AND(B718="5 Bedrooms",AC718&lt;=0.3),G718,0)</f>
        <v>0</v>
      </c>
      <c r="DS597" s="1434"/>
      <c r="DT597" s="1434"/>
      <c r="DU597" s="1434"/>
      <c r="DV597" s="1434"/>
      <c r="DW597" s="2"/>
      <c r="DX597" s="1410" t="str">
        <f t="shared" ref="DX597:DX631" si="17">IF(BN597&gt;0,O718,"")</f>
        <v/>
      </c>
      <c r="DY597" s="1411"/>
      <c r="DZ597" s="1411"/>
      <c r="EA597" s="1411"/>
      <c r="EB597" s="1412"/>
      <c r="EC597" s="1410">
        <f t="shared" ref="EC597:EC631" si="18">IF(BS597&gt;0,O718,"")</f>
        <v>1277</v>
      </c>
      <c r="ED597" s="1411"/>
      <c r="EE597" s="1411"/>
      <c r="EF597" s="1411"/>
      <c r="EG597" s="1412"/>
      <c r="EH597" s="1410" t="str">
        <f t="shared" ref="EH597:EH631" si="19">IF(BX597&gt;0,O718,"")</f>
        <v/>
      </c>
      <c r="EI597" s="1411"/>
      <c r="EJ597" s="1411"/>
      <c r="EK597" s="1411"/>
      <c r="EL597" s="1412"/>
      <c r="EM597" s="1410" t="str">
        <f t="shared" ref="EM597:EM631" si="20">IF(CC597&gt;0,O718,"")</f>
        <v/>
      </c>
      <c r="EN597" s="1411"/>
      <c r="EO597" s="1411"/>
      <c r="EP597" s="1411"/>
      <c r="EQ597" s="1412"/>
      <c r="ER597" s="1410" t="str">
        <f t="shared" ref="ER597:ER631" si="21">IF(CH597&gt;0,O718,"")</f>
        <v/>
      </c>
      <c r="ES597" s="1411"/>
      <c r="ET597" s="1411"/>
      <c r="EU597" s="1411"/>
      <c r="EV597" s="1412"/>
      <c r="EW597" s="1410" t="str">
        <f t="shared" ref="EW597:EW631" si="22">IF(CM597&gt;0,O718,"")</f>
        <v/>
      </c>
      <c r="EX597" s="1411"/>
      <c r="EY597" s="1411"/>
      <c r="EZ597" s="1411"/>
      <c r="FA597" s="1412"/>
    </row>
    <row r="598" spans="1:157" s="3" customFormat="1" ht="13" customHeight="1">
      <c r="A598" s="18"/>
      <c r="B598" t="s">
        <v>1476</v>
      </c>
      <c r="C598"/>
      <c r="D598"/>
      <c r="E598"/>
      <c r="F598"/>
      <c r="G598"/>
      <c r="H598" s="1335"/>
      <c r="I598" s="1335"/>
      <c r="J598" s="1335"/>
      <c r="K598" s="1335"/>
      <c r="L598" s="1335"/>
      <c r="M598" s="1335"/>
      <c r="N598" s="1335"/>
      <c r="O598" s="1335"/>
      <c r="P598" s="1335"/>
      <c r="Q598" s="1335"/>
      <c r="R598" s="1335"/>
      <c r="S598"/>
      <c r="T598" s="18"/>
      <c r="U598" t="s">
        <v>1476</v>
      </c>
      <c r="V598"/>
      <c r="W598"/>
      <c r="X598"/>
      <c r="Y598"/>
      <c r="Z598"/>
      <c r="AA598" s="1335"/>
      <c r="AB598" s="1335"/>
      <c r="AC598" s="1335"/>
      <c r="AD598" s="1335"/>
      <c r="AE598" s="1335"/>
      <c r="AF598" s="1335"/>
      <c r="AG598" s="1335"/>
      <c r="AH598" s="1335"/>
      <c r="AI598" s="1335"/>
      <c r="AJ598" s="1335"/>
      <c r="AK598" s="1335"/>
      <c r="AL598"/>
      <c r="AM598"/>
      <c r="AN598"/>
      <c r="AO598"/>
      <c r="AP598"/>
      <c r="AQ598"/>
      <c r="AR598"/>
      <c r="AS598"/>
      <c r="AT598"/>
      <c r="AU598"/>
      <c r="AV598"/>
      <c r="AW598"/>
      <c r="AX598"/>
      <c r="AY598"/>
      <c r="AZ598" s="2"/>
      <c r="BA598" s="2" t="s">
        <v>1379</v>
      </c>
      <c r="BB598" s="2"/>
      <c r="BC598" s="2"/>
      <c r="BD598" s="2"/>
      <c r="BE598" s="1410">
        <f t="shared" si="1"/>
        <v>0</v>
      </c>
      <c r="BF598" s="1412"/>
      <c r="BG598" s="1410">
        <f t="shared" si="2"/>
        <v>0</v>
      </c>
      <c r="BH598" s="1412"/>
      <c r="BI598" s="1410">
        <f t="shared" si="3"/>
        <v>0</v>
      </c>
      <c r="BJ598" s="1412"/>
      <c r="BK598" s="1410">
        <f t="shared" si="4"/>
        <v>0</v>
      </c>
      <c r="BL598" s="1412"/>
      <c r="BM598" s="2"/>
      <c r="BN598" s="1414">
        <f t="shared" si="5"/>
        <v>0</v>
      </c>
      <c r="BO598" s="1415"/>
      <c r="BP598" s="1415"/>
      <c r="BQ598" s="1415"/>
      <c r="BR598" s="1416"/>
      <c r="BS598" s="1413">
        <f t="shared" si="6"/>
        <v>0</v>
      </c>
      <c r="BT598" s="1413"/>
      <c r="BU598" s="1413"/>
      <c r="BV598" s="1413"/>
      <c r="BW598" s="1413"/>
      <c r="BX598" s="1413">
        <f t="shared" si="7"/>
        <v>14</v>
      </c>
      <c r="BY598" s="1413"/>
      <c r="BZ598" s="1413"/>
      <c r="CA598" s="1413"/>
      <c r="CB598" s="1413"/>
      <c r="CC598" s="1413">
        <f t="shared" si="8"/>
        <v>0</v>
      </c>
      <c r="CD598" s="1413"/>
      <c r="CE598" s="1413"/>
      <c r="CF598" s="1413"/>
      <c r="CG598" s="1413"/>
      <c r="CH598" s="1413">
        <f t="shared" si="9"/>
        <v>0</v>
      </c>
      <c r="CI598" s="1413"/>
      <c r="CJ598" s="1413"/>
      <c r="CK598" s="1413"/>
      <c r="CL598" s="1413"/>
      <c r="CM598" s="1413">
        <f t="shared" si="10"/>
        <v>0</v>
      </c>
      <c r="CN598" s="1413"/>
      <c r="CO598" s="1413"/>
      <c r="CP598" s="1413"/>
      <c r="CQ598" s="1413"/>
      <c r="CR598" s="1148"/>
      <c r="CS598" s="1434">
        <f t="shared" si="11"/>
        <v>0</v>
      </c>
      <c r="CT598" s="1434"/>
      <c r="CU598" s="1434"/>
      <c r="CV598" s="1434"/>
      <c r="CW598" s="1434"/>
      <c r="CX598" s="1434">
        <f t="shared" si="12"/>
        <v>0</v>
      </c>
      <c r="CY598" s="1434"/>
      <c r="CZ598" s="1434"/>
      <c r="DA598" s="1434"/>
      <c r="DB598" s="1434"/>
      <c r="DC598" s="1434">
        <f t="shared" si="13"/>
        <v>0</v>
      </c>
      <c r="DD598" s="1434"/>
      <c r="DE598" s="1434"/>
      <c r="DF598" s="1434"/>
      <c r="DG598" s="1434"/>
      <c r="DH598" s="1434">
        <f t="shared" si="14"/>
        <v>0</v>
      </c>
      <c r="DI598" s="1434"/>
      <c r="DJ598" s="1434"/>
      <c r="DK598" s="1434"/>
      <c r="DL598" s="1434"/>
      <c r="DM598" s="1434">
        <f t="shared" si="15"/>
        <v>0</v>
      </c>
      <c r="DN598" s="1434"/>
      <c r="DO598" s="1434"/>
      <c r="DP598" s="1434"/>
      <c r="DQ598" s="1434"/>
      <c r="DR598" s="1434">
        <f t="shared" si="16"/>
        <v>0</v>
      </c>
      <c r="DS598" s="1434"/>
      <c r="DT598" s="1434"/>
      <c r="DU598" s="1434"/>
      <c r="DV598" s="1434"/>
      <c r="DW598" s="2"/>
      <c r="DX598" s="1410" t="str">
        <f t="shared" si="17"/>
        <v/>
      </c>
      <c r="DY598" s="1411"/>
      <c r="DZ598" s="1411"/>
      <c r="EA598" s="1411"/>
      <c r="EB598" s="1412"/>
      <c r="EC598" s="1410" t="str">
        <f t="shared" si="18"/>
        <v/>
      </c>
      <c r="ED598" s="1411"/>
      <c r="EE598" s="1411"/>
      <c r="EF598" s="1411"/>
      <c r="EG598" s="1412"/>
      <c r="EH598" s="1410">
        <f t="shared" si="19"/>
        <v>1517</v>
      </c>
      <c r="EI598" s="1411"/>
      <c r="EJ598" s="1411"/>
      <c r="EK598" s="1411"/>
      <c r="EL598" s="1412"/>
      <c r="EM598" s="1410" t="str">
        <f t="shared" si="20"/>
        <v/>
      </c>
      <c r="EN598" s="1411"/>
      <c r="EO598" s="1411"/>
      <c r="EP598" s="1411"/>
      <c r="EQ598" s="1412"/>
      <c r="ER598" s="1410" t="str">
        <f t="shared" si="21"/>
        <v/>
      </c>
      <c r="ES598" s="1411"/>
      <c r="ET598" s="1411"/>
      <c r="EU598" s="1411"/>
      <c r="EV598" s="1412"/>
      <c r="EW598" s="1410" t="str">
        <f t="shared" si="22"/>
        <v/>
      </c>
      <c r="EX598" s="1411"/>
      <c r="EY598" s="1411"/>
      <c r="EZ598" s="1411"/>
      <c r="FA598" s="1412"/>
    </row>
    <row r="599" spans="1:157" ht="13" customHeight="1">
      <c r="A599" s="18"/>
      <c r="B599" t="s">
        <v>1480</v>
      </c>
      <c r="N599" s="1381" t="s">
        <v>895</v>
      </c>
      <c r="O599" s="1381"/>
      <c r="T599" s="18"/>
      <c r="U599" t="s">
        <v>1480</v>
      </c>
      <c r="AG599" s="1381" t="s">
        <v>895</v>
      </c>
      <c r="AH599" s="1381"/>
      <c r="BA599" s="2" t="s">
        <v>1380</v>
      </c>
      <c r="BB599" s="2"/>
      <c r="BC599" s="2"/>
      <c r="BD599" s="2"/>
      <c r="BE599" s="1410">
        <f t="shared" si="1"/>
        <v>0</v>
      </c>
      <c r="BF599" s="1412"/>
      <c r="BG599" s="1410">
        <f t="shared" si="2"/>
        <v>0</v>
      </c>
      <c r="BH599" s="1412"/>
      <c r="BI599" s="1410">
        <f t="shared" si="3"/>
        <v>1</v>
      </c>
      <c r="BJ599" s="1412"/>
      <c r="BK599" s="1410">
        <f t="shared" si="4"/>
        <v>10</v>
      </c>
      <c r="BL599" s="1412"/>
      <c r="BM599" s="2"/>
      <c r="BN599" s="1414">
        <f t="shared" si="5"/>
        <v>0</v>
      </c>
      <c r="BO599" s="1415"/>
      <c r="BP599" s="1415"/>
      <c r="BQ599" s="1415"/>
      <c r="BR599" s="1416"/>
      <c r="BS599" s="1413">
        <f t="shared" si="6"/>
        <v>0</v>
      </c>
      <c r="BT599" s="1413"/>
      <c r="BU599" s="1413"/>
      <c r="BV599" s="1413"/>
      <c r="BW599" s="1413"/>
      <c r="BX599" s="1413">
        <f t="shared" si="7"/>
        <v>10</v>
      </c>
      <c r="BY599" s="1413"/>
      <c r="BZ599" s="1413"/>
      <c r="CA599" s="1413"/>
      <c r="CB599" s="1413"/>
      <c r="CC599" s="1413">
        <f t="shared" si="8"/>
        <v>0</v>
      </c>
      <c r="CD599" s="1413"/>
      <c r="CE599" s="1413"/>
      <c r="CF599" s="1413"/>
      <c r="CG599" s="1413"/>
      <c r="CH599" s="1413">
        <f t="shared" si="9"/>
        <v>0</v>
      </c>
      <c r="CI599" s="1413"/>
      <c r="CJ599" s="1413"/>
      <c r="CK599" s="1413"/>
      <c r="CL599" s="1413"/>
      <c r="CM599" s="1413">
        <f t="shared" si="10"/>
        <v>0</v>
      </c>
      <c r="CN599" s="1413"/>
      <c r="CO599" s="1413"/>
      <c r="CP599" s="1413"/>
      <c r="CQ599" s="1413"/>
      <c r="CR599" s="1148"/>
      <c r="CS599" s="1434">
        <f t="shared" si="11"/>
        <v>0</v>
      </c>
      <c r="CT599" s="1434"/>
      <c r="CU599" s="1434"/>
      <c r="CV599" s="1434"/>
      <c r="CW599" s="1434"/>
      <c r="CX599" s="1434">
        <f t="shared" si="12"/>
        <v>0</v>
      </c>
      <c r="CY599" s="1434"/>
      <c r="CZ599" s="1434"/>
      <c r="DA599" s="1434"/>
      <c r="DB599" s="1434"/>
      <c r="DC599" s="1434">
        <f t="shared" si="13"/>
        <v>10</v>
      </c>
      <c r="DD599" s="1434"/>
      <c r="DE599" s="1434"/>
      <c r="DF599" s="1434"/>
      <c r="DG599" s="1434"/>
      <c r="DH599" s="1434">
        <f t="shared" si="14"/>
        <v>0</v>
      </c>
      <c r="DI599" s="1434"/>
      <c r="DJ599" s="1434"/>
      <c r="DK599" s="1434"/>
      <c r="DL599" s="1434"/>
      <c r="DM599" s="1434">
        <f t="shared" si="15"/>
        <v>0</v>
      </c>
      <c r="DN599" s="1434"/>
      <c r="DO599" s="1434"/>
      <c r="DP599" s="1434"/>
      <c r="DQ599" s="1434"/>
      <c r="DR599" s="1434">
        <f t="shared" si="16"/>
        <v>0</v>
      </c>
      <c r="DS599" s="1434"/>
      <c r="DT599" s="1434"/>
      <c r="DU599" s="1434"/>
      <c r="DV599" s="1434"/>
      <c r="DX599" s="1410" t="str">
        <f t="shared" si="17"/>
        <v/>
      </c>
      <c r="DY599" s="1411"/>
      <c r="DZ599" s="1411"/>
      <c r="EA599" s="1411"/>
      <c r="EB599" s="1412"/>
      <c r="EC599" s="1410" t="str">
        <f t="shared" si="18"/>
        <v/>
      </c>
      <c r="ED599" s="1411"/>
      <c r="EE599" s="1411"/>
      <c r="EF599" s="1411"/>
      <c r="EG599" s="1412"/>
      <c r="EH599" s="1410">
        <f t="shared" si="19"/>
        <v>690</v>
      </c>
      <c r="EI599" s="1411"/>
      <c r="EJ599" s="1411"/>
      <c r="EK599" s="1411"/>
      <c r="EL599" s="1412"/>
      <c r="EM599" s="1410" t="str">
        <f t="shared" si="20"/>
        <v/>
      </c>
      <c r="EN599" s="1411"/>
      <c r="EO599" s="1411"/>
      <c r="EP599" s="1411"/>
      <c r="EQ599" s="1412"/>
      <c r="ER599" s="1410" t="str">
        <f t="shared" si="21"/>
        <v/>
      </c>
      <c r="ES599" s="1411"/>
      <c r="ET599" s="1411"/>
      <c r="EU599" s="1411"/>
      <c r="EV599" s="1412"/>
      <c r="EW599" s="1410" t="str">
        <f t="shared" si="22"/>
        <v/>
      </c>
      <c r="EX599" s="1411"/>
      <c r="EY599" s="1411"/>
      <c r="EZ599" s="1411"/>
      <c r="FA599" s="1412"/>
    </row>
    <row r="600" spans="1:157" ht="13" customHeight="1">
      <c r="A600" s="18"/>
      <c r="T600" s="18"/>
      <c r="BA600" s="2" t="s">
        <v>1381</v>
      </c>
      <c r="BB600" s="2"/>
      <c r="BC600" s="2"/>
      <c r="BD600" s="2"/>
      <c r="BE600" s="1410">
        <f t="shared" si="1"/>
        <v>0</v>
      </c>
      <c r="BF600" s="1412"/>
      <c r="BG600" s="1410">
        <f t="shared" si="2"/>
        <v>0</v>
      </c>
      <c r="BH600" s="1412"/>
      <c r="BI600" s="1410">
        <f t="shared" si="3"/>
        <v>0</v>
      </c>
      <c r="BJ600" s="1412"/>
      <c r="BK600" s="1410">
        <f t="shared" si="4"/>
        <v>0</v>
      </c>
      <c r="BL600" s="1412"/>
      <c r="BM600" s="2"/>
      <c r="BN600" s="1414">
        <f t="shared" si="5"/>
        <v>0</v>
      </c>
      <c r="BO600" s="1415"/>
      <c r="BP600" s="1415"/>
      <c r="BQ600" s="1415"/>
      <c r="BR600" s="1416"/>
      <c r="BS600" s="1413">
        <f t="shared" si="6"/>
        <v>0</v>
      </c>
      <c r="BT600" s="1413"/>
      <c r="BU600" s="1413"/>
      <c r="BV600" s="1413"/>
      <c r="BW600" s="1413"/>
      <c r="BX600" s="1413">
        <f t="shared" si="7"/>
        <v>0</v>
      </c>
      <c r="BY600" s="1413"/>
      <c r="BZ600" s="1413"/>
      <c r="CA600" s="1413"/>
      <c r="CB600" s="1413"/>
      <c r="CC600" s="1413">
        <f t="shared" si="8"/>
        <v>7</v>
      </c>
      <c r="CD600" s="1413"/>
      <c r="CE600" s="1413"/>
      <c r="CF600" s="1413"/>
      <c r="CG600" s="1413"/>
      <c r="CH600" s="1413">
        <f t="shared" si="9"/>
        <v>0</v>
      </c>
      <c r="CI600" s="1413"/>
      <c r="CJ600" s="1413"/>
      <c r="CK600" s="1413"/>
      <c r="CL600" s="1413"/>
      <c r="CM600" s="1413">
        <f t="shared" si="10"/>
        <v>0</v>
      </c>
      <c r="CN600" s="1413"/>
      <c r="CO600" s="1413"/>
      <c r="CP600" s="1413"/>
      <c r="CQ600" s="1413"/>
      <c r="CR600" s="1148"/>
      <c r="CS600" s="1434">
        <f t="shared" si="11"/>
        <v>0</v>
      </c>
      <c r="CT600" s="1434"/>
      <c r="CU600" s="1434"/>
      <c r="CV600" s="1434"/>
      <c r="CW600" s="1434"/>
      <c r="CX600" s="1434">
        <f t="shared" si="12"/>
        <v>0</v>
      </c>
      <c r="CY600" s="1434"/>
      <c r="CZ600" s="1434"/>
      <c r="DA600" s="1434"/>
      <c r="DB600" s="1434"/>
      <c r="DC600" s="1434">
        <f t="shared" si="13"/>
        <v>0</v>
      </c>
      <c r="DD600" s="1434"/>
      <c r="DE600" s="1434"/>
      <c r="DF600" s="1434"/>
      <c r="DG600" s="1434"/>
      <c r="DH600" s="1434">
        <f t="shared" si="14"/>
        <v>0</v>
      </c>
      <c r="DI600" s="1434"/>
      <c r="DJ600" s="1434"/>
      <c r="DK600" s="1434"/>
      <c r="DL600" s="1434"/>
      <c r="DM600" s="1434">
        <f t="shared" si="15"/>
        <v>0</v>
      </c>
      <c r="DN600" s="1434"/>
      <c r="DO600" s="1434"/>
      <c r="DP600" s="1434"/>
      <c r="DQ600" s="1434"/>
      <c r="DR600" s="1434">
        <f t="shared" si="16"/>
        <v>0</v>
      </c>
      <c r="DS600" s="1434"/>
      <c r="DT600" s="1434"/>
      <c r="DU600" s="1434"/>
      <c r="DV600" s="1434"/>
      <c r="DX600" s="1410" t="str">
        <f t="shared" si="17"/>
        <v/>
      </c>
      <c r="DY600" s="1411"/>
      <c r="DZ600" s="1411"/>
      <c r="EA600" s="1411"/>
      <c r="EB600" s="1412"/>
      <c r="EC600" s="1410" t="str">
        <f t="shared" si="18"/>
        <v/>
      </c>
      <c r="ED600" s="1411"/>
      <c r="EE600" s="1411"/>
      <c r="EF600" s="1411"/>
      <c r="EG600" s="1412"/>
      <c r="EH600" s="1410" t="str">
        <f t="shared" si="19"/>
        <v/>
      </c>
      <c r="EI600" s="1411"/>
      <c r="EJ600" s="1411"/>
      <c r="EK600" s="1411"/>
      <c r="EL600" s="1412"/>
      <c r="EM600" s="1410">
        <f t="shared" si="20"/>
        <v>1734</v>
      </c>
      <c r="EN600" s="1411"/>
      <c r="EO600" s="1411"/>
      <c r="EP600" s="1411"/>
      <c r="EQ600" s="1412"/>
      <c r="ER600" s="1410" t="str">
        <f t="shared" si="21"/>
        <v/>
      </c>
      <c r="ES600" s="1411"/>
      <c r="ET600" s="1411"/>
      <c r="EU600" s="1411"/>
      <c r="EV600" s="1412"/>
      <c r="EW600" s="1410" t="str">
        <f t="shared" si="22"/>
        <v/>
      </c>
      <c r="EX600" s="1411"/>
      <c r="EY600" s="1411"/>
      <c r="EZ600" s="1411"/>
      <c r="FA600" s="1412"/>
    </row>
    <row r="601" spans="1:157" ht="13" customHeight="1">
      <c r="A601" s="37" t="s">
        <v>1466</v>
      </c>
      <c r="B601" t="s">
        <v>1471</v>
      </c>
      <c r="G601" s="1395">
        <f>C562</f>
        <v>0</v>
      </c>
      <c r="H601" s="1395"/>
      <c r="I601" s="1395"/>
      <c r="J601" s="1395"/>
      <c r="K601" s="1395"/>
      <c r="L601" s="1395"/>
      <c r="M601" s="1395"/>
      <c r="N601" s="1395"/>
      <c r="O601" s="1395"/>
      <c r="P601" s="1395"/>
      <c r="Q601" s="1395"/>
      <c r="R601" s="1395"/>
      <c r="T601" s="37" t="s">
        <v>1467</v>
      </c>
      <c r="U601" t="s">
        <v>1471</v>
      </c>
      <c r="Z601" s="1395">
        <f>C563</f>
        <v>0</v>
      </c>
      <c r="AA601" s="1395"/>
      <c r="AB601" s="1395"/>
      <c r="AC601" s="1395"/>
      <c r="AD601" s="1395"/>
      <c r="AE601" s="1395"/>
      <c r="AF601" s="1395"/>
      <c r="AG601" s="1395"/>
      <c r="AH601" s="1395"/>
      <c r="AI601" s="1395"/>
      <c r="AJ601" s="1395"/>
      <c r="AK601" s="1395"/>
      <c r="BA601" s="2" t="s">
        <v>1382</v>
      </c>
      <c r="BB601" s="2"/>
      <c r="BC601" s="2"/>
      <c r="BD601" s="2"/>
      <c r="BE601" s="1410">
        <f t="shared" si="1"/>
        <v>0</v>
      </c>
      <c r="BF601" s="1412"/>
      <c r="BG601" s="1410">
        <f t="shared" si="2"/>
        <v>0</v>
      </c>
      <c r="BH601" s="1412"/>
      <c r="BI601" s="1410">
        <f t="shared" si="3"/>
        <v>1</v>
      </c>
      <c r="BJ601" s="1412"/>
      <c r="BK601" s="1410">
        <f t="shared" si="4"/>
        <v>15</v>
      </c>
      <c r="BL601" s="1412"/>
      <c r="BM601" s="2"/>
      <c r="BN601" s="1414">
        <f t="shared" si="5"/>
        <v>0</v>
      </c>
      <c r="BO601" s="1415"/>
      <c r="BP601" s="1415"/>
      <c r="BQ601" s="1415"/>
      <c r="BR601" s="1416"/>
      <c r="BS601" s="1413">
        <f t="shared" si="6"/>
        <v>0</v>
      </c>
      <c r="BT601" s="1413"/>
      <c r="BU601" s="1413"/>
      <c r="BV601" s="1413"/>
      <c r="BW601" s="1413"/>
      <c r="BX601" s="1413">
        <f t="shared" si="7"/>
        <v>0</v>
      </c>
      <c r="BY601" s="1413"/>
      <c r="BZ601" s="1413"/>
      <c r="CA601" s="1413"/>
      <c r="CB601" s="1413"/>
      <c r="CC601" s="1413">
        <f t="shared" si="8"/>
        <v>15</v>
      </c>
      <c r="CD601" s="1413"/>
      <c r="CE601" s="1413"/>
      <c r="CF601" s="1413"/>
      <c r="CG601" s="1413"/>
      <c r="CH601" s="1413">
        <f t="shared" si="9"/>
        <v>0</v>
      </c>
      <c r="CI601" s="1413"/>
      <c r="CJ601" s="1413"/>
      <c r="CK601" s="1413"/>
      <c r="CL601" s="1413"/>
      <c r="CM601" s="1413">
        <f t="shared" si="10"/>
        <v>0</v>
      </c>
      <c r="CN601" s="1413"/>
      <c r="CO601" s="1413"/>
      <c r="CP601" s="1413"/>
      <c r="CQ601" s="1413"/>
      <c r="CR601" s="1148"/>
      <c r="CS601" s="1434">
        <f t="shared" si="11"/>
        <v>0</v>
      </c>
      <c r="CT601" s="1434"/>
      <c r="CU601" s="1434"/>
      <c r="CV601" s="1434"/>
      <c r="CW601" s="1434"/>
      <c r="CX601" s="1434">
        <f t="shared" si="12"/>
        <v>0</v>
      </c>
      <c r="CY601" s="1434"/>
      <c r="CZ601" s="1434"/>
      <c r="DA601" s="1434"/>
      <c r="DB601" s="1434"/>
      <c r="DC601" s="1434">
        <f t="shared" si="13"/>
        <v>0</v>
      </c>
      <c r="DD601" s="1434"/>
      <c r="DE601" s="1434"/>
      <c r="DF601" s="1434"/>
      <c r="DG601" s="1434"/>
      <c r="DH601" s="1434">
        <f t="shared" si="14"/>
        <v>15</v>
      </c>
      <c r="DI601" s="1434"/>
      <c r="DJ601" s="1434"/>
      <c r="DK601" s="1434"/>
      <c r="DL601" s="1434"/>
      <c r="DM601" s="1434">
        <f t="shared" si="15"/>
        <v>0</v>
      </c>
      <c r="DN601" s="1434"/>
      <c r="DO601" s="1434"/>
      <c r="DP601" s="1434"/>
      <c r="DQ601" s="1434"/>
      <c r="DR601" s="1434">
        <f t="shared" si="16"/>
        <v>0</v>
      </c>
      <c r="DS601" s="1434"/>
      <c r="DT601" s="1434"/>
      <c r="DU601" s="1434"/>
      <c r="DV601" s="1434"/>
      <c r="DX601" s="1410" t="str">
        <f t="shared" si="17"/>
        <v/>
      </c>
      <c r="DY601" s="1411"/>
      <c r="DZ601" s="1411"/>
      <c r="EA601" s="1411"/>
      <c r="EB601" s="1412"/>
      <c r="EC601" s="1410" t="str">
        <f t="shared" si="18"/>
        <v/>
      </c>
      <c r="ED601" s="1411"/>
      <c r="EE601" s="1411"/>
      <c r="EF601" s="1411"/>
      <c r="EG601" s="1412"/>
      <c r="EH601" s="1410" t="str">
        <f t="shared" si="19"/>
        <v/>
      </c>
      <c r="EI601" s="1411"/>
      <c r="EJ601" s="1411"/>
      <c r="EK601" s="1411"/>
      <c r="EL601" s="1412"/>
      <c r="EM601" s="1410">
        <f t="shared" si="20"/>
        <v>779</v>
      </c>
      <c r="EN601" s="1411"/>
      <c r="EO601" s="1411"/>
      <c r="EP601" s="1411"/>
      <c r="EQ601" s="1412"/>
      <c r="ER601" s="1410" t="str">
        <f t="shared" si="21"/>
        <v/>
      </c>
      <c r="ES601" s="1411"/>
      <c r="ET601" s="1411"/>
      <c r="EU601" s="1411"/>
      <c r="EV601" s="1412"/>
      <c r="EW601" s="1410" t="str">
        <f t="shared" si="22"/>
        <v/>
      </c>
      <c r="EX601" s="1411"/>
      <c r="EY601" s="1411"/>
      <c r="EZ601" s="1411"/>
      <c r="FA601" s="1412"/>
    </row>
    <row r="602" spans="1:157" ht="13" customHeight="1">
      <c r="A602" s="18"/>
      <c r="B602" t="s">
        <v>1113</v>
      </c>
      <c r="G602" s="1335"/>
      <c r="H602" s="1335"/>
      <c r="I602" s="1335"/>
      <c r="J602" s="1335"/>
      <c r="K602" s="1335"/>
      <c r="L602" s="1335"/>
      <c r="M602" s="1335"/>
      <c r="N602" s="1335"/>
      <c r="O602" s="1335"/>
      <c r="P602" s="1335"/>
      <c r="Q602" s="1335"/>
      <c r="R602" s="1335"/>
      <c r="T602" s="18"/>
      <c r="U602" t="s">
        <v>1113</v>
      </c>
      <c r="Z602" s="1335"/>
      <c r="AA602" s="1335"/>
      <c r="AB602" s="1335"/>
      <c r="AC602" s="1335"/>
      <c r="AD602" s="1335"/>
      <c r="AE602" s="1335"/>
      <c r="AF602" s="1335"/>
      <c r="AG602" s="1335"/>
      <c r="AH602" s="1335"/>
      <c r="AI602" s="1335"/>
      <c r="AJ602" s="1335"/>
      <c r="AK602" s="1335"/>
      <c r="AZ602" s="2"/>
      <c r="BA602" s="2"/>
      <c r="BB602" s="2"/>
      <c r="BC602" s="2"/>
      <c r="BD602" s="2"/>
      <c r="BE602" s="1410">
        <f t="shared" si="1"/>
        <v>0</v>
      </c>
      <c r="BF602" s="1412"/>
      <c r="BG602" s="1410">
        <f t="shared" si="2"/>
        <v>0</v>
      </c>
      <c r="BH602" s="1412"/>
      <c r="BI602" s="1410">
        <f t="shared" si="3"/>
        <v>0</v>
      </c>
      <c r="BJ602" s="1412"/>
      <c r="BK602" s="1410">
        <f t="shared" si="4"/>
        <v>0</v>
      </c>
      <c r="BL602" s="1412"/>
      <c r="BM602" s="2"/>
      <c r="BN602" s="1414">
        <f t="shared" si="5"/>
        <v>0</v>
      </c>
      <c r="BO602" s="1415"/>
      <c r="BP602" s="1415"/>
      <c r="BQ602" s="1415"/>
      <c r="BR602" s="1416"/>
      <c r="BS602" s="1413">
        <f t="shared" si="6"/>
        <v>0</v>
      </c>
      <c r="BT602" s="1413"/>
      <c r="BU602" s="1413"/>
      <c r="BV602" s="1413"/>
      <c r="BW602" s="1413"/>
      <c r="BX602" s="1413">
        <f t="shared" si="7"/>
        <v>0</v>
      </c>
      <c r="BY602" s="1413"/>
      <c r="BZ602" s="1413"/>
      <c r="CA602" s="1413"/>
      <c r="CB602" s="1413"/>
      <c r="CC602" s="1413">
        <f t="shared" si="8"/>
        <v>0</v>
      </c>
      <c r="CD602" s="1413"/>
      <c r="CE602" s="1413"/>
      <c r="CF602" s="1413"/>
      <c r="CG602" s="1413"/>
      <c r="CH602" s="1413">
        <f t="shared" si="9"/>
        <v>0</v>
      </c>
      <c r="CI602" s="1413"/>
      <c r="CJ602" s="1413"/>
      <c r="CK602" s="1413"/>
      <c r="CL602" s="1413"/>
      <c r="CM602" s="1413">
        <f t="shared" si="10"/>
        <v>0</v>
      </c>
      <c r="CN602" s="1413"/>
      <c r="CO602" s="1413"/>
      <c r="CP602" s="1413"/>
      <c r="CQ602" s="1413"/>
      <c r="CR602" s="1148"/>
      <c r="CS602" s="1434">
        <f t="shared" si="11"/>
        <v>0</v>
      </c>
      <c r="CT602" s="1434"/>
      <c r="CU602" s="1434"/>
      <c r="CV602" s="1434"/>
      <c r="CW602" s="1434"/>
      <c r="CX602" s="1434">
        <f t="shared" si="12"/>
        <v>0</v>
      </c>
      <c r="CY602" s="1434"/>
      <c r="CZ602" s="1434"/>
      <c r="DA602" s="1434"/>
      <c r="DB602" s="1434"/>
      <c r="DC602" s="1434">
        <f t="shared" si="13"/>
        <v>0</v>
      </c>
      <c r="DD602" s="1434"/>
      <c r="DE602" s="1434"/>
      <c r="DF602" s="1434"/>
      <c r="DG602" s="1434"/>
      <c r="DH602" s="1434">
        <f t="shared" si="14"/>
        <v>0</v>
      </c>
      <c r="DI602" s="1434"/>
      <c r="DJ602" s="1434"/>
      <c r="DK602" s="1434"/>
      <c r="DL602" s="1434"/>
      <c r="DM602" s="1434">
        <f t="shared" si="15"/>
        <v>0</v>
      </c>
      <c r="DN602" s="1434"/>
      <c r="DO602" s="1434"/>
      <c r="DP602" s="1434"/>
      <c r="DQ602" s="1434"/>
      <c r="DR602" s="1434">
        <f t="shared" si="16"/>
        <v>0</v>
      </c>
      <c r="DS602" s="1434"/>
      <c r="DT602" s="1434"/>
      <c r="DU602" s="1434"/>
      <c r="DV602" s="1434"/>
      <c r="DX602" s="1410" t="str">
        <f t="shared" si="17"/>
        <v/>
      </c>
      <c r="DY602" s="1411"/>
      <c r="DZ602" s="1411"/>
      <c r="EA602" s="1411"/>
      <c r="EB602" s="1412"/>
      <c r="EC602" s="1410" t="str">
        <f t="shared" si="18"/>
        <v/>
      </c>
      <c r="ED602" s="1411"/>
      <c r="EE602" s="1411"/>
      <c r="EF602" s="1411"/>
      <c r="EG602" s="1412"/>
      <c r="EH602" s="1410" t="str">
        <f t="shared" si="19"/>
        <v/>
      </c>
      <c r="EI602" s="1411"/>
      <c r="EJ602" s="1411"/>
      <c r="EK602" s="1411"/>
      <c r="EL602" s="1412"/>
      <c r="EM602" s="1410" t="str">
        <f t="shared" si="20"/>
        <v/>
      </c>
      <c r="EN602" s="1411"/>
      <c r="EO602" s="1411"/>
      <c r="EP602" s="1411"/>
      <c r="EQ602" s="1412"/>
      <c r="ER602" s="1410" t="str">
        <f t="shared" si="21"/>
        <v/>
      </c>
      <c r="ES602" s="1411"/>
      <c r="ET602" s="1411"/>
      <c r="EU602" s="1411"/>
      <c r="EV602" s="1412"/>
      <c r="EW602" s="1410" t="str">
        <f t="shared" si="22"/>
        <v/>
      </c>
      <c r="EX602" s="1411"/>
      <c r="EY602" s="1411"/>
      <c r="EZ602" s="1411"/>
      <c r="FA602" s="1412"/>
    </row>
    <row r="603" spans="1:157" ht="13" customHeight="1">
      <c r="A603" s="18"/>
      <c r="B603" t="s">
        <v>982</v>
      </c>
      <c r="G603" s="1335"/>
      <c r="H603" s="1335"/>
      <c r="I603" s="1335"/>
      <c r="J603" s="1335"/>
      <c r="K603" s="1335"/>
      <c r="L603" s="1335"/>
      <c r="M603" s="1335"/>
      <c r="N603" s="1335"/>
      <c r="O603" s="1335"/>
      <c r="P603" s="1335"/>
      <c r="Q603" s="1335"/>
      <c r="R603" s="1335"/>
      <c r="T603" s="18"/>
      <c r="U603" t="s">
        <v>982</v>
      </c>
      <c r="Z603" s="1385"/>
      <c r="AA603" s="1385"/>
      <c r="AB603" s="1385"/>
      <c r="AC603" s="1385"/>
      <c r="AD603" s="1385"/>
      <c r="AE603" s="1385"/>
      <c r="AF603" s="1385"/>
      <c r="AG603" s="1385"/>
      <c r="AH603" s="1385"/>
      <c r="AI603" s="1385"/>
      <c r="AJ603" s="1385"/>
      <c r="AK603" s="1385"/>
      <c r="AZ603" s="2"/>
      <c r="BA603" s="2"/>
      <c r="BB603" s="2"/>
      <c r="BC603" s="2"/>
      <c r="BD603" s="2"/>
      <c r="BE603" s="1410">
        <f t="shared" si="1"/>
        <v>0</v>
      </c>
      <c r="BF603" s="1412"/>
      <c r="BG603" s="1410">
        <f t="shared" si="2"/>
        <v>0</v>
      </c>
      <c r="BH603" s="1412"/>
      <c r="BI603" s="1410">
        <f t="shared" si="3"/>
        <v>0</v>
      </c>
      <c r="BJ603" s="1412"/>
      <c r="BK603" s="1410">
        <f t="shared" si="4"/>
        <v>0</v>
      </c>
      <c r="BL603" s="1412"/>
      <c r="BM603" s="2"/>
      <c r="BN603" s="1414">
        <f t="shared" si="5"/>
        <v>0</v>
      </c>
      <c r="BO603" s="1415"/>
      <c r="BP603" s="1415"/>
      <c r="BQ603" s="1415"/>
      <c r="BR603" s="1416"/>
      <c r="BS603" s="1413">
        <f t="shared" si="6"/>
        <v>0</v>
      </c>
      <c r="BT603" s="1413"/>
      <c r="BU603" s="1413"/>
      <c r="BV603" s="1413"/>
      <c r="BW603" s="1413"/>
      <c r="BX603" s="1413">
        <f t="shared" si="7"/>
        <v>0</v>
      </c>
      <c r="BY603" s="1413"/>
      <c r="BZ603" s="1413"/>
      <c r="CA603" s="1413"/>
      <c r="CB603" s="1413"/>
      <c r="CC603" s="1413">
        <f t="shared" si="8"/>
        <v>0</v>
      </c>
      <c r="CD603" s="1413"/>
      <c r="CE603" s="1413"/>
      <c r="CF603" s="1413"/>
      <c r="CG603" s="1413"/>
      <c r="CH603" s="1413">
        <f t="shared" si="9"/>
        <v>0</v>
      </c>
      <c r="CI603" s="1413"/>
      <c r="CJ603" s="1413"/>
      <c r="CK603" s="1413"/>
      <c r="CL603" s="1413"/>
      <c r="CM603" s="1413">
        <f t="shared" si="10"/>
        <v>0</v>
      </c>
      <c r="CN603" s="1413"/>
      <c r="CO603" s="1413"/>
      <c r="CP603" s="1413"/>
      <c r="CQ603" s="1413"/>
      <c r="CR603" s="1148"/>
      <c r="CS603" s="1434">
        <f t="shared" si="11"/>
        <v>0</v>
      </c>
      <c r="CT603" s="1434"/>
      <c r="CU603" s="1434"/>
      <c r="CV603" s="1434"/>
      <c r="CW603" s="1434"/>
      <c r="CX603" s="1434">
        <f t="shared" si="12"/>
        <v>0</v>
      </c>
      <c r="CY603" s="1434"/>
      <c r="CZ603" s="1434"/>
      <c r="DA603" s="1434"/>
      <c r="DB603" s="1434"/>
      <c r="DC603" s="1434">
        <f t="shared" si="13"/>
        <v>0</v>
      </c>
      <c r="DD603" s="1434"/>
      <c r="DE603" s="1434"/>
      <c r="DF603" s="1434"/>
      <c r="DG603" s="1434"/>
      <c r="DH603" s="1434">
        <f t="shared" si="14"/>
        <v>0</v>
      </c>
      <c r="DI603" s="1434"/>
      <c r="DJ603" s="1434"/>
      <c r="DK603" s="1434"/>
      <c r="DL603" s="1434"/>
      <c r="DM603" s="1434">
        <f t="shared" si="15"/>
        <v>0</v>
      </c>
      <c r="DN603" s="1434"/>
      <c r="DO603" s="1434"/>
      <c r="DP603" s="1434"/>
      <c r="DQ603" s="1434"/>
      <c r="DR603" s="1434">
        <f t="shared" si="16"/>
        <v>0</v>
      </c>
      <c r="DS603" s="1434"/>
      <c r="DT603" s="1434"/>
      <c r="DU603" s="1434"/>
      <c r="DV603" s="1434"/>
      <c r="DX603" s="1410" t="str">
        <f t="shared" si="17"/>
        <v/>
      </c>
      <c r="DY603" s="1411"/>
      <c r="DZ603" s="1411"/>
      <c r="EA603" s="1411"/>
      <c r="EB603" s="1412"/>
      <c r="EC603" s="1410" t="str">
        <f t="shared" si="18"/>
        <v/>
      </c>
      <c r="ED603" s="1411"/>
      <c r="EE603" s="1411"/>
      <c r="EF603" s="1411"/>
      <c r="EG603" s="1412"/>
      <c r="EH603" s="1410" t="str">
        <f t="shared" si="19"/>
        <v/>
      </c>
      <c r="EI603" s="1411"/>
      <c r="EJ603" s="1411"/>
      <c r="EK603" s="1411"/>
      <c r="EL603" s="1412"/>
      <c r="EM603" s="1410" t="str">
        <f t="shared" si="20"/>
        <v/>
      </c>
      <c r="EN603" s="1411"/>
      <c r="EO603" s="1411"/>
      <c r="EP603" s="1411"/>
      <c r="EQ603" s="1412"/>
      <c r="ER603" s="1410" t="str">
        <f t="shared" si="21"/>
        <v/>
      </c>
      <c r="ES603" s="1411"/>
      <c r="ET603" s="1411"/>
      <c r="EU603" s="1411"/>
      <c r="EV603" s="1412"/>
      <c r="EW603" s="1410" t="str">
        <f t="shared" si="22"/>
        <v/>
      </c>
      <c r="EX603" s="1411"/>
      <c r="EY603" s="1411"/>
      <c r="EZ603" s="1411"/>
      <c r="FA603" s="1412"/>
    </row>
    <row r="604" spans="1:157" ht="13" customHeight="1">
      <c r="A604" s="18"/>
      <c r="B604" t="s">
        <v>1473</v>
      </c>
      <c r="G604" s="1335"/>
      <c r="H604" s="1335"/>
      <c r="I604" s="1335"/>
      <c r="J604" s="1335"/>
      <c r="K604" s="1335"/>
      <c r="L604" s="1335"/>
      <c r="M604" s="1335"/>
      <c r="N604" s="1335"/>
      <c r="O604" s="1335"/>
      <c r="P604" s="1335"/>
      <c r="Q604" s="1335"/>
      <c r="R604" s="1335"/>
      <c r="T604" s="18"/>
      <c r="U604" t="s">
        <v>1473</v>
      </c>
      <c r="Z604" s="1385"/>
      <c r="AA604" s="1385"/>
      <c r="AB604" s="1385"/>
      <c r="AC604" s="1385"/>
      <c r="AD604" s="1385"/>
      <c r="AE604" s="1385"/>
      <c r="AF604" s="1385"/>
      <c r="AG604" s="1385"/>
      <c r="AH604" s="1385"/>
      <c r="AI604" s="1385"/>
      <c r="AJ604" s="1385"/>
      <c r="AK604" s="1385"/>
      <c r="AZ604" s="2"/>
      <c r="BA604" s="2"/>
      <c r="BB604" s="2"/>
      <c r="BC604" s="2"/>
      <c r="BD604" s="2"/>
      <c r="BE604" s="1410">
        <f t="shared" si="1"/>
        <v>0</v>
      </c>
      <c r="BF604" s="1412"/>
      <c r="BG604" s="1410">
        <f t="shared" si="2"/>
        <v>0</v>
      </c>
      <c r="BH604" s="1412"/>
      <c r="BI604" s="1410">
        <f t="shared" si="3"/>
        <v>0</v>
      </c>
      <c r="BJ604" s="1412"/>
      <c r="BK604" s="1410">
        <f t="shared" si="4"/>
        <v>0</v>
      </c>
      <c r="BL604" s="1412"/>
      <c r="BM604" s="2"/>
      <c r="BN604" s="1414">
        <f t="shared" si="5"/>
        <v>0</v>
      </c>
      <c r="BO604" s="1415"/>
      <c r="BP604" s="1415"/>
      <c r="BQ604" s="1415"/>
      <c r="BR604" s="1416"/>
      <c r="BS604" s="1413">
        <f t="shared" si="6"/>
        <v>0</v>
      </c>
      <c r="BT604" s="1413"/>
      <c r="BU604" s="1413"/>
      <c r="BV604" s="1413"/>
      <c r="BW604" s="1413"/>
      <c r="BX604" s="1413">
        <f t="shared" si="7"/>
        <v>0</v>
      </c>
      <c r="BY604" s="1413"/>
      <c r="BZ604" s="1413"/>
      <c r="CA604" s="1413"/>
      <c r="CB604" s="1413"/>
      <c r="CC604" s="1413">
        <f t="shared" si="8"/>
        <v>0</v>
      </c>
      <c r="CD604" s="1413"/>
      <c r="CE604" s="1413"/>
      <c r="CF604" s="1413"/>
      <c r="CG604" s="1413"/>
      <c r="CH604" s="1413">
        <f t="shared" si="9"/>
        <v>0</v>
      </c>
      <c r="CI604" s="1413"/>
      <c r="CJ604" s="1413"/>
      <c r="CK604" s="1413"/>
      <c r="CL604" s="1413"/>
      <c r="CM604" s="1413">
        <f t="shared" si="10"/>
        <v>0</v>
      </c>
      <c r="CN604" s="1413"/>
      <c r="CO604" s="1413"/>
      <c r="CP604" s="1413"/>
      <c r="CQ604" s="1413"/>
      <c r="CR604" s="1148"/>
      <c r="CS604" s="1434">
        <f t="shared" si="11"/>
        <v>0</v>
      </c>
      <c r="CT604" s="1434"/>
      <c r="CU604" s="1434"/>
      <c r="CV604" s="1434"/>
      <c r="CW604" s="1434"/>
      <c r="CX604" s="1434">
        <f t="shared" si="12"/>
        <v>0</v>
      </c>
      <c r="CY604" s="1434"/>
      <c r="CZ604" s="1434"/>
      <c r="DA604" s="1434"/>
      <c r="DB604" s="1434"/>
      <c r="DC604" s="1434">
        <f t="shared" si="13"/>
        <v>0</v>
      </c>
      <c r="DD604" s="1434"/>
      <c r="DE604" s="1434"/>
      <c r="DF604" s="1434"/>
      <c r="DG604" s="1434"/>
      <c r="DH604" s="1434">
        <f t="shared" si="14"/>
        <v>0</v>
      </c>
      <c r="DI604" s="1434"/>
      <c r="DJ604" s="1434"/>
      <c r="DK604" s="1434"/>
      <c r="DL604" s="1434"/>
      <c r="DM604" s="1434">
        <f t="shared" si="15"/>
        <v>0</v>
      </c>
      <c r="DN604" s="1434"/>
      <c r="DO604" s="1434"/>
      <c r="DP604" s="1434"/>
      <c r="DQ604" s="1434"/>
      <c r="DR604" s="1434">
        <f t="shared" si="16"/>
        <v>0</v>
      </c>
      <c r="DS604" s="1434"/>
      <c r="DT604" s="1434"/>
      <c r="DU604" s="1434"/>
      <c r="DV604" s="1434"/>
      <c r="DX604" s="1410" t="str">
        <f t="shared" si="17"/>
        <v/>
      </c>
      <c r="DY604" s="1411"/>
      <c r="DZ604" s="1411"/>
      <c r="EA604" s="1411"/>
      <c r="EB604" s="1412"/>
      <c r="EC604" s="1410" t="str">
        <f t="shared" si="18"/>
        <v/>
      </c>
      <c r="ED604" s="1411"/>
      <c r="EE604" s="1411"/>
      <c r="EF604" s="1411"/>
      <c r="EG604" s="1412"/>
      <c r="EH604" s="1410" t="str">
        <f t="shared" si="19"/>
        <v/>
      </c>
      <c r="EI604" s="1411"/>
      <c r="EJ604" s="1411"/>
      <c r="EK604" s="1411"/>
      <c r="EL604" s="1412"/>
      <c r="EM604" s="1410" t="str">
        <f t="shared" si="20"/>
        <v/>
      </c>
      <c r="EN604" s="1411"/>
      <c r="EO604" s="1411"/>
      <c r="EP604" s="1411"/>
      <c r="EQ604" s="1412"/>
      <c r="ER604" s="1410" t="str">
        <f t="shared" si="21"/>
        <v/>
      </c>
      <c r="ES604" s="1411"/>
      <c r="ET604" s="1411"/>
      <c r="EU604" s="1411"/>
      <c r="EV604" s="1412"/>
      <c r="EW604" s="1410" t="str">
        <f t="shared" si="22"/>
        <v/>
      </c>
      <c r="EX604" s="1411"/>
      <c r="EY604" s="1411"/>
      <c r="EZ604" s="1411"/>
      <c r="FA604" s="1412"/>
    </row>
    <row r="605" spans="1:157" s="3" customFormat="1" ht="13" customHeight="1">
      <c r="A605" s="18"/>
      <c r="B605" t="s">
        <v>884</v>
      </c>
      <c r="C605"/>
      <c r="D605"/>
      <c r="E605"/>
      <c r="F605"/>
      <c r="G605" s="1417"/>
      <c r="H605" s="1417"/>
      <c r="I605" s="1417"/>
      <c r="J605" s="1417"/>
      <c r="K605" s="1417"/>
      <c r="L605" s="1417"/>
      <c r="M605"/>
      <c r="N605"/>
      <c r="O605" s="840" t="s">
        <v>1121</v>
      </c>
      <c r="P605" s="1394"/>
      <c r="Q605" s="1394"/>
      <c r="R605" s="1394"/>
      <c r="S605"/>
      <c r="T605" s="18"/>
      <c r="U605" t="s">
        <v>884</v>
      </c>
      <c r="V605"/>
      <c r="W605"/>
      <c r="X605"/>
      <c r="Y605"/>
      <c r="Z605" s="1417"/>
      <c r="AA605" s="1417"/>
      <c r="AB605" s="1417"/>
      <c r="AC605" s="1417"/>
      <c r="AD605" s="1417"/>
      <c r="AE605" s="1417"/>
      <c r="AF605"/>
      <c r="AG605"/>
      <c r="AH605" s="840" t="s">
        <v>1121</v>
      </c>
      <c r="AI605" s="1394"/>
      <c r="AJ605" s="1394"/>
      <c r="AK605" s="1394"/>
      <c r="AL605"/>
      <c r="AM605"/>
      <c r="AN605"/>
      <c r="AO605"/>
      <c r="AP605"/>
      <c r="AQ605"/>
      <c r="AR605"/>
      <c r="AS605"/>
      <c r="AT605"/>
      <c r="AU605"/>
      <c r="AV605"/>
      <c r="AW605"/>
      <c r="AX605"/>
      <c r="AY605"/>
      <c r="AZ605" s="2"/>
      <c r="BA605" s="2"/>
      <c r="BB605" s="2"/>
      <c r="BC605" s="2"/>
      <c r="BD605" s="2"/>
      <c r="BE605" s="1410">
        <f t="shared" si="1"/>
        <v>0</v>
      </c>
      <c r="BF605" s="1412"/>
      <c r="BG605" s="1410">
        <f t="shared" si="2"/>
        <v>0</v>
      </c>
      <c r="BH605" s="1412"/>
      <c r="BI605" s="1410">
        <f t="shared" si="3"/>
        <v>0</v>
      </c>
      <c r="BJ605" s="1412"/>
      <c r="BK605" s="1410">
        <f t="shared" si="4"/>
        <v>0</v>
      </c>
      <c r="BL605" s="1412"/>
      <c r="BM605" s="2"/>
      <c r="BN605" s="1414">
        <f t="shared" si="5"/>
        <v>0</v>
      </c>
      <c r="BO605" s="1415"/>
      <c r="BP605" s="1415"/>
      <c r="BQ605" s="1415"/>
      <c r="BR605" s="1416"/>
      <c r="BS605" s="1413">
        <f t="shared" si="6"/>
        <v>0</v>
      </c>
      <c r="BT605" s="1413"/>
      <c r="BU605" s="1413"/>
      <c r="BV605" s="1413"/>
      <c r="BW605" s="1413"/>
      <c r="BX605" s="1413">
        <f t="shared" si="7"/>
        <v>0</v>
      </c>
      <c r="BY605" s="1413"/>
      <c r="BZ605" s="1413"/>
      <c r="CA605" s="1413"/>
      <c r="CB605" s="1413"/>
      <c r="CC605" s="1413">
        <f t="shared" si="8"/>
        <v>0</v>
      </c>
      <c r="CD605" s="1413"/>
      <c r="CE605" s="1413"/>
      <c r="CF605" s="1413"/>
      <c r="CG605" s="1413"/>
      <c r="CH605" s="1413">
        <f t="shared" si="9"/>
        <v>0</v>
      </c>
      <c r="CI605" s="1413"/>
      <c r="CJ605" s="1413"/>
      <c r="CK605" s="1413"/>
      <c r="CL605" s="1413"/>
      <c r="CM605" s="1413">
        <f t="shared" si="10"/>
        <v>0</v>
      </c>
      <c r="CN605" s="1413"/>
      <c r="CO605" s="1413"/>
      <c r="CP605" s="1413"/>
      <c r="CQ605" s="1413"/>
      <c r="CR605" s="1148"/>
      <c r="CS605" s="1434">
        <f t="shared" si="11"/>
        <v>0</v>
      </c>
      <c r="CT605" s="1434"/>
      <c r="CU605" s="1434"/>
      <c r="CV605" s="1434"/>
      <c r="CW605" s="1434"/>
      <c r="CX605" s="1434">
        <f t="shared" si="12"/>
        <v>0</v>
      </c>
      <c r="CY605" s="1434"/>
      <c r="CZ605" s="1434"/>
      <c r="DA605" s="1434"/>
      <c r="DB605" s="1434"/>
      <c r="DC605" s="1434">
        <f t="shared" si="13"/>
        <v>0</v>
      </c>
      <c r="DD605" s="1434"/>
      <c r="DE605" s="1434"/>
      <c r="DF605" s="1434"/>
      <c r="DG605" s="1434"/>
      <c r="DH605" s="1434">
        <f t="shared" si="14"/>
        <v>0</v>
      </c>
      <c r="DI605" s="1434"/>
      <c r="DJ605" s="1434"/>
      <c r="DK605" s="1434"/>
      <c r="DL605" s="1434"/>
      <c r="DM605" s="1434">
        <f t="shared" si="15"/>
        <v>0</v>
      </c>
      <c r="DN605" s="1434"/>
      <c r="DO605" s="1434"/>
      <c r="DP605" s="1434"/>
      <c r="DQ605" s="1434"/>
      <c r="DR605" s="1434">
        <f t="shared" si="16"/>
        <v>0</v>
      </c>
      <c r="DS605" s="1434"/>
      <c r="DT605" s="1434"/>
      <c r="DU605" s="1434"/>
      <c r="DV605" s="1434"/>
      <c r="DW605" s="2"/>
      <c r="DX605" s="1410" t="str">
        <f t="shared" si="17"/>
        <v/>
      </c>
      <c r="DY605" s="1411"/>
      <c r="DZ605" s="1411"/>
      <c r="EA605" s="1411"/>
      <c r="EB605" s="1412"/>
      <c r="EC605" s="1410" t="str">
        <f t="shared" si="18"/>
        <v/>
      </c>
      <c r="ED605" s="1411"/>
      <c r="EE605" s="1411"/>
      <c r="EF605" s="1411"/>
      <c r="EG605" s="1412"/>
      <c r="EH605" s="1410" t="str">
        <f t="shared" si="19"/>
        <v/>
      </c>
      <c r="EI605" s="1411"/>
      <c r="EJ605" s="1411"/>
      <c r="EK605" s="1411"/>
      <c r="EL605" s="1412"/>
      <c r="EM605" s="1410" t="str">
        <f t="shared" si="20"/>
        <v/>
      </c>
      <c r="EN605" s="1411"/>
      <c r="EO605" s="1411"/>
      <c r="EP605" s="1411"/>
      <c r="EQ605" s="1412"/>
      <c r="ER605" s="1410" t="str">
        <f t="shared" si="21"/>
        <v/>
      </c>
      <c r="ES605" s="1411"/>
      <c r="ET605" s="1411"/>
      <c r="EU605" s="1411"/>
      <c r="EV605" s="1412"/>
      <c r="EW605" s="1410" t="str">
        <f t="shared" si="22"/>
        <v/>
      </c>
      <c r="EX605" s="1411"/>
      <c r="EY605" s="1411"/>
      <c r="EZ605" s="1411"/>
      <c r="FA605" s="1412"/>
    </row>
    <row r="606" spans="1:157" s="3" customFormat="1" ht="13" customHeight="1">
      <c r="A606" s="18"/>
      <c r="B606" t="s">
        <v>1476</v>
      </c>
      <c r="C606"/>
      <c r="D606"/>
      <c r="E606"/>
      <c r="F606"/>
      <c r="G606"/>
      <c r="H606" s="1335"/>
      <c r="I606" s="1335"/>
      <c r="J606" s="1335"/>
      <c r="K606" s="1335"/>
      <c r="L606" s="1335"/>
      <c r="M606" s="1335"/>
      <c r="N606" s="1335"/>
      <c r="O606" s="1335"/>
      <c r="P606" s="1335"/>
      <c r="Q606" s="1335"/>
      <c r="R606" s="1335"/>
      <c r="S606"/>
      <c r="T606" s="18"/>
      <c r="U606" t="s">
        <v>1476</v>
      </c>
      <c r="V606"/>
      <c r="W606"/>
      <c r="X606"/>
      <c r="Y606"/>
      <c r="Z606"/>
      <c r="AA606" s="1335"/>
      <c r="AB606" s="1335"/>
      <c r="AC606" s="1335"/>
      <c r="AD606" s="1335"/>
      <c r="AE606" s="1335"/>
      <c r="AF606" s="1335"/>
      <c r="AG606" s="1335"/>
      <c r="AH606" s="1335"/>
      <c r="AI606" s="1335"/>
      <c r="AJ606" s="1335"/>
      <c r="AK606" s="1335"/>
      <c r="AL606"/>
      <c r="AM606"/>
      <c r="AN606"/>
      <c r="AO606"/>
      <c r="AP606"/>
      <c r="AQ606"/>
      <c r="AR606"/>
      <c r="AS606"/>
      <c r="AT606"/>
      <c r="AU606"/>
      <c r="AV606"/>
      <c r="AW606"/>
      <c r="AX606"/>
      <c r="AY606"/>
      <c r="AZ606" s="2"/>
      <c r="BA606" s="2"/>
      <c r="BB606" s="2"/>
      <c r="BC606" s="2"/>
      <c r="BD606" s="2"/>
      <c r="BE606" s="1410">
        <f t="shared" si="1"/>
        <v>0</v>
      </c>
      <c r="BF606" s="1412"/>
      <c r="BG606" s="1410">
        <f t="shared" si="2"/>
        <v>0</v>
      </c>
      <c r="BH606" s="1412"/>
      <c r="BI606" s="1410">
        <f t="shared" si="3"/>
        <v>0</v>
      </c>
      <c r="BJ606" s="1412"/>
      <c r="BK606" s="1410">
        <f t="shared" si="4"/>
        <v>0</v>
      </c>
      <c r="BL606" s="1412"/>
      <c r="BM606" s="2"/>
      <c r="BN606" s="1414">
        <f t="shared" si="5"/>
        <v>0</v>
      </c>
      <c r="BO606" s="1415"/>
      <c r="BP606" s="1415"/>
      <c r="BQ606" s="1415"/>
      <c r="BR606" s="1416"/>
      <c r="BS606" s="1413">
        <f t="shared" si="6"/>
        <v>0</v>
      </c>
      <c r="BT606" s="1413"/>
      <c r="BU606" s="1413"/>
      <c r="BV606" s="1413"/>
      <c r="BW606" s="1413"/>
      <c r="BX606" s="1413">
        <f t="shared" si="7"/>
        <v>0</v>
      </c>
      <c r="BY606" s="1413"/>
      <c r="BZ606" s="1413"/>
      <c r="CA606" s="1413"/>
      <c r="CB606" s="1413"/>
      <c r="CC606" s="1413">
        <f t="shared" si="8"/>
        <v>0</v>
      </c>
      <c r="CD606" s="1413"/>
      <c r="CE606" s="1413"/>
      <c r="CF606" s="1413"/>
      <c r="CG606" s="1413"/>
      <c r="CH606" s="1413">
        <f t="shared" si="9"/>
        <v>0</v>
      </c>
      <c r="CI606" s="1413"/>
      <c r="CJ606" s="1413"/>
      <c r="CK606" s="1413"/>
      <c r="CL606" s="1413"/>
      <c r="CM606" s="1413">
        <f t="shared" si="10"/>
        <v>0</v>
      </c>
      <c r="CN606" s="1413"/>
      <c r="CO606" s="1413"/>
      <c r="CP606" s="1413"/>
      <c r="CQ606" s="1413"/>
      <c r="CR606" s="1148"/>
      <c r="CS606" s="1434">
        <f t="shared" si="11"/>
        <v>0</v>
      </c>
      <c r="CT606" s="1434"/>
      <c r="CU606" s="1434"/>
      <c r="CV606" s="1434"/>
      <c r="CW606" s="1434"/>
      <c r="CX606" s="1434">
        <f t="shared" si="12"/>
        <v>0</v>
      </c>
      <c r="CY606" s="1434"/>
      <c r="CZ606" s="1434"/>
      <c r="DA606" s="1434"/>
      <c r="DB606" s="1434"/>
      <c r="DC606" s="1434">
        <f t="shared" si="13"/>
        <v>0</v>
      </c>
      <c r="DD606" s="1434"/>
      <c r="DE606" s="1434"/>
      <c r="DF606" s="1434"/>
      <c r="DG606" s="1434"/>
      <c r="DH606" s="1434">
        <f t="shared" si="14"/>
        <v>0</v>
      </c>
      <c r="DI606" s="1434"/>
      <c r="DJ606" s="1434"/>
      <c r="DK606" s="1434"/>
      <c r="DL606" s="1434"/>
      <c r="DM606" s="1434">
        <f t="shared" si="15"/>
        <v>0</v>
      </c>
      <c r="DN606" s="1434"/>
      <c r="DO606" s="1434"/>
      <c r="DP606" s="1434"/>
      <c r="DQ606" s="1434"/>
      <c r="DR606" s="1434">
        <f t="shared" si="16"/>
        <v>0</v>
      </c>
      <c r="DS606" s="1434"/>
      <c r="DT606" s="1434"/>
      <c r="DU606" s="1434"/>
      <c r="DV606" s="1434"/>
      <c r="DW606" s="2"/>
      <c r="DX606" s="1410" t="str">
        <f t="shared" si="17"/>
        <v/>
      </c>
      <c r="DY606" s="1411"/>
      <c r="DZ606" s="1411"/>
      <c r="EA606" s="1411"/>
      <c r="EB606" s="1412"/>
      <c r="EC606" s="1410" t="str">
        <f t="shared" si="18"/>
        <v/>
      </c>
      <c r="ED606" s="1411"/>
      <c r="EE606" s="1411"/>
      <c r="EF606" s="1411"/>
      <c r="EG606" s="1412"/>
      <c r="EH606" s="1410" t="str">
        <f t="shared" si="19"/>
        <v/>
      </c>
      <c r="EI606" s="1411"/>
      <c r="EJ606" s="1411"/>
      <c r="EK606" s="1411"/>
      <c r="EL606" s="1412"/>
      <c r="EM606" s="1410" t="str">
        <f t="shared" si="20"/>
        <v/>
      </c>
      <c r="EN606" s="1411"/>
      <c r="EO606" s="1411"/>
      <c r="EP606" s="1411"/>
      <c r="EQ606" s="1412"/>
      <c r="ER606" s="1410" t="str">
        <f t="shared" si="21"/>
        <v/>
      </c>
      <c r="ES606" s="1411"/>
      <c r="ET606" s="1411"/>
      <c r="EU606" s="1411"/>
      <c r="EV606" s="1412"/>
      <c r="EW606" s="1410" t="str">
        <f t="shared" si="22"/>
        <v/>
      </c>
      <c r="EX606" s="1411"/>
      <c r="EY606" s="1411"/>
      <c r="EZ606" s="1411"/>
      <c r="FA606" s="1412"/>
    </row>
    <row r="607" spans="1:157" s="3" customFormat="1" ht="13" customHeight="1">
      <c r="A607" s="18"/>
      <c r="B607" t="s">
        <v>1480</v>
      </c>
      <c r="C607"/>
      <c r="D607"/>
      <c r="E607"/>
      <c r="F607"/>
      <c r="G607"/>
      <c r="H607"/>
      <c r="I607"/>
      <c r="J607"/>
      <c r="K607"/>
      <c r="L607"/>
      <c r="M607"/>
      <c r="N607" s="1381" t="s">
        <v>895</v>
      </c>
      <c r="O607" s="1381"/>
      <c r="P607"/>
      <c r="Q607"/>
      <c r="R607"/>
      <c r="S607"/>
      <c r="T607" s="18"/>
      <c r="U607" t="s">
        <v>1480</v>
      </c>
      <c r="V607"/>
      <c r="W607"/>
      <c r="X607"/>
      <c r="Y607"/>
      <c r="Z607"/>
      <c r="AA607"/>
      <c r="AB607"/>
      <c r="AC607"/>
      <c r="AD607"/>
      <c r="AE607"/>
      <c r="AF607"/>
      <c r="AG607" s="1381" t="s">
        <v>895</v>
      </c>
      <c r="AH607" s="1381"/>
      <c r="AI607"/>
      <c r="AJ607"/>
      <c r="AK607"/>
      <c r="AL607"/>
      <c r="AM607"/>
      <c r="AN607"/>
      <c r="AO607"/>
      <c r="AP607"/>
      <c r="AQ607"/>
      <c r="AR607"/>
      <c r="AS607"/>
      <c r="AT607"/>
      <c r="AU607"/>
      <c r="AV607"/>
      <c r="AW607"/>
      <c r="AX607"/>
      <c r="AY607"/>
      <c r="AZ607" s="2"/>
      <c r="BA607" s="2"/>
      <c r="BB607" s="2"/>
      <c r="BC607" s="2"/>
      <c r="BD607" s="2"/>
      <c r="BE607" s="1410">
        <f t="shared" si="1"/>
        <v>0</v>
      </c>
      <c r="BF607" s="1412"/>
      <c r="BG607" s="1410">
        <f t="shared" si="2"/>
        <v>0</v>
      </c>
      <c r="BH607" s="1412"/>
      <c r="BI607" s="1410">
        <f t="shared" si="3"/>
        <v>0</v>
      </c>
      <c r="BJ607" s="1412"/>
      <c r="BK607" s="1410">
        <f t="shared" si="4"/>
        <v>0</v>
      </c>
      <c r="BL607" s="1412"/>
      <c r="BM607" s="2"/>
      <c r="BN607" s="1414">
        <f t="shared" si="5"/>
        <v>0</v>
      </c>
      <c r="BO607" s="1415"/>
      <c r="BP607" s="1415"/>
      <c r="BQ607" s="1415"/>
      <c r="BR607" s="1416"/>
      <c r="BS607" s="1413">
        <f t="shared" si="6"/>
        <v>0</v>
      </c>
      <c r="BT607" s="1413"/>
      <c r="BU607" s="1413"/>
      <c r="BV607" s="1413"/>
      <c r="BW607" s="1413"/>
      <c r="BX607" s="1413">
        <f t="shared" si="7"/>
        <v>0</v>
      </c>
      <c r="BY607" s="1413"/>
      <c r="BZ607" s="1413"/>
      <c r="CA607" s="1413"/>
      <c r="CB607" s="1413"/>
      <c r="CC607" s="1413">
        <f t="shared" si="8"/>
        <v>0</v>
      </c>
      <c r="CD607" s="1413"/>
      <c r="CE607" s="1413"/>
      <c r="CF607" s="1413"/>
      <c r="CG607" s="1413"/>
      <c r="CH607" s="1413">
        <f t="shared" si="9"/>
        <v>0</v>
      </c>
      <c r="CI607" s="1413"/>
      <c r="CJ607" s="1413"/>
      <c r="CK607" s="1413"/>
      <c r="CL607" s="1413"/>
      <c r="CM607" s="1413">
        <f t="shared" si="10"/>
        <v>0</v>
      </c>
      <c r="CN607" s="1413"/>
      <c r="CO607" s="1413"/>
      <c r="CP607" s="1413"/>
      <c r="CQ607" s="1413"/>
      <c r="CR607" s="1148"/>
      <c r="CS607" s="1434">
        <f t="shared" si="11"/>
        <v>0</v>
      </c>
      <c r="CT607" s="1434"/>
      <c r="CU607" s="1434"/>
      <c r="CV607" s="1434"/>
      <c r="CW607" s="1434"/>
      <c r="CX607" s="1434">
        <f t="shared" si="12"/>
        <v>0</v>
      </c>
      <c r="CY607" s="1434"/>
      <c r="CZ607" s="1434"/>
      <c r="DA607" s="1434"/>
      <c r="DB607" s="1434"/>
      <c r="DC607" s="1434">
        <f t="shared" si="13"/>
        <v>0</v>
      </c>
      <c r="DD607" s="1434"/>
      <c r="DE607" s="1434"/>
      <c r="DF607" s="1434"/>
      <c r="DG607" s="1434"/>
      <c r="DH607" s="1434">
        <f t="shared" si="14"/>
        <v>0</v>
      </c>
      <c r="DI607" s="1434"/>
      <c r="DJ607" s="1434"/>
      <c r="DK607" s="1434"/>
      <c r="DL607" s="1434"/>
      <c r="DM607" s="1434">
        <f t="shared" si="15"/>
        <v>0</v>
      </c>
      <c r="DN607" s="1434"/>
      <c r="DO607" s="1434"/>
      <c r="DP607" s="1434"/>
      <c r="DQ607" s="1434"/>
      <c r="DR607" s="1434">
        <f t="shared" si="16"/>
        <v>0</v>
      </c>
      <c r="DS607" s="1434"/>
      <c r="DT607" s="1434"/>
      <c r="DU607" s="1434"/>
      <c r="DV607" s="1434"/>
      <c r="DW607" s="2"/>
      <c r="DX607" s="1410" t="str">
        <f t="shared" si="17"/>
        <v/>
      </c>
      <c r="DY607" s="1411"/>
      <c r="DZ607" s="1411"/>
      <c r="EA607" s="1411"/>
      <c r="EB607" s="1412"/>
      <c r="EC607" s="1410" t="str">
        <f t="shared" si="18"/>
        <v/>
      </c>
      <c r="ED607" s="1411"/>
      <c r="EE607" s="1411"/>
      <c r="EF607" s="1411"/>
      <c r="EG607" s="1412"/>
      <c r="EH607" s="1410" t="str">
        <f t="shared" si="19"/>
        <v/>
      </c>
      <c r="EI607" s="1411"/>
      <c r="EJ607" s="1411"/>
      <c r="EK607" s="1411"/>
      <c r="EL607" s="1412"/>
      <c r="EM607" s="1410" t="str">
        <f t="shared" si="20"/>
        <v/>
      </c>
      <c r="EN607" s="1411"/>
      <c r="EO607" s="1411"/>
      <c r="EP607" s="1411"/>
      <c r="EQ607" s="1412"/>
      <c r="ER607" s="1410" t="str">
        <f t="shared" si="21"/>
        <v/>
      </c>
      <c r="ES607" s="1411"/>
      <c r="ET607" s="1411"/>
      <c r="EU607" s="1411"/>
      <c r="EV607" s="1412"/>
      <c r="EW607" s="1410" t="str">
        <f t="shared" si="22"/>
        <v/>
      </c>
      <c r="EX607" s="1411"/>
      <c r="EY607" s="1411"/>
      <c r="EZ607" s="1411"/>
      <c r="FA607" s="1412"/>
    </row>
    <row r="608" spans="1:157" ht="13" customHeight="1">
      <c r="A608" s="18"/>
      <c r="T608" s="18"/>
      <c r="AZ608" s="2"/>
      <c r="BA608" s="2"/>
      <c r="BB608" s="2"/>
      <c r="BC608" s="2"/>
      <c r="BD608" s="2"/>
      <c r="BE608" s="1410">
        <f t="shared" si="1"/>
        <v>0</v>
      </c>
      <c r="BF608" s="1412"/>
      <c r="BG608" s="1410">
        <f t="shared" si="2"/>
        <v>0</v>
      </c>
      <c r="BH608" s="1412"/>
      <c r="BI608" s="1410">
        <f t="shared" si="3"/>
        <v>0</v>
      </c>
      <c r="BJ608" s="1412"/>
      <c r="BK608" s="1410">
        <f t="shared" si="4"/>
        <v>0</v>
      </c>
      <c r="BL608" s="1412"/>
      <c r="BM608" s="2"/>
      <c r="BN608" s="1414">
        <f t="shared" si="5"/>
        <v>0</v>
      </c>
      <c r="BO608" s="1415"/>
      <c r="BP608" s="1415"/>
      <c r="BQ608" s="1415"/>
      <c r="BR608" s="1416"/>
      <c r="BS608" s="1413">
        <f t="shared" si="6"/>
        <v>0</v>
      </c>
      <c r="BT608" s="1413"/>
      <c r="BU608" s="1413"/>
      <c r="BV608" s="1413"/>
      <c r="BW608" s="1413"/>
      <c r="BX608" s="1413">
        <f t="shared" si="7"/>
        <v>0</v>
      </c>
      <c r="BY608" s="1413"/>
      <c r="BZ608" s="1413"/>
      <c r="CA608" s="1413"/>
      <c r="CB608" s="1413"/>
      <c r="CC608" s="1413">
        <f t="shared" si="8"/>
        <v>0</v>
      </c>
      <c r="CD608" s="1413"/>
      <c r="CE608" s="1413"/>
      <c r="CF608" s="1413"/>
      <c r="CG608" s="1413"/>
      <c r="CH608" s="1413">
        <f t="shared" si="9"/>
        <v>0</v>
      </c>
      <c r="CI608" s="1413"/>
      <c r="CJ608" s="1413"/>
      <c r="CK608" s="1413"/>
      <c r="CL608" s="1413"/>
      <c r="CM608" s="1413">
        <f t="shared" si="10"/>
        <v>0</v>
      </c>
      <c r="CN608" s="1413"/>
      <c r="CO608" s="1413"/>
      <c r="CP608" s="1413"/>
      <c r="CQ608" s="1413"/>
      <c r="CR608" s="1148"/>
      <c r="CS608" s="1434">
        <f t="shared" si="11"/>
        <v>0</v>
      </c>
      <c r="CT608" s="1434"/>
      <c r="CU608" s="1434"/>
      <c r="CV608" s="1434"/>
      <c r="CW608" s="1434"/>
      <c r="CX608" s="1434">
        <f t="shared" si="12"/>
        <v>0</v>
      </c>
      <c r="CY608" s="1434"/>
      <c r="CZ608" s="1434"/>
      <c r="DA608" s="1434"/>
      <c r="DB608" s="1434"/>
      <c r="DC608" s="1434">
        <f t="shared" si="13"/>
        <v>0</v>
      </c>
      <c r="DD608" s="1434"/>
      <c r="DE608" s="1434"/>
      <c r="DF608" s="1434"/>
      <c r="DG608" s="1434"/>
      <c r="DH608" s="1434">
        <f t="shared" si="14"/>
        <v>0</v>
      </c>
      <c r="DI608" s="1434"/>
      <c r="DJ608" s="1434"/>
      <c r="DK608" s="1434"/>
      <c r="DL608" s="1434"/>
      <c r="DM608" s="1434">
        <f t="shared" si="15"/>
        <v>0</v>
      </c>
      <c r="DN608" s="1434"/>
      <c r="DO608" s="1434"/>
      <c r="DP608" s="1434"/>
      <c r="DQ608" s="1434"/>
      <c r="DR608" s="1434">
        <f t="shared" si="16"/>
        <v>0</v>
      </c>
      <c r="DS608" s="1434"/>
      <c r="DT608" s="1434"/>
      <c r="DU608" s="1434"/>
      <c r="DV608" s="1434"/>
      <c r="DX608" s="1410" t="str">
        <f t="shared" si="17"/>
        <v/>
      </c>
      <c r="DY608" s="1411"/>
      <c r="DZ608" s="1411"/>
      <c r="EA608" s="1411"/>
      <c r="EB608" s="1412"/>
      <c r="EC608" s="1410" t="str">
        <f t="shared" si="18"/>
        <v/>
      </c>
      <c r="ED608" s="1411"/>
      <c r="EE608" s="1411"/>
      <c r="EF608" s="1411"/>
      <c r="EG608" s="1412"/>
      <c r="EH608" s="1410" t="str">
        <f t="shared" si="19"/>
        <v/>
      </c>
      <c r="EI608" s="1411"/>
      <c r="EJ608" s="1411"/>
      <c r="EK608" s="1411"/>
      <c r="EL608" s="1412"/>
      <c r="EM608" s="1410" t="str">
        <f t="shared" si="20"/>
        <v/>
      </c>
      <c r="EN608" s="1411"/>
      <c r="EO608" s="1411"/>
      <c r="EP608" s="1411"/>
      <c r="EQ608" s="1412"/>
      <c r="ER608" s="1410" t="str">
        <f t="shared" si="21"/>
        <v/>
      </c>
      <c r="ES608" s="1411"/>
      <c r="ET608" s="1411"/>
      <c r="EU608" s="1411"/>
      <c r="EV608" s="1412"/>
      <c r="EW608" s="1410" t="str">
        <f t="shared" si="22"/>
        <v/>
      </c>
      <c r="EX608" s="1411"/>
      <c r="EY608" s="1411"/>
      <c r="EZ608" s="1411"/>
      <c r="FA608" s="1412"/>
    </row>
    <row r="609" spans="1:157" ht="13" customHeight="1">
      <c r="A609" s="37" t="s">
        <v>1468</v>
      </c>
      <c r="B609" t="s">
        <v>1471</v>
      </c>
      <c r="G609" s="1395">
        <f>C564</f>
        <v>0</v>
      </c>
      <c r="H609" s="1395"/>
      <c r="I609" s="1395"/>
      <c r="J609" s="1395"/>
      <c r="K609" s="1395"/>
      <c r="L609" s="1395"/>
      <c r="M609" s="1395"/>
      <c r="N609" s="1395"/>
      <c r="O609" s="1395"/>
      <c r="P609" s="1395"/>
      <c r="Q609" s="1395"/>
      <c r="R609" s="1395"/>
      <c r="T609" s="37" t="s">
        <v>1469</v>
      </c>
      <c r="U609" t="s">
        <v>1471</v>
      </c>
      <c r="Z609" s="1395">
        <f>C565</f>
        <v>0</v>
      </c>
      <c r="AA609" s="1395"/>
      <c r="AB609" s="1395"/>
      <c r="AC609" s="1395"/>
      <c r="AD609" s="1395"/>
      <c r="AE609" s="1395"/>
      <c r="AF609" s="1395"/>
      <c r="AG609" s="1395"/>
      <c r="AH609" s="1395"/>
      <c r="AI609" s="1395"/>
      <c r="AJ609" s="1395"/>
      <c r="AK609" s="1395"/>
      <c r="AZ609" s="2"/>
      <c r="BA609" s="2"/>
      <c r="BB609" s="2"/>
      <c r="BC609" s="2"/>
      <c r="BD609" s="2"/>
      <c r="BE609" s="1410">
        <f t="shared" si="1"/>
        <v>0</v>
      </c>
      <c r="BF609" s="1412"/>
      <c r="BG609" s="1410">
        <f t="shared" si="2"/>
        <v>0</v>
      </c>
      <c r="BH609" s="1412"/>
      <c r="BI609" s="1410">
        <f t="shared" si="3"/>
        <v>0</v>
      </c>
      <c r="BJ609" s="1412"/>
      <c r="BK609" s="1410">
        <f t="shared" si="4"/>
        <v>0</v>
      </c>
      <c r="BL609" s="1412"/>
      <c r="BM609" s="2"/>
      <c r="BN609" s="1414">
        <f t="shared" si="5"/>
        <v>0</v>
      </c>
      <c r="BO609" s="1415"/>
      <c r="BP609" s="1415"/>
      <c r="BQ609" s="1415"/>
      <c r="BR609" s="1416"/>
      <c r="BS609" s="1413">
        <f t="shared" si="6"/>
        <v>0</v>
      </c>
      <c r="BT609" s="1413"/>
      <c r="BU609" s="1413"/>
      <c r="BV609" s="1413"/>
      <c r="BW609" s="1413"/>
      <c r="BX609" s="1413">
        <f t="shared" si="7"/>
        <v>0</v>
      </c>
      <c r="BY609" s="1413"/>
      <c r="BZ609" s="1413"/>
      <c r="CA609" s="1413"/>
      <c r="CB609" s="1413"/>
      <c r="CC609" s="1413">
        <f t="shared" si="8"/>
        <v>0</v>
      </c>
      <c r="CD609" s="1413"/>
      <c r="CE609" s="1413"/>
      <c r="CF609" s="1413"/>
      <c r="CG609" s="1413"/>
      <c r="CH609" s="1413">
        <f t="shared" si="9"/>
        <v>0</v>
      </c>
      <c r="CI609" s="1413"/>
      <c r="CJ609" s="1413"/>
      <c r="CK609" s="1413"/>
      <c r="CL609" s="1413"/>
      <c r="CM609" s="1413">
        <f t="shared" si="10"/>
        <v>0</v>
      </c>
      <c r="CN609" s="1413"/>
      <c r="CO609" s="1413"/>
      <c r="CP609" s="1413"/>
      <c r="CQ609" s="1413"/>
      <c r="CR609" s="1148"/>
      <c r="CS609" s="1434">
        <f t="shared" si="11"/>
        <v>0</v>
      </c>
      <c r="CT609" s="1434"/>
      <c r="CU609" s="1434"/>
      <c r="CV609" s="1434"/>
      <c r="CW609" s="1434"/>
      <c r="CX609" s="1434">
        <f t="shared" si="12"/>
        <v>0</v>
      </c>
      <c r="CY609" s="1434"/>
      <c r="CZ609" s="1434"/>
      <c r="DA609" s="1434"/>
      <c r="DB609" s="1434"/>
      <c r="DC609" s="1434">
        <f t="shared" si="13"/>
        <v>0</v>
      </c>
      <c r="DD609" s="1434"/>
      <c r="DE609" s="1434"/>
      <c r="DF609" s="1434"/>
      <c r="DG609" s="1434"/>
      <c r="DH609" s="1434">
        <f t="shared" si="14"/>
        <v>0</v>
      </c>
      <c r="DI609" s="1434"/>
      <c r="DJ609" s="1434"/>
      <c r="DK609" s="1434"/>
      <c r="DL609" s="1434"/>
      <c r="DM609" s="1434">
        <f t="shared" si="15"/>
        <v>0</v>
      </c>
      <c r="DN609" s="1434"/>
      <c r="DO609" s="1434"/>
      <c r="DP609" s="1434"/>
      <c r="DQ609" s="1434"/>
      <c r="DR609" s="1434">
        <f t="shared" si="16"/>
        <v>0</v>
      </c>
      <c r="DS609" s="1434"/>
      <c r="DT609" s="1434"/>
      <c r="DU609" s="1434"/>
      <c r="DV609" s="1434"/>
      <c r="DX609" s="1410" t="str">
        <f t="shared" si="17"/>
        <v/>
      </c>
      <c r="DY609" s="1411"/>
      <c r="DZ609" s="1411"/>
      <c r="EA609" s="1411"/>
      <c r="EB609" s="1412"/>
      <c r="EC609" s="1410" t="str">
        <f t="shared" si="18"/>
        <v/>
      </c>
      <c r="ED609" s="1411"/>
      <c r="EE609" s="1411"/>
      <c r="EF609" s="1411"/>
      <c r="EG609" s="1412"/>
      <c r="EH609" s="1410" t="str">
        <f t="shared" si="19"/>
        <v/>
      </c>
      <c r="EI609" s="1411"/>
      <c r="EJ609" s="1411"/>
      <c r="EK609" s="1411"/>
      <c r="EL609" s="1412"/>
      <c r="EM609" s="1410" t="str">
        <f t="shared" si="20"/>
        <v/>
      </c>
      <c r="EN609" s="1411"/>
      <c r="EO609" s="1411"/>
      <c r="EP609" s="1411"/>
      <c r="EQ609" s="1412"/>
      <c r="ER609" s="1410" t="str">
        <f t="shared" si="21"/>
        <v/>
      </c>
      <c r="ES609" s="1411"/>
      <c r="ET609" s="1411"/>
      <c r="EU609" s="1411"/>
      <c r="EV609" s="1412"/>
      <c r="EW609" s="1410" t="str">
        <f t="shared" si="22"/>
        <v/>
      </c>
      <c r="EX609" s="1411"/>
      <c r="EY609" s="1411"/>
      <c r="EZ609" s="1411"/>
      <c r="FA609" s="1412"/>
    </row>
    <row r="610" spans="1:157" ht="13" customHeight="1">
      <c r="B610" t="s">
        <v>1113</v>
      </c>
      <c r="G610" s="1335"/>
      <c r="H610" s="1335"/>
      <c r="I610" s="1335"/>
      <c r="J610" s="1335"/>
      <c r="K610" s="1335"/>
      <c r="L610" s="1335"/>
      <c r="M610" s="1335"/>
      <c r="N610" s="1335"/>
      <c r="O610" s="1335"/>
      <c r="P610" s="1335"/>
      <c r="Q610" s="1335"/>
      <c r="R610" s="1335"/>
      <c r="U610" t="s">
        <v>1113</v>
      </c>
      <c r="Z610" s="1335"/>
      <c r="AA610" s="1335"/>
      <c r="AB610" s="1335"/>
      <c r="AC610" s="1335"/>
      <c r="AD610" s="1335"/>
      <c r="AE610" s="1335"/>
      <c r="AF610" s="1335"/>
      <c r="AG610" s="1335"/>
      <c r="AH610" s="1335"/>
      <c r="AI610" s="1335"/>
      <c r="AJ610" s="1335"/>
      <c r="AK610" s="1335"/>
      <c r="AZ610" s="2"/>
      <c r="BA610" s="2"/>
      <c r="BB610" s="2"/>
      <c r="BC610" s="2"/>
      <c r="BD610" s="2"/>
      <c r="BE610" s="1410">
        <f t="shared" si="1"/>
        <v>0</v>
      </c>
      <c r="BF610" s="1412"/>
      <c r="BG610" s="1410">
        <f t="shared" si="2"/>
        <v>0</v>
      </c>
      <c r="BH610" s="1412"/>
      <c r="BI610" s="1410">
        <f t="shared" si="3"/>
        <v>0</v>
      </c>
      <c r="BJ610" s="1412"/>
      <c r="BK610" s="1410">
        <f t="shared" si="4"/>
        <v>0</v>
      </c>
      <c r="BL610" s="1412"/>
      <c r="BM610" s="2"/>
      <c r="BN610" s="1414">
        <f t="shared" si="5"/>
        <v>0</v>
      </c>
      <c r="BO610" s="1415"/>
      <c r="BP610" s="1415"/>
      <c r="BQ610" s="1415"/>
      <c r="BR610" s="1416"/>
      <c r="BS610" s="1413">
        <f t="shared" si="6"/>
        <v>0</v>
      </c>
      <c r="BT610" s="1413"/>
      <c r="BU610" s="1413"/>
      <c r="BV610" s="1413"/>
      <c r="BW610" s="1413"/>
      <c r="BX610" s="1413">
        <f t="shared" si="7"/>
        <v>0</v>
      </c>
      <c r="BY610" s="1413"/>
      <c r="BZ610" s="1413"/>
      <c r="CA610" s="1413"/>
      <c r="CB610" s="1413"/>
      <c r="CC610" s="1413">
        <f t="shared" si="8"/>
        <v>0</v>
      </c>
      <c r="CD610" s="1413"/>
      <c r="CE610" s="1413"/>
      <c r="CF610" s="1413"/>
      <c r="CG610" s="1413"/>
      <c r="CH610" s="1413">
        <f t="shared" si="9"/>
        <v>0</v>
      </c>
      <c r="CI610" s="1413"/>
      <c r="CJ610" s="1413"/>
      <c r="CK610" s="1413"/>
      <c r="CL610" s="1413"/>
      <c r="CM610" s="1413">
        <f t="shared" si="10"/>
        <v>0</v>
      </c>
      <c r="CN610" s="1413"/>
      <c r="CO610" s="1413"/>
      <c r="CP610" s="1413"/>
      <c r="CQ610" s="1413"/>
      <c r="CR610" s="1148"/>
      <c r="CS610" s="1434">
        <f t="shared" si="11"/>
        <v>0</v>
      </c>
      <c r="CT610" s="1434"/>
      <c r="CU610" s="1434"/>
      <c r="CV610" s="1434"/>
      <c r="CW610" s="1434"/>
      <c r="CX610" s="1434">
        <f t="shared" si="12"/>
        <v>0</v>
      </c>
      <c r="CY610" s="1434"/>
      <c r="CZ610" s="1434"/>
      <c r="DA610" s="1434"/>
      <c r="DB610" s="1434"/>
      <c r="DC610" s="1434">
        <f t="shared" si="13"/>
        <v>0</v>
      </c>
      <c r="DD610" s="1434"/>
      <c r="DE610" s="1434"/>
      <c r="DF610" s="1434"/>
      <c r="DG610" s="1434"/>
      <c r="DH610" s="1434">
        <f t="shared" si="14"/>
        <v>0</v>
      </c>
      <c r="DI610" s="1434"/>
      <c r="DJ610" s="1434"/>
      <c r="DK610" s="1434"/>
      <c r="DL610" s="1434"/>
      <c r="DM610" s="1434">
        <f t="shared" si="15"/>
        <v>0</v>
      </c>
      <c r="DN610" s="1434"/>
      <c r="DO610" s="1434"/>
      <c r="DP610" s="1434"/>
      <c r="DQ610" s="1434"/>
      <c r="DR610" s="1434">
        <f t="shared" si="16"/>
        <v>0</v>
      </c>
      <c r="DS610" s="1434"/>
      <c r="DT610" s="1434"/>
      <c r="DU610" s="1434"/>
      <c r="DV610" s="1434"/>
      <c r="DX610" s="1410" t="str">
        <f t="shared" si="17"/>
        <v/>
      </c>
      <c r="DY610" s="1411"/>
      <c r="DZ610" s="1411"/>
      <c r="EA610" s="1411"/>
      <c r="EB610" s="1412"/>
      <c r="EC610" s="1410" t="str">
        <f t="shared" si="18"/>
        <v/>
      </c>
      <c r="ED610" s="1411"/>
      <c r="EE610" s="1411"/>
      <c r="EF610" s="1411"/>
      <c r="EG610" s="1412"/>
      <c r="EH610" s="1410" t="str">
        <f t="shared" si="19"/>
        <v/>
      </c>
      <c r="EI610" s="1411"/>
      <c r="EJ610" s="1411"/>
      <c r="EK610" s="1411"/>
      <c r="EL610" s="1412"/>
      <c r="EM610" s="1410" t="str">
        <f t="shared" si="20"/>
        <v/>
      </c>
      <c r="EN610" s="1411"/>
      <c r="EO610" s="1411"/>
      <c r="EP610" s="1411"/>
      <c r="EQ610" s="1412"/>
      <c r="ER610" s="1410" t="str">
        <f t="shared" si="21"/>
        <v/>
      </c>
      <c r="ES610" s="1411"/>
      <c r="ET610" s="1411"/>
      <c r="EU610" s="1411"/>
      <c r="EV610" s="1412"/>
      <c r="EW610" s="1410" t="str">
        <f t="shared" si="22"/>
        <v/>
      </c>
      <c r="EX610" s="1411"/>
      <c r="EY610" s="1411"/>
      <c r="EZ610" s="1411"/>
      <c r="FA610" s="1412"/>
    </row>
    <row r="611" spans="1:157" ht="13" customHeight="1">
      <c r="B611" t="s">
        <v>982</v>
      </c>
      <c r="G611" s="1335"/>
      <c r="H611" s="1335"/>
      <c r="I611" s="1335"/>
      <c r="J611" s="1335"/>
      <c r="K611" s="1335"/>
      <c r="L611" s="1335"/>
      <c r="M611" s="1335"/>
      <c r="N611" s="1335"/>
      <c r="O611" s="1335"/>
      <c r="P611" s="1335"/>
      <c r="Q611" s="1335"/>
      <c r="R611" s="1335"/>
      <c r="U611" t="s">
        <v>982</v>
      </c>
      <c r="Z611" s="1385"/>
      <c r="AA611" s="1385"/>
      <c r="AB611" s="1385"/>
      <c r="AC611" s="1385"/>
      <c r="AD611" s="1385"/>
      <c r="AE611" s="1385"/>
      <c r="AF611" s="1385"/>
      <c r="AG611" s="1385"/>
      <c r="AH611" s="1385"/>
      <c r="AI611" s="1385"/>
      <c r="AJ611" s="1385"/>
      <c r="AK611" s="1385"/>
      <c r="AZ611" s="2"/>
      <c r="BA611" s="2"/>
      <c r="BB611" s="2"/>
      <c r="BC611" s="2"/>
      <c r="BD611" s="2"/>
      <c r="BE611" s="1410">
        <f t="shared" si="1"/>
        <v>0</v>
      </c>
      <c r="BF611" s="1412"/>
      <c r="BG611" s="1410">
        <f t="shared" si="2"/>
        <v>0</v>
      </c>
      <c r="BH611" s="1412"/>
      <c r="BI611" s="1410">
        <f t="shared" si="3"/>
        <v>0</v>
      </c>
      <c r="BJ611" s="1412"/>
      <c r="BK611" s="1410">
        <f t="shared" si="4"/>
        <v>0</v>
      </c>
      <c r="BL611" s="1412"/>
      <c r="BM611" s="2"/>
      <c r="BN611" s="1414">
        <f t="shared" si="5"/>
        <v>0</v>
      </c>
      <c r="BO611" s="1415"/>
      <c r="BP611" s="1415"/>
      <c r="BQ611" s="1415"/>
      <c r="BR611" s="1416"/>
      <c r="BS611" s="1413">
        <f t="shared" si="6"/>
        <v>0</v>
      </c>
      <c r="BT611" s="1413"/>
      <c r="BU611" s="1413"/>
      <c r="BV611" s="1413"/>
      <c r="BW611" s="1413"/>
      <c r="BX611" s="1413">
        <f t="shared" si="7"/>
        <v>0</v>
      </c>
      <c r="BY611" s="1413"/>
      <c r="BZ611" s="1413"/>
      <c r="CA611" s="1413"/>
      <c r="CB611" s="1413"/>
      <c r="CC611" s="1413">
        <f t="shared" si="8"/>
        <v>0</v>
      </c>
      <c r="CD611" s="1413"/>
      <c r="CE611" s="1413"/>
      <c r="CF611" s="1413"/>
      <c r="CG611" s="1413"/>
      <c r="CH611" s="1413">
        <f t="shared" si="9"/>
        <v>0</v>
      </c>
      <c r="CI611" s="1413"/>
      <c r="CJ611" s="1413"/>
      <c r="CK611" s="1413"/>
      <c r="CL611" s="1413"/>
      <c r="CM611" s="1413">
        <f t="shared" si="10"/>
        <v>0</v>
      </c>
      <c r="CN611" s="1413"/>
      <c r="CO611" s="1413"/>
      <c r="CP611" s="1413"/>
      <c r="CQ611" s="1413"/>
      <c r="CR611" s="1148"/>
      <c r="CS611" s="1434">
        <f t="shared" si="11"/>
        <v>0</v>
      </c>
      <c r="CT611" s="1434"/>
      <c r="CU611" s="1434"/>
      <c r="CV611" s="1434"/>
      <c r="CW611" s="1434"/>
      <c r="CX611" s="1434">
        <f t="shared" si="12"/>
        <v>0</v>
      </c>
      <c r="CY611" s="1434"/>
      <c r="CZ611" s="1434"/>
      <c r="DA611" s="1434"/>
      <c r="DB611" s="1434"/>
      <c r="DC611" s="1434">
        <f t="shared" si="13"/>
        <v>0</v>
      </c>
      <c r="DD611" s="1434"/>
      <c r="DE611" s="1434"/>
      <c r="DF611" s="1434"/>
      <c r="DG611" s="1434"/>
      <c r="DH611" s="1434">
        <f t="shared" si="14"/>
        <v>0</v>
      </c>
      <c r="DI611" s="1434"/>
      <c r="DJ611" s="1434"/>
      <c r="DK611" s="1434"/>
      <c r="DL611" s="1434"/>
      <c r="DM611" s="1434">
        <f t="shared" si="15"/>
        <v>0</v>
      </c>
      <c r="DN611" s="1434"/>
      <c r="DO611" s="1434"/>
      <c r="DP611" s="1434"/>
      <c r="DQ611" s="1434"/>
      <c r="DR611" s="1434">
        <f t="shared" si="16"/>
        <v>0</v>
      </c>
      <c r="DS611" s="1434"/>
      <c r="DT611" s="1434"/>
      <c r="DU611" s="1434"/>
      <c r="DV611" s="1434"/>
      <c r="DX611" s="1410" t="str">
        <f t="shared" si="17"/>
        <v/>
      </c>
      <c r="DY611" s="1411"/>
      <c r="DZ611" s="1411"/>
      <c r="EA611" s="1411"/>
      <c r="EB611" s="1412"/>
      <c r="EC611" s="1410" t="str">
        <f t="shared" si="18"/>
        <v/>
      </c>
      <c r="ED611" s="1411"/>
      <c r="EE611" s="1411"/>
      <c r="EF611" s="1411"/>
      <c r="EG611" s="1412"/>
      <c r="EH611" s="1410" t="str">
        <f t="shared" si="19"/>
        <v/>
      </c>
      <c r="EI611" s="1411"/>
      <c r="EJ611" s="1411"/>
      <c r="EK611" s="1411"/>
      <c r="EL611" s="1412"/>
      <c r="EM611" s="1410" t="str">
        <f t="shared" si="20"/>
        <v/>
      </c>
      <c r="EN611" s="1411"/>
      <c r="EO611" s="1411"/>
      <c r="EP611" s="1411"/>
      <c r="EQ611" s="1412"/>
      <c r="ER611" s="1410" t="str">
        <f t="shared" si="21"/>
        <v/>
      </c>
      <c r="ES611" s="1411"/>
      <c r="ET611" s="1411"/>
      <c r="EU611" s="1411"/>
      <c r="EV611" s="1412"/>
      <c r="EW611" s="1410" t="str">
        <f t="shared" si="22"/>
        <v/>
      </c>
      <c r="EX611" s="1411"/>
      <c r="EY611" s="1411"/>
      <c r="EZ611" s="1411"/>
      <c r="FA611" s="1412"/>
    </row>
    <row r="612" spans="1:157" ht="13" customHeight="1">
      <c r="B612" t="s">
        <v>1473</v>
      </c>
      <c r="G612" s="1335"/>
      <c r="H612" s="1335"/>
      <c r="I612" s="1335"/>
      <c r="J612" s="1335"/>
      <c r="K612" s="1335"/>
      <c r="L612" s="1335"/>
      <c r="M612" s="1335"/>
      <c r="N612" s="1335"/>
      <c r="O612" s="1335"/>
      <c r="P612" s="1335"/>
      <c r="Q612" s="1335"/>
      <c r="R612" s="1335"/>
      <c r="U612" t="s">
        <v>1473</v>
      </c>
      <c r="Z612" s="1385"/>
      <c r="AA612" s="1385"/>
      <c r="AB612" s="1385"/>
      <c r="AC612" s="1385"/>
      <c r="AD612" s="1385"/>
      <c r="AE612" s="1385"/>
      <c r="AF612" s="1385"/>
      <c r="AG612" s="1385"/>
      <c r="AH612" s="1385"/>
      <c r="AI612" s="1385"/>
      <c r="AJ612" s="1385"/>
      <c r="AK612" s="1385"/>
      <c r="AZ612" s="2"/>
      <c r="BA612" s="2"/>
      <c r="BB612" s="2"/>
      <c r="BC612" s="2"/>
      <c r="BD612" s="2"/>
      <c r="BE612" s="1410">
        <f t="shared" si="1"/>
        <v>0</v>
      </c>
      <c r="BF612" s="1412"/>
      <c r="BG612" s="1410">
        <f t="shared" si="2"/>
        <v>0</v>
      </c>
      <c r="BH612" s="1412"/>
      <c r="BI612" s="1410">
        <f t="shared" si="3"/>
        <v>0</v>
      </c>
      <c r="BJ612" s="1412"/>
      <c r="BK612" s="1410">
        <f t="shared" si="4"/>
        <v>0</v>
      </c>
      <c r="BL612" s="1412"/>
      <c r="BM612" s="2"/>
      <c r="BN612" s="1414">
        <f t="shared" si="5"/>
        <v>0</v>
      </c>
      <c r="BO612" s="1415"/>
      <c r="BP612" s="1415"/>
      <c r="BQ612" s="1415"/>
      <c r="BR612" s="1416"/>
      <c r="BS612" s="1413">
        <f t="shared" si="6"/>
        <v>0</v>
      </c>
      <c r="BT612" s="1413"/>
      <c r="BU612" s="1413"/>
      <c r="BV612" s="1413"/>
      <c r="BW612" s="1413"/>
      <c r="BX612" s="1413">
        <f t="shared" si="7"/>
        <v>0</v>
      </c>
      <c r="BY612" s="1413"/>
      <c r="BZ612" s="1413"/>
      <c r="CA612" s="1413"/>
      <c r="CB612" s="1413"/>
      <c r="CC612" s="1413">
        <f t="shared" si="8"/>
        <v>0</v>
      </c>
      <c r="CD612" s="1413"/>
      <c r="CE612" s="1413"/>
      <c r="CF612" s="1413"/>
      <c r="CG612" s="1413"/>
      <c r="CH612" s="1413">
        <f t="shared" si="9"/>
        <v>0</v>
      </c>
      <c r="CI612" s="1413"/>
      <c r="CJ612" s="1413"/>
      <c r="CK612" s="1413"/>
      <c r="CL612" s="1413"/>
      <c r="CM612" s="1413">
        <f t="shared" si="10"/>
        <v>0</v>
      </c>
      <c r="CN612" s="1413"/>
      <c r="CO612" s="1413"/>
      <c r="CP612" s="1413"/>
      <c r="CQ612" s="1413"/>
      <c r="CR612" s="1148"/>
      <c r="CS612" s="1434">
        <f t="shared" si="11"/>
        <v>0</v>
      </c>
      <c r="CT612" s="1434"/>
      <c r="CU612" s="1434"/>
      <c r="CV612" s="1434"/>
      <c r="CW612" s="1434"/>
      <c r="CX612" s="1434">
        <f t="shared" si="12"/>
        <v>0</v>
      </c>
      <c r="CY612" s="1434"/>
      <c r="CZ612" s="1434"/>
      <c r="DA612" s="1434"/>
      <c r="DB612" s="1434"/>
      <c r="DC612" s="1434">
        <f t="shared" si="13"/>
        <v>0</v>
      </c>
      <c r="DD612" s="1434"/>
      <c r="DE612" s="1434"/>
      <c r="DF612" s="1434"/>
      <c r="DG612" s="1434"/>
      <c r="DH612" s="1434">
        <f t="shared" si="14"/>
        <v>0</v>
      </c>
      <c r="DI612" s="1434"/>
      <c r="DJ612" s="1434"/>
      <c r="DK612" s="1434"/>
      <c r="DL612" s="1434"/>
      <c r="DM612" s="1434">
        <f t="shared" si="15"/>
        <v>0</v>
      </c>
      <c r="DN612" s="1434"/>
      <c r="DO612" s="1434"/>
      <c r="DP612" s="1434"/>
      <c r="DQ612" s="1434"/>
      <c r="DR612" s="1434">
        <f t="shared" si="16"/>
        <v>0</v>
      </c>
      <c r="DS612" s="1434"/>
      <c r="DT612" s="1434"/>
      <c r="DU612" s="1434"/>
      <c r="DV612" s="1434"/>
      <c r="DX612" s="1410" t="str">
        <f t="shared" si="17"/>
        <v/>
      </c>
      <c r="DY612" s="1411"/>
      <c r="DZ612" s="1411"/>
      <c r="EA612" s="1411"/>
      <c r="EB612" s="1412"/>
      <c r="EC612" s="1410" t="str">
        <f t="shared" si="18"/>
        <v/>
      </c>
      <c r="ED612" s="1411"/>
      <c r="EE612" s="1411"/>
      <c r="EF612" s="1411"/>
      <c r="EG612" s="1412"/>
      <c r="EH612" s="1410" t="str">
        <f t="shared" si="19"/>
        <v/>
      </c>
      <c r="EI612" s="1411"/>
      <c r="EJ612" s="1411"/>
      <c r="EK612" s="1411"/>
      <c r="EL612" s="1412"/>
      <c r="EM612" s="1410" t="str">
        <f t="shared" si="20"/>
        <v/>
      </c>
      <c r="EN612" s="1411"/>
      <c r="EO612" s="1411"/>
      <c r="EP612" s="1411"/>
      <c r="EQ612" s="1412"/>
      <c r="ER612" s="1410" t="str">
        <f t="shared" si="21"/>
        <v/>
      </c>
      <c r="ES612" s="1411"/>
      <c r="ET612" s="1411"/>
      <c r="EU612" s="1411"/>
      <c r="EV612" s="1412"/>
      <c r="EW612" s="1410" t="str">
        <f t="shared" si="22"/>
        <v/>
      </c>
      <c r="EX612" s="1411"/>
      <c r="EY612" s="1411"/>
      <c r="EZ612" s="1411"/>
      <c r="FA612" s="1412"/>
    </row>
    <row r="613" spans="1:157" ht="13" customHeight="1">
      <c r="B613" t="s">
        <v>884</v>
      </c>
      <c r="G613" s="1417"/>
      <c r="H613" s="1417"/>
      <c r="I613" s="1417"/>
      <c r="J613" s="1417"/>
      <c r="K613" s="1417"/>
      <c r="L613" s="1417"/>
      <c r="O613" s="840" t="s">
        <v>1121</v>
      </c>
      <c r="P613" s="1394"/>
      <c r="Q613" s="1394"/>
      <c r="R613" s="1394"/>
      <c r="U613" t="s">
        <v>884</v>
      </c>
      <c r="Z613" s="1417"/>
      <c r="AA613" s="1417"/>
      <c r="AB613" s="1417"/>
      <c r="AC613" s="1417"/>
      <c r="AD613" s="1417"/>
      <c r="AE613" s="1417"/>
      <c r="AH613" s="840" t="s">
        <v>1121</v>
      </c>
      <c r="AI613" s="1394"/>
      <c r="AJ613" s="1394"/>
      <c r="AK613" s="1394"/>
      <c r="AZ613" s="2"/>
      <c r="BA613" s="2"/>
      <c r="BB613" s="2"/>
      <c r="BC613" s="2"/>
      <c r="BD613" s="2"/>
      <c r="BE613" s="1410">
        <f t="shared" si="1"/>
        <v>0</v>
      </c>
      <c r="BF613" s="1412"/>
      <c r="BG613" s="1410">
        <f t="shared" si="2"/>
        <v>0</v>
      </c>
      <c r="BH613" s="1412"/>
      <c r="BI613" s="1410">
        <f t="shared" si="3"/>
        <v>0</v>
      </c>
      <c r="BJ613" s="1412"/>
      <c r="BK613" s="1410">
        <f t="shared" si="4"/>
        <v>0</v>
      </c>
      <c r="BL613" s="1412"/>
      <c r="BM613" s="2"/>
      <c r="BN613" s="1414">
        <f t="shared" si="5"/>
        <v>0</v>
      </c>
      <c r="BO613" s="1415"/>
      <c r="BP613" s="1415"/>
      <c r="BQ613" s="1415"/>
      <c r="BR613" s="1416"/>
      <c r="BS613" s="1413">
        <f t="shared" si="6"/>
        <v>0</v>
      </c>
      <c r="BT613" s="1413"/>
      <c r="BU613" s="1413"/>
      <c r="BV613" s="1413"/>
      <c r="BW613" s="1413"/>
      <c r="BX613" s="1413">
        <f t="shared" si="7"/>
        <v>0</v>
      </c>
      <c r="BY613" s="1413"/>
      <c r="BZ613" s="1413"/>
      <c r="CA613" s="1413"/>
      <c r="CB613" s="1413"/>
      <c r="CC613" s="1413">
        <f t="shared" si="8"/>
        <v>0</v>
      </c>
      <c r="CD613" s="1413"/>
      <c r="CE613" s="1413"/>
      <c r="CF613" s="1413"/>
      <c r="CG613" s="1413"/>
      <c r="CH613" s="1413">
        <f t="shared" si="9"/>
        <v>0</v>
      </c>
      <c r="CI613" s="1413"/>
      <c r="CJ613" s="1413"/>
      <c r="CK613" s="1413"/>
      <c r="CL613" s="1413"/>
      <c r="CM613" s="1413">
        <f t="shared" si="10"/>
        <v>0</v>
      </c>
      <c r="CN613" s="1413"/>
      <c r="CO613" s="1413"/>
      <c r="CP613" s="1413"/>
      <c r="CQ613" s="1413"/>
      <c r="CR613" s="1148"/>
      <c r="CS613" s="1434">
        <f t="shared" si="11"/>
        <v>0</v>
      </c>
      <c r="CT613" s="1434"/>
      <c r="CU613" s="1434"/>
      <c r="CV613" s="1434"/>
      <c r="CW613" s="1434"/>
      <c r="CX613" s="1434">
        <f t="shared" si="12"/>
        <v>0</v>
      </c>
      <c r="CY613" s="1434"/>
      <c r="CZ613" s="1434"/>
      <c r="DA613" s="1434"/>
      <c r="DB613" s="1434"/>
      <c r="DC613" s="1434">
        <f t="shared" si="13"/>
        <v>0</v>
      </c>
      <c r="DD613" s="1434"/>
      <c r="DE613" s="1434"/>
      <c r="DF613" s="1434"/>
      <c r="DG613" s="1434"/>
      <c r="DH613" s="1434">
        <f t="shared" si="14"/>
        <v>0</v>
      </c>
      <c r="DI613" s="1434"/>
      <c r="DJ613" s="1434"/>
      <c r="DK613" s="1434"/>
      <c r="DL613" s="1434"/>
      <c r="DM613" s="1434">
        <f t="shared" si="15"/>
        <v>0</v>
      </c>
      <c r="DN613" s="1434"/>
      <c r="DO613" s="1434"/>
      <c r="DP613" s="1434"/>
      <c r="DQ613" s="1434"/>
      <c r="DR613" s="1434">
        <f t="shared" si="16"/>
        <v>0</v>
      </c>
      <c r="DS613" s="1434"/>
      <c r="DT613" s="1434"/>
      <c r="DU613" s="1434"/>
      <c r="DV613" s="1434"/>
      <c r="DX613" s="1410" t="str">
        <f t="shared" si="17"/>
        <v/>
      </c>
      <c r="DY613" s="1411"/>
      <c r="DZ613" s="1411"/>
      <c r="EA613" s="1411"/>
      <c r="EB613" s="1412"/>
      <c r="EC613" s="1410" t="str">
        <f t="shared" si="18"/>
        <v/>
      </c>
      <c r="ED613" s="1411"/>
      <c r="EE613" s="1411"/>
      <c r="EF613" s="1411"/>
      <c r="EG613" s="1412"/>
      <c r="EH613" s="1410" t="str">
        <f t="shared" si="19"/>
        <v/>
      </c>
      <c r="EI613" s="1411"/>
      <c r="EJ613" s="1411"/>
      <c r="EK613" s="1411"/>
      <c r="EL613" s="1412"/>
      <c r="EM613" s="1410" t="str">
        <f t="shared" si="20"/>
        <v/>
      </c>
      <c r="EN613" s="1411"/>
      <c r="EO613" s="1411"/>
      <c r="EP613" s="1411"/>
      <c r="EQ613" s="1412"/>
      <c r="ER613" s="1410" t="str">
        <f t="shared" si="21"/>
        <v/>
      </c>
      <c r="ES613" s="1411"/>
      <c r="ET613" s="1411"/>
      <c r="EU613" s="1411"/>
      <c r="EV613" s="1412"/>
      <c r="EW613" s="1410" t="str">
        <f t="shared" si="22"/>
        <v/>
      </c>
      <c r="EX613" s="1411"/>
      <c r="EY613" s="1411"/>
      <c r="EZ613" s="1411"/>
      <c r="FA613" s="1412"/>
    </row>
    <row r="614" spans="1:157" ht="13" customHeight="1">
      <c r="B614" t="s">
        <v>1476</v>
      </c>
      <c r="H614" s="1335"/>
      <c r="I614" s="1335"/>
      <c r="J614" s="1335"/>
      <c r="K614" s="1335"/>
      <c r="L614" s="1335"/>
      <c r="M614" s="1335"/>
      <c r="N614" s="1335"/>
      <c r="O614" s="1335"/>
      <c r="P614" s="1335"/>
      <c r="Q614" s="1335"/>
      <c r="R614" s="1335"/>
      <c r="U614" t="s">
        <v>1476</v>
      </c>
      <c r="AA614" s="1335"/>
      <c r="AB614" s="1335"/>
      <c r="AC614" s="1335"/>
      <c r="AD614" s="1335"/>
      <c r="AE614" s="1335"/>
      <c r="AF614" s="1335"/>
      <c r="AG614" s="1335"/>
      <c r="AH614" s="1335"/>
      <c r="AI614" s="1335"/>
      <c r="AJ614" s="1335"/>
      <c r="AK614" s="1335"/>
      <c r="AU614" s="731"/>
      <c r="AV614" s="731"/>
      <c r="AW614" s="731"/>
      <c r="AX614" s="731"/>
      <c r="AY614" s="731"/>
      <c r="AZ614" s="2"/>
      <c r="BA614" s="2"/>
      <c r="BB614" s="2"/>
      <c r="BC614" s="2"/>
      <c r="BD614" s="2"/>
      <c r="BE614" s="1410">
        <f t="shared" si="1"/>
        <v>0</v>
      </c>
      <c r="BF614" s="1412"/>
      <c r="BG614" s="1410">
        <f t="shared" si="2"/>
        <v>0</v>
      </c>
      <c r="BH614" s="1412"/>
      <c r="BI614" s="1410">
        <f t="shared" si="3"/>
        <v>0</v>
      </c>
      <c r="BJ614" s="1412"/>
      <c r="BK614" s="1410">
        <f t="shared" si="4"/>
        <v>0</v>
      </c>
      <c r="BL614" s="1412"/>
      <c r="BM614" s="2"/>
      <c r="BN614" s="1414">
        <f t="shared" si="5"/>
        <v>0</v>
      </c>
      <c r="BO614" s="1415"/>
      <c r="BP614" s="1415"/>
      <c r="BQ614" s="1415"/>
      <c r="BR614" s="1416"/>
      <c r="BS614" s="1413">
        <f t="shared" si="6"/>
        <v>0</v>
      </c>
      <c r="BT614" s="1413"/>
      <c r="BU614" s="1413"/>
      <c r="BV614" s="1413"/>
      <c r="BW614" s="1413"/>
      <c r="BX614" s="1413">
        <f t="shared" si="7"/>
        <v>0</v>
      </c>
      <c r="BY614" s="1413"/>
      <c r="BZ614" s="1413"/>
      <c r="CA614" s="1413"/>
      <c r="CB614" s="1413"/>
      <c r="CC614" s="1413">
        <f t="shared" si="8"/>
        <v>0</v>
      </c>
      <c r="CD614" s="1413"/>
      <c r="CE614" s="1413"/>
      <c r="CF614" s="1413"/>
      <c r="CG614" s="1413"/>
      <c r="CH614" s="1413">
        <f t="shared" si="9"/>
        <v>0</v>
      </c>
      <c r="CI614" s="1413"/>
      <c r="CJ614" s="1413"/>
      <c r="CK614" s="1413"/>
      <c r="CL614" s="1413"/>
      <c r="CM614" s="1413">
        <f t="shared" si="10"/>
        <v>0</v>
      </c>
      <c r="CN614" s="1413"/>
      <c r="CO614" s="1413"/>
      <c r="CP614" s="1413"/>
      <c r="CQ614" s="1413"/>
      <c r="CR614" s="1148"/>
      <c r="CS614" s="1434">
        <f t="shared" si="11"/>
        <v>0</v>
      </c>
      <c r="CT614" s="1434"/>
      <c r="CU614" s="1434"/>
      <c r="CV614" s="1434"/>
      <c r="CW614" s="1434"/>
      <c r="CX614" s="1434">
        <f t="shared" si="12"/>
        <v>0</v>
      </c>
      <c r="CY614" s="1434"/>
      <c r="CZ614" s="1434"/>
      <c r="DA614" s="1434"/>
      <c r="DB614" s="1434"/>
      <c r="DC614" s="1434">
        <f t="shared" si="13"/>
        <v>0</v>
      </c>
      <c r="DD614" s="1434"/>
      <c r="DE614" s="1434"/>
      <c r="DF614" s="1434"/>
      <c r="DG614" s="1434"/>
      <c r="DH614" s="1434">
        <f t="shared" si="14"/>
        <v>0</v>
      </c>
      <c r="DI614" s="1434"/>
      <c r="DJ614" s="1434"/>
      <c r="DK614" s="1434"/>
      <c r="DL614" s="1434"/>
      <c r="DM614" s="1434">
        <f t="shared" si="15"/>
        <v>0</v>
      </c>
      <c r="DN614" s="1434"/>
      <c r="DO614" s="1434"/>
      <c r="DP614" s="1434"/>
      <c r="DQ614" s="1434"/>
      <c r="DR614" s="1434">
        <f t="shared" si="16"/>
        <v>0</v>
      </c>
      <c r="DS614" s="1434"/>
      <c r="DT614" s="1434"/>
      <c r="DU614" s="1434"/>
      <c r="DV614" s="1434"/>
      <c r="DX614" s="1410" t="str">
        <f t="shared" si="17"/>
        <v/>
      </c>
      <c r="DY614" s="1411"/>
      <c r="DZ614" s="1411"/>
      <c r="EA614" s="1411"/>
      <c r="EB614" s="1412"/>
      <c r="EC614" s="1410" t="str">
        <f t="shared" si="18"/>
        <v/>
      </c>
      <c r="ED614" s="1411"/>
      <c r="EE614" s="1411"/>
      <c r="EF614" s="1411"/>
      <c r="EG614" s="1412"/>
      <c r="EH614" s="1410" t="str">
        <f t="shared" si="19"/>
        <v/>
      </c>
      <c r="EI614" s="1411"/>
      <c r="EJ614" s="1411"/>
      <c r="EK614" s="1411"/>
      <c r="EL614" s="1412"/>
      <c r="EM614" s="1410" t="str">
        <f t="shared" si="20"/>
        <v/>
      </c>
      <c r="EN614" s="1411"/>
      <c r="EO614" s="1411"/>
      <c r="EP614" s="1411"/>
      <c r="EQ614" s="1412"/>
      <c r="ER614" s="1410" t="str">
        <f t="shared" si="21"/>
        <v/>
      </c>
      <c r="ES614" s="1411"/>
      <c r="ET614" s="1411"/>
      <c r="EU614" s="1411"/>
      <c r="EV614" s="1412"/>
      <c r="EW614" s="1410" t="str">
        <f t="shared" si="22"/>
        <v/>
      </c>
      <c r="EX614" s="1411"/>
      <c r="EY614" s="1411"/>
      <c r="EZ614" s="1411"/>
      <c r="FA614" s="1412"/>
    </row>
    <row r="615" spans="1:157" ht="13" customHeight="1">
      <c r="B615" t="s">
        <v>1480</v>
      </c>
      <c r="N615" s="1381" t="s">
        <v>895</v>
      </c>
      <c r="O615" s="1381"/>
      <c r="U615" t="s">
        <v>1480</v>
      </c>
      <c r="AG615" s="1381" t="s">
        <v>895</v>
      </c>
      <c r="AH615" s="1381"/>
      <c r="AU615" s="731"/>
      <c r="AV615" s="731"/>
      <c r="AW615" s="731"/>
      <c r="AX615" s="731"/>
      <c r="AY615" s="731"/>
      <c r="AZ615" s="2"/>
      <c r="BA615" s="2"/>
      <c r="BB615" s="2"/>
      <c r="BC615" s="2"/>
      <c r="BD615" s="2"/>
      <c r="BE615" s="1410">
        <f t="shared" si="1"/>
        <v>0</v>
      </c>
      <c r="BF615" s="1412"/>
      <c r="BG615" s="1410">
        <f t="shared" si="2"/>
        <v>0</v>
      </c>
      <c r="BH615" s="1412"/>
      <c r="BI615" s="1410">
        <f t="shared" si="3"/>
        <v>0</v>
      </c>
      <c r="BJ615" s="1412"/>
      <c r="BK615" s="1410">
        <f t="shared" si="4"/>
        <v>0</v>
      </c>
      <c r="BL615" s="1412"/>
      <c r="BM615" s="2"/>
      <c r="BN615" s="1414">
        <f t="shared" si="5"/>
        <v>0</v>
      </c>
      <c r="BO615" s="1415"/>
      <c r="BP615" s="1415"/>
      <c r="BQ615" s="1415"/>
      <c r="BR615" s="1416"/>
      <c r="BS615" s="1413">
        <f t="shared" si="6"/>
        <v>0</v>
      </c>
      <c r="BT615" s="1413"/>
      <c r="BU615" s="1413"/>
      <c r="BV615" s="1413"/>
      <c r="BW615" s="1413"/>
      <c r="BX615" s="1413">
        <f t="shared" si="7"/>
        <v>0</v>
      </c>
      <c r="BY615" s="1413"/>
      <c r="BZ615" s="1413"/>
      <c r="CA615" s="1413"/>
      <c r="CB615" s="1413"/>
      <c r="CC615" s="1413">
        <f t="shared" si="8"/>
        <v>0</v>
      </c>
      <c r="CD615" s="1413"/>
      <c r="CE615" s="1413"/>
      <c r="CF615" s="1413"/>
      <c r="CG615" s="1413"/>
      <c r="CH615" s="1413">
        <f t="shared" si="9"/>
        <v>0</v>
      </c>
      <c r="CI615" s="1413"/>
      <c r="CJ615" s="1413"/>
      <c r="CK615" s="1413"/>
      <c r="CL615" s="1413"/>
      <c r="CM615" s="1413">
        <f t="shared" si="10"/>
        <v>0</v>
      </c>
      <c r="CN615" s="1413"/>
      <c r="CO615" s="1413"/>
      <c r="CP615" s="1413"/>
      <c r="CQ615" s="1413"/>
      <c r="CR615" s="1148"/>
      <c r="CS615" s="1434">
        <f t="shared" si="11"/>
        <v>0</v>
      </c>
      <c r="CT615" s="1434"/>
      <c r="CU615" s="1434"/>
      <c r="CV615" s="1434"/>
      <c r="CW615" s="1434"/>
      <c r="CX615" s="1434">
        <f t="shared" si="12"/>
        <v>0</v>
      </c>
      <c r="CY615" s="1434"/>
      <c r="CZ615" s="1434"/>
      <c r="DA615" s="1434"/>
      <c r="DB615" s="1434"/>
      <c r="DC615" s="1434">
        <f t="shared" si="13"/>
        <v>0</v>
      </c>
      <c r="DD615" s="1434"/>
      <c r="DE615" s="1434"/>
      <c r="DF615" s="1434"/>
      <c r="DG615" s="1434"/>
      <c r="DH615" s="1434">
        <f t="shared" si="14"/>
        <v>0</v>
      </c>
      <c r="DI615" s="1434"/>
      <c r="DJ615" s="1434"/>
      <c r="DK615" s="1434"/>
      <c r="DL615" s="1434"/>
      <c r="DM615" s="1434">
        <f t="shared" si="15"/>
        <v>0</v>
      </c>
      <c r="DN615" s="1434"/>
      <c r="DO615" s="1434"/>
      <c r="DP615" s="1434"/>
      <c r="DQ615" s="1434"/>
      <c r="DR615" s="1434">
        <f t="shared" si="16"/>
        <v>0</v>
      </c>
      <c r="DS615" s="1434"/>
      <c r="DT615" s="1434"/>
      <c r="DU615" s="1434"/>
      <c r="DV615" s="1434"/>
      <c r="DX615" s="1410" t="str">
        <f t="shared" si="17"/>
        <v/>
      </c>
      <c r="DY615" s="1411"/>
      <c r="DZ615" s="1411"/>
      <c r="EA615" s="1411"/>
      <c r="EB615" s="1412"/>
      <c r="EC615" s="1410" t="str">
        <f t="shared" si="18"/>
        <v/>
      </c>
      <c r="ED615" s="1411"/>
      <c r="EE615" s="1411"/>
      <c r="EF615" s="1411"/>
      <c r="EG615" s="1412"/>
      <c r="EH615" s="1410" t="str">
        <f t="shared" si="19"/>
        <v/>
      </c>
      <c r="EI615" s="1411"/>
      <c r="EJ615" s="1411"/>
      <c r="EK615" s="1411"/>
      <c r="EL615" s="1412"/>
      <c r="EM615" s="1410" t="str">
        <f t="shared" si="20"/>
        <v/>
      </c>
      <c r="EN615" s="1411"/>
      <c r="EO615" s="1411"/>
      <c r="EP615" s="1411"/>
      <c r="EQ615" s="1412"/>
      <c r="ER615" s="1410" t="str">
        <f t="shared" si="21"/>
        <v/>
      </c>
      <c r="ES615" s="1411"/>
      <c r="ET615" s="1411"/>
      <c r="EU615" s="1411"/>
      <c r="EV615" s="1412"/>
      <c r="EW615" s="1410" t="str">
        <f t="shared" si="22"/>
        <v/>
      </c>
      <c r="EX615" s="1411"/>
      <c r="EY615" s="1411"/>
      <c r="EZ615" s="1411"/>
      <c r="FA615" s="1412"/>
    </row>
    <row r="616" spans="1:157" ht="13" customHeight="1">
      <c r="AZ616" s="2"/>
      <c r="BA616" s="2"/>
      <c r="BB616" s="2"/>
      <c r="BC616" s="2"/>
      <c r="BD616" s="2"/>
      <c r="BE616" s="1410">
        <f t="shared" si="1"/>
        <v>0</v>
      </c>
      <c r="BF616" s="1412"/>
      <c r="BG616" s="1410">
        <f t="shared" si="2"/>
        <v>0</v>
      </c>
      <c r="BH616" s="1412"/>
      <c r="BI616" s="1410">
        <f t="shared" si="3"/>
        <v>0</v>
      </c>
      <c r="BJ616" s="1412"/>
      <c r="BK616" s="1410">
        <f t="shared" si="4"/>
        <v>0</v>
      </c>
      <c r="BL616" s="1412"/>
      <c r="BM616" s="2"/>
      <c r="BN616" s="1414">
        <f t="shared" si="5"/>
        <v>0</v>
      </c>
      <c r="BO616" s="1415"/>
      <c r="BP616" s="1415"/>
      <c r="BQ616" s="1415"/>
      <c r="BR616" s="1416"/>
      <c r="BS616" s="1413">
        <f t="shared" si="6"/>
        <v>0</v>
      </c>
      <c r="BT616" s="1413"/>
      <c r="BU616" s="1413"/>
      <c r="BV616" s="1413"/>
      <c r="BW616" s="1413"/>
      <c r="BX616" s="1413">
        <f t="shared" si="7"/>
        <v>0</v>
      </c>
      <c r="BY616" s="1413"/>
      <c r="BZ616" s="1413"/>
      <c r="CA616" s="1413"/>
      <c r="CB616" s="1413"/>
      <c r="CC616" s="1413">
        <f t="shared" si="8"/>
        <v>0</v>
      </c>
      <c r="CD616" s="1413"/>
      <c r="CE616" s="1413"/>
      <c r="CF616" s="1413"/>
      <c r="CG616" s="1413"/>
      <c r="CH616" s="1413">
        <f t="shared" si="9"/>
        <v>0</v>
      </c>
      <c r="CI616" s="1413"/>
      <c r="CJ616" s="1413"/>
      <c r="CK616" s="1413"/>
      <c r="CL616" s="1413"/>
      <c r="CM616" s="1413">
        <f t="shared" si="10"/>
        <v>0</v>
      </c>
      <c r="CN616" s="1413"/>
      <c r="CO616" s="1413"/>
      <c r="CP616" s="1413"/>
      <c r="CQ616" s="1413"/>
      <c r="CR616" s="1148"/>
      <c r="CS616" s="1434">
        <f t="shared" si="11"/>
        <v>0</v>
      </c>
      <c r="CT616" s="1434"/>
      <c r="CU616" s="1434"/>
      <c r="CV616" s="1434"/>
      <c r="CW616" s="1434"/>
      <c r="CX616" s="1434">
        <f t="shared" si="12"/>
        <v>0</v>
      </c>
      <c r="CY616" s="1434"/>
      <c r="CZ616" s="1434"/>
      <c r="DA616" s="1434"/>
      <c r="DB616" s="1434"/>
      <c r="DC616" s="1434">
        <f t="shared" si="13"/>
        <v>0</v>
      </c>
      <c r="DD616" s="1434"/>
      <c r="DE616" s="1434"/>
      <c r="DF616" s="1434"/>
      <c r="DG616" s="1434"/>
      <c r="DH616" s="1434">
        <f t="shared" si="14"/>
        <v>0</v>
      </c>
      <c r="DI616" s="1434"/>
      <c r="DJ616" s="1434"/>
      <c r="DK616" s="1434"/>
      <c r="DL616" s="1434"/>
      <c r="DM616" s="1434">
        <f t="shared" si="15"/>
        <v>0</v>
      </c>
      <c r="DN616" s="1434"/>
      <c r="DO616" s="1434"/>
      <c r="DP616" s="1434"/>
      <c r="DQ616" s="1434"/>
      <c r="DR616" s="1434">
        <f t="shared" si="16"/>
        <v>0</v>
      </c>
      <c r="DS616" s="1434"/>
      <c r="DT616" s="1434"/>
      <c r="DU616" s="1434"/>
      <c r="DV616" s="1434"/>
      <c r="DX616" s="1410" t="str">
        <f t="shared" si="17"/>
        <v/>
      </c>
      <c r="DY616" s="1411"/>
      <c r="DZ616" s="1411"/>
      <c r="EA616" s="1411"/>
      <c r="EB616" s="1412"/>
      <c r="EC616" s="1410" t="str">
        <f t="shared" si="18"/>
        <v/>
      </c>
      <c r="ED616" s="1411"/>
      <c r="EE616" s="1411"/>
      <c r="EF616" s="1411"/>
      <c r="EG616" s="1412"/>
      <c r="EH616" s="1410" t="str">
        <f t="shared" si="19"/>
        <v/>
      </c>
      <c r="EI616" s="1411"/>
      <c r="EJ616" s="1411"/>
      <c r="EK616" s="1411"/>
      <c r="EL616" s="1412"/>
      <c r="EM616" s="1410" t="str">
        <f t="shared" si="20"/>
        <v/>
      </c>
      <c r="EN616" s="1411"/>
      <c r="EO616" s="1411"/>
      <c r="EP616" s="1411"/>
      <c r="EQ616" s="1412"/>
      <c r="ER616" s="1410" t="str">
        <f t="shared" si="21"/>
        <v/>
      </c>
      <c r="ES616" s="1411"/>
      <c r="ET616" s="1411"/>
      <c r="EU616" s="1411"/>
      <c r="EV616" s="1412"/>
      <c r="EW616" s="1410" t="str">
        <f t="shared" si="22"/>
        <v/>
      </c>
      <c r="EX616" s="1411"/>
      <c r="EY616" s="1411"/>
      <c r="EZ616" s="1411"/>
      <c r="FA616" s="1412"/>
    </row>
    <row r="617" spans="1:157" ht="13" customHeight="1">
      <c r="A617" s="1220" t="s">
        <v>1492</v>
      </c>
      <c r="B617" s="1220"/>
      <c r="C617" s="1220"/>
      <c r="D617" s="1220"/>
      <c r="E617" s="1220"/>
      <c r="F617" s="1220"/>
      <c r="G617" s="1220"/>
      <c r="H617" s="1220"/>
      <c r="I617" s="1220"/>
      <c r="J617" s="1220"/>
      <c r="K617" s="1220"/>
      <c r="L617" s="1220"/>
      <c r="M617" s="1220"/>
      <c r="N617" s="1220"/>
      <c r="O617" s="1220"/>
      <c r="P617" s="1220"/>
      <c r="Q617" s="1220"/>
      <c r="R617" s="1220"/>
      <c r="S617" s="1220"/>
      <c r="T617" s="1220"/>
      <c r="U617" s="1220"/>
      <c r="V617" s="1220"/>
      <c r="W617" s="1220"/>
      <c r="X617" s="1220"/>
      <c r="Y617" s="1220"/>
      <c r="Z617" s="1220"/>
      <c r="AA617" s="1220"/>
      <c r="AB617" s="1220"/>
      <c r="AC617" s="1220"/>
      <c r="AD617" s="1220"/>
      <c r="AE617" s="1220"/>
      <c r="AF617" s="1220"/>
      <c r="AG617" s="1220"/>
      <c r="AH617" s="1220"/>
      <c r="AI617" s="1220"/>
      <c r="AJ617" s="1220"/>
      <c r="AK617" s="1220"/>
      <c r="AL617" s="1220"/>
      <c r="AM617" s="1220"/>
      <c r="AN617" s="1220"/>
      <c r="AO617" s="1220"/>
      <c r="AP617" s="1220"/>
      <c r="AQ617" s="1220"/>
      <c r="AR617" s="1220"/>
      <c r="AS617" s="1220"/>
      <c r="AT617" s="1220"/>
      <c r="AZ617" s="2"/>
      <c r="BA617" s="2"/>
      <c r="BB617" s="2"/>
      <c r="BC617" s="2"/>
      <c r="BD617" s="2"/>
      <c r="BE617" s="1410">
        <f t="shared" si="1"/>
        <v>0</v>
      </c>
      <c r="BF617" s="1412"/>
      <c r="BG617" s="1410">
        <f t="shared" si="2"/>
        <v>0</v>
      </c>
      <c r="BH617" s="1412"/>
      <c r="BI617" s="1410">
        <f t="shared" si="3"/>
        <v>0</v>
      </c>
      <c r="BJ617" s="1412"/>
      <c r="BK617" s="1410">
        <f t="shared" si="4"/>
        <v>0</v>
      </c>
      <c r="BL617" s="1412"/>
      <c r="BM617" s="2"/>
      <c r="BN617" s="1414">
        <f t="shared" si="5"/>
        <v>0</v>
      </c>
      <c r="BO617" s="1415"/>
      <c r="BP617" s="1415"/>
      <c r="BQ617" s="1415"/>
      <c r="BR617" s="1416"/>
      <c r="BS617" s="1413">
        <f t="shared" si="6"/>
        <v>0</v>
      </c>
      <c r="BT617" s="1413"/>
      <c r="BU617" s="1413"/>
      <c r="BV617" s="1413"/>
      <c r="BW617" s="1413"/>
      <c r="BX617" s="1413">
        <f t="shared" si="7"/>
        <v>0</v>
      </c>
      <c r="BY617" s="1413"/>
      <c r="BZ617" s="1413"/>
      <c r="CA617" s="1413"/>
      <c r="CB617" s="1413"/>
      <c r="CC617" s="1413">
        <f t="shared" si="8"/>
        <v>0</v>
      </c>
      <c r="CD617" s="1413"/>
      <c r="CE617" s="1413"/>
      <c r="CF617" s="1413"/>
      <c r="CG617" s="1413"/>
      <c r="CH617" s="1413">
        <f t="shared" si="9"/>
        <v>0</v>
      </c>
      <c r="CI617" s="1413"/>
      <c r="CJ617" s="1413"/>
      <c r="CK617" s="1413"/>
      <c r="CL617" s="1413"/>
      <c r="CM617" s="1413">
        <f t="shared" si="10"/>
        <v>0</v>
      </c>
      <c r="CN617" s="1413"/>
      <c r="CO617" s="1413"/>
      <c r="CP617" s="1413"/>
      <c r="CQ617" s="1413"/>
      <c r="CR617" s="1148"/>
      <c r="CS617" s="1434">
        <f t="shared" si="11"/>
        <v>0</v>
      </c>
      <c r="CT617" s="1434"/>
      <c r="CU617" s="1434"/>
      <c r="CV617" s="1434"/>
      <c r="CW617" s="1434"/>
      <c r="CX617" s="1434">
        <f t="shared" si="12"/>
        <v>0</v>
      </c>
      <c r="CY617" s="1434"/>
      <c r="CZ617" s="1434"/>
      <c r="DA617" s="1434"/>
      <c r="DB617" s="1434"/>
      <c r="DC617" s="1434">
        <f t="shared" si="13"/>
        <v>0</v>
      </c>
      <c r="DD617" s="1434"/>
      <c r="DE617" s="1434"/>
      <c r="DF617" s="1434"/>
      <c r="DG617" s="1434"/>
      <c r="DH617" s="1434">
        <f t="shared" si="14"/>
        <v>0</v>
      </c>
      <c r="DI617" s="1434"/>
      <c r="DJ617" s="1434"/>
      <c r="DK617" s="1434"/>
      <c r="DL617" s="1434"/>
      <c r="DM617" s="1434">
        <f t="shared" si="15"/>
        <v>0</v>
      </c>
      <c r="DN617" s="1434"/>
      <c r="DO617" s="1434"/>
      <c r="DP617" s="1434"/>
      <c r="DQ617" s="1434"/>
      <c r="DR617" s="1434">
        <f t="shared" si="16"/>
        <v>0</v>
      </c>
      <c r="DS617" s="1434"/>
      <c r="DT617" s="1434"/>
      <c r="DU617" s="1434"/>
      <c r="DV617" s="1434"/>
      <c r="DX617" s="1410" t="str">
        <f t="shared" si="17"/>
        <v/>
      </c>
      <c r="DY617" s="1411"/>
      <c r="DZ617" s="1411"/>
      <c r="EA617" s="1411"/>
      <c r="EB617" s="1412"/>
      <c r="EC617" s="1410" t="str">
        <f t="shared" si="18"/>
        <v/>
      </c>
      <c r="ED617" s="1411"/>
      <c r="EE617" s="1411"/>
      <c r="EF617" s="1411"/>
      <c r="EG617" s="1412"/>
      <c r="EH617" s="1410" t="str">
        <f t="shared" si="19"/>
        <v/>
      </c>
      <c r="EI617" s="1411"/>
      <c r="EJ617" s="1411"/>
      <c r="EK617" s="1411"/>
      <c r="EL617" s="1412"/>
      <c r="EM617" s="1410" t="str">
        <f t="shared" si="20"/>
        <v/>
      </c>
      <c r="EN617" s="1411"/>
      <c r="EO617" s="1411"/>
      <c r="EP617" s="1411"/>
      <c r="EQ617" s="1412"/>
      <c r="ER617" s="1410" t="str">
        <f t="shared" si="21"/>
        <v/>
      </c>
      <c r="ES617" s="1411"/>
      <c r="ET617" s="1411"/>
      <c r="EU617" s="1411"/>
      <c r="EV617" s="1412"/>
      <c r="EW617" s="1410" t="str">
        <f t="shared" si="22"/>
        <v/>
      </c>
      <c r="EX617" s="1411"/>
      <c r="EY617" s="1411"/>
      <c r="EZ617" s="1411"/>
      <c r="FA617" s="1412"/>
    </row>
    <row r="618" spans="1:157" ht="13" customHeight="1">
      <c r="A618" s="1220"/>
      <c r="B618" s="1220"/>
      <c r="C618" s="1220"/>
      <c r="D618" s="1220"/>
      <c r="E618" s="1220"/>
      <c r="F618" s="1220"/>
      <c r="G618" s="1220"/>
      <c r="H618" s="1220"/>
      <c r="I618" s="1220"/>
      <c r="J618" s="1220"/>
      <c r="K618" s="1220"/>
      <c r="L618" s="1220"/>
      <c r="M618" s="1220"/>
      <c r="N618" s="1220"/>
      <c r="O618" s="1220"/>
      <c r="P618" s="1220"/>
      <c r="Q618" s="1220"/>
      <c r="R618" s="1220"/>
      <c r="S618" s="1220"/>
      <c r="T618" s="1220"/>
      <c r="U618" s="1220"/>
      <c r="V618" s="1220"/>
      <c r="W618" s="1220"/>
      <c r="X618" s="1220"/>
      <c r="Y618" s="1220"/>
      <c r="Z618" s="1220"/>
      <c r="AA618" s="1220"/>
      <c r="AB618" s="1220"/>
      <c r="AC618" s="1220"/>
      <c r="AD618" s="1220"/>
      <c r="AE618" s="1220"/>
      <c r="AF618" s="1220"/>
      <c r="AG618" s="1220"/>
      <c r="AH618" s="1220"/>
      <c r="AI618" s="1220"/>
      <c r="AJ618" s="1220"/>
      <c r="AK618" s="1220"/>
      <c r="AL618" s="1220"/>
      <c r="AM618" s="1220"/>
      <c r="AN618" s="1220"/>
      <c r="AO618" s="1220"/>
      <c r="AP618" s="1220"/>
      <c r="AQ618" s="1220"/>
      <c r="AR618" s="1220"/>
      <c r="AS618" s="1220"/>
      <c r="AT618" s="1220"/>
      <c r="AZ618" s="2"/>
      <c r="BA618" s="2"/>
      <c r="BB618" s="2"/>
      <c r="BC618" s="2"/>
      <c r="BD618" s="2"/>
      <c r="BE618" s="1410">
        <f t="shared" si="1"/>
        <v>0</v>
      </c>
      <c r="BF618" s="1412"/>
      <c r="BG618" s="1410">
        <f t="shared" si="2"/>
        <v>0</v>
      </c>
      <c r="BH618" s="1412"/>
      <c r="BI618" s="1410">
        <f t="shared" si="3"/>
        <v>0</v>
      </c>
      <c r="BJ618" s="1412"/>
      <c r="BK618" s="1410">
        <f t="shared" si="4"/>
        <v>0</v>
      </c>
      <c r="BL618" s="1412"/>
      <c r="BM618" s="2"/>
      <c r="BN618" s="1414">
        <f t="shared" si="5"/>
        <v>0</v>
      </c>
      <c r="BO618" s="1415"/>
      <c r="BP618" s="1415"/>
      <c r="BQ618" s="1415"/>
      <c r="BR618" s="1416"/>
      <c r="BS618" s="1413">
        <f t="shared" si="6"/>
        <v>0</v>
      </c>
      <c r="BT618" s="1413"/>
      <c r="BU618" s="1413"/>
      <c r="BV618" s="1413"/>
      <c r="BW618" s="1413"/>
      <c r="BX618" s="1413">
        <f t="shared" si="7"/>
        <v>0</v>
      </c>
      <c r="BY618" s="1413"/>
      <c r="BZ618" s="1413"/>
      <c r="CA618" s="1413"/>
      <c r="CB618" s="1413"/>
      <c r="CC618" s="1413">
        <f t="shared" si="8"/>
        <v>0</v>
      </c>
      <c r="CD618" s="1413"/>
      <c r="CE618" s="1413"/>
      <c r="CF618" s="1413"/>
      <c r="CG618" s="1413"/>
      <c r="CH618" s="1413">
        <f t="shared" si="9"/>
        <v>0</v>
      </c>
      <c r="CI618" s="1413"/>
      <c r="CJ618" s="1413"/>
      <c r="CK618" s="1413"/>
      <c r="CL618" s="1413"/>
      <c r="CM618" s="1413">
        <f t="shared" si="10"/>
        <v>0</v>
      </c>
      <c r="CN618" s="1413"/>
      <c r="CO618" s="1413"/>
      <c r="CP618" s="1413"/>
      <c r="CQ618" s="1413"/>
      <c r="CR618" s="1148"/>
      <c r="CS618" s="1434">
        <f t="shared" si="11"/>
        <v>0</v>
      </c>
      <c r="CT618" s="1434"/>
      <c r="CU618" s="1434"/>
      <c r="CV618" s="1434"/>
      <c r="CW618" s="1434"/>
      <c r="CX618" s="1434">
        <f t="shared" si="12"/>
        <v>0</v>
      </c>
      <c r="CY618" s="1434"/>
      <c r="CZ618" s="1434"/>
      <c r="DA618" s="1434"/>
      <c r="DB618" s="1434"/>
      <c r="DC618" s="1434">
        <f t="shared" si="13"/>
        <v>0</v>
      </c>
      <c r="DD618" s="1434"/>
      <c r="DE618" s="1434"/>
      <c r="DF618" s="1434"/>
      <c r="DG618" s="1434"/>
      <c r="DH618" s="1434">
        <f t="shared" si="14"/>
        <v>0</v>
      </c>
      <c r="DI618" s="1434"/>
      <c r="DJ618" s="1434"/>
      <c r="DK618" s="1434"/>
      <c r="DL618" s="1434"/>
      <c r="DM618" s="1434">
        <f t="shared" si="15"/>
        <v>0</v>
      </c>
      <c r="DN618" s="1434"/>
      <c r="DO618" s="1434"/>
      <c r="DP618" s="1434"/>
      <c r="DQ618" s="1434"/>
      <c r="DR618" s="1434">
        <f t="shared" si="16"/>
        <v>0</v>
      </c>
      <c r="DS618" s="1434"/>
      <c r="DT618" s="1434"/>
      <c r="DU618" s="1434"/>
      <c r="DV618" s="1434"/>
      <c r="DX618" s="1410" t="str">
        <f t="shared" si="17"/>
        <v/>
      </c>
      <c r="DY618" s="1411"/>
      <c r="DZ618" s="1411"/>
      <c r="EA618" s="1411"/>
      <c r="EB618" s="1412"/>
      <c r="EC618" s="1410" t="str">
        <f t="shared" si="18"/>
        <v/>
      </c>
      <c r="ED618" s="1411"/>
      <c r="EE618" s="1411"/>
      <c r="EF618" s="1411"/>
      <c r="EG618" s="1412"/>
      <c r="EH618" s="1410" t="str">
        <f t="shared" si="19"/>
        <v/>
      </c>
      <c r="EI618" s="1411"/>
      <c r="EJ618" s="1411"/>
      <c r="EK618" s="1411"/>
      <c r="EL618" s="1412"/>
      <c r="EM618" s="1410" t="str">
        <f t="shared" si="20"/>
        <v/>
      </c>
      <c r="EN618" s="1411"/>
      <c r="EO618" s="1411"/>
      <c r="EP618" s="1411"/>
      <c r="EQ618" s="1412"/>
      <c r="ER618" s="1410" t="str">
        <f t="shared" si="21"/>
        <v/>
      </c>
      <c r="ES618" s="1411"/>
      <c r="ET618" s="1411"/>
      <c r="EU618" s="1411"/>
      <c r="EV618" s="1412"/>
      <c r="EW618" s="1410" t="str">
        <f t="shared" si="22"/>
        <v/>
      </c>
      <c r="EX618" s="1411"/>
      <c r="EY618" s="1411"/>
      <c r="EZ618" s="1411"/>
      <c r="FA618" s="1412"/>
    </row>
    <row r="619" spans="1:157" ht="13" customHeight="1">
      <c r="AZ619" s="2"/>
      <c r="BA619" s="2"/>
      <c r="BB619" s="2"/>
      <c r="BC619" s="2"/>
      <c r="BD619" s="2"/>
      <c r="BE619" s="1410">
        <f t="shared" si="1"/>
        <v>0</v>
      </c>
      <c r="BF619" s="1412"/>
      <c r="BG619" s="1410">
        <f t="shared" si="2"/>
        <v>0</v>
      </c>
      <c r="BH619" s="1412"/>
      <c r="BI619" s="1410">
        <f t="shared" si="3"/>
        <v>0</v>
      </c>
      <c r="BJ619" s="1412"/>
      <c r="BK619" s="1410">
        <f t="shared" si="4"/>
        <v>0</v>
      </c>
      <c r="BL619" s="1412"/>
      <c r="BM619" s="2"/>
      <c r="BN619" s="1414">
        <f t="shared" si="5"/>
        <v>0</v>
      </c>
      <c r="BO619" s="1415"/>
      <c r="BP619" s="1415"/>
      <c r="BQ619" s="1415"/>
      <c r="BR619" s="1416"/>
      <c r="BS619" s="1413">
        <f t="shared" si="6"/>
        <v>0</v>
      </c>
      <c r="BT619" s="1413"/>
      <c r="BU619" s="1413"/>
      <c r="BV619" s="1413"/>
      <c r="BW619" s="1413"/>
      <c r="BX619" s="1413">
        <f t="shared" si="7"/>
        <v>0</v>
      </c>
      <c r="BY619" s="1413"/>
      <c r="BZ619" s="1413"/>
      <c r="CA619" s="1413"/>
      <c r="CB619" s="1413"/>
      <c r="CC619" s="1413">
        <f t="shared" si="8"/>
        <v>0</v>
      </c>
      <c r="CD619" s="1413"/>
      <c r="CE619" s="1413"/>
      <c r="CF619" s="1413"/>
      <c r="CG619" s="1413"/>
      <c r="CH619" s="1413">
        <f t="shared" si="9"/>
        <v>0</v>
      </c>
      <c r="CI619" s="1413"/>
      <c r="CJ619" s="1413"/>
      <c r="CK619" s="1413"/>
      <c r="CL619" s="1413"/>
      <c r="CM619" s="1413">
        <f t="shared" si="10"/>
        <v>0</v>
      </c>
      <c r="CN619" s="1413"/>
      <c r="CO619" s="1413"/>
      <c r="CP619" s="1413"/>
      <c r="CQ619" s="1413"/>
      <c r="CR619" s="1148"/>
      <c r="CS619" s="1434">
        <f t="shared" si="11"/>
        <v>0</v>
      </c>
      <c r="CT619" s="1434"/>
      <c r="CU619" s="1434"/>
      <c r="CV619" s="1434"/>
      <c r="CW619" s="1434"/>
      <c r="CX619" s="1434">
        <f t="shared" si="12"/>
        <v>0</v>
      </c>
      <c r="CY619" s="1434"/>
      <c r="CZ619" s="1434"/>
      <c r="DA619" s="1434"/>
      <c r="DB619" s="1434"/>
      <c r="DC619" s="1434">
        <f t="shared" si="13"/>
        <v>0</v>
      </c>
      <c r="DD619" s="1434"/>
      <c r="DE619" s="1434"/>
      <c r="DF619" s="1434"/>
      <c r="DG619" s="1434"/>
      <c r="DH619" s="1434">
        <f t="shared" si="14"/>
        <v>0</v>
      </c>
      <c r="DI619" s="1434"/>
      <c r="DJ619" s="1434"/>
      <c r="DK619" s="1434"/>
      <c r="DL619" s="1434"/>
      <c r="DM619" s="1434">
        <f t="shared" si="15"/>
        <v>0</v>
      </c>
      <c r="DN619" s="1434"/>
      <c r="DO619" s="1434"/>
      <c r="DP619" s="1434"/>
      <c r="DQ619" s="1434"/>
      <c r="DR619" s="1434">
        <f t="shared" si="16"/>
        <v>0</v>
      </c>
      <c r="DS619" s="1434"/>
      <c r="DT619" s="1434"/>
      <c r="DU619" s="1434"/>
      <c r="DV619" s="1434"/>
      <c r="DX619" s="1410" t="str">
        <f t="shared" si="17"/>
        <v/>
      </c>
      <c r="DY619" s="1411"/>
      <c r="DZ619" s="1411"/>
      <c r="EA619" s="1411"/>
      <c r="EB619" s="1412"/>
      <c r="EC619" s="1410" t="str">
        <f t="shared" si="18"/>
        <v/>
      </c>
      <c r="ED619" s="1411"/>
      <c r="EE619" s="1411"/>
      <c r="EF619" s="1411"/>
      <c r="EG619" s="1412"/>
      <c r="EH619" s="1410" t="str">
        <f t="shared" si="19"/>
        <v/>
      </c>
      <c r="EI619" s="1411"/>
      <c r="EJ619" s="1411"/>
      <c r="EK619" s="1411"/>
      <c r="EL619" s="1412"/>
      <c r="EM619" s="1410" t="str">
        <f t="shared" si="20"/>
        <v/>
      </c>
      <c r="EN619" s="1411"/>
      <c r="EO619" s="1411"/>
      <c r="EP619" s="1411"/>
      <c r="EQ619" s="1412"/>
      <c r="ER619" s="1410" t="str">
        <f t="shared" si="21"/>
        <v/>
      </c>
      <c r="ES619" s="1411"/>
      <c r="ET619" s="1411"/>
      <c r="EU619" s="1411"/>
      <c r="EV619" s="1412"/>
      <c r="EW619" s="1410" t="str">
        <f t="shared" si="22"/>
        <v/>
      </c>
      <c r="EX619" s="1411"/>
      <c r="EY619" s="1411"/>
      <c r="EZ619" s="1411"/>
      <c r="FA619" s="1412"/>
    </row>
    <row r="620" spans="1:157" ht="13" customHeight="1">
      <c r="A620" s="1" t="s">
        <v>922</v>
      </c>
      <c r="B620" s="1"/>
      <c r="C620" s="1" t="s">
        <v>174</v>
      </c>
      <c r="AZ620" s="2"/>
      <c r="BA620" s="2"/>
      <c r="BB620" s="2"/>
      <c r="BC620" s="2"/>
      <c r="BD620" s="2"/>
      <c r="BE620" s="1410">
        <f t="shared" si="1"/>
        <v>0</v>
      </c>
      <c r="BF620" s="1412"/>
      <c r="BG620" s="1410">
        <f t="shared" si="2"/>
        <v>0</v>
      </c>
      <c r="BH620" s="1412"/>
      <c r="BI620" s="1410">
        <f t="shared" si="3"/>
        <v>0</v>
      </c>
      <c r="BJ620" s="1412"/>
      <c r="BK620" s="1410">
        <f t="shared" si="4"/>
        <v>0</v>
      </c>
      <c r="BL620" s="1412"/>
      <c r="BM620" s="2"/>
      <c r="BN620" s="1414">
        <f t="shared" si="5"/>
        <v>0</v>
      </c>
      <c r="BO620" s="1415"/>
      <c r="BP620" s="1415"/>
      <c r="BQ620" s="1415"/>
      <c r="BR620" s="1416"/>
      <c r="BS620" s="1413">
        <f t="shared" si="6"/>
        <v>0</v>
      </c>
      <c r="BT620" s="1413"/>
      <c r="BU620" s="1413"/>
      <c r="BV620" s="1413"/>
      <c r="BW620" s="1413"/>
      <c r="BX620" s="1413">
        <f t="shared" si="7"/>
        <v>0</v>
      </c>
      <c r="BY620" s="1413"/>
      <c r="BZ620" s="1413"/>
      <c r="CA620" s="1413"/>
      <c r="CB620" s="1413"/>
      <c r="CC620" s="1413">
        <f t="shared" si="8"/>
        <v>0</v>
      </c>
      <c r="CD620" s="1413"/>
      <c r="CE620" s="1413"/>
      <c r="CF620" s="1413"/>
      <c r="CG620" s="1413"/>
      <c r="CH620" s="1413">
        <f t="shared" si="9"/>
        <v>0</v>
      </c>
      <c r="CI620" s="1413"/>
      <c r="CJ620" s="1413"/>
      <c r="CK620" s="1413"/>
      <c r="CL620" s="1413"/>
      <c r="CM620" s="1413">
        <f t="shared" si="10"/>
        <v>0</v>
      </c>
      <c r="CN620" s="1413"/>
      <c r="CO620" s="1413"/>
      <c r="CP620" s="1413"/>
      <c r="CQ620" s="1413"/>
      <c r="CR620" s="1148"/>
      <c r="CS620" s="1434">
        <f t="shared" si="11"/>
        <v>0</v>
      </c>
      <c r="CT620" s="1434"/>
      <c r="CU620" s="1434"/>
      <c r="CV620" s="1434"/>
      <c r="CW620" s="1434"/>
      <c r="CX620" s="1434">
        <f t="shared" si="12"/>
        <v>0</v>
      </c>
      <c r="CY620" s="1434"/>
      <c r="CZ620" s="1434"/>
      <c r="DA620" s="1434"/>
      <c r="DB620" s="1434"/>
      <c r="DC620" s="1434">
        <f t="shared" si="13"/>
        <v>0</v>
      </c>
      <c r="DD620" s="1434"/>
      <c r="DE620" s="1434"/>
      <c r="DF620" s="1434"/>
      <c r="DG620" s="1434"/>
      <c r="DH620" s="1434">
        <f t="shared" si="14"/>
        <v>0</v>
      </c>
      <c r="DI620" s="1434"/>
      <c r="DJ620" s="1434"/>
      <c r="DK620" s="1434"/>
      <c r="DL620" s="1434"/>
      <c r="DM620" s="1434">
        <f t="shared" si="15"/>
        <v>0</v>
      </c>
      <c r="DN620" s="1434"/>
      <c r="DO620" s="1434"/>
      <c r="DP620" s="1434"/>
      <c r="DQ620" s="1434"/>
      <c r="DR620" s="1434">
        <f t="shared" si="16"/>
        <v>0</v>
      </c>
      <c r="DS620" s="1434"/>
      <c r="DT620" s="1434"/>
      <c r="DU620" s="1434"/>
      <c r="DV620" s="1434"/>
      <c r="DX620" s="1410" t="str">
        <f t="shared" si="17"/>
        <v/>
      </c>
      <c r="DY620" s="1411"/>
      <c r="DZ620" s="1411"/>
      <c r="EA620" s="1411"/>
      <c r="EB620" s="1412"/>
      <c r="EC620" s="1410" t="str">
        <f t="shared" si="18"/>
        <v/>
      </c>
      <c r="ED620" s="1411"/>
      <c r="EE620" s="1411"/>
      <c r="EF620" s="1411"/>
      <c r="EG620" s="1412"/>
      <c r="EH620" s="1410" t="str">
        <f t="shared" si="19"/>
        <v/>
      </c>
      <c r="EI620" s="1411"/>
      <c r="EJ620" s="1411"/>
      <c r="EK620" s="1411"/>
      <c r="EL620" s="1412"/>
      <c r="EM620" s="1410" t="str">
        <f t="shared" si="20"/>
        <v/>
      </c>
      <c r="EN620" s="1411"/>
      <c r="EO620" s="1411"/>
      <c r="EP620" s="1411"/>
      <c r="EQ620" s="1412"/>
      <c r="ER620" s="1410" t="str">
        <f t="shared" si="21"/>
        <v/>
      </c>
      <c r="ES620" s="1411"/>
      <c r="ET620" s="1411"/>
      <c r="EU620" s="1411"/>
      <c r="EV620" s="1412"/>
      <c r="EW620" s="1410" t="str">
        <f t="shared" si="22"/>
        <v/>
      </c>
      <c r="EX620" s="1411"/>
      <c r="EY620" s="1411"/>
      <c r="EZ620" s="1411"/>
      <c r="FA620" s="1412"/>
    </row>
    <row r="621" spans="1:157" ht="13" customHeight="1">
      <c r="A621" s="1"/>
      <c r="B621" s="1"/>
      <c r="C621" s="1"/>
      <c r="AZ621" s="2"/>
      <c r="BA621" s="2"/>
      <c r="BB621" s="2"/>
      <c r="BC621" s="2"/>
      <c r="BD621" s="2"/>
      <c r="BE621" s="1410">
        <f t="shared" si="1"/>
        <v>0</v>
      </c>
      <c r="BF621" s="1412"/>
      <c r="BG621" s="1410">
        <f t="shared" si="2"/>
        <v>0</v>
      </c>
      <c r="BH621" s="1412"/>
      <c r="BI621" s="1410">
        <f t="shared" si="3"/>
        <v>0</v>
      </c>
      <c r="BJ621" s="1412"/>
      <c r="BK621" s="1410">
        <f t="shared" si="4"/>
        <v>0</v>
      </c>
      <c r="BL621" s="1412"/>
      <c r="BM621" s="2"/>
      <c r="BN621" s="1414">
        <f t="shared" si="5"/>
        <v>0</v>
      </c>
      <c r="BO621" s="1415"/>
      <c r="BP621" s="1415"/>
      <c r="BQ621" s="1415"/>
      <c r="BR621" s="1416"/>
      <c r="BS621" s="1413">
        <f t="shared" si="6"/>
        <v>0</v>
      </c>
      <c r="BT621" s="1413"/>
      <c r="BU621" s="1413"/>
      <c r="BV621" s="1413"/>
      <c r="BW621" s="1413"/>
      <c r="BX621" s="1413">
        <f t="shared" si="7"/>
        <v>0</v>
      </c>
      <c r="BY621" s="1413"/>
      <c r="BZ621" s="1413"/>
      <c r="CA621" s="1413"/>
      <c r="CB621" s="1413"/>
      <c r="CC621" s="1413">
        <f t="shared" si="8"/>
        <v>0</v>
      </c>
      <c r="CD621" s="1413"/>
      <c r="CE621" s="1413"/>
      <c r="CF621" s="1413"/>
      <c r="CG621" s="1413"/>
      <c r="CH621" s="1413">
        <f t="shared" si="9"/>
        <v>0</v>
      </c>
      <c r="CI621" s="1413"/>
      <c r="CJ621" s="1413"/>
      <c r="CK621" s="1413"/>
      <c r="CL621" s="1413"/>
      <c r="CM621" s="1413">
        <f t="shared" si="10"/>
        <v>0</v>
      </c>
      <c r="CN621" s="1413"/>
      <c r="CO621" s="1413"/>
      <c r="CP621" s="1413"/>
      <c r="CQ621" s="1413"/>
      <c r="CR621" s="1148"/>
      <c r="CS621" s="1434">
        <f t="shared" si="11"/>
        <v>0</v>
      </c>
      <c r="CT621" s="1434"/>
      <c r="CU621" s="1434"/>
      <c r="CV621" s="1434"/>
      <c r="CW621" s="1434"/>
      <c r="CX621" s="1434">
        <f t="shared" si="12"/>
        <v>0</v>
      </c>
      <c r="CY621" s="1434"/>
      <c r="CZ621" s="1434"/>
      <c r="DA621" s="1434"/>
      <c r="DB621" s="1434"/>
      <c r="DC621" s="1434">
        <f t="shared" si="13"/>
        <v>0</v>
      </c>
      <c r="DD621" s="1434"/>
      <c r="DE621" s="1434"/>
      <c r="DF621" s="1434"/>
      <c r="DG621" s="1434"/>
      <c r="DH621" s="1434">
        <f t="shared" si="14"/>
        <v>0</v>
      </c>
      <c r="DI621" s="1434"/>
      <c r="DJ621" s="1434"/>
      <c r="DK621" s="1434"/>
      <c r="DL621" s="1434"/>
      <c r="DM621" s="1434">
        <f t="shared" si="15"/>
        <v>0</v>
      </c>
      <c r="DN621" s="1434"/>
      <c r="DO621" s="1434"/>
      <c r="DP621" s="1434"/>
      <c r="DQ621" s="1434"/>
      <c r="DR621" s="1434">
        <f t="shared" si="16"/>
        <v>0</v>
      </c>
      <c r="DS621" s="1434"/>
      <c r="DT621" s="1434"/>
      <c r="DU621" s="1434"/>
      <c r="DV621" s="1434"/>
      <c r="DX621" s="1410" t="str">
        <f t="shared" si="17"/>
        <v/>
      </c>
      <c r="DY621" s="1411"/>
      <c r="DZ621" s="1411"/>
      <c r="EA621" s="1411"/>
      <c r="EB621" s="1412"/>
      <c r="EC621" s="1410" t="str">
        <f t="shared" si="18"/>
        <v/>
      </c>
      <c r="ED621" s="1411"/>
      <c r="EE621" s="1411"/>
      <c r="EF621" s="1411"/>
      <c r="EG621" s="1412"/>
      <c r="EH621" s="1410" t="str">
        <f t="shared" si="19"/>
        <v/>
      </c>
      <c r="EI621" s="1411"/>
      <c r="EJ621" s="1411"/>
      <c r="EK621" s="1411"/>
      <c r="EL621" s="1412"/>
      <c r="EM621" s="1410" t="str">
        <f t="shared" si="20"/>
        <v/>
      </c>
      <c r="EN621" s="1411"/>
      <c r="EO621" s="1411"/>
      <c r="EP621" s="1411"/>
      <c r="EQ621" s="1412"/>
      <c r="ER621" s="1410" t="str">
        <f t="shared" si="21"/>
        <v/>
      </c>
      <c r="ES621" s="1411"/>
      <c r="ET621" s="1411"/>
      <c r="EU621" s="1411"/>
      <c r="EV621" s="1412"/>
      <c r="EW621" s="1410" t="str">
        <f t="shared" si="22"/>
        <v/>
      </c>
      <c r="EX621" s="1411"/>
      <c r="EY621" s="1411"/>
      <c r="EZ621" s="1411"/>
      <c r="FA621" s="1412"/>
    </row>
    <row r="622" spans="1:157" ht="13" customHeight="1">
      <c r="C622" s="1" t="s">
        <v>1448</v>
      </c>
      <c r="AZ622" s="2"/>
      <c r="BA622" s="2"/>
      <c r="BB622" s="2"/>
      <c r="BC622" s="2"/>
      <c r="BD622" s="2"/>
      <c r="BE622" s="1410">
        <f t="shared" si="1"/>
        <v>0</v>
      </c>
      <c r="BF622" s="1412"/>
      <c r="BG622" s="1410">
        <f t="shared" si="2"/>
        <v>0</v>
      </c>
      <c r="BH622" s="1412"/>
      <c r="BI622" s="1410">
        <f t="shared" si="3"/>
        <v>0</v>
      </c>
      <c r="BJ622" s="1412"/>
      <c r="BK622" s="1410">
        <f t="shared" si="4"/>
        <v>0</v>
      </c>
      <c r="BL622" s="1412"/>
      <c r="BM622" s="2"/>
      <c r="BN622" s="1414">
        <f t="shared" si="5"/>
        <v>0</v>
      </c>
      <c r="BO622" s="1415"/>
      <c r="BP622" s="1415"/>
      <c r="BQ622" s="1415"/>
      <c r="BR622" s="1416"/>
      <c r="BS622" s="1413">
        <f t="shared" si="6"/>
        <v>0</v>
      </c>
      <c r="BT622" s="1413"/>
      <c r="BU622" s="1413"/>
      <c r="BV622" s="1413"/>
      <c r="BW622" s="1413"/>
      <c r="BX622" s="1413">
        <f t="shared" si="7"/>
        <v>0</v>
      </c>
      <c r="BY622" s="1413"/>
      <c r="BZ622" s="1413"/>
      <c r="CA622" s="1413"/>
      <c r="CB622" s="1413"/>
      <c r="CC622" s="1413">
        <f t="shared" si="8"/>
        <v>0</v>
      </c>
      <c r="CD622" s="1413"/>
      <c r="CE622" s="1413"/>
      <c r="CF622" s="1413"/>
      <c r="CG622" s="1413"/>
      <c r="CH622" s="1413">
        <f t="shared" si="9"/>
        <v>0</v>
      </c>
      <c r="CI622" s="1413"/>
      <c r="CJ622" s="1413"/>
      <c r="CK622" s="1413"/>
      <c r="CL622" s="1413"/>
      <c r="CM622" s="1413">
        <f t="shared" si="10"/>
        <v>0</v>
      </c>
      <c r="CN622" s="1413"/>
      <c r="CO622" s="1413"/>
      <c r="CP622" s="1413"/>
      <c r="CQ622" s="1413"/>
      <c r="CR622" s="1148"/>
      <c r="CS622" s="1434">
        <f t="shared" si="11"/>
        <v>0</v>
      </c>
      <c r="CT622" s="1434"/>
      <c r="CU622" s="1434"/>
      <c r="CV622" s="1434"/>
      <c r="CW622" s="1434"/>
      <c r="CX622" s="1434">
        <f t="shared" si="12"/>
        <v>0</v>
      </c>
      <c r="CY622" s="1434"/>
      <c r="CZ622" s="1434"/>
      <c r="DA622" s="1434"/>
      <c r="DB622" s="1434"/>
      <c r="DC622" s="1434">
        <f t="shared" si="13"/>
        <v>0</v>
      </c>
      <c r="DD622" s="1434"/>
      <c r="DE622" s="1434"/>
      <c r="DF622" s="1434"/>
      <c r="DG622" s="1434"/>
      <c r="DH622" s="1434">
        <f t="shared" si="14"/>
        <v>0</v>
      </c>
      <c r="DI622" s="1434"/>
      <c r="DJ622" s="1434"/>
      <c r="DK622" s="1434"/>
      <c r="DL622" s="1434"/>
      <c r="DM622" s="1434">
        <f t="shared" si="15"/>
        <v>0</v>
      </c>
      <c r="DN622" s="1434"/>
      <c r="DO622" s="1434"/>
      <c r="DP622" s="1434"/>
      <c r="DQ622" s="1434"/>
      <c r="DR622" s="1434">
        <f t="shared" si="16"/>
        <v>0</v>
      </c>
      <c r="DS622" s="1434"/>
      <c r="DT622" s="1434"/>
      <c r="DU622" s="1434"/>
      <c r="DV622" s="1434"/>
      <c r="DX622" s="1410" t="str">
        <f t="shared" si="17"/>
        <v/>
      </c>
      <c r="DY622" s="1411"/>
      <c r="DZ622" s="1411"/>
      <c r="EA622" s="1411"/>
      <c r="EB622" s="1412"/>
      <c r="EC622" s="1410" t="str">
        <f t="shared" si="18"/>
        <v/>
      </c>
      <c r="ED622" s="1411"/>
      <c r="EE622" s="1411"/>
      <c r="EF622" s="1411"/>
      <c r="EG622" s="1412"/>
      <c r="EH622" s="1410" t="str">
        <f t="shared" si="19"/>
        <v/>
      </c>
      <c r="EI622" s="1411"/>
      <c r="EJ622" s="1411"/>
      <c r="EK622" s="1411"/>
      <c r="EL622" s="1412"/>
      <c r="EM622" s="1410" t="str">
        <f t="shared" si="20"/>
        <v/>
      </c>
      <c r="EN622" s="1411"/>
      <c r="EO622" s="1411"/>
      <c r="EP622" s="1411"/>
      <c r="EQ622" s="1412"/>
      <c r="ER622" s="1410" t="str">
        <f t="shared" si="21"/>
        <v/>
      </c>
      <c r="ES622" s="1411"/>
      <c r="ET622" s="1411"/>
      <c r="EU622" s="1411"/>
      <c r="EV622" s="1412"/>
      <c r="EW622" s="1410" t="str">
        <f t="shared" si="22"/>
        <v/>
      </c>
      <c r="EX622" s="1411"/>
      <c r="EY622" s="1411"/>
      <c r="EZ622" s="1411"/>
      <c r="FA622" s="1412"/>
    </row>
    <row r="623" spans="1:157" ht="13" customHeight="1">
      <c r="B623" s="383"/>
      <c r="C623" s="1"/>
      <c r="AU623" s="2"/>
      <c r="AZ623" s="2"/>
      <c r="BA623" s="2"/>
      <c r="BB623" s="2"/>
      <c r="BC623" s="2"/>
      <c r="BD623" s="2"/>
      <c r="BE623" s="1410">
        <f t="shared" si="1"/>
        <v>0</v>
      </c>
      <c r="BF623" s="1412"/>
      <c r="BG623" s="1410">
        <f t="shared" si="2"/>
        <v>0</v>
      </c>
      <c r="BH623" s="1412"/>
      <c r="BI623" s="1410">
        <f t="shared" si="3"/>
        <v>0</v>
      </c>
      <c r="BJ623" s="1412"/>
      <c r="BK623" s="1410">
        <f t="shared" si="4"/>
        <v>0</v>
      </c>
      <c r="BL623" s="1412"/>
      <c r="BM623" s="2"/>
      <c r="BN623" s="1414">
        <f t="shared" si="5"/>
        <v>0</v>
      </c>
      <c r="BO623" s="1415"/>
      <c r="BP623" s="1415"/>
      <c r="BQ623" s="1415"/>
      <c r="BR623" s="1416"/>
      <c r="BS623" s="1413">
        <f t="shared" si="6"/>
        <v>0</v>
      </c>
      <c r="BT623" s="1413"/>
      <c r="BU623" s="1413"/>
      <c r="BV623" s="1413"/>
      <c r="BW623" s="1413"/>
      <c r="BX623" s="1413">
        <f t="shared" si="7"/>
        <v>0</v>
      </c>
      <c r="BY623" s="1413"/>
      <c r="BZ623" s="1413"/>
      <c r="CA623" s="1413"/>
      <c r="CB623" s="1413"/>
      <c r="CC623" s="1413">
        <f t="shared" si="8"/>
        <v>0</v>
      </c>
      <c r="CD623" s="1413"/>
      <c r="CE623" s="1413"/>
      <c r="CF623" s="1413"/>
      <c r="CG623" s="1413"/>
      <c r="CH623" s="1413">
        <f t="shared" si="9"/>
        <v>0</v>
      </c>
      <c r="CI623" s="1413"/>
      <c r="CJ623" s="1413"/>
      <c r="CK623" s="1413"/>
      <c r="CL623" s="1413"/>
      <c r="CM623" s="1413">
        <f t="shared" si="10"/>
        <v>0</v>
      </c>
      <c r="CN623" s="1413"/>
      <c r="CO623" s="1413"/>
      <c r="CP623" s="1413"/>
      <c r="CQ623" s="1413"/>
      <c r="CR623" s="1148"/>
      <c r="CS623" s="1434">
        <f t="shared" si="11"/>
        <v>0</v>
      </c>
      <c r="CT623" s="1434"/>
      <c r="CU623" s="1434"/>
      <c r="CV623" s="1434"/>
      <c r="CW623" s="1434"/>
      <c r="CX623" s="1434">
        <f t="shared" si="12"/>
        <v>0</v>
      </c>
      <c r="CY623" s="1434"/>
      <c r="CZ623" s="1434"/>
      <c r="DA623" s="1434"/>
      <c r="DB623" s="1434"/>
      <c r="DC623" s="1434">
        <f t="shared" si="13"/>
        <v>0</v>
      </c>
      <c r="DD623" s="1434"/>
      <c r="DE623" s="1434"/>
      <c r="DF623" s="1434"/>
      <c r="DG623" s="1434"/>
      <c r="DH623" s="1434">
        <f t="shared" si="14"/>
        <v>0</v>
      </c>
      <c r="DI623" s="1434"/>
      <c r="DJ623" s="1434"/>
      <c r="DK623" s="1434"/>
      <c r="DL623" s="1434"/>
      <c r="DM623" s="1434">
        <f t="shared" si="15"/>
        <v>0</v>
      </c>
      <c r="DN623" s="1434"/>
      <c r="DO623" s="1434"/>
      <c r="DP623" s="1434"/>
      <c r="DQ623" s="1434"/>
      <c r="DR623" s="1434">
        <f t="shared" si="16"/>
        <v>0</v>
      </c>
      <c r="DS623" s="1434"/>
      <c r="DT623" s="1434"/>
      <c r="DU623" s="1434"/>
      <c r="DV623" s="1434"/>
      <c r="DX623" s="1410" t="str">
        <f t="shared" si="17"/>
        <v/>
      </c>
      <c r="DY623" s="1411"/>
      <c r="DZ623" s="1411"/>
      <c r="EA623" s="1411"/>
      <c r="EB623" s="1412"/>
      <c r="EC623" s="1410" t="str">
        <f t="shared" si="18"/>
        <v/>
      </c>
      <c r="ED623" s="1411"/>
      <c r="EE623" s="1411"/>
      <c r="EF623" s="1411"/>
      <c r="EG623" s="1412"/>
      <c r="EH623" s="1410" t="str">
        <f t="shared" si="19"/>
        <v/>
      </c>
      <c r="EI623" s="1411"/>
      <c r="EJ623" s="1411"/>
      <c r="EK623" s="1411"/>
      <c r="EL623" s="1412"/>
      <c r="EM623" s="1410" t="str">
        <f t="shared" si="20"/>
        <v/>
      </c>
      <c r="EN623" s="1411"/>
      <c r="EO623" s="1411"/>
      <c r="EP623" s="1411"/>
      <c r="EQ623" s="1412"/>
      <c r="ER623" s="1410" t="str">
        <f t="shared" si="21"/>
        <v/>
      </c>
      <c r="ES623" s="1411"/>
      <c r="ET623" s="1411"/>
      <c r="EU623" s="1411"/>
      <c r="EV623" s="1412"/>
      <c r="EW623" s="1410" t="str">
        <f t="shared" si="22"/>
        <v/>
      </c>
      <c r="EX623" s="1411"/>
      <c r="EY623" s="1411"/>
      <c r="EZ623" s="1411"/>
      <c r="FA623" s="1412"/>
    </row>
    <row r="624" spans="1:157" ht="13" customHeight="1">
      <c r="B624" s="1408" t="s">
        <v>1449</v>
      </c>
      <c r="C624" s="1408"/>
      <c r="D624" s="1408"/>
      <c r="E624" s="1408"/>
      <c r="F624" s="1408"/>
      <c r="G624" s="1408"/>
      <c r="H624" s="1408"/>
      <c r="I624" s="1408"/>
      <c r="J624" s="1408"/>
      <c r="K624" s="1408"/>
      <c r="L624" s="1408"/>
      <c r="M624" s="1402" t="s">
        <v>1450</v>
      </c>
      <c r="N624" s="1402"/>
      <c r="O624" s="1402"/>
      <c r="P624" s="1402"/>
      <c r="Q624" s="1402" t="s">
        <v>1493</v>
      </c>
      <c r="R624" s="1402"/>
      <c r="S624" s="1402"/>
      <c r="T624" s="1402" t="s">
        <v>1494</v>
      </c>
      <c r="U624" s="1402"/>
      <c r="V624" s="1402"/>
      <c r="W624" s="1404" t="s">
        <v>1453</v>
      </c>
      <c r="X624" s="1404"/>
      <c r="Y624" s="1404"/>
      <c r="Z624" s="1545" t="s">
        <v>1495</v>
      </c>
      <c r="AA624" s="1545"/>
      <c r="AB624" s="1546"/>
      <c r="AC624" s="1669" t="s">
        <v>1455</v>
      </c>
      <c r="AD624" s="1670"/>
      <c r="AE624" s="1671"/>
      <c r="AF624" s="1646" t="s">
        <v>1496</v>
      </c>
      <c r="AG624" s="1545"/>
      <c r="AH624" s="1545"/>
      <c r="AI624" s="1545"/>
      <c r="AJ624" s="1546"/>
      <c r="AK624" s="1551" t="s">
        <v>1497</v>
      </c>
      <c r="AL624" s="1552"/>
      <c r="AM624" s="1552"/>
      <c r="AN624" s="1553"/>
      <c r="AO624" s="1402" t="s">
        <v>1457</v>
      </c>
      <c r="AP624" s="1402"/>
      <c r="AQ624" s="1402"/>
      <c r="AR624" s="1402"/>
      <c r="AS624" s="1402"/>
      <c r="AU624" s="2"/>
      <c r="AZ624" s="2"/>
      <c r="BA624" s="2"/>
      <c r="BB624" s="2"/>
      <c r="BC624" s="2"/>
      <c r="BD624" s="2"/>
      <c r="BE624" s="1410">
        <f t="shared" si="1"/>
        <v>0</v>
      </c>
      <c r="BF624" s="1412"/>
      <c r="BG624" s="1410">
        <f t="shared" si="2"/>
        <v>0</v>
      </c>
      <c r="BH624" s="1412"/>
      <c r="BI624" s="1410">
        <f t="shared" si="3"/>
        <v>0</v>
      </c>
      <c r="BJ624" s="1412"/>
      <c r="BK624" s="1410">
        <f t="shared" si="4"/>
        <v>0</v>
      </c>
      <c r="BL624" s="1412"/>
      <c r="BM624" s="2"/>
      <c r="BN624" s="1414">
        <f t="shared" si="5"/>
        <v>0</v>
      </c>
      <c r="BO624" s="1415"/>
      <c r="BP624" s="1415"/>
      <c r="BQ624" s="1415"/>
      <c r="BR624" s="1416"/>
      <c r="BS624" s="1413">
        <f t="shared" si="6"/>
        <v>0</v>
      </c>
      <c r="BT624" s="1413"/>
      <c r="BU624" s="1413"/>
      <c r="BV624" s="1413"/>
      <c r="BW624" s="1413"/>
      <c r="BX624" s="1413">
        <f t="shared" si="7"/>
        <v>0</v>
      </c>
      <c r="BY624" s="1413"/>
      <c r="BZ624" s="1413"/>
      <c r="CA624" s="1413"/>
      <c r="CB624" s="1413"/>
      <c r="CC624" s="1413">
        <f t="shared" si="8"/>
        <v>0</v>
      </c>
      <c r="CD624" s="1413"/>
      <c r="CE624" s="1413"/>
      <c r="CF624" s="1413"/>
      <c r="CG624" s="1413"/>
      <c r="CH624" s="1413">
        <f t="shared" si="9"/>
        <v>0</v>
      </c>
      <c r="CI624" s="1413"/>
      <c r="CJ624" s="1413"/>
      <c r="CK624" s="1413"/>
      <c r="CL624" s="1413"/>
      <c r="CM624" s="1413">
        <f t="shared" si="10"/>
        <v>0</v>
      </c>
      <c r="CN624" s="1413"/>
      <c r="CO624" s="1413"/>
      <c r="CP624" s="1413"/>
      <c r="CQ624" s="1413"/>
      <c r="CR624" s="1148"/>
      <c r="CS624" s="1434">
        <f t="shared" si="11"/>
        <v>0</v>
      </c>
      <c r="CT624" s="1434"/>
      <c r="CU624" s="1434"/>
      <c r="CV624" s="1434"/>
      <c r="CW624" s="1434"/>
      <c r="CX624" s="1434">
        <f t="shared" si="12"/>
        <v>0</v>
      </c>
      <c r="CY624" s="1434"/>
      <c r="CZ624" s="1434"/>
      <c r="DA624" s="1434"/>
      <c r="DB624" s="1434"/>
      <c r="DC624" s="1434">
        <f t="shared" si="13"/>
        <v>0</v>
      </c>
      <c r="DD624" s="1434"/>
      <c r="DE624" s="1434"/>
      <c r="DF624" s="1434"/>
      <c r="DG624" s="1434"/>
      <c r="DH624" s="1434">
        <f t="shared" si="14"/>
        <v>0</v>
      </c>
      <c r="DI624" s="1434"/>
      <c r="DJ624" s="1434"/>
      <c r="DK624" s="1434"/>
      <c r="DL624" s="1434"/>
      <c r="DM624" s="1434">
        <f t="shared" si="15"/>
        <v>0</v>
      </c>
      <c r="DN624" s="1434"/>
      <c r="DO624" s="1434"/>
      <c r="DP624" s="1434"/>
      <c r="DQ624" s="1434"/>
      <c r="DR624" s="1434">
        <f t="shared" si="16"/>
        <v>0</v>
      </c>
      <c r="DS624" s="1434"/>
      <c r="DT624" s="1434"/>
      <c r="DU624" s="1434"/>
      <c r="DV624" s="1434"/>
      <c r="DX624" s="1410" t="str">
        <f t="shared" si="17"/>
        <v/>
      </c>
      <c r="DY624" s="1411"/>
      <c r="DZ624" s="1411"/>
      <c r="EA624" s="1411"/>
      <c r="EB624" s="1412"/>
      <c r="EC624" s="1410" t="str">
        <f t="shared" si="18"/>
        <v/>
      </c>
      <c r="ED624" s="1411"/>
      <c r="EE624" s="1411"/>
      <c r="EF624" s="1411"/>
      <c r="EG624" s="1412"/>
      <c r="EH624" s="1410" t="str">
        <f t="shared" si="19"/>
        <v/>
      </c>
      <c r="EI624" s="1411"/>
      <c r="EJ624" s="1411"/>
      <c r="EK624" s="1411"/>
      <c r="EL624" s="1412"/>
      <c r="EM624" s="1410" t="str">
        <f t="shared" si="20"/>
        <v/>
      </c>
      <c r="EN624" s="1411"/>
      <c r="EO624" s="1411"/>
      <c r="EP624" s="1411"/>
      <c r="EQ624" s="1412"/>
      <c r="ER624" s="1410" t="str">
        <f t="shared" si="21"/>
        <v/>
      </c>
      <c r="ES624" s="1411"/>
      <c r="ET624" s="1411"/>
      <c r="EU624" s="1411"/>
      <c r="EV624" s="1412"/>
      <c r="EW624" s="1410" t="str">
        <f t="shared" si="22"/>
        <v/>
      </c>
      <c r="EX624" s="1411"/>
      <c r="EY624" s="1411"/>
      <c r="EZ624" s="1411"/>
      <c r="FA624" s="1412"/>
    </row>
    <row r="625" spans="2:157" ht="13" customHeight="1">
      <c r="B625" s="1408"/>
      <c r="C625" s="1408"/>
      <c r="D625" s="1408"/>
      <c r="E625" s="1408"/>
      <c r="F625" s="1408"/>
      <c r="G625" s="1408"/>
      <c r="H625" s="1408"/>
      <c r="I625" s="1408"/>
      <c r="J625" s="1408"/>
      <c r="K625" s="1408"/>
      <c r="L625" s="1408"/>
      <c r="M625" s="1402"/>
      <c r="N625" s="1402"/>
      <c r="O625" s="1402"/>
      <c r="P625" s="1402"/>
      <c r="Q625" s="1402"/>
      <c r="R625" s="1402"/>
      <c r="S625" s="1402"/>
      <c r="T625" s="1402"/>
      <c r="U625" s="1402"/>
      <c r="V625" s="1402"/>
      <c r="W625" s="1404"/>
      <c r="X625" s="1404"/>
      <c r="Y625" s="1404"/>
      <c r="Z625" s="1547"/>
      <c r="AA625" s="1547"/>
      <c r="AB625" s="1548"/>
      <c r="AC625" s="1672"/>
      <c r="AD625" s="1673"/>
      <c r="AE625" s="1674"/>
      <c r="AF625" s="1647"/>
      <c r="AG625" s="1547"/>
      <c r="AH625" s="1547"/>
      <c r="AI625" s="1547"/>
      <c r="AJ625" s="1548"/>
      <c r="AK625" s="1554"/>
      <c r="AL625" s="1555"/>
      <c r="AM625" s="1555"/>
      <c r="AN625" s="1556"/>
      <c r="AO625" s="1402"/>
      <c r="AP625" s="1402"/>
      <c r="AQ625" s="1402"/>
      <c r="AR625" s="1402"/>
      <c r="AS625" s="1402"/>
      <c r="AU625" s="2"/>
      <c r="AZ625" s="2"/>
      <c r="BA625" s="2"/>
      <c r="BB625" s="2"/>
      <c r="BC625" s="2"/>
      <c r="BD625" s="2"/>
      <c r="BE625" s="1410">
        <f t="shared" si="1"/>
        <v>0</v>
      </c>
      <c r="BF625" s="1412"/>
      <c r="BG625" s="1410">
        <f t="shared" si="2"/>
        <v>0</v>
      </c>
      <c r="BH625" s="1412"/>
      <c r="BI625" s="1410">
        <f t="shared" si="3"/>
        <v>0</v>
      </c>
      <c r="BJ625" s="1412"/>
      <c r="BK625" s="1410">
        <f t="shared" si="4"/>
        <v>0</v>
      </c>
      <c r="BL625" s="1412"/>
      <c r="BM625" s="2"/>
      <c r="BN625" s="1414">
        <f t="shared" si="5"/>
        <v>0</v>
      </c>
      <c r="BO625" s="1415"/>
      <c r="BP625" s="1415"/>
      <c r="BQ625" s="1415"/>
      <c r="BR625" s="1416"/>
      <c r="BS625" s="1413">
        <f t="shared" si="6"/>
        <v>0</v>
      </c>
      <c r="BT625" s="1413"/>
      <c r="BU625" s="1413"/>
      <c r="BV625" s="1413"/>
      <c r="BW625" s="1413"/>
      <c r="BX625" s="1413">
        <f t="shared" si="7"/>
        <v>0</v>
      </c>
      <c r="BY625" s="1413"/>
      <c r="BZ625" s="1413"/>
      <c r="CA625" s="1413"/>
      <c r="CB625" s="1413"/>
      <c r="CC625" s="1413">
        <f t="shared" si="8"/>
        <v>0</v>
      </c>
      <c r="CD625" s="1413"/>
      <c r="CE625" s="1413"/>
      <c r="CF625" s="1413"/>
      <c r="CG625" s="1413"/>
      <c r="CH625" s="1413">
        <f t="shared" si="9"/>
        <v>0</v>
      </c>
      <c r="CI625" s="1413"/>
      <c r="CJ625" s="1413"/>
      <c r="CK625" s="1413"/>
      <c r="CL625" s="1413"/>
      <c r="CM625" s="1413">
        <f t="shared" si="10"/>
        <v>0</v>
      </c>
      <c r="CN625" s="1413"/>
      <c r="CO625" s="1413"/>
      <c r="CP625" s="1413"/>
      <c r="CQ625" s="1413"/>
      <c r="CR625" s="1148"/>
      <c r="CS625" s="1434">
        <f t="shared" si="11"/>
        <v>0</v>
      </c>
      <c r="CT625" s="1434"/>
      <c r="CU625" s="1434"/>
      <c r="CV625" s="1434"/>
      <c r="CW625" s="1434"/>
      <c r="CX625" s="1434">
        <f t="shared" si="12"/>
        <v>0</v>
      </c>
      <c r="CY625" s="1434"/>
      <c r="CZ625" s="1434"/>
      <c r="DA625" s="1434"/>
      <c r="DB625" s="1434"/>
      <c r="DC625" s="1434">
        <f t="shared" si="13"/>
        <v>0</v>
      </c>
      <c r="DD625" s="1434"/>
      <c r="DE625" s="1434"/>
      <c r="DF625" s="1434"/>
      <c r="DG625" s="1434"/>
      <c r="DH625" s="1434">
        <f t="shared" si="14"/>
        <v>0</v>
      </c>
      <c r="DI625" s="1434"/>
      <c r="DJ625" s="1434"/>
      <c r="DK625" s="1434"/>
      <c r="DL625" s="1434"/>
      <c r="DM625" s="1434">
        <f t="shared" si="15"/>
        <v>0</v>
      </c>
      <c r="DN625" s="1434"/>
      <c r="DO625" s="1434"/>
      <c r="DP625" s="1434"/>
      <c r="DQ625" s="1434"/>
      <c r="DR625" s="1434">
        <f t="shared" si="16"/>
        <v>0</v>
      </c>
      <c r="DS625" s="1434"/>
      <c r="DT625" s="1434"/>
      <c r="DU625" s="1434"/>
      <c r="DV625" s="1434"/>
      <c r="DX625" s="1410" t="str">
        <f t="shared" si="17"/>
        <v/>
      </c>
      <c r="DY625" s="1411"/>
      <c r="DZ625" s="1411"/>
      <c r="EA625" s="1411"/>
      <c r="EB625" s="1412"/>
      <c r="EC625" s="1410" t="str">
        <f t="shared" si="18"/>
        <v/>
      </c>
      <c r="ED625" s="1411"/>
      <c r="EE625" s="1411"/>
      <c r="EF625" s="1411"/>
      <c r="EG625" s="1412"/>
      <c r="EH625" s="1410" t="str">
        <f t="shared" si="19"/>
        <v/>
      </c>
      <c r="EI625" s="1411"/>
      <c r="EJ625" s="1411"/>
      <c r="EK625" s="1411"/>
      <c r="EL625" s="1412"/>
      <c r="EM625" s="1410" t="str">
        <f t="shared" si="20"/>
        <v/>
      </c>
      <c r="EN625" s="1411"/>
      <c r="EO625" s="1411"/>
      <c r="EP625" s="1411"/>
      <c r="EQ625" s="1412"/>
      <c r="ER625" s="1410" t="str">
        <f t="shared" si="21"/>
        <v/>
      </c>
      <c r="ES625" s="1411"/>
      <c r="ET625" s="1411"/>
      <c r="EU625" s="1411"/>
      <c r="EV625" s="1412"/>
      <c r="EW625" s="1410" t="str">
        <f t="shared" si="22"/>
        <v/>
      </c>
      <c r="EX625" s="1411"/>
      <c r="EY625" s="1411"/>
      <c r="EZ625" s="1411"/>
      <c r="FA625" s="1412"/>
    </row>
    <row r="626" spans="2:157" ht="13" customHeight="1">
      <c r="B626" s="1408"/>
      <c r="C626" s="1408"/>
      <c r="D626" s="1408"/>
      <c r="E626" s="1408"/>
      <c r="F626" s="1408"/>
      <c r="G626" s="1408"/>
      <c r="H626" s="1408"/>
      <c r="I626" s="1408"/>
      <c r="J626" s="1408"/>
      <c r="K626" s="1408"/>
      <c r="L626" s="1408"/>
      <c r="M626" s="1402"/>
      <c r="N626" s="1402"/>
      <c r="O626" s="1402"/>
      <c r="P626" s="1402"/>
      <c r="Q626" s="1402"/>
      <c r="R626" s="1402"/>
      <c r="S626" s="1402"/>
      <c r="T626" s="1402"/>
      <c r="U626" s="1402"/>
      <c r="V626" s="1402"/>
      <c r="W626" s="1404"/>
      <c r="X626" s="1404"/>
      <c r="Y626" s="1404"/>
      <c r="Z626" s="1549"/>
      <c r="AA626" s="1549"/>
      <c r="AB626" s="1550"/>
      <c r="AC626" s="1675"/>
      <c r="AD626" s="1676"/>
      <c r="AE626" s="1677"/>
      <c r="AF626" s="1648"/>
      <c r="AG626" s="1549"/>
      <c r="AH626" s="1549"/>
      <c r="AI626" s="1549"/>
      <c r="AJ626" s="1550"/>
      <c r="AK626" s="1557"/>
      <c r="AL626" s="1558"/>
      <c r="AM626" s="1558"/>
      <c r="AN626" s="1559"/>
      <c r="AO626" s="1402"/>
      <c r="AP626" s="1402"/>
      <c r="AQ626" s="1402"/>
      <c r="AR626" s="1402"/>
      <c r="AS626" s="1402"/>
      <c r="AT626" s="2"/>
      <c r="AU626" s="2"/>
      <c r="AZ626" s="2"/>
      <c r="BA626" s="2"/>
      <c r="BB626" s="2"/>
      <c r="BC626" s="2"/>
      <c r="BD626" s="2"/>
      <c r="BE626" s="1410">
        <f t="shared" si="1"/>
        <v>0</v>
      </c>
      <c r="BF626" s="1412"/>
      <c r="BG626" s="1410">
        <f t="shared" si="2"/>
        <v>0</v>
      </c>
      <c r="BH626" s="1412"/>
      <c r="BI626" s="1410">
        <f t="shared" si="3"/>
        <v>0</v>
      </c>
      <c r="BJ626" s="1412"/>
      <c r="BK626" s="1410">
        <f t="shared" si="4"/>
        <v>0</v>
      </c>
      <c r="BL626" s="1412"/>
      <c r="BM626" s="2"/>
      <c r="BN626" s="1414">
        <f t="shared" si="5"/>
        <v>0</v>
      </c>
      <c r="BO626" s="1415"/>
      <c r="BP626" s="1415"/>
      <c r="BQ626" s="1415"/>
      <c r="BR626" s="1416"/>
      <c r="BS626" s="1413">
        <f t="shared" si="6"/>
        <v>0</v>
      </c>
      <c r="BT626" s="1413"/>
      <c r="BU626" s="1413"/>
      <c r="BV626" s="1413"/>
      <c r="BW626" s="1413"/>
      <c r="BX626" s="1413">
        <f t="shared" si="7"/>
        <v>0</v>
      </c>
      <c r="BY626" s="1413"/>
      <c r="BZ626" s="1413"/>
      <c r="CA626" s="1413"/>
      <c r="CB626" s="1413"/>
      <c r="CC626" s="1413">
        <f t="shared" si="8"/>
        <v>0</v>
      </c>
      <c r="CD626" s="1413"/>
      <c r="CE626" s="1413"/>
      <c r="CF626" s="1413"/>
      <c r="CG626" s="1413"/>
      <c r="CH626" s="1413">
        <f t="shared" si="9"/>
        <v>0</v>
      </c>
      <c r="CI626" s="1413"/>
      <c r="CJ626" s="1413"/>
      <c r="CK626" s="1413"/>
      <c r="CL626" s="1413"/>
      <c r="CM626" s="1413">
        <f t="shared" si="10"/>
        <v>0</v>
      </c>
      <c r="CN626" s="1413"/>
      <c r="CO626" s="1413"/>
      <c r="CP626" s="1413"/>
      <c r="CQ626" s="1413"/>
      <c r="CR626" s="1148"/>
      <c r="CS626" s="1434">
        <f t="shared" si="11"/>
        <v>0</v>
      </c>
      <c r="CT626" s="1434"/>
      <c r="CU626" s="1434"/>
      <c r="CV626" s="1434"/>
      <c r="CW626" s="1434"/>
      <c r="CX626" s="1434">
        <f t="shared" si="12"/>
        <v>0</v>
      </c>
      <c r="CY626" s="1434"/>
      <c r="CZ626" s="1434"/>
      <c r="DA626" s="1434"/>
      <c r="DB626" s="1434"/>
      <c r="DC626" s="1434">
        <f t="shared" si="13"/>
        <v>0</v>
      </c>
      <c r="DD626" s="1434"/>
      <c r="DE626" s="1434"/>
      <c r="DF626" s="1434"/>
      <c r="DG626" s="1434"/>
      <c r="DH626" s="1434">
        <f t="shared" si="14"/>
        <v>0</v>
      </c>
      <c r="DI626" s="1434"/>
      <c r="DJ626" s="1434"/>
      <c r="DK626" s="1434"/>
      <c r="DL626" s="1434"/>
      <c r="DM626" s="1434">
        <f t="shared" si="15"/>
        <v>0</v>
      </c>
      <c r="DN626" s="1434"/>
      <c r="DO626" s="1434"/>
      <c r="DP626" s="1434"/>
      <c r="DQ626" s="1434"/>
      <c r="DR626" s="1434">
        <f t="shared" si="16"/>
        <v>0</v>
      </c>
      <c r="DS626" s="1434"/>
      <c r="DT626" s="1434"/>
      <c r="DU626" s="1434"/>
      <c r="DV626" s="1434"/>
      <c r="DX626" s="1410" t="str">
        <f t="shared" si="17"/>
        <v/>
      </c>
      <c r="DY626" s="1411"/>
      <c r="DZ626" s="1411"/>
      <c r="EA626" s="1411"/>
      <c r="EB626" s="1412"/>
      <c r="EC626" s="1410" t="str">
        <f t="shared" si="18"/>
        <v/>
      </c>
      <c r="ED626" s="1411"/>
      <c r="EE626" s="1411"/>
      <c r="EF626" s="1411"/>
      <c r="EG626" s="1412"/>
      <c r="EH626" s="1410" t="str">
        <f t="shared" si="19"/>
        <v/>
      </c>
      <c r="EI626" s="1411"/>
      <c r="EJ626" s="1411"/>
      <c r="EK626" s="1411"/>
      <c r="EL626" s="1412"/>
      <c r="EM626" s="1410" t="str">
        <f t="shared" si="20"/>
        <v/>
      </c>
      <c r="EN626" s="1411"/>
      <c r="EO626" s="1411"/>
      <c r="EP626" s="1411"/>
      <c r="EQ626" s="1412"/>
      <c r="ER626" s="1410" t="str">
        <f t="shared" si="21"/>
        <v/>
      </c>
      <c r="ES626" s="1411"/>
      <c r="ET626" s="1411"/>
      <c r="EU626" s="1411"/>
      <c r="EV626" s="1412"/>
      <c r="EW626" s="1410" t="str">
        <f t="shared" si="22"/>
        <v/>
      </c>
      <c r="EX626" s="1411"/>
      <c r="EY626" s="1411"/>
      <c r="EZ626" s="1411"/>
      <c r="FA626" s="1412"/>
    </row>
    <row r="627" spans="2:157" ht="13" customHeight="1">
      <c r="B627" s="35" t="s">
        <v>17</v>
      </c>
      <c r="C627" s="1393" t="s">
        <v>1458</v>
      </c>
      <c r="D627" s="1393"/>
      <c r="E627" s="1393"/>
      <c r="F627" s="1393"/>
      <c r="G627" s="1393"/>
      <c r="H627" s="1393"/>
      <c r="I627" s="1393"/>
      <c r="J627" s="1393"/>
      <c r="K627" s="1393"/>
      <c r="L627" s="1393"/>
      <c r="M627" s="1403" t="s">
        <v>1425</v>
      </c>
      <c r="N627" s="1403"/>
      <c r="O627" s="1403"/>
      <c r="P627" s="1403"/>
      <c r="Q627" s="1390">
        <v>204</v>
      </c>
      <c r="R627" s="1390"/>
      <c r="S627" s="1391"/>
      <c r="T627" s="1392">
        <v>480</v>
      </c>
      <c r="U627" s="1390"/>
      <c r="V627" s="1391"/>
      <c r="W627" s="1405">
        <v>6.25E-2</v>
      </c>
      <c r="X627" s="1406"/>
      <c r="Y627" s="1407"/>
      <c r="Z627" s="1438" t="s">
        <v>1498</v>
      </c>
      <c r="AA627" s="1439"/>
      <c r="AB627" s="1440"/>
      <c r="AC627" s="1386">
        <v>1</v>
      </c>
      <c r="AD627" s="1387"/>
      <c r="AE627" s="1388"/>
      <c r="AF627" s="1399">
        <v>612990.78260899999</v>
      </c>
      <c r="AG627" s="1400"/>
      <c r="AH627" s="1400"/>
      <c r="AI627" s="1400"/>
      <c r="AJ627" s="1401"/>
      <c r="AK627" s="1396"/>
      <c r="AL627" s="1397"/>
      <c r="AM627" s="1397"/>
      <c r="AN627" s="1398"/>
      <c r="AO627" s="1473">
        <v>8997535</v>
      </c>
      <c r="AP627" s="1473"/>
      <c r="AQ627" s="1473"/>
      <c r="AR627" s="1473"/>
      <c r="AS627" s="1473"/>
      <c r="AT627" s="2"/>
      <c r="AU627" s="2"/>
      <c r="AZ627" s="2"/>
      <c r="BA627" s="2"/>
      <c r="BB627" s="2"/>
      <c r="BC627" s="2"/>
      <c r="BD627" s="2"/>
      <c r="BE627" s="1410">
        <f t="shared" si="1"/>
        <v>0</v>
      </c>
      <c r="BF627" s="1412"/>
      <c r="BG627" s="1410">
        <f t="shared" si="2"/>
        <v>0</v>
      </c>
      <c r="BH627" s="1412"/>
      <c r="BI627" s="1410">
        <f t="shared" si="3"/>
        <v>0</v>
      </c>
      <c r="BJ627" s="1412"/>
      <c r="BK627" s="1410">
        <f t="shared" si="4"/>
        <v>0</v>
      </c>
      <c r="BL627" s="1412"/>
      <c r="BM627" s="2"/>
      <c r="BN627" s="1414">
        <f t="shared" si="5"/>
        <v>0</v>
      </c>
      <c r="BO627" s="1415"/>
      <c r="BP627" s="1415"/>
      <c r="BQ627" s="1415"/>
      <c r="BR627" s="1416"/>
      <c r="BS627" s="1413">
        <f t="shared" si="6"/>
        <v>0</v>
      </c>
      <c r="BT627" s="1413"/>
      <c r="BU627" s="1413"/>
      <c r="BV627" s="1413"/>
      <c r="BW627" s="1413"/>
      <c r="BX627" s="1413">
        <f t="shared" si="7"/>
        <v>0</v>
      </c>
      <c r="BY627" s="1413"/>
      <c r="BZ627" s="1413"/>
      <c r="CA627" s="1413"/>
      <c r="CB627" s="1413"/>
      <c r="CC627" s="1413">
        <f t="shared" si="8"/>
        <v>0</v>
      </c>
      <c r="CD627" s="1413"/>
      <c r="CE627" s="1413"/>
      <c r="CF627" s="1413"/>
      <c r="CG627" s="1413"/>
      <c r="CH627" s="1413">
        <f t="shared" si="9"/>
        <v>0</v>
      </c>
      <c r="CI627" s="1413"/>
      <c r="CJ627" s="1413"/>
      <c r="CK627" s="1413"/>
      <c r="CL627" s="1413"/>
      <c r="CM627" s="1413">
        <f t="shared" si="10"/>
        <v>0</v>
      </c>
      <c r="CN627" s="1413"/>
      <c r="CO627" s="1413"/>
      <c r="CP627" s="1413"/>
      <c r="CQ627" s="1413"/>
      <c r="CR627" s="1148"/>
      <c r="CS627" s="1434">
        <f t="shared" si="11"/>
        <v>0</v>
      </c>
      <c r="CT627" s="1434"/>
      <c r="CU627" s="1434"/>
      <c r="CV627" s="1434"/>
      <c r="CW627" s="1434"/>
      <c r="CX627" s="1434">
        <f t="shared" si="12"/>
        <v>0</v>
      </c>
      <c r="CY627" s="1434"/>
      <c r="CZ627" s="1434"/>
      <c r="DA627" s="1434"/>
      <c r="DB627" s="1434"/>
      <c r="DC627" s="1434">
        <f t="shared" si="13"/>
        <v>0</v>
      </c>
      <c r="DD627" s="1434"/>
      <c r="DE627" s="1434"/>
      <c r="DF627" s="1434"/>
      <c r="DG627" s="1434"/>
      <c r="DH627" s="1434">
        <f t="shared" si="14"/>
        <v>0</v>
      </c>
      <c r="DI627" s="1434"/>
      <c r="DJ627" s="1434"/>
      <c r="DK627" s="1434"/>
      <c r="DL627" s="1434"/>
      <c r="DM627" s="1434">
        <f t="shared" si="15"/>
        <v>0</v>
      </c>
      <c r="DN627" s="1434"/>
      <c r="DO627" s="1434"/>
      <c r="DP627" s="1434"/>
      <c r="DQ627" s="1434"/>
      <c r="DR627" s="1434">
        <f t="shared" si="16"/>
        <v>0</v>
      </c>
      <c r="DS627" s="1434"/>
      <c r="DT627" s="1434"/>
      <c r="DU627" s="1434"/>
      <c r="DV627" s="1434"/>
      <c r="DX627" s="1410" t="str">
        <f t="shared" si="17"/>
        <v/>
      </c>
      <c r="DY627" s="1411"/>
      <c r="DZ627" s="1411"/>
      <c r="EA627" s="1411"/>
      <c r="EB627" s="1412"/>
      <c r="EC627" s="1410" t="str">
        <f t="shared" si="18"/>
        <v/>
      </c>
      <c r="ED627" s="1411"/>
      <c r="EE627" s="1411"/>
      <c r="EF627" s="1411"/>
      <c r="EG627" s="1412"/>
      <c r="EH627" s="1410" t="str">
        <f t="shared" si="19"/>
        <v/>
      </c>
      <c r="EI627" s="1411"/>
      <c r="EJ627" s="1411"/>
      <c r="EK627" s="1411"/>
      <c r="EL627" s="1412"/>
      <c r="EM627" s="1410" t="str">
        <f t="shared" si="20"/>
        <v/>
      </c>
      <c r="EN627" s="1411"/>
      <c r="EO627" s="1411"/>
      <c r="EP627" s="1411"/>
      <c r="EQ627" s="1412"/>
      <c r="ER627" s="1410" t="str">
        <f t="shared" si="21"/>
        <v/>
      </c>
      <c r="ES627" s="1411"/>
      <c r="ET627" s="1411"/>
      <c r="EU627" s="1411"/>
      <c r="EV627" s="1412"/>
      <c r="EW627" s="1410" t="str">
        <f t="shared" si="22"/>
        <v/>
      </c>
      <c r="EX627" s="1411"/>
      <c r="EY627" s="1411"/>
      <c r="EZ627" s="1411"/>
      <c r="FA627" s="1412"/>
    </row>
    <row r="628" spans="2:157" ht="13" customHeight="1">
      <c r="B628" s="36" t="s">
        <v>30</v>
      </c>
      <c r="C628" s="1393" t="s">
        <v>1499</v>
      </c>
      <c r="D628" s="1393"/>
      <c r="E628" s="1393"/>
      <c r="F628" s="1393"/>
      <c r="G628" s="1393"/>
      <c r="H628" s="1393"/>
      <c r="I628" s="1393"/>
      <c r="J628" s="1393"/>
      <c r="K628" s="1393"/>
      <c r="L628" s="1393"/>
      <c r="M628" s="1403" t="s">
        <v>1435</v>
      </c>
      <c r="N628" s="1403"/>
      <c r="O628" s="1403"/>
      <c r="P628" s="1403"/>
      <c r="Q628" s="1392"/>
      <c r="R628" s="1390"/>
      <c r="S628" s="1391"/>
      <c r="T628" s="1392"/>
      <c r="U628" s="1390"/>
      <c r="V628" s="1391"/>
      <c r="W628" s="1405"/>
      <c r="X628" s="1406"/>
      <c r="Y628" s="1407"/>
      <c r="Z628" s="1438" t="s">
        <v>1079</v>
      </c>
      <c r="AA628" s="1439"/>
      <c r="AB628" s="1440"/>
      <c r="AC628" s="1386"/>
      <c r="AD628" s="1387"/>
      <c r="AE628" s="1388"/>
      <c r="AF628" s="1399"/>
      <c r="AG628" s="1400"/>
      <c r="AH628" s="1400"/>
      <c r="AI628" s="1400"/>
      <c r="AJ628" s="1401"/>
      <c r="AK628" s="1396"/>
      <c r="AL628" s="1397"/>
      <c r="AM628" s="1397"/>
      <c r="AN628" s="1398"/>
      <c r="AO628" s="1435">
        <v>11000000</v>
      </c>
      <c r="AP628" s="1436"/>
      <c r="AQ628" s="1436"/>
      <c r="AR628" s="1436"/>
      <c r="AS628" s="1437"/>
      <c r="AT628" s="960" t="str">
        <f>IF(AND(NOT(C627=""),C628="",NOT(C629="")),"!","")</f>
        <v/>
      </c>
      <c r="AU628" s="2"/>
      <c r="AZ628" s="2"/>
      <c r="BA628" s="2"/>
      <c r="BB628" s="2"/>
      <c r="BC628" s="2"/>
      <c r="BD628" s="2"/>
      <c r="BE628" s="1410">
        <f t="shared" si="1"/>
        <v>0</v>
      </c>
      <c r="BF628" s="1412"/>
      <c r="BG628" s="1410">
        <f t="shared" si="2"/>
        <v>0</v>
      </c>
      <c r="BH628" s="1412"/>
      <c r="BI628" s="1410">
        <f t="shared" si="3"/>
        <v>0</v>
      </c>
      <c r="BJ628" s="1412"/>
      <c r="BK628" s="1410">
        <f t="shared" si="4"/>
        <v>0</v>
      </c>
      <c r="BL628" s="1412"/>
      <c r="BM628" s="2"/>
      <c r="BN628" s="1414">
        <f t="shared" si="5"/>
        <v>0</v>
      </c>
      <c r="BO628" s="1415"/>
      <c r="BP628" s="1415"/>
      <c r="BQ628" s="1415"/>
      <c r="BR628" s="1416"/>
      <c r="BS628" s="1413">
        <f t="shared" si="6"/>
        <v>0</v>
      </c>
      <c r="BT628" s="1413"/>
      <c r="BU628" s="1413"/>
      <c r="BV628" s="1413"/>
      <c r="BW628" s="1413"/>
      <c r="BX628" s="1413">
        <f t="shared" si="7"/>
        <v>0</v>
      </c>
      <c r="BY628" s="1413"/>
      <c r="BZ628" s="1413"/>
      <c r="CA628" s="1413"/>
      <c r="CB628" s="1413"/>
      <c r="CC628" s="1413">
        <f t="shared" si="8"/>
        <v>0</v>
      </c>
      <c r="CD628" s="1413"/>
      <c r="CE628" s="1413"/>
      <c r="CF628" s="1413"/>
      <c r="CG628" s="1413"/>
      <c r="CH628" s="1413">
        <f t="shared" si="9"/>
        <v>0</v>
      </c>
      <c r="CI628" s="1413"/>
      <c r="CJ628" s="1413"/>
      <c r="CK628" s="1413"/>
      <c r="CL628" s="1413"/>
      <c r="CM628" s="1413">
        <f t="shared" si="10"/>
        <v>0</v>
      </c>
      <c r="CN628" s="1413"/>
      <c r="CO628" s="1413"/>
      <c r="CP628" s="1413"/>
      <c r="CQ628" s="1413"/>
      <c r="CR628" s="1148"/>
      <c r="CS628" s="1434">
        <f t="shared" si="11"/>
        <v>0</v>
      </c>
      <c r="CT628" s="1434"/>
      <c r="CU628" s="1434"/>
      <c r="CV628" s="1434"/>
      <c r="CW628" s="1434"/>
      <c r="CX628" s="1434">
        <f t="shared" si="12"/>
        <v>0</v>
      </c>
      <c r="CY628" s="1434"/>
      <c r="CZ628" s="1434"/>
      <c r="DA628" s="1434"/>
      <c r="DB628" s="1434"/>
      <c r="DC628" s="1434">
        <f t="shared" si="13"/>
        <v>0</v>
      </c>
      <c r="DD628" s="1434"/>
      <c r="DE628" s="1434"/>
      <c r="DF628" s="1434"/>
      <c r="DG628" s="1434"/>
      <c r="DH628" s="1434">
        <f t="shared" si="14"/>
        <v>0</v>
      </c>
      <c r="DI628" s="1434"/>
      <c r="DJ628" s="1434"/>
      <c r="DK628" s="1434"/>
      <c r="DL628" s="1434"/>
      <c r="DM628" s="1434">
        <f t="shared" si="15"/>
        <v>0</v>
      </c>
      <c r="DN628" s="1434"/>
      <c r="DO628" s="1434"/>
      <c r="DP628" s="1434"/>
      <c r="DQ628" s="1434"/>
      <c r="DR628" s="1434">
        <f t="shared" si="16"/>
        <v>0</v>
      </c>
      <c r="DS628" s="1434"/>
      <c r="DT628" s="1434"/>
      <c r="DU628" s="1434"/>
      <c r="DV628" s="1434"/>
      <c r="DX628" s="1410" t="str">
        <f t="shared" si="17"/>
        <v/>
      </c>
      <c r="DY628" s="1411"/>
      <c r="DZ628" s="1411"/>
      <c r="EA628" s="1411"/>
      <c r="EB628" s="1412"/>
      <c r="EC628" s="1410" t="str">
        <f t="shared" si="18"/>
        <v/>
      </c>
      <c r="ED628" s="1411"/>
      <c r="EE628" s="1411"/>
      <c r="EF628" s="1411"/>
      <c r="EG628" s="1412"/>
      <c r="EH628" s="1410" t="str">
        <f t="shared" si="19"/>
        <v/>
      </c>
      <c r="EI628" s="1411"/>
      <c r="EJ628" s="1411"/>
      <c r="EK628" s="1411"/>
      <c r="EL628" s="1412"/>
      <c r="EM628" s="1410" t="str">
        <f t="shared" si="20"/>
        <v/>
      </c>
      <c r="EN628" s="1411"/>
      <c r="EO628" s="1411"/>
      <c r="EP628" s="1411"/>
      <c r="EQ628" s="1412"/>
      <c r="ER628" s="1410" t="str">
        <f t="shared" si="21"/>
        <v/>
      </c>
      <c r="ES628" s="1411"/>
      <c r="ET628" s="1411"/>
      <c r="EU628" s="1411"/>
      <c r="EV628" s="1412"/>
      <c r="EW628" s="1410" t="str">
        <f t="shared" si="22"/>
        <v/>
      </c>
      <c r="EX628" s="1411"/>
      <c r="EY628" s="1411"/>
      <c r="EZ628" s="1411"/>
      <c r="FA628" s="1412"/>
    </row>
    <row r="629" spans="2:157" ht="13" customHeight="1">
      <c r="B629" s="36" t="s">
        <v>38</v>
      </c>
      <c r="C629" s="1393" t="s">
        <v>1500</v>
      </c>
      <c r="D629" s="1393"/>
      <c r="E629" s="1393"/>
      <c r="F629" s="1393"/>
      <c r="G629" s="1393"/>
      <c r="H629" s="1393"/>
      <c r="I629" s="1393"/>
      <c r="J629" s="1393"/>
      <c r="K629" s="1393"/>
      <c r="L629" s="1393"/>
      <c r="M629" s="1403" t="s">
        <v>1412</v>
      </c>
      <c r="N629" s="1403"/>
      <c r="O629" s="1403"/>
      <c r="P629" s="1403"/>
      <c r="Q629" s="1392"/>
      <c r="R629" s="1390"/>
      <c r="S629" s="1391"/>
      <c r="T629" s="1392"/>
      <c r="U629" s="1390"/>
      <c r="V629" s="1391"/>
      <c r="W629" s="1405"/>
      <c r="X629" s="1406"/>
      <c r="Y629" s="1407"/>
      <c r="Z629" s="1438" t="s">
        <v>1079</v>
      </c>
      <c r="AA629" s="1439"/>
      <c r="AB629" s="1440"/>
      <c r="AC629" s="1386"/>
      <c r="AD629" s="1387"/>
      <c r="AE629" s="1388"/>
      <c r="AF629" s="1399"/>
      <c r="AG629" s="1400"/>
      <c r="AH629" s="1400"/>
      <c r="AI629" s="1400"/>
      <c r="AJ629" s="1401"/>
      <c r="AK629" s="1396"/>
      <c r="AL629" s="1397"/>
      <c r="AM629" s="1397"/>
      <c r="AN629" s="1398"/>
      <c r="AO629" s="1435">
        <f>'Sources and Uses Budget'!H105</f>
        <v>3037616</v>
      </c>
      <c r="AP629" s="1436"/>
      <c r="AQ629" s="1436"/>
      <c r="AR629" s="1436"/>
      <c r="AS629" s="1437"/>
      <c r="AT629" s="960" t="str">
        <f t="shared" ref="AT629:AT638" si="23">IF(AND(NOT(C628=""),C629="",NOT(C630="")),"!","")</f>
        <v/>
      </c>
      <c r="AU629" s="2"/>
      <c r="AZ629" s="2"/>
      <c r="BA629" s="2"/>
      <c r="BB629" s="2"/>
      <c r="BC629" s="2"/>
      <c r="BD629" s="2"/>
      <c r="BE629" s="1410">
        <f t="shared" si="1"/>
        <v>0</v>
      </c>
      <c r="BF629" s="1412"/>
      <c r="BG629" s="1410">
        <f t="shared" si="2"/>
        <v>0</v>
      </c>
      <c r="BH629" s="1412"/>
      <c r="BI629" s="1410">
        <f t="shared" si="3"/>
        <v>0</v>
      </c>
      <c r="BJ629" s="1412"/>
      <c r="BK629" s="1410">
        <f t="shared" si="4"/>
        <v>0</v>
      </c>
      <c r="BL629" s="1412"/>
      <c r="BM629" s="2"/>
      <c r="BN629" s="1414">
        <f t="shared" si="5"/>
        <v>0</v>
      </c>
      <c r="BO629" s="1415"/>
      <c r="BP629" s="1415"/>
      <c r="BQ629" s="1415"/>
      <c r="BR629" s="1416"/>
      <c r="BS629" s="1413">
        <f t="shared" si="6"/>
        <v>0</v>
      </c>
      <c r="BT629" s="1413"/>
      <c r="BU629" s="1413"/>
      <c r="BV629" s="1413"/>
      <c r="BW629" s="1413"/>
      <c r="BX629" s="1413">
        <f t="shared" si="7"/>
        <v>0</v>
      </c>
      <c r="BY629" s="1413"/>
      <c r="BZ629" s="1413"/>
      <c r="CA629" s="1413"/>
      <c r="CB629" s="1413"/>
      <c r="CC629" s="1413">
        <f t="shared" si="8"/>
        <v>0</v>
      </c>
      <c r="CD629" s="1413"/>
      <c r="CE629" s="1413"/>
      <c r="CF629" s="1413"/>
      <c r="CG629" s="1413"/>
      <c r="CH629" s="1413">
        <f t="shared" si="9"/>
        <v>0</v>
      </c>
      <c r="CI629" s="1413"/>
      <c r="CJ629" s="1413"/>
      <c r="CK629" s="1413"/>
      <c r="CL629" s="1413"/>
      <c r="CM629" s="1413">
        <f t="shared" si="10"/>
        <v>0</v>
      </c>
      <c r="CN629" s="1413"/>
      <c r="CO629" s="1413"/>
      <c r="CP629" s="1413"/>
      <c r="CQ629" s="1413"/>
      <c r="CR629" s="1148"/>
      <c r="CS629" s="1434">
        <f t="shared" si="11"/>
        <v>0</v>
      </c>
      <c r="CT629" s="1434"/>
      <c r="CU629" s="1434"/>
      <c r="CV629" s="1434"/>
      <c r="CW629" s="1434"/>
      <c r="CX629" s="1434">
        <f t="shared" si="12"/>
        <v>0</v>
      </c>
      <c r="CY629" s="1434"/>
      <c r="CZ629" s="1434"/>
      <c r="DA629" s="1434"/>
      <c r="DB629" s="1434"/>
      <c r="DC629" s="1434">
        <f t="shared" si="13"/>
        <v>0</v>
      </c>
      <c r="DD629" s="1434"/>
      <c r="DE629" s="1434"/>
      <c r="DF629" s="1434"/>
      <c r="DG629" s="1434"/>
      <c r="DH629" s="1434">
        <f t="shared" si="14"/>
        <v>0</v>
      </c>
      <c r="DI629" s="1434"/>
      <c r="DJ629" s="1434"/>
      <c r="DK629" s="1434"/>
      <c r="DL629" s="1434"/>
      <c r="DM629" s="1434">
        <f t="shared" si="15"/>
        <v>0</v>
      </c>
      <c r="DN629" s="1434"/>
      <c r="DO629" s="1434"/>
      <c r="DP629" s="1434"/>
      <c r="DQ629" s="1434"/>
      <c r="DR629" s="1434">
        <f t="shared" si="16"/>
        <v>0</v>
      </c>
      <c r="DS629" s="1434"/>
      <c r="DT629" s="1434"/>
      <c r="DU629" s="1434"/>
      <c r="DV629" s="1434"/>
      <c r="DX629" s="1410" t="str">
        <f t="shared" si="17"/>
        <v/>
      </c>
      <c r="DY629" s="1411"/>
      <c r="DZ629" s="1411"/>
      <c r="EA629" s="1411"/>
      <c r="EB629" s="1412"/>
      <c r="EC629" s="1410" t="str">
        <f t="shared" si="18"/>
        <v/>
      </c>
      <c r="ED629" s="1411"/>
      <c r="EE629" s="1411"/>
      <c r="EF629" s="1411"/>
      <c r="EG629" s="1412"/>
      <c r="EH629" s="1410" t="str">
        <f t="shared" si="19"/>
        <v/>
      </c>
      <c r="EI629" s="1411"/>
      <c r="EJ629" s="1411"/>
      <c r="EK629" s="1411"/>
      <c r="EL629" s="1412"/>
      <c r="EM629" s="1410" t="str">
        <f t="shared" si="20"/>
        <v/>
      </c>
      <c r="EN629" s="1411"/>
      <c r="EO629" s="1411"/>
      <c r="EP629" s="1411"/>
      <c r="EQ629" s="1412"/>
      <c r="ER629" s="1410" t="str">
        <f t="shared" si="21"/>
        <v/>
      </c>
      <c r="ES629" s="1411"/>
      <c r="ET629" s="1411"/>
      <c r="EU629" s="1411"/>
      <c r="EV629" s="1412"/>
      <c r="EW629" s="1410" t="str">
        <f t="shared" si="22"/>
        <v/>
      </c>
      <c r="EX629" s="1411"/>
      <c r="EY629" s="1411"/>
      <c r="EZ629" s="1411"/>
      <c r="FA629" s="1412"/>
    </row>
    <row r="630" spans="2:157" ht="13" customHeight="1">
      <c r="B630" s="36" t="s">
        <v>81</v>
      </c>
      <c r="C630" s="1393"/>
      <c r="D630" s="1393"/>
      <c r="E630" s="1393"/>
      <c r="F630" s="1393"/>
      <c r="G630" s="1393"/>
      <c r="H630" s="1393"/>
      <c r="I630" s="1393"/>
      <c r="J630" s="1393"/>
      <c r="K630" s="1393"/>
      <c r="L630" s="1393"/>
      <c r="M630" s="1403" t="s">
        <v>1079</v>
      </c>
      <c r="N630" s="1403"/>
      <c r="O630" s="1403"/>
      <c r="P630" s="1403"/>
      <c r="Q630" s="1392"/>
      <c r="R630" s="1390"/>
      <c r="S630" s="1391"/>
      <c r="T630" s="1392"/>
      <c r="U630" s="1390"/>
      <c r="V630" s="1391"/>
      <c r="W630" s="1405"/>
      <c r="X630" s="1406"/>
      <c r="Y630" s="1407"/>
      <c r="Z630" s="1438" t="s">
        <v>1079</v>
      </c>
      <c r="AA630" s="1439"/>
      <c r="AB630" s="1440"/>
      <c r="AC630" s="1386"/>
      <c r="AD630" s="1387"/>
      <c r="AE630" s="1388"/>
      <c r="AF630" s="1399"/>
      <c r="AG630" s="1400"/>
      <c r="AH630" s="1400"/>
      <c r="AI630" s="1400"/>
      <c r="AJ630" s="1401"/>
      <c r="AK630" s="1396"/>
      <c r="AL630" s="1397"/>
      <c r="AM630" s="1397"/>
      <c r="AN630" s="1398"/>
      <c r="AO630" s="1435"/>
      <c r="AP630" s="1436"/>
      <c r="AQ630" s="1436"/>
      <c r="AR630" s="1436"/>
      <c r="AS630" s="1437"/>
      <c r="AT630" s="960" t="str">
        <f t="shared" si="23"/>
        <v/>
      </c>
      <c r="AU630" s="2"/>
      <c r="AZ630" s="2"/>
      <c r="BA630" s="2"/>
      <c r="BB630" s="2"/>
      <c r="BC630" s="2"/>
      <c r="BD630" s="2"/>
      <c r="BE630" s="1410">
        <f t="shared" si="1"/>
        <v>0</v>
      </c>
      <c r="BF630" s="1412"/>
      <c r="BG630" s="1410">
        <f t="shared" si="2"/>
        <v>0</v>
      </c>
      <c r="BH630" s="1412"/>
      <c r="BI630" s="1410">
        <f t="shared" si="3"/>
        <v>0</v>
      </c>
      <c r="BJ630" s="1412"/>
      <c r="BK630" s="1410">
        <f t="shared" si="4"/>
        <v>0</v>
      </c>
      <c r="BL630" s="1412"/>
      <c r="BM630" s="2"/>
      <c r="BN630" s="1414">
        <f t="shared" si="5"/>
        <v>0</v>
      </c>
      <c r="BO630" s="1415"/>
      <c r="BP630" s="1415"/>
      <c r="BQ630" s="1415"/>
      <c r="BR630" s="1416"/>
      <c r="BS630" s="1413">
        <f t="shared" si="6"/>
        <v>0</v>
      </c>
      <c r="BT630" s="1413"/>
      <c r="BU630" s="1413"/>
      <c r="BV630" s="1413"/>
      <c r="BW630" s="1413"/>
      <c r="BX630" s="1413">
        <f t="shared" si="7"/>
        <v>0</v>
      </c>
      <c r="BY630" s="1413"/>
      <c r="BZ630" s="1413"/>
      <c r="CA630" s="1413"/>
      <c r="CB630" s="1413"/>
      <c r="CC630" s="1413">
        <f t="shared" si="8"/>
        <v>0</v>
      </c>
      <c r="CD630" s="1413"/>
      <c r="CE630" s="1413"/>
      <c r="CF630" s="1413"/>
      <c r="CG630" s="1413"/>
      <c r="CH630" s="1413">
        <f t="shared" si="9"/>
        <v>0</v>
      </c>
      <c r="CI630" s="1413"/>
      <c r="CJ630" s="1413"/>
      <c r="CK630" s="1413"/>
      <c r="CL630" s="1413"/>
      <c r="CM630" s="1413">
        <f t="shared" si="10"/>
        <v>0</v>
      </c>
      <c r="CN630" s="1413"/>
      <c r="CO630" s="1413"/>
      <c r="CP630" s="1413"/>
      <c r="CQ630" s="1413"/>
      <c r="CR630" s="1148"/>
      <c r="CS630" s="1434">
        <f t="shared" si="11"/>
        <v>0</v>
      </c>
      <c r="CT630" s="1434"/>
      <c r="CU630" s="1434"/>
      <c r="CV630" s="1434"/>
      <c r="CW630" s="1434"/>
      <c r="CX630" s="1434">
        <f t="shared" si="12"/>
        <v>0</v>
      </c>
      <c r="CY630" s="1434"/>
      <c r="CZ630" s="1434"/>
      <c r="DA630" s="1434"/>
      <c r="DB630" s="1434"/>
      <c r="DC630" s="1434">
        <f t="shared" si="13"/>
        <v>0</v>
      </c>
      <c r="DD630" s="1434"/>
      <c r="DE630" s="1434"/>
      <c r="DF630" s="1434"/>
      <c r="DG630" s="1434"/>
      <c r="DH630" s="1434">
        <f t="shared" si="14"/>
        <v>0</v>
      </c>
      <c r="DI630" s="1434"/>
      <c r="DJ630" s="1434"/>
      <c r="DK630" s="1434"/>
      <c r="DL630" s="1434"/>
      <c r="DM630" s="1434">
        <f t="shared" si="15"/>
        <v>0</v>
      </c>
      <c r="DN630" s="1434"/>
      <c r="DO630" s="1434"/>
      <c r="DP630" s="1434"/>
      <c r="DQ630" s="1434"/>
      <c r="DR630" s="1434">
        <f t="shared" si="16"/>
        <v>0</v>
      </c>
      <c r="DS630" s="1434"/>
      <c r="DT630" s="1434"/>
      <c r="DU630" s="1434"/>
      <c r="DV630" s="1434"/>
      <c r="DX630" s="1410" t="str">
        <f t="shared" si="17"/>
        <v/>
      </c>
      <c r="DY630" s="1411"/>
      <c r="DZ630" s="1411"/>
      <c r="EA630" s="1411"/>
      <c r="EB630" s="1412"/>
      <c r="EC630" s="1410" t="str">
        <f t="shared" si="18"/>
        <v/>
      </c>
      <c r="ED630" s="1411"/>
      <c r="EE630" s="1411"/>
      <c r="EF630" s="1411"/>
      <c r="EG630" s="1412"/>
      <c r="EH630" s="1410" t="str">
        <f t="shared" si="19"/>
        <v/>
      </c>
      <c r="EI630" s="1411"/>
      <c r="EJ630" s="1411"/>
      <c r="EK630" s="1411"/>
      <c r="EL630" s="1412"/>
      <c r="EM630" s="1410" t="str">
        <f t="shared" si="20"/>
        <v/>
      </c>
      <c r="EN630" s="1411"/>
      <c r="EO630" s="1411"/>
      <c r="EP630" s="1411"/>
      <c r="EQ630" s="1412"/>
      <c r="ER630" s="1410" t="str">
        <f t="shared" si="21"/>
        <v/>
      </c>
      <c r="ES630" s="1411"/>
      <c r="ET630" s="1411"/>
      <c r="EU630" s="1411"/>
      <c r="EV630" s="1412"/>
      <c r="EW630" s="1410" t="str">
        <f t="shared" si="22"/>
        <v/>
      </c>
      <c r="EX630" s="1411"/>
      <c r="EY630" s="1411"/>
      <c r="EZ630" s="1411"/>
      <c r="FA630" s="1412"/>
    </row>
    <row r="631" spans="2:157" ht="13" customHeight="1">
      <c r="B631" s="36" t="s">
        <v>85</v>
      </c>
      <c r="C631" s="1393"/>
      <c r="D631" s="1393"/>
      <c r="E631" s="1393"/>
      <c r="F631" s="1393"/>
      <c r="G631" s="1393"/>
      <c r="H631" s="1393"/>
      <c r="I631" s="1393"/>
      <c r="J631" s="1393"/>
      <c r="K631" s="1393"/>
      <c r="L631" s="1393"/>
      <c r="M631" s="1403" t="s">
        <v>1079</v>
      </c>
      <c r="N631" s="1403"/>
      <c r="O631" s="1403"/>
      <c r="P631" s="1403"/>
      <c r="Q631" s="1392"/>
      <c r="R631" s="1390"/>
      <c r="S631" s="1391"/>
      <c r="T631" s="1392"/>
      <c r="U631" s="1390"/>
      <c r="V631" s="1391"/>
      <c r="W631" s="1405"/>
      <c r="X631" s="1406"/>
      <c r="Y631" s="1407"/>
      <c r="Z631" s="1438" t="s">
        <v>1079</v>
      </c>
      <c r="AA631" s="1439"/>
      <c r="AB631" s="1440"/>
      <c r="AC631" s="1386"/>
      <c r="AD631" s="1387"/>
      <c r="AE631" s="1388"/>
      <c r="AF631" s="1399"/>
      <c r="AG631" s="1400"/>
      <c r="AH631" s="1400"/>
      <c r="AI631" s="1400"/>
      <c r="AJ631" s="1401"/>
      <c r="AK631" s="1396"/>
      <c r="AL631" s="1397"/>
      <c r="AM631" s="1397"/>
      <c r="AN631" s="1398"/>
      <c r="AO631" s="1435"/>
      <c r="AP631" s="1436"/>
      <c r="AQ631" s="1436"/>
      <c r="AR631" s="1436"/>
      <c r="AS631" s="1437"/>
      <c r="AT631" s="960" t="str">
        <f t="shared" si="23"/>
        <v/>
      </c>
      <c r="AU631" s="2"/>
      <c r="AZ631" s="2"/>
      <c r="BA631" s="2"/>
      <c r="BB631" s="2"/>
      <c r="BC631" s="2"/>
      <c r="BD631" s="2"/>
      <c r="BE631" s="1410">
        <f t="shared" si="1"/>
        <v>0</v>
      </c>
      <c r="BF631" s="1412"/>
      <c r="BG631" s="1410">
        <f t="shared" si="2"/>
        <v>0</v>
      </c>
      <c r="BH631" s="1412"/>
      <c r="BI631" s="1410">
        <f t="shared" si="3"/>
        <v>0</v>
      </c>
      <c r="BJ631" s="1412"/>
      <c r="BK631" s="1410">
        <f t="shared" si="4"/>
        <v>0</v>
      </c>
      <c r="BL631" s="1412"/>
      <c r="BM631" s="2"/>
      <c r="BN631" s="1414">
        <f t="shared" si="5"/>
        <v>0</v>
      </c>
      <c r="BO631" s="1415"/>
      <c r="BP631" s="1415"/>
      <c r="BQ631" s="1415"/>
      <c r="BR631" s="1416"/>
      <c r="BS631" s="1413">
        <f t="shared" si="6"/>
        <v>0</v>
      </c>
      <c r="BT631" s="1413"/>
      <c r="BU631" s="1413"/>
      <c r="BV631" s="1413"/>
      <c r="BW631" s="1413"/>
      <c r="BX631" s="1413">
        <f t="shared" si="7"/>
        <v>0</v>
      </c>
      <c r="BY631" s="1413"/>
      <c r="BZ631" s="1413"/>
      <c r="CA631" s="1413"/>
      <c r="CB631" s="1413"/>
      <c r="CC631" s="1413">
        <f t="shared" si="8"/>
        <v>0</v>
      </c>
      <c r="CD631" s="1413"/>
      <c r="CE631" s="1413"/>
      <c r="CF631" s="1413"/>
      <c r="CG631" s="1413"/>
      <c r="CH631" s="1413">
        <f t="shared" si="9"/>
        <v>0</v>
      </c>
      <c r="CI631" s="1413"/>
      <c r="CJ631" s="1413"/>
      <c r="CK631" s="1413"/>
      <c r="CL631" s="1413"/>
      <c r="CM631" s="1413">
        <f t="shared" si="10"/>
        <v>0</v>
      </c>
      <c r="CN631" s="1413"/>
      <c r="CO631" s="1413"/>
      <c r="CP631" s="1413"/>
      <c r="CQ631" s="1413"/>
      <c r="CR631" s="1148"/>
      <c r="CS631" s="1434">
        <f t="shared" si="11"/>
        <v>0</v>
      </c>
      <c r="CT631" s="1434"/>
      <c r="CU631" s="1434"/>
      <c r="CV631" s="1434"/>
      <c r="CW631" s="1434"/>
      <c r="CX631" s="1434">
        <f t="shared" si="12"/>
        <v>0</v>
      </c>
      <c r="CY631" s="1434"/>
      <c r="CZ631" s="1434"/>
      <c r="DA631" s="1434"/>
      <c r="DB631" s="1434"/>
      <c r="DC631" s="1434">
        <f t="shared" si="13"/>
        <v>0</v>
      </c>
      <c r="DD631" s="1434"/>
      <c r="DE631" s="1434"/>
      <c r="DF631" s="1434"/>
      <c r="DG631" s="1434"/>
      <c r="DH631" s="1434">
        <f t="shared" si="14"/>
        <v>0</v>
      </c>
      <c r="DI631" s="1434"/>
      <c r="DJ631" s="1434"/>
      <c r="DK631" s="1434"/>
      <c r="DL631" s="1434"/>
      <c r="DM631" s="1434">
        <f t="shared" si="15"/>
        <v>0</v>
      </c>
      <c r="DN631" s="1434"/>
      <c r="DO631" s="1434"/>
      <c r="DP631" s="1434"/>
      <c r="DQ631" s="1434"/>
      <c r="DR631" s="1434">
        <f t="shared" si="16"/>
        <v>0</v>
      </c>
      <c r="DS631" s="1434"/>
      <c r="DT631" s="1434"/>
      <c r="DU631" s="1434"/>
      <c r="DV631" s="1434"/>
      <c r="DX631" s="1410" t="str">
        <f t="shared" si="17"/>
        <v/>
      </c>
      <c r="DY631" s="1411"/>
      <c r="DZ631" s="1411"/>
      <c r="EA631" s="1411"/>
      <c r="EB631" s="1412"/>
      <c r="EC631" s="1410" t="str">
        <f t="shared" si="18"/>
        <v/>
      </c>
      <c r="ED631" s="1411"/>
      <c r="EE631" s="1411"/>
      <c r="EF631" s="1411"/>
      <c r="EG631" s="1412"/>
      <c r="EH631" s="1410" t="str">
        <f t="shared" si="19"/>
        <v/>
      </c>
      <c r="EI631" s="1411"/>
      <c r="EJ631" s="1411"/>
      <c r="EK631" s="1411"/>
      <c r="EL631" s="1412"/>
      <c r="EM631" s="1410" t="str">
        <f t="shared" si="20"/>
        <v/>
      </c>
      <c r="EN631" s="1411"/>
      <c r="EO631" s="1411"/>
      <c r="EP631" s="1411"/>
      <c r="EQ631" s="1412"/>
      <c r="ER631" s="1410" t="str">
        <f t="shared" si="21"/>
        <v/>
      </c>
      <c r="ES631" s="1411"/>
      <c r="ET631" s="1411"/>
      <c r="EU631" s="1411"/>
      <c r="EV631" s="1412"/>
      <c r="EW631" s="1410" t="str">
        <f t="shared" si="22"/>
        <v/>
      </c>
      <c r="EX631" s="1411"/>
      <c r="EY631" s="1411"/>
      <c r="EZ631" s="1411"/>
      <c r="FA631" s="1412"/>
    </row>
    <row r="632" spans="2:157" ht="13" customHeight="1">
      <c r="B632" s="36" t="s">
        <v>1463</v>
      </c>
      <c r="C632" s="1393"/>
      <c r="D632" s="1393"/>
      <c r="E632" s="1393"/>
      <c r="F632" s="1393"/>
      <c r="G632" s="1393"/>
      <c r="H632" s="1393"/>
      <c r="I632" s="1393"/>
      <c r="J632" s="1393"/>
      <c r="K632" s="1393"/>
      <c r="L632" s="1393"/>
      <c r="M632" s="1403" t="s">
        <v>1079</v>
      </c>
      <c r="N632" s="1403"/>
      <c r="O632" s="1403"/>
      <c r="P632" s="1403"/>
      <c r="Q632" s="1392"/>
      <c r="R632" s="1390"/>
      <c r="S632" s="1391"/>
      <c r="T632" s="1392"/>
      <c r="U632" s="1390"/>
      <c r="V632" s="1391"/>
      <c r="W632" s="1405"/>
      <c r="X632" s="1406"/>
      <c r="Y632" s="1407"/>
      <c r="Z632" s="1438" t="s">
        <v>1079</v>
      </c>
      <c r="AA632" s="1439"/>
      <c r="AB632" s="1440"/>
      <c r="AC632" s="1386"/>
      <c r="AD632" s="1387"/>
      <c r="AE632" s="1388"/>
      <c r="AF632" s="1399"/>
      <c r="AG632" s="1400"/>
      <c r="AH632" s="1400"/>
      <c r="AI632" s="1400"/>
      <c r="AJ632" s="1401"/>
      <c r="AK632" s="1396"/>
      <c r="AL632" s="1397"/>
      <c r="AM632" s="1397"/>
      <c r="AN632" s="1398"/>
      <c r="AO632" s="1435"/>
      <c r="AP632" s="1436"/>
      <c r="AQ632" s="1436"/>
      <c r="AR632" s="1436"/>
      <c r="AS632" s="1437"/>
      <c r="AT632" s="960" t="str">
        <f t="shared" si="23"/>
        <v/>
      </c>
      <c r="AU632" s="2"/>
      <c r="AZ632" s="2"/>
      <c r="BA632" s="2"/>
      <c r="BB632" s="2"/>
      <c r="BC632" s="2"/>
      <c r="BD632" s="2"/>
      <c r="BE632" s="2"/>
      <c r="BF632" s="2"/>
      <c r="BG632" s="1410">
        <f>SUM(BG597:BH631)</f>
        <v>0</v>
      </c>
      <c r="BH632" s="1412"/>
      <c r="BI632" s="2"/>
      <c r="BJ632" s="2"/>
      <c r="BK632" s="1410">
        <f>SUM(BK597:BL631)</f>
        <v>25</v>
      </c>
      <c r="BL632" s="1412"/>
      <c r="BM632" s="2"/>
      <c r="BN632" s="1410">
        <f>SUM(BN597:BR631)</f>
        <v>0</v>
      </c>
      <c r="BO632" s="1411"/>
      <c r="BP632" s="1411"/>
      <c r="BQ632" s="1411"/>
      <c r="BR632" s="1412"/>
      <c r="BS632" s="1433">
        <f>SUM(BS597:BW631)</f>
        <v>6</v>
      </c>
      <c r="BT632" s="1433"/>
      <c r="BU632" s="1433"/>
      <c r="BV632" s="1433"/>
      <c r="BW632" s="1433"/>
      <c r="BX632" s="1433">
        <f>SUM(BX597:CB631)</f>
        <v>24</v>
      </c>
      <c r="BY632" s="1433"/>
      <c r="BZ632" s="1433"/>
      <c r="CA632" s="1433"/>
      <c r="CB632" s="1433"/>
      <c r="CC632" s="1433">
        <f>SUM(CC597:CG631)</f>
        <v>22</v>
      </c>
      <c r="CD632" s="1433"/>
      <c r="CE632" s="1433"/>
      <c r="CF632" s="1433"/>
      <c r="CG632" s="1433"/>
      <c r="CH632" s="1433">
        <f>SUM(CH597:CL631)</f>
        <v>0</v>
      </c>
      <c r="CI632" s="1433"/>
      <c r="CJ632" s="1433"/>
      <c r="CK632" s="1433"/>
      <c r="CL632" s="1433"/>
      <c r="CM632" s="1433">
        <f>SUM(CM597:CQ631)</f>
        <v>0</v>
      </c>
      <c r="CN632" s="1433"/>
      <c r="CO632" s="1433"/>
      <c r="CP632" s="1433"/>
      <c r="CQ632" s="1433"/>
      <c r="CR632" s="1148"/>
      <c r="CS632" s="1433">
        <f>SUM(CS597:CW631)</f>
        <v>0</v>
      </c>
      <c r="CT632" s="1433"/>
      <c r="CU632" s="1433"/>
      <c r="CV632" s="1433"/>
      <c r="CW632" s="1433"/>
      <c r="CX632" s="1433">
        <f>SUM(CX597:DB631)</f>
        <v>0</v>
      </c>
      <c r="CY632" s="1433"/>
      <c r="CZ632" s="1433"/>
      <c r="DA632" s="1433"/>
      <c r="DB632" s="1433"/>
      <c r="DC632" s="1433">
        <f>SUM(DC597:DG631)</f>
        <v>10</v>
      </c>
      <c r="DD632" s="1433"/>
      <c r="DE632" s="1433"/>
      <c r="DF632" s="1433"/>
      <c r="DG632" s="1433"/>
      <c r="DH632" s="1433">
        <f>SUM(DH597:DL631)</f>
        <v>15</v>
      </c>
      <c r="DI632" s="1433"/>
      <c r="DJ632" s="1433"/>
      <c r="DK632" s="1433"/>
      <c r="DL632" s="1433"/>
      <c r="DM632" s="1433">
        <f>SUM(DM597:DQ631)</f>
        <v>0</v>
      </c>
      <c r="DN632" s="1433"/>
      <c r="DO632" s="1433"/>
      <c r="DP632" s="1433"/>
      <c r="DQ632" s="1433"/>
      <c r="DR632" s="1433">
        <f>SUM(DR597:DV631)</f>
        <v>0</v>
      </c>
      <c r="DS632" s="1433"/>
      <c r="DT632" s="1433"/>
      <c r="DU632" s="1433"/>
      <c r="DV632" s="1433"/>
      <c r="DX632" s="1433">
        <f>SUM(DX597:EB631)</f>
        <v>0</v>
      </c>
      <c r="DY632" s="1433"/>
      <c r="DZ632" s="1433"/>
      <c r="EA632" s="1433"/>
      <c r="EB632" s="1433"/>
      <c r="EC632" s="1433">
        <f>SUM(EC597:EG631)</f>
        <v>1277</v>
      </c>
      <c r="ED632" s="1433"/>
      <c r="EE632" s="1433"/>
      <c r="EF632" s="1433"/>
      <c r="EG632" s="1433"/>
      <c r="EH632" s="1433">
        <f>SUM(EH597:EL631)</f>
        <v>2207</v>
      </c>
      <c r="EI632" s="1433"/>
      <c r="EJ632" s="1433"/>
      <c r="EK632" s="1433"/>
      <c r="EL632" s="1433"/>
      <c r="EM632" s="1433">
        <f>SUM(EM597:EQ631)</f>
        <v>2513</v>
      </c>
      <c r="EN632" s="1433"/>
      <c r="EO632" s="1433"/>
      <c r="EP632" s="1433"/>
      <c r="EQ632" s="1433"/>
      <c r="ER632" s="1433">
        <f>SUM(ER597:EV631)</f>
        <v>0</v>
      </c>
      <c r="ES632" s="1433"/>
      <c r="ET632" s="1433"/>
      <c r="EU632" s="1433"/>
      <c r="EV632" s="1433"/>
      <c r="EW632" s="1433">
        <f>SUM(EW597:FA631)</f>
        <v>0</v>
      </c>
      <c r="EX632" s="1433"/>
      <c r="EY632" s="1433"/>
      <c r="EZ632" s="1433"/>
      <c r="FA632" s="1433"/>
    </row>
    <row r="633" spans="2:157" ht="13" customHeight="1">
      <c r="B633" s="36" t="s">
        <v>1464</v>
      </c>
      <c r="C633" s="1393"/>
      <c r="D633" s="1393"/>
      <c r="E633" s="1393"/>
      <c r="F633" s="1393"/>
      <c r="G633" s="1393"/>
      <c r="H633" s="1393"/>
      <c r="I633" s="1393"/>
      <c r="J633" s="1393"/>
      <c r="K633" s="1393"/>
      <c r="L633" s="1393"/>
      <c r="M633" s="1403" t="s">
        <v>1079</v>
      </c>
      <c r="N633" s="1403"/>
      <c r="O633" s="1403"/>
      <c r="P633" s="1403"/>
      <c r="Q633" s="1392"/>
      <c r="R633" s="1390"/>
      <c r="S633" s="1391"/>
      <c r="T633" s="1392"/>
      <c r="U633" s="1390"/>
      <c r="V633" s="1391"/>
      <c r="W633" s="1405"/>
      <c r="X633" s="1406"/>
      <c r="Y633" s="1407"/>
      <c r="Z633" s="1438" t="s">
        <v>1079</v>
      </c>
      <c r="AA633" s="1439"/>
      <c r="AB633" s="1440"/>
      <c r="AC633" s="1386"/>
      <c r="AD633" s="1387"/>
      <c r="AE633" s="1388"/>
      <c r="AF633" s="1399"/>
      <c r="AG633" s="1400"/>
      <c r="AH633" s="1400"/>
      <c r="AI633" s="1400"/>
      <c r="AJ633" s="1401"/>
      <c r="AK633" s="1396"/>
      <c r="AL633" s="1397"/>
      <c r="AM633" s="1397"/>
      <c r="AN633" s="1398"/>
      <c r="AO633" s="1435"/>
      <c r="AP633" s="1436"/>
      <c r="AQ633" s="1436"/>
      <c r="AR633" s="1436"/>
      <c r="AS633" s="1437"/>
      <c r="AT633" s="960" t="str">
        <f t="shared" si="23"/>
        <v/>
      </c>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38" t="s">
        <v>1501</v>
      </c>
      <c r="CM633" s="1410">
        <f>BN632+BS632+BX632+CC632+CH632+CM632</f>
        <v>52</v>
      </c>
      <c r="CN633" s="1411"/>
      <c r="CO633" s="1411"/>
      <c r="CP633" s="1411"/>
      <c r="CQ633" s="1412"/>
      <c r="CR633" s="1148"/>
      <c r="CS633" s="2"/>
      <c r="CT633" s="2"/>
      <c r="CU633" s="2"/>
      <c r="CV633" s="2"/>
      <c r="CW633" s="2"/>
      <c r="CX633" s="2"/>
      <c r="CY633" s="2"/>
      <c r="CZ633" s="2"/>
      <c r="DA633" s="2"/>
      <c r="DB633" s="2"/>
      <c r="DC633" s="2"/>
      <c r="DD633" s="2"/>
      <c r="DE633" s="2"/>
      <c r="DF633" s="2"/>
    </row>
    <row r="634" spans="2:157" ht="13" customHeight="1">
      <c r="B634" s="36" t="s">
        <v>1465</v>
      </c>
      <c r="C634" s="1393"/>
      <c r="D634" s="1393"/>
      <c r="E634" s="1393"/>
      <c r="F634" s="1393"/>
      <c r="G634" s="1393"/>
      <c r="H634" s="1393"/>
      <c r="I634" s="1393"/>
      <c r="J634" s="1393"/>
      <c r="K634" s="1393"/>
      <c r="L634" s="1393"/>
      <c r="M634" s="1403" t="s">
        <v>1079</v>
      </c>
      <c r="N634" s="1403"/>
      <c r="O634" s="1403"/>
      <c r="P634" s="1403"/>
      <c r="Q634" s="1392"/>
      <c r="R634" s="1390"/>
      <c r="S634" s="1391"/>
      <c r="T634" s="1392"/>
      <c r="U634" s="1390"/>
      <c r="V634" s="1391"/>
      <c r="W634" s="1405"/>
      <c r="X634" s="1406"/>
      <c r="Y634" s="1407"/>
      <c r="Z634" s="1438" t="s">
        <v>1079</v>
      </c>
      <c r="AA634" s="1439"/>
      <c r="AB634" s="1440"/>
      <c r="AC634" s="1386"/>
      <c r="AD634" s="1387"/>
      <c r="AE634" s="1388"/>
      <c r="AF634" s="1399"/>
      <c r="AG634" s="1400"/>
      <c r="AH634" s="1400"/>
      <c r="AI634" s="1400"/>
      <c r="AJ634" s="1401"/>
      <c r="AK634" s="1396"/>
      <c r="AL634" s="1397"/>
      <c r="AM634" s="1397"/>
      <c r="AN634" s="1398"/>
      <c r="AO634" s="1435"/>
      <c r="AP634" s="1436"/>
      <c r="AQ634" s="1436"/>
      <c r="AR634" s="1436"/>
      <c r="AS634" s="1437"/>
      <c r="AT634" s="960" t="str">
        <f t="shared" si="23"/>
        <v/>
      </c>
      <c r="AU634" s="2"/>
      <c r="AV634" s="2"/>
      <c r="AW634" s="2"/>
      <c r="AX634" s="2"/>
      <c r="AY634" s="2"/>
      <c r="AZ634" s="2"/>
      <c r="BA634" s="2" t="s">
        <v>1079</v>
      </c>
      <c r="BB634" s="2"/>
      <c r="BC634" s="2"/>
      <c r="BD634" s="2"/>
      <c r="BE634" s="2"/>
      <c r="BF634" s="2"/>
      <c r="BG634" s="2"/>
      <c r="BH634" s="2"/>
      <c r="BI634" s="2"/>
      <c r="BJ634" s="2"/>
      <c r="BK634" s="2"/>
      <c r="BL634" s="2"/>
      <c r="BM634" s="2"/>
      <c r="BR634" s="703">
        <f>BN632*1</f>
        <v>0</v>
      </c>
      <c r="BS634" s="2"/>
      <c r="BT634" s="2"/>
      <c r="BU634" s="2"/>
      <c r="BV634" s="2"/>
      <c r="BW634" s="703">
        <f>BS632*1</f>
        <v>6</v>
      </c>
      <c r="BX634" s="2"/>
      <c r="BY634" s="2"/>
      <c r="BZ634" s="2"/>
      <c r="CA634" s="2"/>
      <c r="CB634" s="703">
        <f>BX632*2</f>
        <v>48</v>
      </c>
      <c r="CC634" s="2"/>
      <c r="CD634" s="2"/>
      <c r="CE634" s="2"/>
      <c r="CF634" s="2"/>
      <c r="CG634" s="703">
        <f>CC632*3</f>
        <v>66</v>
      </c>
      <c r="CH634" s="2"/>
      <c r="CI634" s="2"/>
      <c r="CJ634" s="2"/>
      <c r="CK634" s="2"/>
      <c r="CL634" s="703">
        <f>CH632*4</f>
        <v>0</v>
      </c>
      <c r="CM634" s="2"/>
      <c r="CN634" s="2"/>
      <c r="CO634" s="2"/>
      <c r="CP634" s="2"/>
      <c r="CQ634" s="703">
        <f>CM632*5</f>
        <v>0</v>
      </c>
      <c r="CS634" s="703">
        <f>BR634+BW634+CB634+CG634+CL634+CQ634</f>
        <v>120</v>
      </c>
      <c r="CT634" s="1118" t="s">
        <v>1502</v>
      </c>
      <c r="CU634" s="2"/>
      <c r="CV634" s="2"/>
      <c r="CW634" s="2"/>
      <c r="CX634" s="2"/>
      <c r="CY634" s="2"/>
      <c r="CZ634" s="2"/>
      <c r="DA634" s="2"/>
      <c r="DB634" s="2"/>
      <c r="DC634" s="2"/>
      <c r="DD634" s="2"/>
      <c r="DE634" s="2"/>
      <c r="DF634" s="2"/>
    </row>
    <row r="635" spans="2:157" ht="13" customHeight="1">
      <c r="B635" s="36" t="s">
        <v>1466</v>
      </c>
      <c r="C635" s="1393"/>
      <c r="D635" s="1393"/>
      <c r="E635" s="1393"/>
      <c r="F635" s="1393"/>
      <c r="G635" s="1393"/>
      <c r="H635" s="1393"/>
      <c r="I635" s="1393"/>
      <c r="J635" s="1393"/>
      <c r="K635" s="1393"/>
      <c r="L635" s="1393"/>
      <c r="M635" s="1403" t="s">
        <v>1079</v>
      </c>
      <c r="N635" s="1403"/>
      <c r="O635" s="1403"/>
      <c r="P635" s="1403"/>
      <c r="Q635" s="1392"/>
      <c r="R635" s="1390"/>
      <c r="S635" s="1391"/>
      <c r="T635" s="1392"/>
      <c r="U635" s="1390"/>
      <c r="V635" s="1391"/>
      <c r="W635" s="1405"/>
      <c r="X635" s="1406"/>
      <c r="Y635" s="1407"/>
      <c r="Z635" s="1438" t="s">
        <v>1079</v>
      </c>
      <c r="AA635" s="1439"/>
      <c r="AB635" s="1440"/>
      <c r="AC635" s="1386"/>
      <c r="AD635" s="1387"/>
      <c r="AE635" s="1388"/>
      <c r="AF635" s="1399"/>
      <c r="AG635" s="1400"/>
      <c r="AH635" s="1400"/>
      <c r="AI635" s="1400"/>
      <c r="AJ635" s="1401"/>
      <c r="AK635" s="1396"/>
      <c r="AL635" s="1397"/>
      <c r="AM635" s="1397"/>
      <c r="AN635" s="1398"/>
      <c r="AO635" s="1435"/>
      <c r="AP635" s="1436"/>
      <c r="AQ635" s="1436"/>
      <c r="AR635" s="1436"/>
      <c r="AS635" s="1437"/>
      <c r="AT635" s="960" t="str">
        <f t="shared" si="23"/>
        <v/>
      </c>
      <c r="AU635" s="2"/>
      <c r="AV635" s="2"/>
      <c r="AW635" s="2"/>
      <c r="AX635" s="2"/>
      <c r="AY635" s="2"/>
      <c r="AZ635" s="2"/>
      <c r="BA635" s="2" t="s">
        <v>1503</v>
      </c>
      <c r="BB635" s="2"/>
      <c r="BC635" s="2"/>
      <c r="BD635" s="2"/>
      <c r="BE635" s="2"/>
      <c r="BF635" s="2"/>
      <c r="BG635" s="2"/>
      <c r="BH635" s="2"/>
      <c r="BI635" s="2"/>
      <c r="BJ635" s="2"/>
      <c r="BK635" s="2"/>
      <c r="BL635" s="2"/>
      <c r="BM635" s="2"/>
      <c r="CR635" s="1148"/>
      <c r="CS635" s="2"/>
      <c r="CT635" s="2"/>
      <c r="CU635" s="2"/>
      <c r="CV635" s="2"/>
      <c r="CW635" s="2"/>
      <c r="CX635" s="2"/>
      <c r="CY635" s="2"/>
      <c r="CZ635" s="2"/>
      <c r="DA635" s="2"/>
      <c r="DB635" s="2"/>
      <c r="DC635" s="2"/>
      <c r="DD635" s="2"/>
      <c r="DE635" s="2"/>
      <c r="DF635" s="2"/>
      <c r="DX635" s="1409" t="e">
        <f>DX597*(BN597/$BN$632)</f>
        <v>#VALUE!</v>
      </c>
      <c r="DY635" s="1409"/>
      <c r="DZ635" s="1409"/>
      <c r="EA635" s="1409"/>
      <c r="EB635" s="1409"/>
      <c r="EC635" s="1409">
        <f t="shared" ref="EC635:EC657" si="24">EC597*(BS597/$BS$632)</f>
        <v>1277</v>
      </c>
      <c r="ED635" s="1409"/>
      <c r="EE635" s="1409"/>
      <c r="EF635" s="1409"/>
      <c r="EG635" s="1409"/>
      <c r="EH635" s="1409" t="e">
        <f t="shared" ref="EH635:EH657" si="25">EH597*(BX597/$BX$632)</f>
        <v>#VALUE!</v>
      </c>
      <c r="EI635" s="1409"/>
      <c r="EJ635" s="1409"/>
      <c r="EK635" s="1409"/>
      <c r="EL635" s="1409"/>
      <c r="EM635" s="1409" t="e">
        <f t="shared" ref="EM635:EM657" si="26">EM597*(CC597/$CC$632)</f>
        <v>#VALUE!</v>
      </c>
      <c r="EN635" s="1409"/>
      <c r="EO635" s="1409"/>
      <c r="EP635" s="1409"/>
      <c r="EQ635" s="1409"/>
      <c r="ER635" s="1409" t="e">
        <f t="shared" ref="ER635:ER657" si="27">ER597*(CH597/$CH$632)</f>
        <v>#VALUE!</v>
      </c>
      <c r="ES635" s="1409"/>
      <c r="ET635" s="1409"/>
      <c r="EU635" s="1409"/>
      <c r="EV635" s="1409"/>
      <c r="EW635" s="1409" t="e">
        <f t="shared" ref="EW635:EW657" si="28">EW597*(CM597/$CM$632)</f>
        <v>#VALUE!</v>
      </c>
      <c r="EX635" s="1409"/>
      <c r="EY635" s="1409"/>
      <c r="EZ635" s="1409"/>
      <c r="FA635" s="1409"/>
    </row>
    <row r="636" spans="2:157" ht="13" customHeight="1">
      <c r="B636" s="36" t="s">
        <v>1467</v>
      </c>
      <c r="C636" s="1393"/>
      <c r="D636" s="1393"/>
      <c r="E636" s="1393"/>
      <c r="F636" s="1393"/>
      <c r="G636" s="1393"/>
      <c r="H636" s="1393"/>
      <c r="I636" s="1393"/>
      <c r="J636" s="1393"/>
      <c r="K636" s="1393"/>
      <c r="L636" s="1393"/>
      <c r="M636" s="1403" t="s">
        <v>1079</v>
      </c>
      <c r="N636" s="1403"/>
      <c r="O636" s="1403"/>
      <c r="P636" s="1403"/>
      <c r="Q636" s="1392"/>
      <c r="R636" s="1390"/>
      <c r="S636" s="1391"/>
      <c r="T636" s="1392"/>
      <c r="U636" s="1390"/>
      <c r="V636" s="1391"/>
      <c r="W636" s="1405"/>
      <c r="X636" s="1406"/>
      <c r="Y636" s="1407"/>
      <c r="Z636" s="1438" t="s">
        <v>1079</v>
      </c>
      <c r="AA636" s="1439"/>
      <c r="AB636" s="1440"/>
      <c r="AC636" s="1386"/>
      <c r="AD636" s="1387"/>
      <c r="AE636" s="1388"/>
      <c r="AF636" s="1399"/>
      <c r="AG636" s="1400"/>
      <c r="AH636" s="1400"/>
      <c r="AI636" s="1400"/>
      <c r="AJ636" s="1401"/>
      <c r="AK636" s="1396"/>
      <c r="AL636" s="1397"/>
      <c r="AM636" s="1397"/>
      <c r="AN636" s="1398"/>
      <c r="AO636" s="1435"/>
      <c r="AP636" s="1436"/>
      <c r="AQ636" s="1436"/>
      <c r="AR636" s="1436"/>
      <c r="AS636" s="1437"/>
      <c r="AT636" s="960" t="str">
        <f t="shared" si="23"/>
        <v/>
      </c>
      <c r="AV636" s="2"/>
      <c r="AW636" s="2"/>
      <c r="AX636" s="2"/>
      <c r="AY636" s="2"/>
      <c r="AZ636" s="2"/>
      <c r="BA636" s="2" t="s">
        <v>1504</v>
      </c>
      <c r="BB636" s="2"/>
      <c r="BC636" s="2"/>
      <c r="BD636" s="2"/>
      <c r="BE636" s="2"/>
      <c r="BF636" s="2"/>
      <c r="BG636" s="2"/>
      <c r="BH636" s="2"/>
      <c r="BI636" s="2"/>
      <c r="BJ636" s="2"/>
      <c r="BK636" s="2"/>
      <c r="BL636" s="2"/>
      <c r="BM636" s="2"/>
      <c r="BN636" s="2" t="s">
        <v>1505</v>
      </c>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1148"/>
      <c r="CS636" s="2"/>
      <c r="CT636" s="2"/>
      <c r="CU636" s="2"/>
      <c r="CV636" s="2"/>
      <c r="CW636" s="2"/>
      <c r="CX636" s="2"/>
      <c r="CY636" s="2"/>
      <c r="CZ636" s="2"/>
      <c r="DA636" s="2"/>
      <c r="DB636" s="2"/>
      <c r="DC636" s="2"/>
      <c r="DD636" s="2"/>
      <c r="DE636" s="2"/>
      <c r="DF636" s="2"/>
      <c r="DX636" s="1409" t="e">
        <f t="shared" ref="DX636:DX657" si="29">DX598*(BN598/$BN$632)</f>
        <v>#VALUE!</v>
      </c>
      <c r="DY636" s="1409"/>
      <c r="DZ636" s="1409"/>
      <c r="EA636" s="1409"/>
      <c r="EB636" s="1409"/>
      <c r="EC636" s="1409" t="e">
        <f t="shared" si="24"/>
        <v>#VALUE!</v>
      </c>
      <c r="ED636" s="1409"/>
      <c r="EE636" s="1409"/>
      <c r="EF636" s="1409"/>
      <c r="EG636" s="1409"/>
      <c r="EH636" s="1409">
        <f t="shared" si="25"/>
        <v>884.91666666666674</v>
      </c>
      <c r="EI636" s="1409"/>
      <c r="EJ636" s="1409"/>
      <c r="EK636" s="1409"/>
      <c r="EL636" s="1409"/>
      <c r="EM636" s="1409" t="e">
        <f t="shared" si="26"/>
        <v>#VALUE!</v>
      </c>
      <c r="EN636" s="1409"/>
      <c r="EO636" s="1409"/>
      <c r="EP636" s="1409"/>
      <c r="EQ636" s="1409"/>
      <c r="ER636" s="1409" t="e">
        <f t="shared" si="27"/>
        <v>#VALUE!</v>
      </c>
      <c r="ES636" s="1409"/>
      <c r="ET636" s="1409"/>
      <c r="EU636" s="1409"/>
      <c r="EV636" s="1409"/>
      <c r="EW636" s="1409" t="e">
        <f t="shared" si="28"/>
        <v>#VALUE!</v>
      </c>
      <c r="EX636" s="1409"/>
      <c r="EY636" s="1409"/>
      <c r="EZ636" s="1409"/>
      <c r="FA636" s="1409"/>
    </row>
    <row r="637" spans="2:157" ht="13" customHeight="1">
      <c r="B637" s="36" t="s">
        <v>1468</v>
      </c>
      <c r="C637" s="1393"/>
      <c r="D637" s="1393"/>
      <c r="E637" s="1393"/>
      <c r="F637" s="1393"/>
      <c r="G637" s="1393"/>
      <c r="H637" s="1393"/>
      <c r="I637" s="1393"/>
      <c r="J637" s="1393"/>
      <c r="K637" s="1393"/>
      <c r="L637" s="1393"/>
      <c r="M637" s="1403" t="s">
        <v>1079</v>
      </c>
      <c r="N637" s="1403"/>
      <c r="O637" s="1403"/>
      <c r="P637" s="1403"/>
      <c r="Q637" s="1392"/>
      <c r="R637" s="1390"/>
      <c r="S637" s="1391"/>
      <c r="T637" s="1392"/>
      <c r="U637" s="1390"/>
      <c r="V637" s="1391"/>
      <c r="W637" s="1405"/>
      <c r="X637" s="1406"/>
      <c r="Y637" s="1407"/>
      <c r="Z637" s="1438" t="s">
        <v>1079</v>
      </c>
      <c r="AA637" s="1439"/>
      <c r="AB637" s="1440"/>
      <c r="AC637" s="1386"/>
      <c r="AD637" s="1387"/>
      <c r="AE637" s="1388"/>
      <c r="AF637" s="1399"/>
      <c r="AG637" s="1400"/>
      <c r="AH637" s="1400"/>
      <c r="AI637" s="1400"/>
      <c r="AJ637" s="1401"/>
      <c r="AK637" s="1396"/>
      <c r="AL637" s="1397"/>
      <c r="AM637" s="1397"/>
      <c r="AN637" s="1398"/>
      <c r="AO637" s="1435"/>
      <c r="AP637" s="1436"/>
      <c r="AQ637" s="1436"/>
      <c r="AR637" s="1436"/>
      <c r="AS637" s="1437"/>
      <c r="AT637" s="960" t="str">
        <f t="shared" si="23"/>
        <v/>
      </c>
      <c r="AV637" s="2"/>
      <c r="AW637" s="2"/>
      <c r="AX637" s="2"/>
      <c r="AY637" s="2"/>
      <c r="AZ637" s="2"/>
      <c r="BA637" s="2" t="s">
        <v>1498</v>
      </c>
      <c r="BB637" s="2"/>
      <c r="BC637" s="2"/>
      <c r="BD637" s="2"/>
      <c r="BE637" s="2"/>
      <c r="BF637" s="2"/>
      <c r="BG637" s="2"/>
      <c r="BH637" s="2"/>
      <c r="BI637" s="2"/>
      <c r="BJ637" s="2"/>
      <c r="BK637" s="2"/>
      <c r="BL637" s="2"/>
      <c r="BM637" s="2"/>
      <c r="BN637" s="1414">
        <f>IF(J773="SRO/Studio",O773,0)</f>
        <v>0</v>
      </c>
      <c r="BO637" s="1415"/>
      <c r="BP637" s="1415"/>
      <c r="BQ637" s="1415"/>
      <c r="BR637" s="1416"/>
      <c r="BS637" s="1413">
        <f>IF(J773="1 Bedroom",O773,0)</f>
        <v>0</v>
      </c>
      <c r="BT637" s="1413"/>
      <c r="BU637" s="1413"/>
      <c r="BV637" s="1413"/>
      <c r="BW637" s="1413"/>
      <c r="BX637" s="1413">
        <f>IF(J773="2 Bedrooms",O773,0)</f>
        <v>0</v>
      </c>
      <c r="BY637" s="1413"/>
      <c r="BZ637" s="1413"/>
      <c r="CA637" s="1413"/>
      <c r="CB637" s="1413"/>
      <c r="CC637" s="1413">
        <f>IF(J773="3 Bedrooms",O773,0)</f>
        <v>1</v>
      </c>
      <c r="CD637" s="1413"/>
      <c r="CE637" s="1413"/>
      <c r="CF637" s="1413"/>
      <c r="CG637" s="1413"/>
      <c r="CH637" s="1413">
        <f>IF(J773="4 Bedrooms",O773,0)</f>
        <v>0</v>
      </c>
      <c r="CI637" s="1413"/>
      <c r="CJ637" s="1413"/>
      <c r="CK637" s="1413"/>
      <c r="CL637" s="1413"/>
      <c r="CM637" s="1413">
        <f>IF(J773="5 Bedrooms",O773,0)</f>
        <v>0</v>
      </c>
      <c r="CN637" s="1413"/>
      <c r="CO637" s="1413"/>
      <c r="CP637" s="1413"/>
      <c r="CQ637" s="1413"/>
      <c r="CR637" s="1148"/>
      <c r="CS637" s="2"/>
      <c r="CT637" s="2"/>
      <c r="CU637" s="2"/>
      <c r="CV637" s="2"/>
      <c r="CW637" s="2"/>
      <c r="CX637" s="2"/>
      <c r="CY637" s="2"/>
      <c r="CZ637" s="2"/>
      <c r="DA637" s="2"/>
      <c r="DB637" s="2"/>
      <c r="DC637" s="2"/>
      <c r="DD637" s="2"/>
      <c r="DE637" s="2"/>
      <c r="DF637" s="2"/>
      <c r="DX637" s="1409" t="e">
        <f t="shared" si="29"/>
        <v>#VALUE!</v>
      </c>
      <c r="DY637" s="1409"/>
      <c r="DZ637" s="1409"/>
      <c r="EA637" s="1409"/>
      <c r="EB637" s="1409"/>
      <c r="EC637" s="1409" t="e">
        <f t="shared" si="24"/>
        <v>#VALUE!</v>
      </c>
      <c r="ED637" s="1409"/>
      <c r="EE637" s="1409"/>
      <c r="EF637" s="1409"/>
      <c r="EG637" s="1409"/>
      <c r="EH637" s="1409">
        <f t="shared" si="25"/>
        <v>287.5</v>
      </c>
      <c r="EI637" s="1409"/>
      <c r="EJ637" s="1409"/>
      <c r="EK637" s="1409"/>
      <c r="EL637" s="1409"/>
      <c r="EM637" s="1409" t="e">
        <f t="shared" si="26"/>
        <v>#VALUE!</v>
      </c>
      <c r="EN637" s="1409"/>
      <c r="EO637" s="1409"/>
      <c r="EP637" s="1409"/>
      <c r="EQ637" s="1409"/>
      <c r="ER637" s="1409" t="e">
        <f t="shared" si="27"/>
        <v>#VALUE!</v>
      </c>
      <c r="ES637" s="1409"/>
      <c r="ET637" s="1409"/>
      <c r="EU637" s="1409"/>
      <c r="EV637" s="1409"/>
      <c r="EW637" s="1409" t="e">
        <f t="shared" si="28"/>
        <v>#VALUE!</v>
      </c>
      <c r="EX637" s="1409"/>
      <c r="EY637" s="1409"/>
      <c r="EZ637" s="1409"/>
      <c r="FA637" s="1409"/>
    </row>
    <row r="638" spans="2:157" ht="13" customHeight="1">
      <c r="B638" s="36" t="s">
        <v>1469</v>
      </c>
      <c r="C638" s="1393"/>
      <c r="D638" s="1393"/>
      <c r="E638" s="1393"/>
      <c r="F638" s="1393"/>
      <c r="G638" s="1393"/>
      <c r="H638" s="1393"/>
      <c r="I638" s="1393"/>
      <c r="J638" s="1393"/>
      <c r="K638" s="1393"/>
      <c r="L638" s="1393"/>
      <c r="M638" s="1403" t="s">
        <v>1079</v>
      </c>
      <c r="N638" s="1403"/>
      <c r="O638" s="1403"/>
      <c r="P638" s="1403"/>
      <c r="Q638" s="1392"/>
      <c r="R638" s="1390"/>
      <c r="S638" s="1391"/>
      <c r="T638" s="1392"/>
      <c r="U638" s="1390"/>
      <c r="V638" s="1391"/>
      <c r="W638" s="1405"/>
      <c r="X638" s="1406"/>
      <c r="Y638" s="1407"/>
      <c r="Z638" s="1438" t="s">
        <v>1079</v>
      </c>
      <c r="AA638" s="1439"/>
      <c r="AB638" s="1440"/>
      <c r="AC638" s="1386"/>
      <c r="AD638" s="1387"/>
      <c r="AE638" s="1388"/>
      <c r="AF638" s="1399"/>
      <c r="AG638" s="1400"/>
      <c r="AH638" s="1400"/>
      <c r="AI638" s="1400"/>
      <c r="AJ638" s="1401"/>
      <c r="AK638" s="1396"/>
      <c r="AL638" s="1397"/>
      <c r="AM638" s="1397"/>
      <c r="AN638" s="1398"/>
      <c r="AO638" s="1435"/>
      <c r="AP638" s="1436"/>
      <c r="AQ638" s="1436"/>
      <c r="AR638" s="1436"/>
      <c r="AS638" s="1437"/>
      <c r="AT638" s="960" t="str">
        <f t="shared" si="23"/>
        <v/>
      </c>
      <c r="AV638" s="2"/>
      <c r="AW638" s="2"/>
      <c r="AX638" s="2"/>
      <c r="AY638" s="2"/>
      <c r="AZ638" s="2"/>
      <c r="BA638" s="2" t="s">
        <v>1103</v>
      </c>
      <c r="BB638" s="2"/>
      <c r="BC638" s="2"/>
      <c r="BD638" s="2"/>
      <c r="BE638" s="2"/>
      <c r="BF638" s="2"/>
      <c r="BG638" s="2"/>
      <c r="BH638" s="2"/>
      <c r="BI638" s="2"/>
      <c r="BJ638" s="2"/>
      <c r="BK638" s="2"/>
      <c r="BL638" s="2"/>
      <c r="BM638" s="2"/>
      <c r="BN638" s="1414">
        <f>IF(J774="SRO/Studio",O774,0)</f>
        <v>0</v>
      </c>
      <c r="BO638" s="1415"/>
      <c r="BP638" s="1415"/>
      <c r="BQ638" s="1415"/>
      <c r="BR638" s="1416"/>
      <c r="BS638" s="1413">
        <f>IF(J774="1 Bedroom",O774,0)</f>
        <v>0</v>
      </c>
      <c r="BT638" s="1413"/>
      <c r="BU638" s="1413"/>
      <c r="BV638" s="1413"/>
      <c r="BW638" s="1413"/>
      <c r="BX638" s="1413">
        <f>IF(J774="2 Bedrooms",O774,0)</f>
        <v>0</v>
      </c>
      <c r="BY638" s="1413"/>
      <c r="BZ638" s="1413"/>
      <c r="CA638" s="1413"/>
      <c r="CB638" s="1413"/>
      <c r="CC638" s="1413">
        <f>IF(J774="3 Bedrooms",O774,0)</f>
        <v>0</v>
      </c>
      <c r="CD638" s="1413"/>
      <c r="CE638" s="1413"/>
      <c r="CF638" s="1413"/>
      <c r="CG638" s="1413"/>
      <c r="CH638" s="1413">
        <f>IF(J774="4 Bedrooms",O774,0)</f>
        <v>0</v>
      </c>
      <c r="CI638" s="1413"/>
      <c r="CJ638" s="1413"/>
      <c r="CK638" s="1413"/>
      <c r="CL638" s="1413"/>
      <c r="CM638" s="1413">
        <f>IF(J774="5 Bedrooms",O774,0)</f>
        <v>0</v>
      </c>
      <c r="CN638" s="1413"/>
      <c r="CO638" s="1413"/>
      <c r="CP638" s="1413"/>
      <c r="CQ638" s="1413"/>
      <c r="CR638" s="1148"/>
      <c r="CS638" s="2"/>
      <c r="CT638" s="2"/>
      <c r="CU638" s="2"/>
      <c r="CV638" s="2"/>
      <c r="CW638" s="2"/>
      <c r="CX638" s="2"/>
      <c r="CY638" s="2"/>
      <c r="CZ638" s="2"/>
      <c r="DA638" s="2"/>
      <c r="DB638" s="2"/>
      <c r="DC638" s="2"/>
      <c r="DD638" s="2"/>
      <c r="DE638" s="2"/>
      <c r="DF638" s="2"/>
      <c r="DX638" s="1409" t="e">
        <f t="shared" si="29"/>
        <v>#VALUE!</v>
      </c>
      <c r="DY638" s="1409"/>
      <c r="DZ638" s="1409"/>
      <c r="EA638" s="1409"/>
      <c r="EB638" s="1409"/>
      <c r="EC638" s="1409" t="e">
        <f t="shared" si="24"/>
        <v>#VALUE!</v>
      </c>
      <c r="ED638" s="1409"/>
      <c r="EE638" s="1409"/>
      <c r="EF638" s="1409"/>
      <c r="EG638" s="1409"/>
      <c r="EH638" s="1409" t="e">
        <f t="shared" si="25"/>
        <v>#VALUE!</v>
      </c>
      <c r="EI638" s="1409"/>
      <c r="EJ638" s="1409"/>
      <c r="EK638" s="1409"/>
      <c r="EL638" s="1409"/>
      <c r="EM638" s="1409">
        <f t="shared" si="26"/>
        <v>551.72727272727275</v>
      </c>
      <c r="EN638" s="1409"/>
      <c r="EO638" s="1409"/>
      <c r="EP638" s="1409"/>
      <c r="EQ638" s="1409"/>
      <c r="ER638" s="1409" t="e">
        <f t="shared" si="27"/>
        <v>#VALUE!</v>
      </c>
      <c r="ES638" s="1409"/>
      <c r="ET638" s="1409"/>
      <c r="EU638" s="1409"/>
      <c r="EV638" s="1409"/>
      <c r="EW638" s="1409" t="e">
        <f t="shared" si="28"/>
        <v>#VALUE!</v>
      </c>
      <c r="EX638" s="1409"/>
      <c r="EY638" s="1409"/>
      <c r="EZ638" s="1409"/>
      <c r="FA638" s="1409"/>
    </row>
    <row r="639" spans="2:157" ht="13" customHeight="1">
      <c r="B639" s="1418" t="s">
        <v>1506</v>
      </c>
      <c r="C639" s="1419"/>
      <c r="D639" s="1419"/>
      <c r="E639" s="1419"/>
      <c r="F639" s="1419"/>
      <c r="G639" s="1419"/>
      <c r="H639" s="1419"/>
      <c r="I639" s="1419"/>
      <c r="J639" s="1419"/>
      <c r="K639" s="1419"/>
      <c r="L639" s="1419"/>
      <c r="M639" s="1419"/>
      <c r="N639" s="1419"/>
      <c r="O639" s="1419"/>
      <c r="P639" s="1419"/>
      <c r="Q639" s="1419"/>
      <c r="R639" s="1419"/>
      <c r="S639" s="1419"/>
      <c r="T639" s="1419"/>
      <c r="U639" s="1419"/>
      <c r="V639" s="1419"/>
      <c r="W639" s="1419"/>
      <c r="X639" s="1419"/>
      <c r="Y639" s="1419"/>
      <c r="Z639" s="1419"/>
      <c r="AA639" s="1419"/>
      <c r="AB639" s="1419"/>
      <c r="AC639" s="1419"/>
      <c r="AD639" s="1419"/>
      <c r="AE639" s="1419"/>
      <c r="AF639" s="1419"/>
      <c r="AG639" s="1419"/>
      <c r="AH639" s="1419"/>
      <c r="AI639" s="1419"/>
      <c r="AJ639" s="1419"/>
      <c r="AK639" s="1419"/>
      <c r="AL639" s="1419"/>
      <c r="AM639" s="1419"/>
      <c r="AN639" s="1420"/>
      <c r="AO639" s="1565">
        <f>SUM(AO627:AR638)</f>
        <v>23035151</v>
      </c>
      <c r="AP639" s="1566"/>
      <c r="AQ639" s="1566"/>
      <c r="AR639" s="1566"/>
      <c r="AS639" s="1567"/>
      <c r="AV639" s="2"/>
      <c r="AW639" s="2"/>
      <c r="AX639" s="2"/>
      <c r="AY639" s="2"/>
      <c r="AZ639" s="2"/>
      <c r="BA639" s="2"/>
      <c r="BB639" s="2"/>
      <c r="BC639" s="2"/>
      <c r="BD639" s="2"/>
      <c r="BE639" s="2"/>
      <c r="BF639" s="2"/>
      <c r="BG639" s="2"/>
      <c r="BH639" s="2"/>
      <c r="BI639" s="2"/>
      <c r="BJ639" s="2"/>
      <c r="BK639" s="2"/>
      <c r="BL639" s="2"/>
      <c r="BM639" s="2"/>
      <c r="BN639" s="1414">
        <f>IF(J775="SRO/Studio",O775,0)</f>
        <v>0</v>
      </c>
      <c r="BO639" s="1415"/>
      <c r="BP639" s="1415"/>
      <c r="BQ639" s="1415"/>
      <c r="BR639" s="1416"/>
      <c r="BS639" s="1413">
        <f>IF(J775="1 Bedroom",O775,0)</f>
        <v>0</v>
      </c>
      <c r="BT639" s="1413"/>
      <c r="BU639" s="1413"/>
      <c r="BV639" s="1413"/>
      <c r="BW639" s="1413"/>
      <c r="BX639" s="1413">
        <f>IF(J775="2 Bedrooms",O775,0)</f>
        <v>0</v>
      </c>
      <c r="BY639" s="1413"/>
      <c r="BZ639" s="1413"/>
      <c r="CA639" s="1413"/>
      <c r="CB639" s="1413"/>
      <c r="CC639" s="1413">
        <f>IF(J775="3 Bedrooms",O775,0)</f>
        <v>0</v>
      </c>
      <c r="CD639" s="1413"/>
      <c r="CE639" s="1413"/>
      <c r="CF639" s="1413"/>
      <c r="CG639" s="1413"/>
      <c r="CH639" s="1413">
        <f>IF(J775="4 Bedrooms",O775,0)</f>
        <v>0</v>
      </c>
      <c r="CI639" s="1413"/>
      <c r="CJ639" s="1413"/>
      <c r="CK639" s="1413"/>
      <c r="CL639" s="1413"/>
      <c r="CM639" s="1413">
        <f>IF(J775="5 Bedrooms",O775,0)</f>
        <v>0</v>
      </c>
      <c r="CN639" s="1413"/>
      <c r="CO639" s="1413"/>
      <c r="CP639" s="1413"/>
      <c r="CQ639" s="1413"/>
      <c r="CR639" s="1148"/>
      <c r="CV639" s="2"/>
      <c r="CW639" s="2"/>
      <c r="CX639" s="2"/>
      <c r="CY639" s="2"/>
      <c r="CZ639" s="2"/>
      <c r="DA639" s="2"/>
      <c r="DB639" s="2"/>
      <c r="DC639" s="2"/>
      <c r="DD639" s="2"/>
      <c r="DE639" s="2"/>
      <c r="DF639" s="2"/>
      <c r="DX639" s="1409" t="e">
        <f t="shared" si="29"/>
        <v>#VALUE!</v>
      </c>
      <c r="DY639" s="1409"/>
      <c r="DZ639" s="1409"/>
      <c r="EA639" s="1409"/>
      <c r="EB639" s="1409"/>
      <c r="EC639" s="1409" t="e">
        <f t="shared" si="24"/>
        <v>#VALUE!</v>
      </c>
      <c r="ED639" s="1409"/>
      <c r="EE639" s="1409"/>
      <c r="EF639" s="1409"/>
      <c r="EG639" s="1409"/>
      <c r="EH639" s="1409" t="e">
        <f t="shared" si="25"/>
        <v>#VALUE!</v>
      </c>
      <c r="EI639" s="1409"/>
      <c r="EJ639" s="1409"/>
      <c r="EK639" s="1409"/>
      <c r="EL639" s="1409"/>
      <c r="EM639" s="1409">
        <f t="shared" si="26"/>
        <v>531.13636363636363</v>
      </c>
      <c r="EN639" s="1409"/>
      <c r="EO639" s="1409"/>
      <c r="EP639" s="1409"/>
      <c r="EQ639" s="1409"/>
      <c r="ER639" s="1409" t="e">
        <f t="shared" si="27"/>
        <v>#VALUE!</v>
      </c>
      <c r="ES639" s="1409"/>
      <c r="ET639" s="1409"/>
      <c r="EU639" s="1409"/>
      <c r="EV639" s="1409"/>
      <c r="EW639" s="1409" t="e">
        <f t="shared" si="28"/>
        <v>#VALUE!</v>
      </c>
      <c r="EX639" s="1409"/>
      <c r="EY639" s="1409"/>
      <c r="EZ639" s="1409"/>
      <c r="FA639" s="1409"/>
    </row>
    <row r="640" spans="2:157" ht="13" customHeight="1">
      <c r="B640" s="1418" t="s">
        <v>1507</v>
      </c>
      <c r="C640" s="1419"/>
      <c r="D640" s="1419"/>
      <c r="E640" s="1419"/>
      <c r="F640" s="1419"/>
      <c r="G640" s="1419"/>
      <c r="H640" s="1419"/>
      <c r="I640" s="1419"/>
      <c r="J640" s="1419"/>
      <c r="K640" s="1419"/>
      <c r="L640" s="1419"/>
      <c r="M640" s="1419"/>
      <c r="N640" s="1419"/>
      <c r="O640" s="1419"/>
      <c r="P640" s="1419"/>
      <c r="Q640" s="1419"/>
      <c r="R640" s="1419"/>
      <c r="S640" s="1419"/>
      <c r="T640" s="1419"/>
      <c r="U640" s="1419"/>
      <c r="V640" s="1419"/>
      <c r="W640" s="1419"/>
      <c r="X640" s="1419"/>
      <c r="Y640" s="1419"/>
      <c r="Z640" s="1419"/>
      <c r="AA640" s="1419"/>
      <c r="AB640" s="1419"/>
      <c r="AC640" s="1419"/>
      <c r="AD640" s="1419"/>
      <c r="AE640" s="1419"/>
      <c r="AF640" s="1419"/>
      <c r="AG640" s="1419"/>
      <c r="AH640" s="1419"/>
      <c r="AI640" s="1419"/>
      <c r="AJ640" s="1419"/>
      <c r="AK640" s="1419"/>
      <c r="AL640" s="1419"/>
      <c r="AM640" s="1419"/>
      <c r="AN640" s="1420"/>
      <c r="AO640" s="1435">
        <f>18826987+4581532</f>
        <v>23408519</v>
      </c>
      <c r="AP640" s="1436"/>
      <c r="AQ640" s="1436"/>
      <c r="AR640" s="1436"/>
      <c r="AS640" s="1437"/>
      <c r="AV640" s="2"/>
      <c r="AW640" s="2"/>
      <c r="AX640" s="2"/>
      <c r="AY640" s="2"/>
      <c r="AZ640" s="2"/>
      <c r="BA640" s="2"/>
      <c r="BB640" s="2"/>
      <c r="BC640" s="2"/>
      <c r="BD640" s="2"/>
      <c r="BE640" s="2"/>
      <c r="BF640" s="2"/>
      <c r="BG640" s="2"/>
      <c r="BH640" s="2"/>
      <c r="BI640" s="2"/>
      <c r="BJ640" s="2"/>
      <c r="BK640" s="2"/>
      <c r="BL640" s="2"/>
      <c r="BM640" s="2"/>
      <c r="BN640" s="1414">
        <f>IF(J776="SRO/Studio",O776,0)</f>
        <v>0</v>
      </c>
      <c r="BO640" s="1415"/>
      <c r="BP640" s="1415"/>
      <c r="BQ640" s="1415"/>
      <c r="BR640" s="1416"/>
      <c r="BS640" s="1413">
        <f>IF(J776="1 Bedroom",O776,0)</f>
        <v>0</v>
      </c>
      <c r="BT640" s="1413"/>
      <c r="BU640" s="1413"/>
      <c r="BV640" s="1413"/>
      <c r="BW640" s="1413"/>
      <c r="BX640" s="1413">
        <f>IF(J776="2 Bedrooms",O776,0)</f>
        <v>0</v>
      </c>
      <c r="BY640" s="1413"/>
      <c r="BZ640" s="1413"/>
      <c r="CA640" s="1413"/>
      <c r="CB640" s="1413"/>
      <c r="CC640" s="1413">
        <f>IF(J776="3 Bedrooms",O776,0)</f>
        <v>0</v>
      </c>
      <c r="CD640" s="1413"/>
      <c r="CE640" s="1413"/>
      <c r="CF640" s="1413"/>
      <c r="CG640" s="1413"/>
      <c r="CH640" s="1413">
        <f>IF(J776="4 Bedrooms",O776,0)</f>
        <v>0</v>
      </c>
      <c r="CI640" s="1413"/>
      <c r="CJ640" s="1413"/>
      <c r="CK640" s="1413"/>
      <c r="CL640" s="1413"/>
      <c r="CM640" s="1413">
        <f>IF(J776="5 Bedrooms",O776,0)</f>
        <v>0</v>
      </c>
      <c r="CN640" s="1413"/>
      <c r="CO640" s="1413"/>
      <c r="CP640" s="1413"/>
      <c r="CQ640" s="1413"/>
      <c r="CV640" s="2"/>
      <c r="CW640" s="2"/>
      <c r="CX640" s="2"/>
      <c r="CY640" s="2"/>
      <c r="CZ640" s="2"/>
      <c r="DA640" s="2"/>
      <c r="DB640" s="2"/>
      <c r="DC640" s="2"/>
      <c r="DD640" s="2"/>
      <c r="DE640" s="2"/>
      <c r="DF640" s="2"/>
      <c r="DX640" s="1409" t="e">
        <f t="shared" si="29"/>
        <v>#VALUE!</v>
      </c>
      <c r="DY640" s="1409"/>
      <c r="DZ640" s="1409"/>
      <c r="EA640" s="1409"/>
      <c r="EB640" s="1409"/>
      <c r="EC640" s="1409" t="e">
        <f t="shared" si="24"/>
        <v>#VALUE!</v>
      </c>
      <c r="ED640" s="1409"/>
      <c r="EE640" s="1409"/>
      <c r="EF640" s="1409"/>
      <c r="EG640" s="1409"/>
      <c r="EH640" s="1409" t="e">
        <f t="shared" si="25"/>
        <v>#VALUE!</v>
      </c>
      <c r="EI640" s="1409"/>
      <c r="EJ640" s="1409"/>
      <c r="EK640" s="1409"/>
      <c r="EL640" s="1409"/>
      <c r="EM640" s="1409" t="e">
        <f t="shared" si="26"/>
        <v>#VALUE!</v>
      </c>
      <c r="EN640" s="1409"/>
      <c r="EO640" s="1409"/>
      <c r="EP640" s="1409"/>
      <c r="EQ640" s="1409"/>
      <c r="ER640" s="1409" t="e">
        <f t="shared" si="27"/>
        <v>#VALUE!</v>
      </c>
      <c r="ES640" s="1409"/>
      <c r="ET640" s="1409"/>
      <c r="EU640" s="1409"/>
      <c r="EV640" s="1409"/>
      <c r="EW640" s="1409" t="e">
        <f t="shared" si="28"/>
        <v>#VALUE!</v>
      </c>
      <c r="EX640" s="1409"/>
      <c r="EY640" s="1409"/>
      <c r="EZ640" s="1409"/>
      <c r="FA640" s="1409"/>
    </row>
    <row r="641" spans="1:157" ht="13" customHeight="1">
      <c r="B641" s="1421" t="s">
        <v>1508</v>
      </c>
      <c r="C641" s="1422"/>
      <c r="D641" s="1422"/>
      <c r="E641" s="1422"/>
      <c r="F641" s="1422"/>
      <c r="G641" s="1422"/>
      <c r="H641" s="1422"/>
      <c r="I641" s="1422"/>
      <c r="J641" s="1422"/>
      <c r="K641" s="1422"/>
      <c r="L641" s="1422"/>
      <c r="M641" s="1422"/>
      <c r="N641" s="1422"/>
      <c r="O641" s="1422"/>
      <c r="P641" s="1422"/>
      <c r="Q641" s="1422"/>
      <c r="R641" s="1422"/>
      <c r="S641" s="1422"/>
      <c r="T641" s="1422"/>
      <c r="U641" s="1422"/>
      <c r="V641" s="1422"/>
      <c r="W641" s="1422"/>
      <c r="X641" s="1422"/>
      <c r="Y641" s="1422"/>
      <c r="Z641" s="1422"/>
      <c r="AA641" s="1422"/>
      <c r="AB641" s="1422"/>
      <c r="AC641" s="1422"/>
      <c r="AD641" s="1422"/>
      <c r="AE641" s="1422"/>
      <c r="AF641" s="1422"/>
      <c r="AG641" s="1422"/>
      <c r="AH641" s="1422"/>
      <c r="AI641" s="1422"/>
      <c r="AJ641" s="1422"/>
      <c r="AK641" s="1422"/>
      <c r="AL641" s="1422"/>
      <c r="AM641" s="1422"/>
      <c r="AN641" s="1423"/>
      <c r="AO641" s="1565">
        <f>AO639+AO640</f>
        <v>46443670</v>
      </c>
      <c r="AP641" s="1566"/>
      <c r="AQ641" s="1566"/>
      <c r="AR641" s="1566"/>
      <c r="AS641" s="1567"/>
      <c r="AV641" s="2"/>
      <c r="AW641" s="2"/>
      <c r="AX641" s="2"/>
      <c r="AY641" s="2"/>
      <c r="AZ641" s="2"/>
      <c r="BA641" s="2"/>
      <c r="BB641" s="2"/>
      <c r="BC641" s="2"/>
      <c r="BD641" s="2"/>
      <c r="BE641" s="2"/>
      <c r="BF641" s="2"/>
      <c r="BG641" s="2"/>
      <c r="BH641" s="2"/>
      <c r="BI641" s="2"/>
      <c r="BJ641" s="2"/>
      <c r="BK641" s="2"/>
      <c r="BL641" s="2"/>
      <c r="BM641" s="2"/>
      <c r="BN641" s="1410">
        <f>SUM(BN637:BR640)</f>
        <v>0</v>
      </c>
      <c r="BO641" s="1411"/>
      <c r="BP641" s="1411"/>
      <c r="BQ641" s="1411"/>
      <c r="BR641" s="1412"/>
      <c r="BS641" s="1410">
        <f>SUM(BS637:BW640)</f>
        <v>0</v>
      </c>
      <c r="BT641" s="1411"/>
      <c r="BU641" s="1411"/>
      <c r="BV641" s="1411"/>
      <c r="BW641" s="1412"/>
      <c r="BX641" s="1410">
        <f>SUM(BX637:CB640)</f>
        <v>0</v>
      </c>
      <c r="BY641" s="1411"/>
      <c r="BZ641" s="1411"/>
      <c r="CA641" s="1411"/>
      <c r="CB641" s="1412"/>
      <c r="CC641" s="1410">
        <f>SUM(CC637:CG640)</f>
        <v>1</v>
      </c>
      <c r="CD641" s="1411"/>
      <c r="CE641" s="1411"/>
      <c r="CF641" s="1411"/>
      <c r="CG641" s="1412"/>
      <c r="CH641" s="1410">
        <f>SUM(CH637:CL640)</f>
        <v>0</v>
      </c>
      <c r="CI641" s="1411"/>
      <c r="CJ641" s="1411"/>
      <c r="CK641" s="1411"/>
      <c r="CL641" s="1412"/>
      <c r="CM641" s="1410">
        <f>SUM(CM637:CQ640)</f>
        <v>0</v>
      </c>
      <c r="CN641" s="1411"/>
      <c r="CO641" s="1411"/>
      <c r="CP641" s="1411"/>
      <c r="CQ641" s="1412"/>
      <c r="CS641" s="703">
        <f>BN641+BS641+BX641+CC641+CH641+CM641</f>
        <v>1</v>
      </c>
      <c r="CT641" s="1118" t="s">
        <v>1509</v>
      </c>
      <c r="CU641" s="2"/>
      <c r="CV641" s="2"/>
      <c r="CW641" s="2"/>
      <c r="CX641" s="2"/>
      <c r="CY641" s="2"/>
      <c r="CZ641" s="2"/>
      <c r="DA641" s="2"/>
      <c r="DB641" s="2"/>
      <c r="DC641" s="2"/>
      <c r="DD641" s="2"/>
      <c r="DE641" s="2"/>
      <c r="DF641" s="2"/>
      <c r="DX641" s="1409" t="e">
        <f t="shared" si="29"/>
        <v>#VALUE!</v>
      </c>
      <c r="DY641" s="1409"/>
      <c r="DZ641" s="1409"/>
      <c r="EA641" s="1409"/>
      <c r="EB641" s="1409"/>
      <c r="EC641" s="1409" t="e">
        <f t="shared" si="24"/>
        <v>#VALUE!</v>
      </c>
      <c r="ED641" s="1409"/>
      <c r="EE641" s="1409"/>
      <c r="EF641" s="1409"/>
      <c r="EG641" s="1409"/>
      <c r="EH641" s="1409" t="e">
        <f t="shared" si="25"/>
        <v>#VALUE!</v>
      </c>
      <c r="EI641" s="1409"/>
      <c r="EJ641" s="1409"/>
      <c r="EK641" s="1409"/>
      <c r="EL641" s="1409"/>
      <c r="EM641" s="1409" t="e">
        <f t="shared" si="26"/>
        <v>#VALUE!</v>
      </c>
      <c r="EN641" s="1409"/>
      <c r="EO641" s="1409"/>
      <c r="EP641" s="1409"/>
      <c r="EQ641" s="1409"/>
      <c r="ER641" s="1409" t="e">
        <f t="shared" si="27"/>
        <v>#VALUE!</v>
      </c>
      <c r="ES641" s="1409"/>
      <c r="ET641" s="1409"/>
      <c r="EU641" s="1409"/>
      <c r="EV641" s="1409"/>
      <c r="EW641" s="1409" t="e">
        <f t="shared" si="28"/>
        <v>#VALUE!</v>
      </c>
      <c r="EX641" s="1409"/>
      <c r="EY641" s="1409"/>
      <c r="EZ641" s="1409"/>
      <c r="FA641" s="1409"/>
    </row>
    <row r="642" spans="1:157" ht="13" customHeight="1">
      <c r="B642" s="383"/>
      <c r="K642" s="38"/>
      <c r="L642" s="22"/>
      <c r="M642" s="22"/>
      <c r="N642" s="22"/>
      <c r="O642" s="22"/>
      <c r="P642" s="22"/>
      <c r="Q642" s="22"/>
      <c r="R642" s="22"/>
      <c r="AC642" s="38"/>
      <c r="AD642" s="22"/>
      <c r="AE642" s="22"/>
      <c r="AF642" s="22"/>
      <c r="AG642" s="22"/>
      <c r="AH642" s="22"/>
      <c r="AI642" s="22"/>
      <c r="AJ642" s="22"/>
      <c r="AV642" s="2"/>
      <c r="AW642" s="2"/>
      <c r="AX642" s="2"/>
      <c r="AY642" s="2"/>
      <c r="AZ642" s="2"/>
      <c r="BA642" s="2"/>
      <c r="BB642" s="2"/>
      <c r="BC642" s="2"/>
      <c r="BD642" s="2"/>
      <c r="BE642" s="2"/>
      <c r="BF642" s="2"/>
      <c r="BG642" s="2"/>
      <c r="BH642" s="2"/>
      <c r="BI642" s="2"/>
      <c r="BJ642" s="2"/>
      <c r="BK642" s="2"/>
      <c r="BL642" s="2"/>
      <c r="BM642" s="2"/>
      <c r="BR642" s="703">
        <f>BN641*1</f>
        <v>0</v>
      </c>
      <c r="BS642" s="2"/>
      <c r="BT642" s="2"/>
      <c r="BU642" s="2"/>
      <c r="BV642" s="2"/>
      <c r="BW642" s="703">
        <f>BS641*1</f>
        <v>0</v>
      </c>
      <c r="BX642" s="2"/>
      <c r="BY642" s="2"/>
      <c r="BZ642" s="2"/>
      <c r="CA642" s="2"/>
      <c r="CB642" s="703">
        <f>BX641*2</f>
        <v>0</v>
      </c>
      <c r="CC642" s="2"/>
      <c r="CD642" s="2"/>
      <c r="CE642" s="2"/>
      <c r="CF642" s="2"/>
      <c r="CG642" s="703">
        <f>CC641*3</f>
        <v>3</v>
      </c>
      <c r="CH642" s="2"/>
      <c r="CI642" s="2"/>
      <c r="CJ642" s="2"/>
      <c r="CK642" s="2"/>
      <c r="CL642" s="703">
        <f>CH641*4</f>
        <v>0</v>
      </c>
      <c r="CM642" s="2"/>
      <c r="CN642" s="2"/>
      <c r="CO642" s="2"/>
      <c r="CP642" s="2"/>
      <c r="CQ642" s="703">
        <f>CM641*5</f>
        <v>0</v>
      </c>
      <c r="CS642" s="703">
        <f>BR642+BW642+CB642+CG642+CL642+CQ642</f>
        <v>3</v>
      </c>
      <c r="CT642" s="1118" t="s">
        <v>1510</v>
      </c>
      <c r="CU642" s="2"/>
      <c r="CV642" s="2"/>
      <c r="CW642" s="2"/>
      <c r="CX642" s="2"/>
      <c r="CY642" s="2"/>
      <c r="CZ642" s="2"/>
      <c r="DA642" s="2"/>
      <c r="DB642" s="2"/>
      <c r="DC642" s="2"/>
      <c r="DD642" s="2"/>
      <c r="DE642" s="2"/>
      <c r="DF642" s="2"/>
      <c r="DX642" s="1409" t="e">
        <f t="shared" si="29"/>
        <v>#VALUE!</v>
      </c>
      <c r="DY642" s="1409"/>
      <c r="DZ642" s="1409"/>
      <c r="EA642" s="1409"/>
      <c r="EB642" s="1409"/>
      <c r="EC642" s="1409" t="e">
        <f t="shared" si="24"/>
        <v>#VALUE!</v>
      </c>
      <c r="ED642" s="1409"/>
      <c r="EE642" s="1409"/>
      <c r="EF642" s="1409"/>
      <c r="EG642" s="1409"/>
      <c r="EH642" s="1409" t="e">
        <f t="shared" si="25"/>
        <v>#VALUE!</v>
      </c>
      <c r="EI642" s="1409"/>
      <c r="EJ642" s="1409"/>
      <c r="EK642" s="1409"/>
      <c r="EL642" s="1409"/>
      <c r="EM642" s="1409" t="e">
        <f t="shared" si="26"/>
        <v>#VALUE!</v>
      </c>
      <c r="EN642" s="1409"/>
      <c r="EO642" s="1409"/>
      <c r="EP642" s="1409"/>
      <c r="EQ642" s="1409"/>
      <c r="ER642" s="1409" t="e">
        <f t="shared" si="27"/>
        <v>#VALUE!</v>
      </c>
      <c r="ES642" s="1409"/>
      <c r="ET642" s="1409"/>
      <c r="EU642" s="1409"/>
      <c r="EV642" s="1409"/>
      <c r="EW642" s="1409" t="e">
        <f t="shared" si="28"/>
        <v>#VALUE!</v>
      </c>
      <c r="EX642" s="1409"/>
      <c r="EY642" s="1409"/>
      <c r="EZ642" s="1409"/>
      <c r="FA642" s="1409"/>
    </row>
    <row r="643" spans="1:157" ht="13" customHeight="1">
      <c r="A643" s="37" t="s">
        <v>17</v>
      </c>
      <c r="B643" t="s">
        <v>1471</v>
      </c>
      <c r="G643" s="1395" t="str">
        <f>C627</f>
        <v>Citibank</v>
      </c>
      <c r="H643" s="1395"/>
      <c r="I643" s="1395"/>
      <c r="J643" s="1395"/>
      <c r="K643" s="1395"/>
      <c r="L643" s="1395"/>
      <c r="M643" s="1395"/>
      <c r="N643" s="1395"/>
      <c r="O643" s="1395"/>
      <c r="P643" s="1395"/>
      <c r="Q643" s="1395"/>
      <c r="R643" s="1395"/>
      <c r="S643" s="7"/>
      <c r="T643" s="37" t="s">
        <v>30</v>
      </c>
      <c r="U643" t="s">
        <v>1471</v>
      </c>
      <c r="Z643" s="1395" t="str">
        <f>C628</f>
        <v>HOME</v>
      </c>
      <c r="AA643" s="1395"/>
      <c r="AB643" s="1395"/>
      <c r="AC643" s="1395"/>
      <c r="AD643" s="1395"/>
      <c r="AE643" s="1395"/>
      <c r="AF643" s="1395"/>
      <c r="AG643" s="1395"/>
      <c r="AH643" s="1395"/>
      <c r="AI643" s="1395"/>
      <c r="AJ643" s="1395"/>
      <c r="AK643" s="1395"/>
      <c r="AV643" s="2"/>
      <c r="AW643" s="2"/>
      <c r="AX643" s="2"/>
      <c r="AY643" s="2"/>
      <c r="AZ643" s="2"/>
      <c r="BA643" s="2"/>
      <c r="BB643" s="2"/>
      <c r="BC643" s="2"/>
      <c r="BD643" s="2"/>
      <c r="BE643" s="2"/>
      <c r="BF643" s="2"/>
      <c r="BG643" s="2"/>
      <c r="BH643" s="2"/>
      <c r="BI643" s="2"/>
      <c r="BJ643" s="2"/>
      <c r="BK643" s="2"/>
      <c r="BL643" s="2"/>
      <c r="BM643" s="2"/>
      <c r="CV643" s="2"/>
      <c r="CW643" s="2"/>
      <c r="CX643" s="2"/>
      <c r="CY643" s="2"/>
      <c r="CZ643" s="2"/>
      <c r="DA643" s="2"/>
      <c r="DB643" s="2"/>
      <c r="DC643" s="2"/>
      <c r="DD643" s="2"/>
      <c r="DE643" s="2"/>
      <c r="DF643" s="2"/>
      <c r="DX643" s="1409" t="e">
        <f t="shared" si="29"/>
        <v>#VALUE!</v>
      </c>
      <c r="DY643" s="1409"/>
      <c r="DZ643" s="1409"/>
      <c r="EA643" s="1409"/>
      <c r="EB643" s="1409"/>
      <c r="EC643" s="1409" t="e">
        <f t="shared" si="24"/>
        <v>#VALUE!</v>
      </c>
      <c r="ED643" s="1409"/>
      <c r="EE643" s="1409"/>
      <c r="EF643" s="1409"/>
      <c r="EG643" s="1409"/>
      <c r="EH643" s="1409" t="e">
        <f t="shared" si="25"/>
        <v>#VALUE!</v>
      </c>
      <c r="EI643" s="1409"/>
      <c r="EJ643" s="1409"/>
      <c r="EK643" s="1409"/>
      <c r="EL643" s="1409"/>
      <c r="EM643" s="1409" t="e">
        <f t="shared" si="26"/>
        <v>#VALUE!</v>
      </c>
      <c r="EN643" s="1409"/>
      <c r="EO643" s="1409"/>
      <c r="EP643" s="1409"/>
      <c r="EQ643" s="1409"/>
      <c r="ER643" s="1409" t="e">
        <f t="shared" si="27"/>
        <v>#VALUE!</v>
      </c>
      <c r="ES643" s="1409"/>
      <c r="ET643" s="1409"/>
      <c r="EU643" s="1409"/>
      <c r="EV643" s="1409"/>
      <c r="EW643" s="1409" t="e">
        <f t="shared" si="28"/>
        <v>#VALUE!</v>
      </c>
      <c r="EX643" s="1409"/>
      <c r="EY643" s="1409"/>
      <c r="EZ643" s="1409"/>
      <c r="FA643" s="1409"/>
    </row>
    <row r="644" spans="1:157" ht="13" customHeight="1">
      <c r="A644" s="18"/>
      <c r="B644" t="s">
        <v>1113</v>
      </c>
      <c r="G644" s="1335" t="s">
        <v>1472</v>
      </c>
      <c r="H644" s="1335"/>
      <c r="I644" s="1335"/>
      <c r="J644" s="1335"/>
      <c r="K644" s="1335"/>
      <c r="L644" s="1335"/>
      <c r="M644" s="1335"/>
      <c r="N644" s="1335"/>
      <c r="O644" s="1335"/>
      <c r="P644" s="1335"/>
      <c r="Q644" s="1335"/>
      <c r="R644" s="1335"/>
      <c r="S644" s="7"/>
      <c r="T644" s="18"/>
      <c r="U644" t="s">
        <v>1113</v>
      </c>
      <c r="Z644" s="1335" t="s">
        <v>1511</v>
      </c>
      <c r="AA644" s="1335"/>
      <c r="AB644" s="1335"/>
      <c r="AC644" s="1335"/>
      <c r="AD644" s="1335"/>
      <c r="AE644" s="1335"/>
      <c r="AF644" s="1335"/>
      <c r="AG644" s="1335"/>
      <c r="AH644" s="1335"/>
      <c r="AI644" s="1335"/>
      <c r="AJ644" s="1335"/>
      <c r="AK644" s="1335"/>
      <c r="AV644" s="2"/>
      <c r="AW644" s="2"/>
      <c r="AX644" s="2"/>
      <c r="AY644" s="2"/>
      <c r="AZ644" s="2"/>
      <c r="BA644" s="2"/>
      <c r="BB644" s="2"/>
      <c r="BC644" s="2"/>
      <c r="BD644" s="2"/>
      <c r="BE644" s="2"/>
      <c r="BF644" s="2"/>
      <c r="BG644" s="2"/>
      <c r="BH644" s="2"/>
      <c r="BI644" s="2"/>
      <c r="BJ644" s="2"/>
      <c r="BK644" s="2"/>
      <c r="BL644" s="2"/>
      <c r="BM644" s="2"/>
      <c r="BN644" s="2" t="s">
        <v>1512</v>
      </c>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t="s">
        <v>1513</v>
      </c>
      <c r="CT644" s="2"/>
      <c r="CU644" s="2"/>
      <c r="CV644" s="2"/>
      <c r="CW644" s="2"/>
      <c r="CX644" s="2"/>
      <c r="CY644" s="2"/>
      <c r="CZ644" s="2"/>
      <c r="DA644" s="2"/>
      <c r="DB644" s="2"/>
      <c r="DC644" s="2"/>
      <c r="DD644" s="2"/>
      <c r="DE644" s="2"/>
      <c r="DF644" s="2"/>
      <c r="DX644" s="1409" t="e">
        <f t="shared" si="29"/>
        <v>#VALUE!</v>
      </c>
      <c r="DY644" s="1409"/>
      <c r="DZ644" s="1409"/>
      <c r="EA644" s="1409"/>
      <c r="EB644" s="1409"/>
      <c r="EC644" s="1409" t="e">
        <f t="shared" si="24"/>
        <v>#VALUE!</v>
      </c>
      <c r="ED644" s="1409"/>
      <c r="EE644" s="1409"/>
      <c r="EF644" s="1409"/>
      <c r="EG644" s="1409"/>
      <c r="EH644" s="1409" t="e">
        <f t="shared" si="25"/>
        <v>#VALUE!</v>
      </c>
      <c r="EI644" s="1409"/>
      <c r="EJ644" s="1409"/>
      <c r="EK644" s="1409"/>
      <c r="EL644" s="1409"/>
      <c r="EM644" s="1409" t="e">
        <f t="shared" si="26"/>
        <v>#VALUE!</v>
      </c>
      <c r="EN644" s="1409"/>
      <c r="EO644" s="1409"/>
      <c r="EP644" s="1409"/>
      <c r="EQ644" s="1409"/>
      <c r="ER644" s="1409" t="e">
        <f t="shared" si="27"/>
        <v>#VALUE!</v>
      </c>
      <c r="ES644" s="1409"/>
      <c r="ET644" s="1409"/>
      <c r="EU644" s="1409"/>
      <c r="EV644" s="1409"/>
      <c r="EW644" s="1409" t="e">
        <f t="shared" si="28"/>
        <v>#VALUE!</v>
      </c>
      <c r="EX644" s="1409"/>
      <c r="EY644" s="1409"/>
      <c r="EZ644" s="1409"/>
      <c r="FA644" s="1409"/>
    </row>
    <row r="645" spans="1:157" ht="13" customHeight="1">
      <c r="A645" s="18"/>
      <c r="B645" t="s">
        <v>982</v>
      </c>
      <c r="G645" s="1335" t="s">
        <v>937</v>
      </c>
      <c r="H645" s="1335"/>
      <c r="I645" s="1335"/>
      <c r="J645" s="1335"/>
      <c r="K645" s="1335"/>
      <c r="L645" s="1335"/>
      <c r="M645" s="1335"/>
      <c r="N645" s="1335"/>
      <c r="O645" s="1335"/>
      <c r="P645" s="1335"/>
      <c r="Q645" s="1335"/>
      <c r="R645" s="1335"/>
      <c r="T645" s="18"/>
      <c r="U645" t="s">
        <v>982</v>
      </c>
      <c r="Z645" s="1385" t="s">
        <v>1514</v>
      </c>
      <c r="AA645" s="1385"/>
      <c r="AB645" s="1385"/>
      <c r="AC645" s="1385"/>
      <c r="AD645" s="1385"/>
      <c r="AE645" s="1385"/>
      <c r="AF645" s="1385"/>
      <c r="AG645" s="1385"/>
      <c r="AH645" s="1385"/>
      <c r="AI645" s="1385"/>
      <c r="AJ645" s="1385"/>
      <c r="AK645" s="1385"/>
      <c r="AV645" s="2"/>
      <c r="AW645" s="2"/>
      <c r="AX645" s="2"/>
      <c r="AY645" s="2"/>
      <c r="AZ645" s="2"/>
      <c r="BA645" s="2"/>
      <c r="BB645" s="2"/>
      <c r="BC645" s="2"/>
      <c r="BD645" s="2"/>
      <c r="BE645" s="2"/>
      <c r="BF645" s="2"/>
      <c r="BG645" s="2"/>
      <c r="BH645" s="2"/>
      <c r="BI645" s="2"/>
      <c r="BJ645" s="2"/>
      <c r="BK645" s="2"/>
      <c r="BL645" s="2"/>
      <c r="BM645" s="2"/>
      <c r="BN645" s="1414">
        <f t="shared" ref="BN645:BN654" si="30">IF(J787="SRO/Studio",O787,0)</f>
        <v>0</v>
      </c>
      <c r="BO645" s="1415"/>
      <c r="BP645" s="1415"/>
      <c r="BQ645" s="1415"/>
      <c r="BR645" s="1416"/>
      <c r="BS645" s="1413">
        <f t="shared" ref="BS645:BS654" si="31">IF(J787="1 Bedroom",O787,0)</f>
        <v>0</v>
      </c>
      <c r="BT645" s="1413"/>
      <c r="BU645" s="1413"/>
      <c r="BV645" s="1413"/>
      <c r="BW645" s="1413"/>
      <c r="BX645" s="1413">
        <f t="shared" ref="BX645:BX654" si="32">IF(J787="2 Bedrooms",O787,0)</f>
        <v>0</v>
      </c>
      <c r="BY645" s="1413"/>
      <c r="BZ645" s="1413"/>
      <c r="CA645" s="1413"/>
      <c r="CB645" s="1413"/>
      <c r="CC645" s="1413">
        <f t="shared" ref="CC645:CC654" si="33">IF(J787="3 Bedrooms",O787,0)</f>
        <v>0</v>
      </c>
      <c r="CD645" s="1413"/>
      <c r="CE645" s="1413"/>
      <c r="CF645" s="1413"/>
      <c r="CG645" s="1413"/>
      <c r="CH645" s="1413">
        <f t="shared" ref="CH645:CH654" si="34">IF(J787="4 Bedrooms",O787,0)</f>
        <v>0</v>
      </c>
      <c r="CI645" s="1413"/>
      <c r="CJ645" s="1413"/>
      <c r="CK645" s="1413"/>
      <c r="CL645" s="1413"/>
      <c r="CM645" s="1413">
        <f t="shared" ref="CM645:CM654" si="35">IF(J787="5 Bedrooms",O787,0)</f>
        <v>0</v>
      </c>
      <c r="CN645" s="1413"/>
      <c r="CO645" s="1413"/>
      <c r="CP645" s="1413"/>
      <c r="CQ645" s="1413"/>
      <c r="CR645" s="1148"/>
      <c r="CS645" s="1414">
        <f t="shared" ref="CS645:CS654" si="36">IF(AND(BN645&gt;=1,AH787&gt;=0.1,AH787&lt;=1),O787,0)</f>
        <v>0</v>
      </c>
      <c r="CT645" s="1415"/>
      <c r="CU645" s="1415"/>
      <c r="CV645" s="1415"/>
      <c r="CW645" s="1416"/>
      <c r="CX645" s="1414">
        <f t="shared" ref="CX645:CX654" si="37">IF(AND(BS645&gt;=1,AH787&gt;=0.1,AH787&lt;=1),O787,0)</f>
        <v>0</v>
      </c>
      <c r="CY645" s="1415"/>
      <c r="CZ645" s="1415"/>
      <c r="DA645" s="1415"/>
      <c r="DB645" s="1416"/>
      <c r="DC645" s="1414">
        <f t="shared" ref="DC645:DC654" si="38">IF(AND(BX645&gt;=1,AH787&gt;=0.1,AH787&lt;=1),O787,0)</f>
        <v>0</v>
      </c>
      <c r="DD645" s="1415"/>
      <c r="DE645" s="1415"/>
      <c r="DF645" s="1415"/>
      <c r="DG645" s="1416"/>
      <c r="DH645" s="1414">
        <f t="shared" ref="DH645:DH654" si="39">IF(AND(CC645&gt;=1,AH787&gt;=0.1,AH787&lt;=1),O787,0)</f>
        <v>0</v>
      </c>
      <c r="DI645" s="1415"/>
      <c r="DJ645" s="1415"/>
      <c r="DK645" s="1415"/>
      <c r="DL645" s="1416"/>
      <c r="DM645" s="1414">
        <f t="shared" ref="DM645:DM654" si="40">IF(AND(CH645&gt;=1,AH787&gt;=0.1,AH787&lt;=1),O787,0)</f>
        <v>0</v>
      </c>
      <c r="DN645" s="1415"/>
      <c r="DO645" s="1415"/>
      <c r="DP645" s="1415"/>
      <c r="DQ645" s="1416"/>
      <c r="DR645" s="1414">
        <f t="shared" ref="DR645:DR654" si="41">IF(AND(CM645&gt;=1,AH787&gt;=0.1,AH787&lt;=1),O787,0)</f>
        <v>0</v>
      </c>
      <c r="DS645" s="1415"/>
      <c r="DT645" s="1415"/>
      <c r="DU645" s="1415"/>
      <c r="DV645" s="1416"/>
      <c r="DX645" s="1409" t="e">
        <f t="shared" si="29"/>
        <v>#VALUE!</v>
      </c>
      <c r="DY645" s="1409"/>
      <c r="DZ645" s="1409"/>
      <c r="EA645" s="1409"/>
      <c r="EB645" s="1409"/>
      <c r="EC645" s="1409" t="e">
        <f t="shared" si="24"/>
        <v>#VALUE!</v>
      </c>
      <c r="ED645" s="1409"/>
      <c r="EE645" s="1409"/>
      <c r="EF645" s="1409"/>
      <c r="EG645" s="1409"/>
      <c r="EH645" s="1409" t="e">
        <f t="shared" si="25"/>
        <v>#VALUE!</v>
      </c>
      <c r="EI645" s="1409"/>
      <c r="EJ645" s="1409"/>
      <c r="EK645" s="1409"/>
      <c r="EL645" s="1409"/>
      <c r="EM645" s="1409" t="e">
        <f t="shared" si="26"/>
        <v>#VALUE!</v>
      </c>
      <c r="EN645" s="1409"/>
      <c r="EO645" s="1409"/>
      <c r="EP645" s="1409"/>
      <c r="EQ645" s="1409"/>
      <c r="ER645" s="1409" t="e">
        <f t="shared" si="27"/>
        <v>#VALUE!</v>
      </c>
      <c r="ES645" s="1409"/>
      <c r="ET645" s="1409"/>
      <c r="EU645" s="1409"/>
      <c r="EV645" s="1409"/>
      <c r="EW645" s="1409" t="e">
        <f t="shared" si="28"/>
        <v>#VALUE!</v>
      </c>
      <c r="EX645" s="1409"/>
      <c r="EY645" s="1409"/>
      <c r="EZ645" s="1409"/>
      <c r="FA645" s="1409"/>
    </row>
    <row r="646" spans="1:157" ht="13" customHeight="1">
      <c r="A646" s="18"/>
      <c r="B646" t="s">
        <v>1473</v>
      </c>
      <c r="G646" s="1335" t="s">
        <v>1474</v>
      </c>
      <c r="H646" s="1335"/>
      <c r="I646" s="1335"/>
      <c r="J646" s="1335"/>
      <c r="K646" s="1335"/>
      <c r="L646" s="1335"/>
      <c r="M646" s="1335"/>
      <c r="N646" s="1335"/>
      <c r="O646" s="1335"/>
      <c r="P646" s="1335"/>
      <c r="Q646" s="1335"/>
      <c r="R646" s="1335"/>
      <c r="S646" s="7"/>
      <c r="T646" s="18"/>
      <c r="U646" t="s">
        <v>1473</v>
      </c>
      <c r="Z646" s="1385" t="s">
        <v>1515</v>
      </c>
      <c r="AA646" s="1385"/>
      <c r="AB646" s="1385"/>
      <c r="AC646" s="1385"/>
      <c r="AD646" s="1385"/>
      <c r="AE646" s="1385"/>
      <c r="AF646" s="1385"/>
      <c r="AG646" s="1385"/>
      <c r="AH646" s="1385"/>
      <c r="AI646" s="1385"/>
      <c r="AJ646" s="1385"/>
      <c r="AK646" s="1385"/>
      <c r="AZ646" s="2"/>
      <c r="BA646" s="2"/>
      <c r="BB646" s="2"/>
      <c r="BC646" s="2"/>
      <c r="BD646" s="2"/>
      <c r="BE646" s="2"/>
      <c r="BF646" s="2"/>
      <c r="BG646" s="2"/>
      <c r="BH646" s="2"/>
      <c r="BI646" s="2"/>
      <c r="BJ646" s="2"/>
      <c r="BK646" s="2"/>
      <c r="BL646" s="2"/>
      <c r="BM646" s="2"/>
      <c r="BN646" s="1414">
        <f t="shared" si="30"/>
        <v>0</v>
      </c>
      <c r="BO646" s="1415"/>
      <c r="BP646" s="1415"/>
      <c r="BQ646" s="1415"/>
      <c r="BR646" s="1416"/>
      <c r="BS646" s="1413">
        <f t="shared" si="31"/>
        <v>0</v>
      </c>
      <c r="BT646" s="1413"/>
      <c r="BU646" s="1413"/>
      <c r="BV646" s="1413"/>
      <c r="BW646" s="1413"/>
      <c r="BX646" s="1413">
        <f t="shared" si="32"/>
        <v>0</v>
      </c>
      <c r="BY646" s="1413"/>
      <c r="BZ646" s="1413"/>
      <c r="CA646" s="1413"/>
      <c r="CB646" s="1413"/>
      <c r="CC646" s="1413">
        <f t="shared" si="33"/>
        <v>0</v>
      </c>
      <c r="CD646" s="1413"/>
      <c r="CE646" s="1413"/>
      <c r="CF646" s="1413"/>
      <c r="CG646" s="1413"/>
      <c r="CH646" s="1413">
        <f t="shared" si="34"/>
        <v>0</v>
      </c>
      <c r="CI646" s="1413"/>
      <c r="CJ646" s="1413"/>
      <c r="CK646" s="1413"/>
      <c r="CL646" s="1413"/>
      <c r="CM646" s="1413">
        <f t="shared" si="35"/>
        <v>0</v>
      </c>
      <c r="CN646" s="1413"/>
      <c r="CO646" s="1413"/>
      <c r="CP646" s="1413"/>
      <c r="CQ646" s="1413"/>
      <c r="CR646" s="1148"/>
      <c r="CS646" s="1414">
        <f t="shared" si="36"/>
        <v>0</v>
      </c>
      <c r="CT646" s="1415"/>
      <c r="CU646" s="1415"/>
      <c r="CV646" s="1415"/>
      <c r="CW646" s="1416"/>
      <c r="CX646" s="1414">
        <f t="shared" si="37"/>
        <v>0</v>
      </c>
      <c r="CY646" s="1415"/>
      <c r="CZ646" s="1415"/>
      <c r="DA646" s="1415"/>
      <c r="DB646" s="1416"/>
      <c r="DC646" s="1414">
        <f t="shared" si="38"/>
        <v>0</v>
      </c>
      <c r="DD646" s="1415"/>
      <c r="DE646" s="1415"/>
      <c r="DF646" s="1415"/>
      <c r="DG646" s="1416"/>
      <c r="DH646" s="1414">
        <f t="shared" si="39"/>
        <v>0</v>
      </c>
      <c r="DI646" s="1415"/>
      <c r="DJ646" s="1415"/>
      <c r="DK646" s="1415"/>
      <c r="DL646" s="1416"/>
      <c r="DM646" s="1414">
        <f t="shared" si="40"/>
        <v>0</v>
      </c>
      <c r="DN646" s="1415"/>
      <c r="DO646" s="1415"/>
      <c r="DP646" s="1415"/>
      <c r="DQ646" s="1416"/>
      <c r="DR646" s="1414">
        <f t="shared" si="41"/>
        <v>0</v>
      </c>
      <c r="DS646" s="1415"/>
      <c r="DT646" s="1415"/>
      <c r="DU646" s="1415"/>
      <c r="DV646" s="1416"/>
      <c r="DX646" s="1409" t="e">
        <f t="shared" si="29"/>
        <v>#VALUE!</v>
      </c>
      <c r="DY646" s="1409"/>
      <c r="DZ646" s="1409"/>
      <c r="EA646" s="1409"/>
      <c r="EB646" s="1409"/>
      <c r="EC646" s="1409" t="e">
        <f t="shared" si="24"/>
        <v>#VALUE!</v>
      </c>
      <c r="ED646" s="1409"/>
      <c r="EE646" s="1409"/>
      <c r="EF646" s="1409"/>
      <c r="EG646" s="1409"/>
      <c r="EH646" s="1409" t="e">
        <f t="shared" si="25"/>
        <v>#VALUE!</v>
      </c>
      <c r="EI646" s="1409"/>
      <c r="EJ646" s="1409"/>
      <c r="EK646" s="1409"/>
      <c r="EL646" s="1409"/>
      <c r="EM646" s="1409" t="e">
        <f t="shared" si="26"/>
        <v>#VALUE!</v>
      </c>
      <c r="EN646" s="1409"/>
      <c r="EO646" s="1409"/>
      <c r="EP646" s="1409"/>
      <c r="EQ646" s="1409"/>
      <c r="ER646" s="1409" t="e">
        <f t="shared" si="27"/>
        <v>#VALUE!</v>
      </c>
      <c r="ES646" s="1409"/>
      <c r="ET646" s="1409"/>
      <c r="EU646" s="1409"/>
      <c r="EV646" s="1409"/>
      <c r="EW646" s="1409" t="e">
        <f t="shared" si="28"/>
        <v>#VALUE!</v>
      </c>
      <c r="EX646" s="1409"/>
      <c r="EY646" s="1409"/>
      <c r="EZ646" s="1409"/>
      <c r="FA646" s="1409"/>
    </row>
    <row r="647" spans="1:157" ht="13" customHeight="1">
      <c r="A647" s="18"/>
      <c r="B647" t="s">
        <v>884</v>
      </c>
      <c r="G647" s="1417" t="s">
        <v>1475</v>
      </c>
      <c r="H647" s="1417"/>
      <c r="I647" s="1417"/>
      <c r="J647" s="1417"/>
      <c r="K647" s="1417"/>
      <c r="L647" s="1417"/>
      <c r="O647" s="840" t="s">
        <v>1121</v>
      </c>
      <c r="P647" s="1394"/>
      <c r="Q647" s="1394"/>
      <c r="R647" s="1394"/>
      <c r="S647" s="9"/>
      <c r="T647" s="18"/>
      <c r="U647" t="s">
        <v>884</v>
      </c>
      <c r="Z647" s="1417" t="s">
        <v>1516</v>
      </c>
      <c r="AA647" s="1417"/>
      <c r="AB647" s="1417"/>
      <c r="AC647" s="1417"/>
      <c r="AD647" s="1417"/>
      <c r="AE647" s="1417"/>
      <c r="AH647" s="840" t="s">
        <v>1121</v>
      </c>
      <c r="AI647" s="1394"/>
      <c r="AJ647" s="1394"/>
      <c r="AK647" s="1394"/>
      <c r="AZ647" s="2"/>
      <c r="BA647" s="2"/>
      <c r="BB647" s="2"/>
      <c r="BC647" s="2"/>
      <c r="BD647" s="2"/>
      <c r="BE647" s="2"/>
      <c r="BF647" s="2"/>
      <c r="BG647" s="2"/>
      <c r="BH647" s="2"/>
      <c r="BI647" s="2"/>
      <c r="BJ647" s="2"/>
      <c r="BK647" s="2"/>
      <c r="BL647" s="2"/>
      <c r="BM647" s="2"/>
      <c r="BN647" s="1414">
        <f t="shared" si="30"/>
        <v>0</v>
      </c>
      <c r="BO647" s="1415"/>
      <c r="BP647" s="1415"/>
      <c r="BQ647" s="1415"/>
      <c r="BR647" s="1416"/>
      <c r="BS647" s="1413">
        <f t="shared" si="31"/>
        <v>0</v>
      </c>
      <c r="BT647" s="1413"/>
      <c r="BU647" s="1413"/>
      <c r="BV647" s="1413"/>
      <c r="BW647" s="1413"/>
      <c r="BX647" s="1413">
        <f t="shared" si="32"/>
        <v>0</v>
      </c>
      <c r="BY647" s="1413"/>
      <c r="BZ647" s="1413"/>
      <c r="CA647" s="1413"/>
      <c r="CB647" s="1413"/>
      <c r="CC647" s="1413">
        <f t="shared" si="33"/>
        <v>0</v>
      </c>
      <c r="CD647" s="1413"/>
      <c r="CE647" s="1413"/>
      <c r="CF647" s="1413"/>
      <c r="CG647" s="1413"/>
      <c r="CH647" s="1413">
        <f t="shared" si="34"/>
        <v>0</v>
      </c>
      <c r="CI647" s="1413"/>
      <c r="CJ647" s="1413"/>
      <c r="CK647" s="1413"/>
      <c r="CL647" s="1413"/>
      <c r="CM647" s="1413">
        <f t="shared" si="35"/>
        <v>0</v>
      </c>
      <c r="CN647" s="1413"/>
      <c r="CO647" s="1413"/>
      <c r="CP647" s="1413"/>
      <c r="CQ647" s="1413"/>
      <c r="CR647" s="1148"/>
      <c r="CS647" s="1414">
        <f t="shared" si="36"/>
        <v>0</v>
      </c>
      <c r="CT647" s="1415"/>
      <c r="CU647" s="1415"/>
      <c r="CV647" s="1415"/>
      <c r="CW647" s="1416"/>
      <c r="CX647" s="1414">
        <f t="shared" si="37"/>
        <v>0</v>
      </c>
      <c r="CY647" s="1415"/>
      <c r="CZ647" s="1415"/>
      <c r="DA647" s="1415"/>
      <c r="DB647" s="1416"/>
      <c r="DC647" s="1414">
        <f t="shared" si="38"/>
        <v>0</v>
      </c>
      <c r="DD647" s="1415"/>
      <c r="DE647" s="1415"/>
      <c r="DF647" s="1415"/>
      <c r="DG647" s="1416"/>
      <c r="DH647" s="1414">
        <f t="shared" si="39"/>
        <v>0</v>
      </c>
      <c r="DI647" s="1415"/>
      <c r="DJ647" s="1415"/>
      <c r="DK647" s="1415"/>
      <c r="DL647" s="1416"/>
      <c r="DM647" s="1414">
        <f t="shared" si="40"/>
        <v>0</v>
      </c>
      <c r="DN647" s="1415"/>
      <c r="DO647" s="1415"/>
      <c r="DP647" s="1415"/>
      <c r="DQ647" s="1416"/>
      <c r="DR647" s="1414">
        <f t="shared" si="41"/>
        <v>0</v>
      </c>
      <c r="DS647" s="1415"/>
      <c r="DT647" s="1415"/>
      <c r="DU647" s="1415"/>
      <c r="DV647" s="1416"/>
      <c r="DX647" s="1409" t="e">
        <f t="shared" si="29"/>
        <v>#VALUE!</v>
      </c>
      <c r="DY647" s="1409"/>
      <c r="DZ647" s="1409"/>
      <c r="EA647" s="1409"/>
      <c r="EB647" s="1409"/>
      <c r="EC647" s="1409" t="e">
        <f t="shared" si="24"/>
        <v>#VALUE!</v>
      </c>
      <c r="ED647" s="1409"/>
      <c r="EE647" s="1409"/>
      <c r="EF647" s="1409"/>
      <c r="EG647" s="1409"/>
      <c r="EH647" s="1409" t="e">
        <f t="shared" si="25"/>
        <v>#VALUE!</v>
      </c>
      <c r="EI647" s="1409"/>
      <c r="EJ647" s="1409"/>
      <c r="EK647" s="1409"/>
      <c r="EL647" s="1409"/>
      <c r="EM647" s="1409" t="e">
        <f t="shared" si="26"/>
        <v>#VALUE!</v>
      </c>
      <c r="EN647" s="1409"/>
      <c r="EO647" s="1409"/>
      <c r="EP647" s="1409"/>
      <c r="EQ647" s="1409"/>
      <c r="ER647" s="1409" t="e">
        <f t="shared" si="27"/>
        <v>#VALUE!</v>
      </c>
      <c r="ES647" s="1409"/>
      <c r="ET647" s="1409"/>
      <c r="EU647" s="1409"/>
      <c r="EV647" s="1409"/>
      <c r="EW647" s="1409" t="e">
        <f t="shared" si="28"/>
        <v>#VALUE!</v>
      </c>
      <c r="EX647" s="1409"/>
      <c r="EY647" s="1409"/>
      <c r="EZ647" s="1409"/>
      <c r="FA647" s="1409"/>
    </row>
    <row r="648" spans="1:157" ht="13" customHeight="1">
      <c r="A648" s="18"/>
      <c r="B648" t="s">
        <v>1476</v>
      </c>
      <c r="H648" s="1335" t="s">
        <v>1484</v>
      </c>
      <c r="I648" s="1335"/>
      <c r="J648" s="1335"/>
      <c r="K648" s="1335"/>
      <c r="L648" s="1335"/>
      <c r="M648" s="1335"/>
      <c r="N648" s="1335"/>
      <c r="O648" s="1335"/>
      <c r="P648" s="1335"/>
      <c r="Q648" s="1335"/>
      <c r="R648" s="1335"/>
      <c r="S648" s="7"/>
      <c r="T648" s="18"/>
      <c r="U648" t="s">
        <v>1476</v>
      </c>
      <c r="AA648" s="1335" t="s">
        <v>1517</v>
      </c>
      <c r="AB648" s="1335"/>
      <c r="AC648" s="1335"/>
      <c r="AD648" s="1335"/>
      <c r="AE648" s="1335"/>
      <c r="AF648" s="1335"/>
      <c r="AG648" s="1335"/>
      <c r="AH648" s="1335"/>
      <c r="AI648" s="1335"/>
      <c r="AJ648" s="1335"/>
      <c r="AK648" s="1335"/>
      <c r="AZ648" s="2"/>
      <c r="BA648" s="2"/>
      <c r="BB648" s="2"/>
      <c r="BC648" s="2"/>
      <c r="BD648" s="2"/>
      <c r="BE648" s="2"/>
      <c r="BF648" s="2"/>
      <c r="BG648" s="2"/>
      <c r="BH648" s="2"/>
      <c r="BI648" s="2"/>
      <c r="BJ648" s="2"/>
      <c r="BK648" s="2"/>
      <c r="BL648" s="2"/>
      <c r="BM648" s="2"/>
      <c r="BN648" s="1414">
        <f t="shared" si="30"/>
        <v>0</v>
      </c>
      <c r="BO648" s="1415"/>
      <c r="BP648" s="1415"/>
      <c r="BQ648" s="1415"/>
      <c r="BR648" s="1416"/>
      <c r="BS648" s="1413">
        <f t="shared" si="31"/>
        <v>0</v>
      </c>
      <c r="BT648" s="1413"/>
      <c r="BU648" s="1413"/>
      <c r="BV648" s="1413"/>
      <c r="BW648" s="1413"/>
      <c r="BX648" s="1413">
        <f t="shared" si="32"/>
        <v>0</v>
      </c>
      <c r="BY648" s="1413"/>
      <c r="BZ648" s="1413"/>
      <c r="CA648" s="1413"/>
      <c r="CB648" s="1413"/>
      <c r="CC648" s="1413">
        <f t="shared" si="33"/>
        <v>0</v>
      </c>
      <c r="CD648" s="1413"/>
      <c r="CE648" s="1413"/>
      <c r="CF648" s="1413"/>
      <c r="CG648" s="1413"/>
      <c r="CH648" s="1413">
        <f t="shared" si="34"/>
        <v>0</v>
      </c>
      <c r="CI648" s="1413"/>
      <c r="CJ648" s="1413"/>
      <c r="CK648" s="1413"/>
      <c r="CL648" s="1413"/>
      <c r="CM648" s="1413">
        <f t="shared" si="35"/>
        <v>0</v>
      </c>
      <c r="CN648" s="1413"/>
      <c r="CO648" s="1413"/>
      <c r="CP648" s="1413"/>
      <c r="CQ648" s="1413"/>
      <c r="CR648" s="1148"/>
      <c r="CS648" s="1414">
        <f t="shared" si="36"/>
        <v>0</v>
      </c>
      <c r="CT648" s="1415"/>
      <c r="CU648" s="1415"/>
      <c r="CV648" s="1415"/>
      <c r="CW648" s="1416"/>
      <c r="CX648" s="1414">
        <f t="shared" si="37"/>
        <v>0</v>
      </c>
      <c r="CY648" s="1415"/>
      <c r="CZ648" s="1415"/>
      <c r="DA648" s="1415"/>
      <c r="DB648" s="1416"/>
      <c r="DC648" s="1414">
        <f t="shared" si="38"/>
        <v>0</v>
      </c>
      <c r="DD648" s="1415"/>
      <c r="DE648" s="1415"/>
      <c r="DF648" s="1415"/>
      <c r="DG648" s="1416"/>
      <c r="DH648" s="1414">
        <f t="shared" si="39"/>
        <v>0</v>
      </c>
      <c r="DI648" s="1415"/>
      <c r="DJ648" s="1415"/>
      <c r="DK648" s="1415"/>
      <c r="DL648" s="1416"/>
      <c r="DM648" s="1414">
        <f t="shared" si="40"/>
        <v>0</v>
      </c>
      <c r="DN648" s="1415"/>
      <c r="DO648" s="1415"/>
      <c r="DP648" s="1415"/>
      <c r="DQ648" s="1416"/>
      <c r="DR648" s="1414">
        <f t="shared" si="41"/>
        <v>0</v>
      </c>
      <c r="DS648" s="1415"/>
      <c r="DT648" s="1415"/>
      <c r="DU648" s="1415"/>
      <c r="DV648" s="1416"/>
      <c r="DX648" s="1409" t="e">
        <f t="shared" si="29"/>
        <v>#VALUE!</v>
      </c>
      <c r="DY648" s="1409"/>
      <c r="DZ648" s="1409"/>
      <c r="EA648" s="1409"/>
      <c r="EB648" s="1409"/>
      <c r="EC648" s="1409" t="e">
        <f t="shared" si="24"/>
        <v>#VALUE!</v>
      </c>
      <c r="ED648" s="1409"/>
      <c r="EE648" s="1409"/>
      <c r="EF648" s="1409"/>
      <c r="EG648" s="1409"/>
      <c r="EH648" s="1409" t="e">
        <f t="shared" si="25"/>
        <v>#VALUE!</v>
      </c>
      <c r="EI648" s="1409"/>
      <c r="EJ648" s="1409"/>
      <c r="EK648" s="1409"/>
      <c r="EL648" s="1409"/>
      <c r="EM648" s="1409" t="e">
        <f t="shared" si="26"/>
        <v>#VALUE!</v>
      </c>
      <c r="EN648" s="1409"/>
      <c r="EO648" s="1409"/>
      <c r="EP648" s="1409"/>
      <c r="EQ648" s="1409"/>
      <c r="ER648" s="1409" t="e">
        <f t="shared" si="27"/>
        <v>#VALUE!</v>
      </c>
      <c r="ES648" s="1409"/>
      <c r="ET648" s="1409"/>
      <c r="EU648" s="1409"/>
      <c r="EV648" s="1409"/>
      <c r="EW648" s="1409" t="e">
        <f t="shared" si="28"/>
        <v>#VALUE!</v>
      </c>
      <c r="EX648" s="1409"/>
      <c r="EY648" s="1409"/>
      <c r="EZ648" s="1409"/>
      <c r="FA648" s="1409"/>
    </row>
    <row r="649" spans="1:157" ht="13" customHeight="1">
      <c r="A649" s="18"/>
      <c r="B649" t="s">
        <v>1480</v>
      </c>
      <c r="N649" s="1381" t="s">
        <v>837</v>
      </c>
      <c r="O649" s="1381"/>
      <c r="T649" s="18"/>
      <c r="U649" t="s">
        <v>1480</v>
      </c>
      <c r="AG649" s="1381" t="s">
        <v>895</v>
      </c>
      <c r="AH649" s="1381"/>
      <c r="AZ649" s="2"/>
      <c r="BA649" s="2"/>
      <c r="BB649" s="2"/>
      <c r="BC649" s="2"/>
      <c r="BD649" s="2"/>
      <c r="BE649" s="2"/>
      <c r="BF649" s="2"/>
      <c r="BG649" s="2"/>
      <c r="BH649" s="2"/>
      <c r="BI649" s="2"/>
      <c r="BJ649" s="2"/>
      <c r="BK649" s="2"/>
      <c r="BL649" s="2"/>
      <c r="BM649" s="2"/>
      <c r="BN649" s="1414">
        <f t="shared" si="30"/>
        <v>0</v>
      </c>
      <c r="BO649" s="1415"/>
      <c r="BP649" s="1415"/>
      <c r="BQ649" s="1415"/>
      <c r="BR649" s="1416"/>
      <c r="BS649" s="1413">
        <f t="shared" si="31"/>
        <v>0</v>
      </c>
      <c r="BT649" s="1413"/>
      <c r="BU649" s="1413"/>
      <c r="BV649" s="1413"/>
      <c r="BW649" s="1413"/>
      <c r="BX649" s="1413">
        <f t="shared" si="32"/>
        <v>0</v>
      </c>
      <c r="BY649" s="1413"/>
      <c r="BZ649" s="1413"/>
      <c r="CA649" s="1413"/>
      <c r="CB649" s="1413"/>
      <c r="CC649" s="1413">
        <f t="shared" si="33"/>
        <v>0</v>
      </c>
      <c r="CD649" s="1413"/>
      <c r="CE649" s="1413"/>
      <c r="CF649" s="1413"/>
      <c r="CG649" s="1413"/>
      <c r="CH649" s="1413">
        <f t="shared" si="34"/>
        <v>0</v>
      </c>
      <c r="CI649" s="1413"/>
      <c r="CJ649" s="1413"/>
      <c r="CK649" s="1413"/>
      <c r="CL649" s="1413"/>
      <c r="CM649" s="1413">
        <f t="shared" si="35"/>
        <v>0</v>
      </c>
      <c r="CN649" s="1413"/>
      <c r="CO649" s="1413"/>
      <c r="CP649" s="1413"/>
      <c r="CQ649" s="1413"/>
      <c r="CR649" s="1148"/>
      <c r="CS649" s="1414">
        <f t="shared" si="36"/>
        <v>0</v>
      </c>
      <c r="CT649" s="1415"/>
      <c r="CU649" s="1415"/>
      <c r="CV649" s="1415"/>
      <c r="CW649" s="1416"/>
      <c r="CX649" s="1414">
        <f t="shared" si="37"/>
        <v>0</v>
      </c>
      <c r="CY649" s="1415"/>
      <c r="CZ649" s="1415"/>
      <c r="DA649" s="1415"/>
      <c r="DB649" s="1416"/>
      <c r="DC649" s="1414">
        <f t="shared" si="38"/>
        <v>0</v>
      </c>
      <c r="DD649" s="1415"/>
      <c r="DE649" s="1415"/>
      <c r="DF649" s="1415"/>
      <c r="DG649" s="1416"/>
      <c r="DH649" s="1414">
        <f t="shared" si="39"/>
        <v>0</v>
      </c>
      <c r="DI649" s="1415"/>
      <c r="DJ649" s="1415"/>
      <c r="DK649" s="1415"/>
      <c r="DL649" s="1416"/>
      <c r="DM649" s="1414">
        <f t="shared" si="40"/>
        <v>0</v>
      </c>
      <c r="DN649" s="1415"/>
      <c r="DO649" s="1415"/>
      <c r="DP649" s="1415"/>
      <c r="DQ649" s="1416"/>
      <c r="DR649" s="1414">
        <f t="shared" si="41"/>
        <v>0</v>
      </c>
      <c r="DS649" s="1415"/>
      <c r="DT649" s="1415"/>
      <c r="DU649" s="1415"/>
      <c r="DV649" s="1416"/>
      <c r="DX649" s="1409" t="e">
        <f t="shared" si="29"/>
        <v>#VALUE!</v>
      </c>
      <c r="DY649" s="1409"/>
      <c r="DZ649" s="1409"/>
      <c r="EA649" s="1409"/>
      <c r="EB649" s="1409"/>
      <c r="EC649" s="1409" t="e">
        <f t="shared" si="24"/>
        <v>#VALUE!</v>
      </c>
      <c r="ED649" s="1409"/>
      <c r="EE649" s="1409"/>
      <c r="EF649" s="1409"/>
      <c r="EG649" s="1409"/>
      <c r="EH649" s="1409" t="e">
        <f t="shared" si="25"/>
        <v>#VALUE!</v>
      </c>
      <c r="EI649" s="1409"/>
      <c r="EJ649" s="1409"/>
      <c r="EK649" s="1409"/>
      <c r="EL649" s="1409"/>
      <c r="EM649" s="1409" t="e">
        <f t="shared" si="26"/>
        <v>#VALUE!</v>
      </c>
      <c r="EN649" s="1409"/>
      <c r="EO649" s="1409"/>
      <c r="EP649" s="1409"/>
      <c r="EQ649" s="1409"/>
      <c r="ER649" s="1409" t="e">
        <f t="shared" si="27"/>
        <v>#VALUE!</v>
      </c>
      <c r="ES649" s="1409"/>
      <c r="ET649" s="1409"/>
      <c r="EU649" s="1409"/>
      <c r="EV649" s="1409"/>
      <c r="EW649" s="1409" t="e">
        <f t="shared" si="28"/>
        <v>#VALUE!</v>
      </c>
      <c r="EX649" s="1409"/>
      <c r="EY649" s="1409"/>
      <c r="EZ649" s="1409"/>
      <c r="FA649" s="1409"/>
    </row>
    <row r="650" spans="1:157" ht="13" customHeight="1">
      <c r="A650" s="18"/>
      <c r="T650" s="18"/>
      <c r="AZ650" s="2"/>
      <c r="BA650" s="2"/>
      <c r="BB650" s="2"/>
      <c r="BC650" s="2"/>
      <c r="BD650" s="2"/>
      <c r="BE650" s="2"/>
      <c r="BF650" s="2"/>
      <c r="BG650" s="2"/>
      <c r="BH650" s="2"/>
      <c r="BI650" s="2"/>
      <c r="BJ650" s="2"/>
      <c r="BK650" s="2"/>
      <c r="BL650" s="2"/>
      <c r="BM650" s="2"/>
      <c r="BN650" s="1414">
        <f t="shared" si="30"/>
        <v>0</v>
      </c>
      <c r="BO650" s="1415"/>
      <c r="BP650" s="1415"/>
      <c r="BQ650" s="1415"/>
      <c r="BR650" s="1416"/>
      <c r="BS650" s="1413">
        <f t="shared" si="31"/>
        <v>0</v>
      </c>
      <c r="BT650" s="1413"/>
      <c r="BU650" s="1413"/>
      <c r="BV650" s="1413"/>
      <c r="BW650" s="1413"/>
      <c r="BX650" s="1413">
        <f t="shared" si="32"/>
        <v>0</v>
      </c>
      <c r="BY650" s="1413"/>
      <c r="BZ650" s="1413"/>
      <c r="CA650" s="1413"/>
      <c r="CB650" s="1413"/>
      <c r="CC650" s="1413">
        <f t="shared" si="33"/>
        <v>0</v>
      </c>
      <c r="CD650" s="1413"/>
      <c r="CE650" s="1413"/>
      <c r="CF650" s="1413"/>
      <c r="CG650" s="1413"/>
      <c r="CH650" s="1413">
        <f t="shared" si="34"/>
        <v>0</v>
      </c>
      <c r="CI650" s="1413"/>
      <c r="CJ650" s="1413"/>
      <c r="CK650" s="1413"/>
      <c r="CL650" s="1413"/>
      <c r="CM650" s="1413">
        <f t="shared" si="35"/>
        <v>0</v>
      </c>
      <c r="CN650" s="1413"/>
      <c r="CO650" s="1413"/>
      <c r="CP650" s="1413"/>
      <c r="CQ650" s="1413"/>
      <c r="CR650" s="1148"/>
      <c r="CS650" s="1414">
        <f t="shared" si="36"/>
        <v>0</v>
      </c>
      <c r="CT650" s="1415"/>
      <c r="CU650" s="1415"/>
      <c r="CV650" s="1415"/>
      <c r="CW650" s="1416"/>
      <c r="CX650" s="1414">
        <f t="shared" si="37"/>
        <v>0</v>
      </c>
      <c r="CY650" s="1415"/>
      <c r="CZ650" s="1415"/>
      <c r="DA650" s="1415"/>
      <c r="DB650" s="1416"/>
      <c r="DC650" s="1414">
        <f t="shared" si="38"/>
        <v>0</v>
      </c>
      <c r="DD650" s="1415"/>
      <c r="DE650" s="1415"/>
      <c r="DF650" s="1415"/>
      <c r="DG650" s="1416"/>
      <c r="DH650" s="1414">
        <f t="shared" si="39"/>
        <v>0</v>
      </c>
      <c r="DI650" s="1415"/>
      <c r="DJ650" s="1415"/>
      <c r="DK650" s="1415"/>
      <c r="DL650" s="1416"/>
      <c r="DM650" s="1414">
        <f t="shared" si="40"/>
        <v>0</v>
      </c>
      <c r="DN650" s="1415"/>
      <c r="DO650" s="1415"/>
      <c r="DP650" s="1415"/>
      <c r="DQ650" s="1416"/>
      <c r="DR650" s="1414">
        <f t="shared" si="41"/>
        <v>0</v>
      </c>
      <c r="DS650" s="1415"/>
      <c r="DT650" s="1415"/>
      <c r="DU650" s="1415"/>
      <c r="DV650" s="1416"/>
      <c r="DX650" s="1409" t="e">
        <f t="shared" si="29"/>
        <v>#VALUE!</v>
      </c>
      <c r="DY650" s="1409"/>
      <c r="DZ650" s="1409"/>
      <c r="EA650" s="1409"/>
      <c r="EB650" s="1409"/>
      <c r="EC650" s="1409" t="e">
        <f t="shared" si="24"/>
        <v>#VALUE!</v>
      </c>
      <c r="ED650" s="1409"/>
      <c r="EE650" s="1409"/>
      <c r="EF650" s="1409"/>
      <c r="EG650" s="1409"/>
      <c r="EH650" s="1409" t="e">
        <f t="shared" si="25"/>
        <v>#VALUE!</v>
      </c>
      <c r="EI650" s="1409"/>
      <c r="EJ650" s="1409"/>
      <c r="EK650" s="1409"/>
      <c r="EL650" s="1409"/>
      <c r="EM650" s="1409" t="e">
        <f t="shared" si="26"/>
        <v>#VALUE!</v>
      </c>
      <c r="EN650" s="1409"/>
      <c r="EO650" s="1409"/>
      <c r="EP650" s="1409"/>
      <c r="EQ650" s="1409"/>
      <c r="ER650" s="1409" t="e">
        <f t="shared" si="27"/>
        <v>#VALUE!</v>
      </c>
      <c r="ES650" s="1409"/>
      <c r="ET650" s="1409"/>
      <c r="EU650" s="1409"/>
      <c r="EV650" s="1409"/>
      <c r="EW650" s="1409" t="e">
        <f t="shared" si="28"/>
        <v>#VALUE!</v>
      </c>
      <c r="EX650" s="1409"/>
      <c r="EY650" s="1409"/>
      <c r="EZ650" s="1409"/>
      <c r="FA650" s="1409"/>
    </row>
    <row r="651" spans="1:157" ht="13" customHeight="1">
      <c r="A651" s="37" t="s">
        <v>38</v>
      </c>
      <c r="B651" t="s">
        <v>1471</v>
      </c>
      <c r="G651" s="1395" t="str">
        <f>C629</f>
        <v>Deferred Developer Fee</v>
      </c>
      <c r="H651" s="1395"/>
      <c r="I651" s="1395"/>
      <c r="J651" s="1395"/>
      <c r="K651" s="1395"/>
      <c r="L651" s="1395"/>
      <c r="M651" s="1395"/>
      <c r="N651" s="1395"/>
      <c r="O651" s="1395"/>
      <c r="P651" s="1395"/>
      <c r="Q651" s="1395"/>
      <c r="R651" s="1395"/>
      <c r="T651" s="37" t="s">
        <v>81</v>
      </c>
      <c r="U651" t="s">
        <v>1471</v>
      </c>
      <c r="Z651" s="1395">
        <f>C630</f>
        <v>0</v>
      </c>
      <c r="AA651" s="1395"/>
      <c r="AB651" s="1395"/>
      <c r="AC651" s="1395"/>
      <c r="AD651" s="1395"/>
      <c r="AE651" s="1395"/>
      <c r="AF651" s="1395"/>
      <c r="AG651" s="1395"/>
      <c r="AH651" s="1395"/>
      <c r="AI651" s="1395"/>
      <c r="AJ651" s="1395"/>
      <c r="AK651" s="1395"/>
      <c r="AZ651" s="2"/>
      <c r="BA651" s="2"/>
      <c r="BB651" s="2"/>
      <c r="BC651" s="2"/>
      <c r="BD651" s="2"/>
      <c r="BE651" s="2"/>
      <c r="BF651" s="2"/>
      <c r="BG651" s="2"/>
      <c r="BH651" s="2"/>
      <c r="BI651" s="2"/>
      <c r="BJ651" s="2"/>
      <c r="BK651" s="2"/>
      <c r="BL651" s="2"/>
      <c r="BM651" s="2"/>
      <c r="BN651" s="1414">
        <f t="shared" si="30"/>
        <v>0</v>
      </c>
      <c r="BO651" s="1415"/>
      <c r="BP651" s="1415"/>
      <c r="BQ651" s="1415"/>
      <c r="BR651" s="1416"/>
      <c r="BS651" s="1413">
        <f t="shared" si="31"/>
        <v>0</v>
      </c>
      <c r="BT651" s="1413"/>
      <c r="BU651" s="1413"/>
      <c r="BV651" s="1413"/>
      <c r="BW651" s="1413"/>
      <c r="BX651" s="1413">
        <f t="shared" si="32"/>
        <v>0</v>
      </c>
      <c r="BY651" s="1413"/>
      <c r="BZ651" s="1413"/>
      <c r="CA651" s="1413"/>
      <c r="CB651" s="1413"/>
      <c r="CC651" s="1413">
        <f t="shared" si="33"/>
        <v>0</v>
      </c>
      <c r="CD651" s="1413"/>
      <c r="CE651" s="1413"/>
      <c r="CF651" s="1413"/>
      <c r="CG651" s="1413"/>
      <c r="CH651" s="1413">
        <f t="shared" si="34"/>
        <v>0</v>
      </c>
      <c r="CI651" s="1413"/>
      <c r="CJ651" s="1413"/>
      <c r="CK651" s="1413"/>
      <c r="CL651" s="1413"/>
      <c r="CM651" s="1413">
        <f t="shared" si="35"/>
        <v>0</v>
      </c>
      <c r="CN651" s="1413"/>
      <c r="CO651" s="1413"/>
      <c r="CP651" s="1413"/>
      <c r="CQ651" s="1413"/>
      <c r="CR651" s="1148"/>
      <c r="CS651" s="1414">
        <f t="shared" si="36"/>
        <v>0</v>
      </c>
      <c r="CT651" s="1415"/>
      <c r="CU651" s="1415"/>
      <c r="CV651" s="1415"/>
      <c r="CW651" s="1416"/>
      <c r="CX651" s="1414">
        <f t="shared" si="37"/>
        <v>0</v>
      </c>
      <c r="CY651" s="1415"/>
      <c r="CZ651" s="1415"/>
      <c r="DA651" s="1415"/>
      <c r="DB651" s="1416"/>
      <c r="DC651" s="1414">
        <f t="shared" si="38"/>
        <v>0</v>
      </c>
      <c r="DD651" s="1415"/>
      <c r="DE651" s="1415"/>
      <c r="DF651" s="1415"/>
      <c r="DG651" s="1416"/>
      <c r="DH651" s="1414">
        <f t="shared" si="39"/>
        <v>0</v>
      </c>
      <c r="DI651" s="1415"/>
      <c r="DJ651" s="1415"/>
      <c r="DK651" s="1415"/>
      <c r="DL651" s="1416"/>
      <c r="DM651" s="1414">
        <f t="shared" si="40"/>
        <v>0</v>
      </c>
      <c r="DN651" s="1415"/>
      <c r="DO651" s="1415"/>
      <c r="DP651" s="1415"/>
      <c r="DQ651" s="1416"/>
      <c r="DR651" s="1414">
        <f t="shared" si="41"/>
        <v>0</v>
      </c>
      <c r="DS651" s="1415"/>
      <c r="DT651" s="1415"/>
      <c r="DU651" s="1415"/>
      <c r="DV651" s="1416"/>
      <c r="DX651" s="1409" t="e">
        <f t="shared" si="29"/>
        <v>#VALUE!</v>
      </c>
      <c r="DY651" s="1409"/>
      <c r="DZ651" s="1409"/>
      <c r="EA651" s="1409"/>
      <c r="EB651" s="1409"/>
      <c r="EC651" s="1409" t="e">
        <f t="shared" si="24"/>
        <v>#VALUE!</v>
      </c>
      <c r="ED651" s="1409"/>
      <c r="EE651" s="1409"/>
      <c r="EF651" s="1409"/>
      <c r="EG651" s="1409"/>
      <c r="EH651" s="1409" t="e">
        <f t="shared" si="25"/>
        <v>#VALUE!</v>
      </c>
      <c r="EI651" s="1409"/>
      <c r="EJ651" s="1409"/>
      <c r="EK651" s="1409"/>
      <c r="EL651" s="1409"/>
      <c r="EM651" s="1409" t="e">
        <f t="shared" si="26"/>
        <v>#VALUE!</v>
      </c>
      <c r="EN651" s="1409"/>
      <c r="EO651" s="1409"/>
      <c r="EP651" s="1409"/>
      <c r="EQ651" s="1409"/>
      <c r="ER651" s="1409" t="e">
        <f t="shared" si="27"/>
        <v>#VALUE!</v>
      </c>
      <c r="ES651" s="1409"/>
      <c r="ET651" s="1409"/>
      <c r="EU651" s="1409"/>
      <c r="EV651" s="1409"/>
      <c r="EW651" s="1409" t="e">
        <f t="shared" si="28"/>
        <v>#VALUE!</v>
      </c>
      <c r="EX651" s="1409"/>
      <c r="EY651" s="1409"/>
      <c r="EZ651" s="1409"/>
      <c r="FA651" s="1409"/>
    </row>
    <row r="652" spans="1:157" ht="13" customHeight="1">
      <c r="A652" s="18"/>
      <c r="B652" t="s">
        <v>1113</v>
      </c>
      <c r="G652" s="1335" t="s">
        <v>1482</v>
      </c>
      <c r="H652" s="1335"/>
      <c r="I652" s="1335"/>
      <c r="J652" s="1335"/>
      <c r="K652" s="1335"/>
      <c r="L652" s="1335"/>
      <c r="M652" s="1335"/>
      <c r="N652" s="1335"/>
      <c r="O652" s="1335"/>
      <c r="P652" s="1335"/>
      <c r="Q652" s="1335"/>
      <c r="R652" s="1335"/>
      <c r="T652" s="18"/>
      <c r="U652" t="s">
        <v>1113</v>
      </c>
      <c r="Z652" s="1335"/>
      <c r="AA652" s="1335"/>
      <c r="AB652" s="1335"/>
      <c r="AC652" s="1335"/>
      <c r="AD652" s="1335"/>
      <c r="AE652" s="1335"/>
      <c r="AF652" s="1335"/>
      <c r="AG652" s="1335"/>
      <c r="AH652" s="1335"/>
      <c r="AI652" s="1335"/>
      <c r="AJ652" s="1335"/>
      <c r="AK652" s="1335"/>
      <c r="AZ652" s="2"/>
      <c r="BA652" s="2"/>
      <c r="BB652" s="2"/>
      <c r="BC652" s="2"/>
      <c r="BD652" s="2"/>
      <c r="BE652" s="2"/>
      <c r="BF652" s="2"/>
      <c r="BG652" s="2"/>
      <c r="BH652" s="2"/>
      <c r="BI652" s="2"/>
      <c r="BJ652" s="2"/>
      <c r="BK652" s="2"/>
      <c r="BL652" s="2"/>
      <c r="BM652" s="2"/>
      <c r="BN652" s="1414">
        <f t="shared" si="30"/>
        <v>0</v>
      </c>
      <c r="BO652" s="1415"/>
      <c r="BP652" s="1415"/>
      <c r="BQ652" s="1415"/>
      <c r="BR652" s="1416"/>
      <c r="BS652" s="1413">
        <f t="shared" si="31"/>
        <v>0</v>
      </c>
      <c r="BT652" s="1413"/>
      <c r="BU652" s="1413"/>
      <c r="BV652" s="1413"/>
      <c r="BW652" s="1413"/>
      <c r="BX652" s="1413">
        <f t="shared" si="32"/>
        <v>0</v>
      </c>
      <c r="BY652" s="1413"/>
      <c r="BZ652" s="1413"/>
      <c r="CA652" s="1413"/>
      <c r="CB652" s="1413"/>
      <c r="CC652" s="1413">
        <f t="shared" si="33"/>
        <v>0</v>
      </c>
      <c r="CD652" s="1413"/>
      <c r="CE652" s="1413"/>
      <c r="CF652" s="1413"/>
      <c r="CG652" s="1413"/>
      <c r="CH652" s="1413">
        <f t="shared" si="34"/>
        <v>0</v>
      </c>
      <c r="CI652" s="1413"/>
      <c r="CJ652" s="1413"/>
      <c r="CK652" s="1413"/>
      <c r="CL652" s="1413"/>
      <c r="CM652" s="1413">
        <f t="shared" si="35"/>
        <v>0</v>
      </c>
      <c r="CN652" s="1413"/>
      <c r="CO652" s="1413"/>
      <c r="CP652" s="1413"/>
      <c r="CQ652" s="1413"/>
      <c r="CR652" s="1148"/>
      <c r="CS652" s="1414">
        <f t="shared" si="36"/>
        <v>0</v>
      </c>
      <c r="CT652" s="1415"/>
      <c r="CU652" s="1415"/>
      <c r="CV652" s="1415"/>
      <c r="CW652" s="1416"/>
      <c r="CX652" s="1414">
        <f t="shared" si="37"/>
        <v>0</v>
      </c>
      <c r="CY652" s="1415"/>
      <c r="CZ652" s="1415"/>
      <c r="DA652" s="1415"/>
      <c r="DB652" s="1416"/>
      <c r="DC652" s="1414">
        <f t="shared" si="38"/>
        <v>0</v>
      </c>
      <c r="DD652" s="1415"/>
      <c r="DE652" s="1415"/>
      <c r="DF652" s="1415"/>
      <c r="DG652" s="1416"/>
      <c r="DH652" s="1414">
        <f t="shared" si="39"/>
        <v>0</v>
      </c>
      <c r="DI652" s="1415"/>
      <c r="DJ652" s="1415"/>
      <c r="DK652" s="1415"/>
      <c r="DL652" s="1416"/>
      <c r="DM652" s="1414">
        <f t="shared" si="40"/>
        <v>0</v>
      </c>
      <c r="DN652" s="1415"/>
      <c r="DO652" s="1415"/>
      <c r="DP652" s="1415"/>
      <c r="DQ652" s="1416"/>
      <c r="DR652" s="1414">
        <f t="shared" si="41"/>
        <v>0</v>
      </c>
      <c r="DS652" s="1415"/>
      <c r="DT652" s="1415"/>
      <c r="DU652" s="1415"/>
      <c r="DV652" s="1416"/>
      <c r="DX652" s="1409" t="e">
        <f t="shared" si="29"/>
        <v>#VALUE!</v>
      </c>
      <c r="DY652" s="1409"/>
      <c r="DZ652" s="1409"/>
      <c r="EA652" s="1409"/>
      <c r="EB652" s="1409"/>
      <c r="EC652" s="1409" t="e">
        <f t="shared" si="24"/>
        <v>#VALUE!</v>
      </c>
      <c r="ED652" s="1409"/>
      <c r="EE652" s="1409"/>
      <c r="EF652" s="1409"/>
      <c r="EG652" s="1409"/>
      <c r="EH652" s="1409" t="e">
        <f t="shared" si="25"/>
        <v>#VALUE!</v>
      </c>
      <c r="EI652" s="1409"/>
      <c r="EJ652" s="1409"/>
      <c r="EK652" s="1409"/>
      <c r="EL652" s="1409"/>
      <c r="EM652" s="1409" t="e">
        <f t="shared" si="26"/>
        <v>#VALUE!</v>
      </c>
      <c r="EN652" s="1409"/>
      <c r="EO652" s="1409"/>
      <c r="EP652" s="1409"/>
      <c r="EQ652" s="1409"/>
      <c r="ER652" s="1409" t="e">
        <f t="shared" si="27"/>
        <v>#VALUE!</v>
      </c>
      <c r="ES652" s="1409"/>
      <c r="ET652" s="1409"/>
      <c r="EU652" s="1409"/>
      <c r="EV652" s="1409"/>
      <c r="EW652" s="1409" t="e">
        <f t="shared" si="28"/>
        <v>#VALUE!</v>
      </c>
      <c r="EX652" s="1409"/>
      <c r="EY652" s="1409"/>
      <c r="EZ652" s="1409"/>
      <c r="FA652" s="1409"/>
    </row>
    <row r="653" spans="1:157" ht="13" customHeight="1">
      <c r="A653" s="18"/>
      <c r="B653" t="s">
        <v>982</v>
      </c>
      <c r="G653" s="1385" t="s">
        <v>1483</v>
      </c>
      <c r="H653" s="1385"/>
      <c r="I653" s="1385"/>
      <c r="J653" s="1385"/>
      <c r="K653" s="1385"/>
      <c r="L653" s="1385"/>
      <c r="M653" s="1385"/>
      <c r="N653" s="1385"/>
      <c r="O653" s="1385"/>
      <c r="P653" s="1385"/>
      <c r="Q653" s="1385"/>
      <c r="R653" s="1385"/>
      <c r="T653" s="18"/>
      <c r="U653" t="s">
        <v>982</v>
      </c>
      <c r="Z653" s="1385"/>
      <c r="AA653" s="1385"/>
      <c r="AB653" s="1385"/>
      <c r="AC653" s="1385"/>
      <c r="AD653" s="1385"/>
      <c r="AE653" s="1385"/>
      <c r="AF653" s="1385"/>
      <c r="AG653" s="1385"/>
      <c r="AH653" s="1385"/>
      <c r="AI653" s="1385"/>
      <c r="AJ653" s="1385"/>
      <c r="AK653" s="1385"/>
      <c r="AZ653" s="2"/>
      <c r="BA653" s="2"/>
      <c r="BB653" s="2"/>
      <c r="BC653" s="2"/>
      <c r="BD653" s="2"/>
      <c r="BE653" s="2"/>
      <c r="BF653" s="2"/>
      <c r="BG653" s="2"/>
      <c r="BH653" s="2"/>
      <c r="BI653" s="2"/>
      <c r="BJ653" s="2"/>
      <c r="BK653" s="2"/>
      <c r="BL653" s="2"/>
      <c r="BM653" s="2"/>
      <c r="BN653" s="1414">
        <f t="shared" si="30"/>
        <v>0</v>
      </c>
      <c r="BO653" s="1415"/>
      <c r="BP653" s="1415"/>
      <c r="BQ653" s="1415"/>
      <c r="BR653" s="1416"/>
      <c r="BS653" s="1413">
        <f t="shared" si="31"/>
        <v>0</v>
      </c>
      <c r="BT653" s="1413"/>
      <c r="BU653" s="1413"/>
      <c r="BV653" s="1413"/>
      <c r="BW653" s="1413"/>
      <c r="BX653" s="1413">
        <f t="shared" si="32"/>
        <v>0</v>
      </c>
      <c r="BY653" s="1413"/>
      <c r="BZ653" s="1413"/>
      <c r="CA653" s="1413"/>
      <c r="CB653" s="1413"/>
      <c r="CC653" s="1413">
        <f t="shared" si="33"/>
        <v>0</v>
      </c>
      <c r="CD653" s="1413"/>
      <c r="CE653" s="1413"/>
      <c r="CF653" s="1413"/>
      <c r="CG653" s="1413"/>
      <c r="CH653" s="1413">
        <f t="shared" si="34"/>
        <v>0</v>
      </c>
      <c r="CI653" s="1413"/>
      <c r="CJ653" s="1413"/>
      <c r="CK653" s="1413"/>
      <c r="CL653" s="1413"/>
      <c r="CM653" s="1413">
        <f t="shared" si="35"/>
        <v>0</v>
      </c>
      <c r="CN653" s="1413"/>
      <c r="CO653" s="1413"/>
      <c r="CP653" s="1413"/>
      <c r="CQ653" s="1413"/>
      <c r="CR653" s="1148"/>
      <c r="CS653" s="1414">
        <f t="shared" si="36"/>
        <v>0</v>
      </c>
      <c r="CT653" s="1415"/>
      <c r="CU653" s="1415"/>
      <c r="CV653" s="1415"/>
      <c r="CW653" s="1416"/>
      <c r="CX653" s="1414">
        <f t="shared" si="37"/>
        <v>0</v>
      </c>
      <c r="CY653" s="1415"/>
      <c r="CZ653" s="1415"/>
      <c r="DA653" s="1415"/>
      <c r="DB653" s="1416"/>
      <c r="DC653" s="1414">
        <f t="shared" si="38"/>
        <v>0</v>
      </c>
      <c r="DD653" s="1415"/>
      <c r="DE653" s="1415"/>
      <c r="DF653" s="1415"/>
      <c r="DG653" s="1416"/>
      <c r="DH653" s="1414">
        <f t="shared" si="39"/>
        <v>0</v>
      </c>
      <c r="DI653" s="1415"/>
      <c r="DJ653" s="1415"/>
      <c r="DK653" s="1415"/>
      <c r="DL653" s="1416"/>
      <c r="DM653" s="1414">
        <f t="shared" si="40"/>
        <v>0</v>
      </c>
      <c r="DN653" s="1415"/>
      <c r="DO653" s="1415"/>
      <c r="DP653" s="1415"/>
      <c r="DQ653" s="1416"/>
      <c r="DR653" s="1414">
        <f t="shared" si="41"/>
        <v>0</v>
      </c>
      <c r="DS653" s="1415"/>
      <c r="DT653" s="1415"/>
      <c r="DU653" s="1415"/>
      <c r="DV653" s="1416"/>
      <c r="DX653" s="1409" t="e">
        <f t="shared" si="29"/>
        <v>#VALUE!</v>
      </c>
      <c r="DY653" s="1409"/>
      <c r="DZ653" s="1409"/>
      <c r="EA653" s="1409"/>
      <c r="EB653" s="1409"/>
      <c r="EC653" s="1409" t="e">
        <f t="shared" si="24"/>
        <v>#VALUE!</v>
      </c>
      <c r="ED653" s="1409"/>
      <c r="EE653" s="1409"/>
      <c r="EF653" s="1409"/>
      <c r="EG653" s="1409"/>
      <c r="EH653" s="1409" t="e">
        <f t="shared" si="25"/>
        <v>#VALUE!</v>
      </c>
      <c r="EI653" s="1409"/>
      <c r="EJ653" s="1409"/>
      <c r="EK653" s="1409"/>
      <c r="EL653" s="1409"/>
      <c r="EM653" s="1409" t="e">
        <f t="shared" si="26"/>
        <v>#VALUE!</v>
      </c>
      <c r="EN653" s="1409"/>
      <c r="EO653" s="1409"/>
      <c r="EP653" s="1409"/>
      <c r="EQ653" s="1409"/>
      <c r="ER653" s="1409" t="e">
        <f t="shared" si="27"/>
        <v>#VALUE!</v>
      </c>
      <c r="ES653" s="1409"/>
      <c r="ET653" s="1409"/>
      <c r="EU653" s="1409"/>
      <c r="EV653" s="1409"/>
      <c r="EW653" s="1409" t="e">
        <f t="shared" si="28"/>
        <v>#VALUE!</v>
      </c>
      <c r="EX653" s="1409"/>
      <c r="EY653" s="1409"/>
      <c r="EZ653" s="1409"/>
      <c r="FA653" s="1409"/>
    </row>
    <row r="654" spans="1:157" ht="13" customHeight="1">
      <c r="A654" s="18"/>
      <c r="B654" t="s">
        <v>1473</v>
      </c>
      <c r="G654" s="1385" t="s">
        <v>865</v>
      </c>
      <c r="H654" s="1385"/>
      <c r="I654" s="1385"/>
      <c r="J654" s="1385"/>
      <c r="K654" s="1385"/>
      <c r="L654" s="1385"/>
      <c r="M654" s="1385"/>
      <c r="N654" s="1385"/>
      <c r="O654" s="1385"/>
      <c r="P654" s="1385"/>
      <c r="Q654" s="1385"/>
      <c r="R654" s="1385"/>
      <c r="T654" s="18"/>
      <c r="U654" t="s">
        <v>1473</v>
      </c>
      <c r="Z654" s="1385"/>
      <c r="AA654" s="1385"/>
      <c r="AB654" s="1385"/>
      <c r="AC654" s="1385"/>
      <c r="AD654" s="1385"/>
      <c r="AE654" s="1385"/>
      <c r="AF654" s="1385"/>
      <c r="AG654" s="1385"/>
      <c r="AH654" s="1385"/>
      <c r="AI654" s="1385"/>
      <c r="AJ654" s="1385"/>
      <c r="AK654" s="1385"/>
      <c r="AZ654" s="2"/>
      <c r="BA654" s="2"/>
      <c r="BB654" s="2"/>
      <c r="BC654" s="2"/>
      <c r="BD654" s="2"/>
      <c r="BE654" s="2"/>
      <c r="BF654" s="2"/>
      <c r="BG654" s="2"/>
      <c r="BH654" s="2"/>
      <c r="BI654" s="2"/>
      <c r="BJ654" s="2"/>
      <c r="BK654" s="2"/>
      <c r="BL654" s="2"/>
      <c r="BM654" s="2"/>
      <c r="BN654" s="1414">
        <f t="shared" si="30"/>
        <v>0</v>
      </c>
      <c r="BO654" s="1415"/>
      <c r="BP654" s="1415"/>
      <c r="BQ654" s="1415"/>
      <c r="BR654" s="1416"/>
      <c r="BS654" s="1413">
        <f t="shared" si="31"/>
        <v>0</v>
      </c>
      <c r="BT654" s="1413"/>
      <c r="BU654" s="1413"/>
      <c r="BV654" s="1413"/>
      <c r="BW654" s="1413"/>
      <c r="BX654" s="1413">
        <f t="shared" si="32"/>
        <v>0</v>
      </c>
      <c r="BY654" s="1413"/>
      <c r="BZ654" s="1413"/>
      <c r="CA654" s="1413"/>
      <c r="CB654" s="1413"/>
      <c r="CC654" s="1413">
        <f t="shared" si="33"/>
        <v>0</v>
      </c>
      <c r="CD654" s="1413"/>
      <c r="CE654" s="1413"/>
      <c r="CF654" s="1413"/>
      <c r="CG654" s="1413"/>
      <c r="CH654" s="1413">
        <f t="shared" si="34"/>
        <v>0</v>
      </c>
      <c r="CI654" s="1413"/>
      <c r="CJ654" s="1413"/>
      <c r="CK654" s="1413"/>
      <c r="CL654" s="1413"/>
      <c r="CM654" s="1413">
        <f t="shared" si="35"/>
        <v>0</v>
      </c>
      <c r="CN654" s="1413"/>
      <c r="CO654" s="1413"/>
      <c r="CP654" s="1413"/>
      <c r="CQ654" s="1413"/>
      <c r="CR654" s="1148"/>
      <c r="CS654" s="1414">
        <f t="shared" si="36"/>
        <v>0</v>
      </c>
      <c r="CT654" s="1415"/>
      <c r="CU654" s="1415"/>
      <c r="CV654" s="1415"/>
      <c r="CW654" s="1416"/>
      <c r="CX654" s="1414">
        <f t="shared" si="37"/>
        <v>0</v>
      </c>
      <c r="CY654" s="1415"/>
      <c r="CZ654" s="1415"/>
      <c r="DA654" s="1415"/>
      <c r="DB654" s="1416"/>
      <c r="DC654" s="1414">
        <f t="shared" si="38"/>
        <v>0</v>
      </c>
      <c r="DD654" s="1415"/>
      <c r="DE654" s="1415"/>
      <c r="DF654" s="1415"/>
      <c r="DG654" s="1416"/>
      <c r="DH654" s="1414">
        <f t="shared" si="39"/>
        <v>0</v>
      </c>
      <c r="DI654" s="1415"/>
      <c r="DJ654" s="1415"/>
      <c r="DK654" s="1415"/>
      <c r="DL654" s="1416"/>
      <c r="DM654" s="1414">
        <f t="shared" si="40"/>
        <v>0</v>
      </c>
      <c r="DN654" s="1415"/>
      <c r="DO654" s="1415"/>
      <c r="DP654" s="1415"/>
      <c r="DQ654" s="1416"/>
      <c r="DR654" s="1414">
        <f t="shared" si="41"/>
        <v>0</v>
      </c>
      <c r="DS654" s="1415"/>
      <c r="DT654" s="1415"/>
      <c r="DU654" s="1415"/>
      <c r="DV654" s="1416"/>
      <c r="DX654" s="1409" t="e">
        <f t="shared" si="29"/>
        <v>#VALUE!</v>
      </c>
      <c r="DY654" s="1409"/>
      <c r="DZ654" s="1409"/>
      <c r="EA654" s="1409"/>
      <c r="EB654" s="1409"/>
      <c r="EC654" s="1409" t="e">
        <f t="shared" si="24"/>
        <v>#VALUE!</v>
      </c>
      <c r="ED654" s="1409"/>
      <c r="EE654" s="1409"/>
      <c r="EF654" s="1409"/>
      <c r="EG654" s="1409"/>
      <c r="EH654" s="1409" t="e">
        <f t="shared" si="25"/>
        <v>#VALUE!</v>
      </c>
      <c r="EI654" s="1409"/>
      <c r="EJ654" s="1409"/>
      <c r="EK654" s="1409"/>
      <c r="EL654" s="1409"/>
      <c r="EM654" s="1409" t="e">
        <f t="shared" si="26"/>
        <v>#VALUE!</v>
      </c>
      <c r="EN654" s="1409"/>
      <c r="EO654" s="1409"/>
      <c r="EP654" s="1409"/>
      <c r="EQ654" s="1409"/>
      <c r="ER654" s="1409" t="e">
        <f t="shared" si="27"/>
        <v>#VALUE!</v>
      </c>
      <c r="ES654" s="1409"/>
      <c r="ET654" s="1409"/>
      <c r="EU654" s="1409"/>
      <c r="EV654" s="1409"/>
      <c r="EW654" s="1409" t="e">
        <f t="shared" si="28"/>
        <v>#VALUE!</v>
      </c>
      <c r="EX654" s="1409"/>
      <c r="EY654" s="1409"/>
      <c r="EZ654" s="1409"/>
      <c r="FA654" s="1409"/>
    </row>
    <row r="655" spans="1:157" ht="13" customHeight="1">
      <c r="A655" s="18"/>
      <c r="B655" t="s">
        <v>884</v>
      </c>
      <c r="G655" s="1417" t="s">
        <v>1120</v>
      </c>
      <c r="H655" s="1417"/>
      <c r="I655" s="1417"/>
      <c r="J655" s="1417"/>
      <c r="K655" s="1417"/>
      <c r="L655" s="1417"/>
      <c r="O655" s="840" t="s">
        <v>1121</v>
      </c>
      <c r="P655" s="1394"/>
      <c r="Q655" s="1394"/>
      <c r="R655" s="1394"/>
      <c r="T655" s="18"/>
      <c r="U655" t="s">
        <v>884</v>
      </c>
      <c r="Z655" s="1417"/>
      <c r="AA655" s="1417"/>
      <c r="AB655" s="1417"/>
      <c r="AC655" s="1417"/>
      <c r="AD655" s="1417"/>
      <c r="AE655" s="1417"/>
      <c r="AH655" s="840" t="s">
        <v>1121</v>
      </c>
      <c r="AI655" s="1394"/>
      <c r="AJ655" s="1394"/>
      <c r="AK655" s="1394"/>
      <c r="AZ655" s="2"/>
      <c r="BA655" s="2"/>
      <c r="BB655" s="2"/>
      <c r="BC655" s="2"/>
      <c r="BD655" s="2"/>
      <c r="BE655" s="2"/>
      <c r="BF655" s="2"/>
      <c r="BG655" s="2"/>
      <c r="BH655" s="2"/>
      <c r="BI655" s="2"/>
      <c r="BJ655" s="2"/>
      <c r="BK655" s="2"/>
      <c r="BL655" s="2"/>
      <c r="BM655" s="2"/>
      <c r="BN655" s="1410">
        <f>SUM(BN645:BR654)</f>
        <v>0</v>
      </c>
      <c r="BO655" s="1411"/>
      <c r="BP655" s="1411"/>
      <c r="BQ655" s="1411"/>
      <c r="BR655" s="1412"/>
      <c r="BS655" s="1410">
        <f>SUM(BS645:BW654)</f>
        <v>0</v>
      </c>
      <c r="BT655" s="1411"/>
      <c r="BU655" s="1411"/>
      <c r="BV655" s="1411"/>
      <c r="BW655" s="1412"/>
      <c r="BX655" s="1410">
        <f>SUM(BX645:CB654)</f>
        <v>0</v>
      </c>
      <c r="BY655" s="1411"/>
      <c r="BZ655" s="1411"/>
      <c r="CA655" s="1411"/>
      <c r="CB655" s="1412"/>
      <c r="CC655" s="1410">
        <f>SUM(CC645:CG654)</f>
        <v>0</v>
      </c>
      <c r="CD655" s="1411"/>
      <c r="CE655" s="1411"/>
      <c r="CF655" s="1411"/>
      <c r="CG655" s="1412"/>
      <c r="CH655" s="1410">
        <f>SUM(CH645:CL654)</f>
        <v>0</v>
      </c>
      <c r="CI655" s="1411"/>
      <c r="CJ655" s="1411"/>
      <c r="CK655" s="1411"/>
      <c r="CL655" s="1412"/>
      <c r="CM655" s="1410">
        <f>SUM(CM645:CQ654)</f>
        <v>0</v>
      </c>
      <c r="CN655" s="1411"/>
      <c r="CO655" s="1411"/>
      <c r="CP655" s="1411"/>
      <c r="CQ655" s="1412"/>
      <c r="CR655" s="1148"/>
      <c r="CS655" s="1433">
        <f>SUM(CS645:CW654)</f>
        <v>0</v>
      </c>
      <c r="CT655" s="1433"/>
      <c r="CU655" s="1433"/>
      <c r="CV655" s="1433"/>
      <c r="CW655" s="1433"/>
      <c r="CX655" s="1433">
        <f>SUM(CX645:DB654)</f>
        <v>0</v>
      </c>
      <c r="CY655" s="1433"/>
      <c r="CZ655" s="1433"/>
      <c r="DA655" s="1433"/>
      <c r="DB655" s="1433"/>
      <c r="DC655" s="1433">
        <f>SUM(DC645:DG654)</f>
        <v>0</v>
      </c>
      <c r="DD655" s="1433"/>
      <c r="DE655" s="1433"/>
      <c r="DF655" s="1433"/>
      <c r="DG655" s="1433"/>
      <c r="DH655" s="1433">
        <f>SUM(DH645:DL654)</f>
        <v>0</v>
      </c>
      <c r="DI655" s="1433"/>
      <c r="DJ655" s="1433"/>
      <c r="DK655" s="1433"/>
      <c r="DL655" s="1433"/>
      <c r="DM655" s="1433">
        <f>SUM(DM645:DQ654)</f>
        <v>0</v>
      </c>
      <c r="DN655" s="1433"/>
      <c r="DO655" s="1433"/>
      <c r="DP655" s="1433"/>
      <c r="DQ655" s="1433"/>
      <c r="DR655" s="1433">
        <f>SUM(DR645:DV654)</f>
        <v>0</v>
      </c>
      <c r="DS655" s="1433"/>
      <c r="DT655" s="1433"/>
      <c r="DU655" s="1433"/>
      <c r="DV655" s="1433"/>
      <c r="DX655" s="1409" t="e">
        <f t="shared" si="29"/>
        <v>#VALUE!</v>
      </c>
      <c r="DY655" s="1409"/>
      <c r="DZ655" s="1409"/>
      <c r="EA655" s="1409"/>
      <c r="EB655" s="1409"/>
      <c r="EC655" s="1409" t="e">
        <f t="shared" si="24"/>
        <v>#VALUE!</v>
      </c>
      <c r="ED655" s="1409"/>
      <c r="EE655" s="1409"/>
      <c r="EF655" s="1409"/>
      <c r="EG655" s="1409"/>
      <c r="EH655" s="1409" t="e">
        <f t="shared" si="25"/>
        <v>#VALUE!</v>
      </c>
      <c r="EI655" s="1409"/>
      <c r="EJ655" s="1409"/>
      <c r="EK655" s="1409"/>
      <c r="EL655" s="1409"/>
      <c r="EM655" s="1409" t="e">
        <f t="shared" si="26"/>
        <v>#VALUE!</v>
      </c>
      <c r="EN655" s="1409"/>
      <c r="EO655" s="1409"/>
      <c r="EP655" s="1409"/>
      <c r="EQ655" s="1409"/>
      <c r="ER655" s="1409" t="e">
        <f t="shared" si="27"/>
        <v>#VALUE!</v>
      </c>
      <c r="ES655" s="1409"/>
      <c r="ET655" s="1409"/>
      <c r="EU655" s="1409"/>
      <c r="EV655" s="1409"/>
      <c r="EW655" s="1409" t="e">
        <f t="shared" si="28"/>
        <v>#VALUE!</v>
      </c>
      <c r="EX655" s="1409"/>
      <c r="EY655" s="1409"/>
      <c r="EZ655" s="1409"/>
      <c r="FA655" s="1409"/>
    </row>
    <row r="656" spans="1:157" ht="13" customHeight="1">
      <c r="A656" s="18"/>
      <c r="B656" t="s">
        <v>1476</v>
      </c>
      <c r="H656" s="1335" t="s">
        <v>1484</v>
      </c>
      <c r="I656" s="1335"/>
      <c r="J656" s="1335"/>
      <c r="K656" s="1335"/>
      <c r="L656" s="1335"/>
      <c r="M656" s="1335"/>
      <c r="N656" s="1335"/>
      <c r="O656" s="1335"/>
      <c r="P656" s="1335"/>
      <c r="Q656" s="1335"/>
      <c r="R656" s="1335"/>
      <c r="T656" s="18"/>
      <c r="U656" t="s">
        <v>1476</v>
      </c>
      <c r="AA656" s="1335"/>
      <c r="AB656" s="1335"/>
      <c r="AC656" s="1335"/>
      <c r="AD656" s="1335"/>
      <c r="AE656" s="1335"/>
      <c r="AF656" s="1335"/>
      <c r="AG656" s="1335"/>
      <c r="AH656" s="1335"/>
      <c r="AI656" s="1335"/>
      <c r="AJ656" s="1335"/>
      <c r="AK656" s="1335"/>
      <c r="AZ656" s="2"/>
      <c r="BA656" s="2"/>
      <c r="BB656" s="2"/>
      <c r="BC656" s="2"/>
      <c r="BD656" s="2"/>
      <c r="BE656" s="2"/>
      <c r="BF656" s="2"/>
      <c r="BG656" s="2"/>
      <c r="BH656" s="2"/>
      <c r="BI656" s="2"/>
      <c r="BJ656" s="2"/>
      <c r="BK656" s="2"/>
      <c r="BL656" s="2"/>
      <c r="BM656" s="2"/>
      <c r="BR656" s="703">
        <f>BN655*1</f>
        <v>0</v>
      </c>
      <c r="BS656" s="2"/>
      <c r="BT656" s="2"/>
      <c r="BU656" s="2"/>
      <c r="BV656" s="2"/>
      <c r="BW656" s="703">
        <f>BS655*1</f>
        <v>0</v>
      </c>
      <c r="BX656" s="2"/>
      <c r="BY656" s="2"/>
      <c r="BZ656" s="2"/>
      <c r="CA656" s="2"/>
      <c r="CB656" s="703">
        <f>BX655*2</f>
        <v>0</v>
      </c>
      <c r="CC656" s="2"/>
      <c r="CD656" s="2"/>
      <c r="CE656" s="2"/>
      <c r="CF656" s="2"/>
      <c r="CG656" s="703">
        <f>CC655*3</f>
        <v>0</v>
      </c>
      <c r="CH656" s="2"/>
      <c r="CI656" s="2"/>
      <c r="CJ656" s="2"/>
      <c r="CK656" s="2"/>
      <c r="CL656" s="703">
        <f>CH655*4</f>
        <v>0</v>
      </c>
      <c r="CM656" s="2"/>
      <c r="CN656" s="2"/>
      <c r="CO656" s="2"/>
      <c r="CP656" s="2"/>
      <c r="CQ656" s="703">
        <f>CM655*5</f>
        <v>0</v>
      </c>
      <c r="CR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X656" s="1409" t="e">
        <f t="shared" si="29"/>
        <v>#VALUE!</v>
      </c>
      <c r="DY656" s="1409"/>
      <c r="DZ656" s="1409"/>
      <c r="EA656" s="1409"/>
      <c r="EB656" s="1409"/>
      <c r="EC656" s="1409" t="e">
        <f t="shared" si="24"/>
        <v>#VALUE!</v>
      </c>
      <c r="ED656" s="1409"/>
      <c r="EE656" s="1409"/>
      <c r="EF656" s="1409"/>
      <c r="EG656" s="1409"/>
      <c r="EH656" s="1409" t="e">
        <f t="shared" si="25"/>
        <v>#VALUE!</v>
      </c>
      <c r="EI656" s="1409"/>
      <c r="EJ656" s="1409"/>
      <c r="EK656" s="1409"/>
      <c r="EL656" s="1409"/>
      <c r="EM656" s="1409" t="e">
        <f t="shared" si="26"/>
        <v>#VALUE!</v>
      </c>
      <c r="EN656" s="1409"/>
      <c r="EO656" s="1409"/>
      <c r="EP656" s="1409"/>
      <c r="EQ656" s="1409"/>
      <c r="ER656" s="1409" t="e">
        <f t="shared" si="27"/>
        <v>#VALUE!</v>
      </c>
      <c r="ES656" s="1409"/>
      <c r="ET656" s="1409"/>
      <c r="EU656" s="1409"/>
      <c r="EV656" s="1409"/>
      <c r="EW656" s="1409" t="e">
        <f t="shared" si="28"/>
        <v>#VALUE!</v>
      </c>
      <c r="EX656" s="1409"/>
      <c r="EY656" s="1409"/>
      <c r="EZ656" s="1409"/>
      <c r="FA656" s="1409"/>
    </row>
    <row r="657" spans="1:157" ht="13" customHeight="1">
      <c r="A657" s="18"/>
      <c r="B657" t="s">
        <v>1480</v>
      </c>
      <c r="N657" s="1381" t="s">
        <v>837</v>
      </c>
      <c r="O657" s="1381"/>
      <c r="T657" s="18"/>
      <c r="U657" t="s">
        <v>1480</v>
      </c>
      <c r="AG657" s="1381" t="s">
        <v>895</v>
      </c>
      <c r="AH657" s="1381"/>
      <c r="AZ657" s="2"/>
      <c r="BA657" s="2"/>
      <c r="BB657" s="2"/>
      <c r="BC657" s="2"/>
      <c r="BD657" s="2"/>
      <c r="BE657" s="2"/>
      <c r="BF657" s="2"/>
      <c r="BG657" s="2"/>
      <c r="BH657" s="2"/>
      <c r="BI657" s="2"/>
      <c r="BJ657" s="2"/>
      <c r="BK657" s="2"/>
      <c r="BL657" s="2"/>
      <c r="BM657" s="2"/>
      <c r="CR657" s="2"/>
      <c r="CS657" s="703">
        <f>BN655+BS655+BX655+CC655+CH655+CM655</f>
        <v>0</v>
      </c>
      <c r="CT657" s="1118" t="s">
        <v>1518</v>
      </c>
      <c r="CU657" s="2"/>
      <c r="CV657" s="2"/>
      <c r="CW657" s="2"/>
      <c r="CX657" s="2"/>
      <c r="CY657" s="2"/>
      <c r="CZ657" s="2"/>
      <c r="DA657" s="2"/>
      <c r="DB657" s="2"/>
      <c r="DC657" s="2"/>
      <c r="DD657" s="2"/>
      <c r="DE657" s="2"/>
      <c r="DF657" s="2"/>
      <c r="DQ657" s="38" t="s">
        <v>1519</v>
      </c>
      <c r="DR657" s="1409">
        <f>SUM(CS655:DV655)</f>
        <v>0</v>
      </c>
      <c r="DS657" s="1409"/>
      <c r="DT657" s="1409"/>
      <c r="DU657" s="1409"/>
      <c r="DV657" s="1409"/>
      <c r="DX657" s="1409" t="e">
        <f t="shared" si="29"/>
        <v>#VALUE!</v>
      </c>
      <c r="DY657" s="1409"/>
      <c r="DZ657" s="1409"/>
      <c r="EA657" s="1409"/>
      <c r="EB657" s="1409"/>
      <c r="EC657" s="1409" t="e">
        <f t="shared" si="24"/>
        <v>#VALUE!</v>
      </c>
      <c r="ED657" s="1409"/>
      <c r="EE657" s="1409"/>
      <c r="EF657" s="1409"/>
      <c r="EG657" s="1409"/>
      <c r="EH657" s="1409" t="e">
        <f t="shared" si="25"/>
        <v>#VALUE!</v>
      </c>
      <c r="EI657" s="1409"/>
      <c r="EJ657" s="1409"/>
      <c r="EK657" s="1409"/>
      <c r="EL657" s="1409"/>
      <c r="EM657" s="1409" t="e">
        <f t="shared" si="26"/>
        <v>#VALUE!</v>
      </c>
      <c r="EN657" s="1409"/>
      <c r="EO657" s="1409"/>
      <c r="EP657" s="1409"/>
      <c r="EQ657" s="1409"/>
      <c r="ER657" s="1409" t="e">
        <f t="shared" si="27"/>
        <v>#VALUE!</v>
      </c>
      <c r="ES657" s="1409"/>
      <c r="ET657" s="1409"/>
      <c r="EU657" s="1409"/>
      <c r="EV657" s="1409"/>
      <c r="EW657" s="1409" t="e">
        <f t="shared" si="28"/>
        <v>#VALUE!</v>
      </c>
      <c r="EX657" s="1409"/>
      <c r="EY657" s="1409"/>
      <c r="EZ657" s="1409"/>
      <c r="FA657" s="1409"/>
    </row>
    <row r="658" spans="1:157" ht="13" customHeight="1">
      <c r="A658" s="18"/>
      <c r="T658" s="18"/>
      <c r="AZ658" s="2"/>
      <c r="BA658" s="2"/>
      <c r="BB658" s="2"/>
      <c r="BC658" s="2"/>
      <c r="BD658" s="2"/>
      <c r="BE658" s="2"/>
      <c r="BF658" s="2"/>
      <c r="BG658" s="2"/>
      <c r="BH658" s="2"/>
      <c r="BI658" s="2"/>
      <c r="BJ658" s="2"/>
      <c r="BK658" s="2"/>
      <c r="BL658" s="2"/>
      <c r="BM658" s="2"/>
      <c r="CR658" s="2"/>
      <c r="CS658" s="703">
        <f>BR656+BW656+CB656+CG656+CL656+CQ656</f>
        <v>0</v>
      </c>
      <c r="CT658" s="1118" t="s">
        <v>1520</v>
      </c>
      <c r="CU658" s="2"/>
      <c r="CV658" s="2"/>
      <c r="CW658" s="2"/>
      <c r="CX658" s="2"/>
      <c r="CY658" s="2"/>
      <c r="CZ658" s="2"/>
      <c r="DA658" s="2"/>
      <c r="DB658" s="2"/>
      <c r="DC658" s="2"/>
      <c r="DD658" s="2"/>
      <c r="DE658" s="2"/>
      <c r="DF658" s="2"/>
      <c r="DX658" s="1409" t="e">
        <f t="shared" ref="DX658:DX667" si="42">DX620*(BN620/$BN$632)</f>
        <v>#VALUE!</v>
      </c>
      <c r="DY658" s="1409"/>
      <c r="DZ658" s="1409"/>
      <c r="EA658" s="1409"/>
      <c r="EB658" s="1409"/>
      <c r="EC658" s="1409" t="e">
        <f t="shared" ref="EC658:EC667" si="43">EC620*(BS620/$BS$632)</f>
        <v>#VALUE!</v>
      </c>
      <c r="ED658" s="1409"/>
      <c r="EE658" s="1409"/>
      <c r="EF658" s="1409"/>
      <c r="EG658" s="1409"/>
      <c r="EH658" s="1409" t="e">
        <f t="shared" ref="EH658:EH667" si="44">EH620*(BX620/$BX$632)</f>
        <v>#VALUE!</v>
      </c>
      <c r="EI658" s="1409"/>
      <c r="EJ658" s="1409"/>
      <c r="EK658" s="1409"/>
      <c r="EL658" s="1409"/>
      <c r="EM658" s="1409" t="e">
        <f t="shared" ref="EM658:EM667" si="45">EM620*(CC620/$CC$632)</f>
        <v>#VALUE!</v>
      </c>
      <c r="EN658" s="1409"/>
      <c r="EO658" s="1409"/>
      <c r="EP658" s="1409"/>
      <c r="EQ658" s="1409"/>
      <c r="ER658" s="1409" t="e">
        <f t="shared" ref="ER658:ER667" si="46">ER620*(CH620/$CH$632)</f>
        <v>#VALUE!</v>
      </c>
      <c r="ES658" s="1409"/>
      <c r="ET658" s="1409"/>
      <c r="EU658" s="1409"/>
      <c r="EV658" s="1409"/>
      <c r="EW658" s="1409" t="e">
        <f t="shared" ref="EW658:EW667" si="47">EW620*(CM620/$CM$632)</f>
        <v>#VALUE!</v>
      </c>
      <c r="EX658" s="1409"/>
      <c r="EY658" s="1409"/>
      <c r="EZ658" s="1409"/>
      <c r="FA658" s="1409"/>
    </row>
    <row r="659" spans="1:157" ht="13" customHeight="1">
      <c r="A659" s="37" t="s">
        <v>85</v>
      </c>
      <c r="B659" t="s">
        <v>1471</v>
      </c>
      <c r="G659" s="1395">
        <f>C631</f>
        <v>0</v>
      </c>
      <c r="H659" s="1395"/>
      <c r="I659" s="1395"/>
      <c r="J659" s="1395"/>
      <c r="K659" s="1395"/>
      <c r="L659" s="1395"/>
      <c r="M659" s="1395"/>
      <c r="N659" s="1395"/>
      <c r="O659" s="1395"/>
      <c r="P659" s="1395"/>
      <c r="Q659" s="1395"/>
      <c r="R659" s="1395"/>
      <c r="T659" s="37" t="s">
        <v>1463</v>
      </c>
      <c r="U659" t="s">
        <v>1471</v>
      </c>
      <c r="Z659" s="1395">
        <f>C632</f>
        <v>0</v>
      </c>
      <c r="AA659" s="1395"/>
      <c r="AB659" s="1395"/>
      <c r="AC659" s="1395"/>
      <c r="AD659" s="1395"/>
      <c r="AE659" s="1395"/>
      <c r="AF659" s="1395"/>
      <c r="AG659" s="1395"/>
      <c r="AH659" s="1395"/>
      <c r="AI659" s="1395"/>
      <c r="AJ659" s="1395"/>
      <c r="AK659" s="1395"/>
      <c r="AZ659" s="2"/>
      <c r="BA659" s="2"/>
      <c r="BB659" s="2"/>
      <c r="BC659" s="2"/>
      <c r="BD659" s="2"/>
      <c r="BE659" s="2"/>
      <c r="BF659" s="2"/>
      <c r="BG659" s="2"/>
      <c r="BH659" s="2"/>
      <c r="BI659" s="2"/>
      <c r="BJ659" s="2"/>
      <c r="BK659" s="2"/>
      <c r="BL659" s="2"/>
      <c r="BM659" s="2"/>
      <c r="BN659" s="2" t="s">
        <v>1521</v>
      </c>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V659" s="2"/>
      <c r="CW659" s="2"/>
      <c r="CX659" s="2"/>
      <c r="CY659" s="2"/>
      <c r="CZ659" s="2"/>
      <c r="DA659" s="2"/>
      <c r="DB659" s="2"/>
      <c r="DC659" s="2"/>
      <c r="DD659" s="2"/>
      <c r="DE659" s="2"/>
      <c r="DF659" s="2"/>
      <c r="DX659" s="1409" t="e">
        <f t="shared" si="42"/>
        <v>#VALUE!</v>
      </c>
      <c r="DY659" s="1409"/>
      <c r="DZ659" s="1409"/>
      <c r="EA659" s="1409"/>
      <c r="EB659" s="1409"/>
      <c r="EC659" s="1409" t="e">
        <f t="shared" si="43"/>
        <v>#VALUE!</v>
      </c>
      <c r="ED659" s="1409"/>
      <c r="EE659" s="1409"/>
      <c r="EF659" s="1409"/>
      <c r="EG659" s="1409"/>
      <c r="EH659" s="1409" t="e">
        <f t="shared" si="44"/>
        <v>#VALUE!</v>
      </c>
      <c r="EI659" s="1409"/>
      <c r="EJ659" s="1409"/>
      <c r="EK659" s="1409"/>
      <c r="EL659" s="1409"/>
      <c r="EM659" s="1409" t="e">
        <f t="shared" si="45"/>
        <v>#VALUE!</v>
      </c>
      <c r="EN659" s="1409"/>
      <c r="EO659" s="1409"/>
      <c r="EP659" s="1409"/>
      <c r="EQ659" s="1409"/>
      <c r="ER659" s="1409" t="e">
        <f t="shared" si="46"/>
        <v>#VALUE!</v>
      </c>
      <c r="ES659" s="1409"/>
      <c r="ET659" s="1409"/>
      <c r="EU659" s="1409"/>
      <c r="EV659" s="1409"/>
      <c r="EW659" s="1409" t="e">
        <f t="shared" si="47"/>
        <v>#VALUE!</v>
      </c>
      <c r="EX659" s="1409"/>
      <c r="EY659" s="1409"/>
      <c r="EZ659" s="1409"/>
      <c r="FA659" s="1409"/>
    </row>
    <row r="660" spans="1:157" ht="13" customHeight="1">
      <c r="A660" s="18"/>
      <c r="B660" t="s">
        <v>1113</v>
      </c>
      <c r="G660" s="1335"/>
      <c r="H660" s="1335"/>
      <c r="I660" s="1335"/>
      <c r="J660" s="1335"/>
      <c r="K660" s="1335"/>
      <c r="L660" s="1335"/>
      <c r="M660" s="1335"/>
      <c r="N660" s="1335"/>
      <c r="O660" s="1335"/>
      <c r="P660" s="1335"/>
      <c r="Q660" s="1335"/>
      <c r="R660" s="1335"/>
      <c r="T660" s="18"/>
      <c r="U660" t="s">
        <v>1113</v>
      </c>
      <c r="Z660" s="1335"/>
      <c r="AA660" s="1335"/>
      <c r="AB660" s="1335"/>
      <c r="AC660" s="1335"/>
      <c r="AD660" s="1335"/>
      <c r="AE660" s="1335"/>
      <c r="AF660" s="1335"/>
      <c r="AG660" s="1335"/>
      <c r="AH660" s="1335"/>
      <c r="AI660" s="1335"/>
      <c r="AJ660" s="1335"/>
      <c r="AK660" s="1335"/>
      <c r="AZ660" s="2"/>
      <c r="BA660" s="2"/>
      <c r="BB660" s="2"/>
      <c r="BC660" s="2"/>
      <c r="BD660" s="2"/>
      <c r="BE660" s="2"/>
      <c r="BF660" s="2"/>
      <c r="BG660" s="2"/>
      <c r="BH660" s="2"/>
      <c r="BI660" s="2"/>
      <c r="BJ660" s="2"/>
      <c r="BK660" s="2"/>
      <c r="BL660" s="2"/>
      <c r="BM660" s="2"/>
      <c r="BN660" s="1410">
        <f>BN632+BN641+BN655</f>
        <v>0</v>
      </c>
      <c r="BO660" s="1411"/>
      <c r="BP660" s="1411"/>
      <c r="BQ660" s="1411"/>
      <c r="BR660" s="1412"/>
      <c r="BS660" s="1410">
        <f>BS632+BS641+BS655</f>
        <v>6</v>
      </c>
      <c r="BT660" s="1411"/>
      <c r="BU660" s="1411"/>
      <c r="BV660" s="1411"/>
      <c r="BW660" s="1412"/>
      <c r="BX660" s="1410">
        <f>BX632+BX641+BX655</f>
        <v>24</v>
      </c>
      <c r="BY660" s="1411"/>
      <c r="BZ660" s="1411"/>
      <c r="CA660" s="1411"/>
      <c r="CB660" s="1412"/>
      <c r="CC660" s="1410">
        <f>CC632+CC641+CC655</f>
        <v>23</v>
      </c>
      <c r="CD660" s="1411"/>
      <c r="CE660" s="1411"/>
      <c r="CF660" s="1411"/>
      <c r="CG660" s="1412"/>
      <c r="CH660" s="1410">
        <f>CH632+CH641+CH655</f>
        <v>0</v>
      </c>
      <c r="CI660" s="1411"/>
      <c r="CJ660" s="1411"/>
      <c r="CK660" s="1411"/>
      <c r="CL660" s="1412"/>
      <c r="CM660" s="1410">
        <f>CM655+CM641+CM632</f>
        <v>0</v>
      </c>
      <c r="CN660" s="1411"/>
      <c r="CO660" s="1411"/>
      <c r="CP660" s="1411"/>
      <c r="CQ660" s="1412"/>
      <c r="CR660" s="2"/>
      <c r="CS660" s="703">
        <f>CS634+CS658</f>
        <v>120</v>
      </c>
      <c r="CT660" s="1118" t="s">
        <v>1522</v>
      </c>
      <c r="CU660" s="2"/>
      <c r="CV660" s="2"/>
      <c r="CW660" s="2"/>
      <c r="CX660" s="2"/>
      <c r="CY660" s="2"/>
      <c r="CZ660" s="2"/>
      <c r="DA660" s="2"/>
      <c r="DB660" s="2"/>
      <c r="DC660" s="2"/>
      <c r="DD660" s="2"/>
      <c r="DE660" s="2"/>
      <c r="DF660" s="2"/>
      <c r="DX660" s="1409" t="e">
        <f t="shared" si="42"/>
        <v>#VALUE!</v>
      </c>
      <c r="DY660" s="1409"/>
      <c r="DZ660" s="1409"/>
      <c r="EA660" s="1409"/>
      <c r="EB660" s="1409"/>
      <c r="EC660" s="1409" t="e">
        <f t="shared" si="43"/>
        <v>#VALUE!</v>
      </c>
      <c r="ED660" s="1409"/>
      <c r="EE660" s="1409"/>
      <c r="EF660" s="1409"/>
      <c r="EG660" s="1409"/>
      <c r="EH660" s="1409" t="e">
        <f t="shared" si="44"/>
        <v>#VALUE!</v>
      </c>
      <c r="EI660" s="1409"/>
      <c r="EJ660" s="1409"/>
      <c r="EK660" s="1409"/>
      <c r="EL660" s="1409"/>
      <c r="EM660" s="1409" t="e">
        <f t="shared" si="45"/>
        <v>#VALUE!</v>
      </c>
      <c r="EN660" s="1409"/>
      <c r="EO660" s="1409"/>
      <c r="EP660" s="1409"/>
      <c r="EQ660" s="1409"/>
      <c r="ER660" s="1409" t="e">
        <f t="shared" si="46"/>
        <v>#VALUE!</v>
      </c>
      <c r="ES660" s="1409"/>
      <c r="ET660" s="1409"/>
      <c r="EU660" s="1409"/>
      <c r="EV660" s="1409"/>
      <c r="EW660" s="1409" t="e">
        <f t="shared" si="47"/>
        <v>#VALUE!</v>
      </c>
      <c r="EX660" s="1409"/>
      <c r="EY660" s="1409"/>
      <c r="EZ660" s="1409"/>
      <c r="FA660" s="1409"/>
    </row>
    <row r="661" spans="1:157" ht="13" customHeight="1">
      <c r="A661" s="18"/>
      <c r="B661" t="s">
        <v>982</v>
      </c>
      <c r="G661" s="1335"/>
      <c r="H661" s="1335"/>
      <c r="I661" s="1335"/>
      <c r="J661" s="1335"/>
      <c r="K661" s="1335"/>
      <c r="L661" s="1335"/>
      <c r="M661" s="1335"/>
      <c r="N661" s="1335"/>
      <c r="O661" s="1335"/>
      <c r="P661" s="1335"/>
      <c r="Q661" s="1335"/>
      <c r="R661" s="1335"/>
      <c r="T661" s="18"/>
      <c r="U661" t="s">
        <v>982</v>
      </c>
      <c r="Z661" s="1385"/>
      <c r="AA661" s="1385"/>
      <c r="AB661" s="1385"/>
      <c r="AC661" s="1385"/>
      <c r="AD661" s="1385"/>
      <c r="AE661" s="1385"/>
      <c r="AF661" s="1385"/>
      <c r="AG661" s="1385"/>
      <c r="AH661" s="1385"/>
      <c r="AI661" s="1385"/>
      <c r="AJ661" s="1385"/>
      <c r="AK661" s="1385"/>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X661" s="1409" t="e">
        <f t="shared" si="42"/>
        <v>#VALUE!</v>
      </c>
      <c r="DY661" s="1409"/>
      <c r="DZ661" s="1409"/>
      <c r="EA661" s="1409"/>
      <c r="EB661" s="1409"/>
      <c r="EC661" s="1409" t="e">
        <f t="shared" si="43"/>
        <v>#VALUE!</v>
      </c>
      <c r="ED661" s="1409"/>
      <c r="EE661" s="1409"/>
      <c r="EF661" s="1409"/>
      <c r="EG661" s="1409"/>
      <c r="EH661" s="1409" t="e">
        <f t="shared" si="44"/>
        <v>#VALUE!</v>
      </c>
      <c r="EI661" s="1409"/>
      <c r="EJ661" s="1409"/>
      <c r="EK661" s="1409"/>
      <c r="EL661" s="1409"/>
      <c r="EM661" s="1409" t="e">
        <f t="shared" si="45"/>
        <v>#VALUE!</v>
      </c>
      <c r="EN661" s="1409"/>
      <c r="EO661" s="1409"/>
      <c r="EP661" s="1409"/>
      <c r="EQ661" s="1409"/>
      <c r="ER661" s="1409" t="e">
        <f t="shared" si="46"/>
        <v>#VALUE!</v>
      </c>
      <c r="ES661" s="1409"/>
      <c r="ET661" s="1409"/>
      <c r="EU661" s="1409"/>
      <c r="EV661" s="1409"/>
      <c r="EW661" s="1409" t="e">
        <f t="shared" si="47"/>
        <v>#VALUE!</v>
      </c>
      <c r="EX661" s="1409"/>
      <c r="EY661" s="1409"/>
      <c r="EZ661" s="1409"/>
      <c r="FA661" s="1409"/>
    </row>
    <row r="662" spans="1:157" ht="13" customHeight="1">
      <c r="A662" s="18"/>
      <c r="B662" t="s">
        <v>1473</v>
      </c>
      <c r="G662" s="1335"/>
      <c r="H662" s="1335"/>
      <c r="I662" s="1335"/>
      <c r="J662" s="1335"/>
      <c r="K662" s="1335"/>
      <c r="L662" s="1335"/>
      <c r="M662" s="1335"/>
      <c r="N662" s="1335"/>
      <c r="O662" s="1335"/>
      <c r="P662" s="1335"/>
      <c r="Q662" s="1335"/>
      <c r="R662" s="1335"/>
      <c r="T662" s="18"/>
      <c r="U662" t="s">
        <v>1473</v>
      </c>
      <c r="Z662" s="1385"/>
      <c r="AA662" s="1385"/>
      <c r="AB662" s="1385"/>
      <c r="AC662" s="1385"/>
      <c r="AD662" s="1385"/>
      <c r="AE662" s="1385"/>
      <c r="AF662" s="1385"/>
      <c r="AG662" s="1385"/>
      <c r="AH662" s="1385"/>
      <c r="AI662" s="1385"/>
      <c r="AJ662" s="1385"/>
      <c r="AK662" s="1385"/>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X662" s="1409" t="e">
        <f t="shared" si="42"/>
        <v>#VALUE!</v>
      </c>
      <c r="DY662" s="1409"/>
      <c r="DZ662" s="1409"/>
      <c r="EA662" s="1409"/>
      <c r="EB662" s="1409"/>
      <c r="EC662" s="1409" t="e">
        <f t="shared" si="43"/>
        <v>#VALUE!</v>
      </c>
      <c r="ED662" s="1409"/>
      <c r="EE662" s="1409"/>
      <c r="EF662" s="1409"/>
      <c r="EG662" s="1409"/>
      <c r="EH662" s="1409" t="e">
        <f t="shared" si="44"/>
        <v>#VALUE!</v>
      </c>
      <c r="EI662" s="1409"/>
      <c r="EJ662" s="1409"/>
      <c r="EK662" s="1409"/>
      <c r="EL662" s="1409"/>
      <c r="EM662" s="1409" t="e">
        <f t="shared" si="45"/>
        <v>#VALUE!</v>
      </c>
      <c r="EN662" s="1409"/>
      <c r="EO662" s="1409"/>
      <c r="EP662" s="1409"/>
      <c r="EQ662" s="1409"/>
      <c r="ER662" s="1409" t="e">
        <f t="shared" si="46"/>
        <v>#VALUE!</v>
      </c>
      <c r="ES662" s="1409"/>
      <c r="ET662" s="1409"/>
      <c r="EU662" s="1409"/>
      <c r="EV662" s="1409"/>
      <c r="EW662" s="1409" t="e">
        <f t="shared" si="47"/>
        <v>#VALUE!</v>
      </c>
      <c r="EX662" s="1409"/>
      <c r="EY662" s="1409"/>
      <c r="EZ662" s="1409"/>
      <c r="FA662" s="1409"/>
    </row>
    <row r="663" spans="1:157" ht="13" customHeight="1">
      <c r="A663" s="18"/>
      <c r="B663" t="s">
        <v>884</v>
      </c>
      <c r="G663" s="1417"/>
      <c r="H663" s="1417"/>
      <c r="I663" s="1417"/>
      <c r="J663" s="1417"/>
      <c r="K663" s="1417"/>
      <c r="L663" s="1417"/>
      <c r="O663" s="840" t="s">
        <v>1121</v>
      </c>
      <c r="P663" s="1394"/>
      <c r="Q663" s="1394"/>
      <c r="R663" s="1394"/>
      <c r="T663" s="18"/>
      <c r="U663" t="s">
        <v>884</v>
      </c>
      <c r="Z663" s="1417"/>
      <c r="AA663" s="1417"/>
      <c r="AB663" s="1417"/>
      <c r="AC663" s="1417"/>
      <c r="AD663" s="1417"/>
      <c r="AE663" s="1417"/>
      <c r="AH663" s="840" t="s">
        <v>1121</v>
      </c>
      <c r="AI663" s="1394"/>
      <c r="AJ663" s="1394"/>
      <c r="AK663" s="1394"/>
      <c r="AZ663" s="2"/>
      <c r="BA663" s="2"/>
      <c r="BB663" s="2"/>
      <c r="BC663" s="2"/>
      <c r="BD663" s="2"/>
      <c r="BE663" s="2"/>
      <c r="BF663" s="2"/>
      <c r="BG663" s="2"/>
      <c r="BH663" s="2"/>
      <c r="BI663" s="2"/>
      <c r="BJ663" s="2"/>
      <c r="BK663" s="2"/>
      <c r="BL663" s="2"/>
      <c r="BM663" s="2"/>
      <c r="BN663" s="2"/>
      <c r="BO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X663" s="1409" t="e">
        <f t="shared" si="42"/>
        <v>#VALUE!</v>
      </c>
      <c r="DY663" s="1409"/>
      <c r="DZ663" s="1409"/>
      <c r="EA663" s="1409"/>
      <c r="EB663" s="1409"/>
      <c r="EC663" s="1409" t="e">
        <f t="shared" si="43"/>
        <v>#VALUE!</v>
      </c>
      <c r="ED663" s="1409"/>
      <c r="EE663" s="1409"/>
      <c r="EF663" s="1409"/>
      <c r="EG663" s="1409"/>
      <c r="EH663" s="1409" t="e">
        <f t="shared" si="44"/>
        <v>#VALUE!</v>
      </c>
      <c r="EI663" s="1409"/>
      <c r="EJ663" s="1409"/>
      <c r="EK663" s="1409"/>
      <c r="EL663" s="1409"/>
      <c r="EM663" s="1409" t="e">
        <f t="shared" si="45"/>
        <v>#VALUE!</v>
      </c>
      <c r="EN663" s="1409"/>
      <c r="EO663" s="1409"/>
      <c r="EP663" s="1409"/>
      <c r="EQ663" s="1409"/>
      <c r="ER663" s="1409" t="e">
        <f t="shared" si="46"/>
        <v>#VALUE!</v>
      </c>
      <c r="ES663" s="1409"/>
      <c r="ET663" s="1409"/>
      <c r="EU663" s="1409"/>
      <c r="EV663" s="1409"/>
      <c r="EW663" s="1409" t="e">
        <f t="shared" si="47"/>
        <v>#VALUE!</v>
      </c>
      <c r="EX663" s="1409"/>
      <c r="EY663" s="1409"/>
      <c r="EZ663" s="1409"/>
      <c r="FA663" s="1409"/>
    </row>
    <row r="664" spans="1:157" ht="13" customHeight="1">
      <c r="A664" s="18"/>
      <c r="B664" t="s">
        <v>1476</v>
      </c>
      <c r="H664" s="1335"/>
      <c r="I664" s="1335"/>
      <c r="J664" s="1335"/>
      <c r="K664" s="1335"/>
      <c r="L664" s="1335"/>
      <c r="M664" s="1335"/>
      <c r="N664" s="1335"/>
      <c r="O664" s="1335"/>
      <c r="P664" s="1335"/>
      <c r="Q664" s="1335"/>
      <c r="R664" s="1335"/>
      <c r="T664" s="18"/>
      <c r="U664" t="s">
        <v>1476</v>
      </c>
      <c r="AA664" s="1335"/>
      <c r="AB664" s="1335"/>
      <c r="AC664" s="1335"/>
      <c r="AD664" s="1335"/>
      <c r="AE664" s="1335"/>
      <c r="AF664" s="1335"/>
      <c r="AG664" s="1335"/>
      <c r="AH664" s="1335"/>
      <c r="AI664" s="1335"/>
      <c r="AJ664" s="1335"/>
      <c r="AK664" s="1335"/>
      <c r="AZ664" s="2"/>
      <c r="BA664" s="2"/>
      <c r="BB664" s="2"/>
      <c r="BC664" s="2"/>
      <c r="BD664" s="2"/>
      <c r="BE664" s="2"/>
      <c r="BF664" s="2"/>
      <c r="BG664" s="2"/>
      <c r="BH664" s="2"/>
      <c r="BI664" s="2"/>
      <c r="BJ664" s="2"/>
      <c r="BK664" s="2"/>
      <c r="BL664" s="2"/>
      <c r="BM664" s="2"/>
      <c r="BN664" s="2"/>
      <c r="BO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X664" s="1409" t="e">
        <f t="shared" si="42"/>
        <v>#VALUE!</v>
      </c>
      <c r="DY664" s="1409"/>
      <c r="DZ664" s="1409"/>
      <c r="EA664" s="1409"/>
      <c r="EB664" s="1409"/>
      <c r="EC664" s="1409" t="e">
        <f t="shared" si="43"/>
        <v>#VALUE!</v>
      </c>
      <c r="ED664" s="1409"/>
      <c r="EE664" s="1409"/>
      <c r="EF664" s="1409"/>
      <c r="EG664" s="1409"/>
      <c r="EH664" s="1409" t="e">
        <f t="shared" si="44"/>
        <v>#VALUE!</v>
      </c>
      <c r="EI664" s="1409"/>
      <c r="EJ664" s="1409"/>
      <c r="EK664" s="1409"/>
      <c r="EL664" s="1409"/>
      <c r="EM664" s="1409" t="e">
        <f t="shared" si="45"/>
        <v>#VALUE!</v>
      </c>
      <c r="EN664" s="1409"/>
      <c r="EO664" s="1409"/>
      <c r="EP664" s="1409"/>
      <c r="EQ664" s="1409"/>
      <c r="ER664" s="1409" t="e">
        <f t="shared" si="46"/>
        <v>#VALUE!</v>
      </c>
      <c r="ES664" s="1409"/>
      <c r="ET664" s="1409"/>
      <c r="EU664" s="1409"/>
      <c r="EV664" s="1409"/>
      <c r="EW664" s="1409" t="e">
        <f t="shared" si="47"/>
        <v>#VALUE!</v>
      </c>
      <c r="EX664" s="1409"/>
      <c r="EY664" s="1409"/>
      <c r="EZ664" s="1409"/>
      <c r="FA664" s="1409"/>
    </row>
    <row r="665" spans="1:157" ht="13" customHeight="1">
      <c r="A665" s="18"/>
      <c r="B665" t="s">
        <v>1480</v>
      </c>
      <c r="N665" s="1381" t="s">
        <v>895</v>
      </c>
      <c r="O665" s="1381"/>
      <c r="T665" s="18"/>
      <c r="U665" t="s">
        <v>1480</v>
      </c>
      <c r="AG665" s="1381" t="s">
        <v>895</v>
      </c>
      <c r="AH665" s="1381"/>
      <c r="AZ665" s="2"/>
      <c r="BA665" s="2"/>
      <c r="BB665" s="2"/>
      <c r="BC665" s="2"/>
      <c r="BD665" s="2"/>
      <c r="BE665" s="2"/>
      <c r="BF665" s="2"/>
      <c r="BG665" s="2"/>
      <c r="BH665" s="2"/>
      <c r="BI665" s="2"/>
      <c r="BJ665" s="2"/>
      <c r="BK665" s="2"/>
      <c r="BL665" s="2"/>
      <c r="BM665" s="2"/>
      <c r="BN665" s="2"/>
      <c r="BO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X665" s="1409" t="e">
        <f t="shared" si="42"/>
        <v>#VALUE!</v>
      </c>
      <c r="DY665" s="1409"/>
      <c r="DZ665" s="1409"/>
      <c r="EA665" s="1409"/>
      <c r="EB665" s="1409"/>
      <c r="EC665" s="1409" t="e">
        <f t="shared" si="43"/>
        <v>#VALUE!</v>
      </c>
      <c r="ED665" s="1409"/>
      <c r="EE665" s="1409"/>
      <c r="EF665" s="1409"/>
      <c r="EG665" s="1409"/>
      <c r="EH665" s="1409" t="e">
        <f t="shared" si="44"/>
        <v>#VALUE!</v>
      </c>
      <c r="EI665" s="1409"/>
      <c r="EJ665" s="1409"/>
      <c r="EK665" s="1409"/>
      <c r="EL665" s="1409"/>
      <c r="EM665" s="1409" t="e">
        <f t="shared" si="45"/>
        <v>#VALUE!</v>
      </c>
      <c r="EN665" s="1409"/>
      <c r="EO665" s="1409"/>
      <c r="EP665" s="1409"/>
      <c r="EQ665" s="1409"/>
      <c r="ER665" s="1409" t="e">
        <f t="shared" si="46"/>
        <v>#VALUE!</v>
      </c>
      <c r="ES665" s="1409"/>
      <c r="ET665" s="1409"/>
      <c r="EU665" s="1409"/>
      <c r="EV665" s="1409"/>
      <c r="EW665" s="1409" t="e">
        <f t="shared" si="47"/>
        <v>#VALUE!</v>
      </c>
      <c r="EX665" s="1409"/>
      <c r="EY665" s="1409"/>
      <c r="EZ665" s="1409"/>
      <c r="FA665" s="1409"/>
    </row>
    <row r="666" spans="1:157" ht="13" customHeight="1">
      <c r="A666" s="18"/>
      <c r="T666" s="18"/>
      <c r="AZ666" s="2"/>
      <c r="BA666" s="57" t="s">
        <v>1523</v>
      </c>
      <c r="BB666" s="2"/>
      <c r="BC666" s="2"/>
      <c r="BD666" s="2"/>
      <c r="BE666" s="2"/>
      <c r="BF666" s="118"/>
      <c r="BG666" s="119" t="s">
        <v>1524</v>
      </c>
      <c r="BH666" s="118"/>
      <c r="BI666" s="118"/>
      <c r="BJ666" s="2"/>
      <c r="BK666" s="2"/>
      <c r="BL666" s="2"/>
      <c r="BM666" s="2"/>
      <c r="BN666" s="2"/>
      <c r="BO666" s="2"/>
      <c r="BT666" s="119" t="s">
        <v>1525</v>
      </c>
      <c r="BU666" s="118"/>
      <c r="BV666" s="118"/>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X666" s="1409" t="e">
        <f t="shared" si="42"/>
        <v>#VALUE!</v>
      </c>
      <c r="DY666" s="1409"/>
      <c r="DZ666" s="1409"/>
      <c r="EA666" s="1409"/>
      <c r="EB666" s="1409"/>
      <c r="EC666" s="1409" t="e">
        <f t="shared" si="43"/>
        <v>#VALUE!</v>
      </c>
      <c r="ED666" s="1409"/>
      <c r="EE666" s="1409"/>
      <c r="EF666" s="1409"/>
      <c r="EG666" s="1409"/>
      <c r="EH666" s="1409" t="e">
        <f t="shared" si="44"/>
        <v>#VALUE!</v>
      </c>
      <c r="EI666" s="1409"/>
      <c r="EJ666" s="1409"/>
      <c r="EK666" s="1409"/>
      <c r="EL666" s="1409"/>
      <c r="EM666" s="1409" t="e">
        <f t="shared" si="45"/>
        <v>#VALUE!</v>
      </c>
      <c r="EN666" s="1409"/>
      <c r="EO666" s="1409"/>
      <c r="EP666" s="1409"/>
      <c r="EQ666" s="1409"/>
      <c r="ER666" s="1409" t="e">
        <f t="shared" si="46"/>
        <v>#VALUE!</v>
      </c>
      <c r="ES666" s="1409"/>
      <c r="ET666" s="1409"/>
      <c r="EU666" s="1409"/>
      <c r="EV666" s="1409"/>
      <c r="EW666" s="1409" t="e">
        <f t="shared" si="47"/>
        <v>#VALUE!</v>
      </c>
      <c r="EX666" s="1409"/>
      <c r="EY666" s="1409"/>
      <c r="EZ666" s="1409"/>
      <c r="FA666" s="1409"/>
    </row>
    <row r="667" spans="1:157" ht="13" customHeight="1">
      <c r="A667" s="37" t="s">
        <v>1464</v>
      </c>
      <c r="B667" t="s">
        <v>1471</v>
      </c>
      <c r="G667" s="1395">
        <f>C633</f>
        <v>0</v>
      </c>
      <c r="H667" s="1395"/>
      <c r="I667" s="1395"/>
      <c r="J667" s="1395"/>
      <c r="K667" s="1395"/>
      <c r="L667" s="1395"/>
      <c r="M667" s="1395"/>
      <c r="N667" s="1395"/>
      <c r="O667" s="1395"/>
      <c r="P667" s="1395"/>
      <c r="Q667" s="1395"/>
      <c r="R667" s="1395"/>
      <c r="T667" s="37" t="s">
        <v>1465</v>
      </c>
      <c r="U667" t="s">
        <v>1471</v>
      </c>
      <c r="Z667" s="1395">
        <f>C634</f>
        <v>0</v>
      </c>
      <c r="AA667" s="1395"/>
      <c r="AB667" s="1395"/>
      <c r="AC667" s="1395"/>
      <c r="AD667" s="1395"/>
      <c r="AE667" s="1395"/>
      <c r="AF667" s="1395"/>
      <c r="AG667" s="1395"/>
      <c r="AH667" s="1395"/>
      <c r="AI667" s="1395"/>
      <c r="AJ667" s="1395"/>
      <c r="AK667" s="1395"/>
      <c r="AZ667" s="2"/>
      <c r="BA667" s="68">
        <f t="shared" ref="BA667:BA699" si="48">IF($G718=0,"N/A",VLOOKUP($T$189,TC_Rent,(MATCH($B718,bedrooms,FALSE))))</f>
        <v>2296</v>
      </c>
      <c r="BB667" s="2"/>
      <c r="BC667" s="2"/>
      <c r="BD667" s="2"/>
      <c r="BE667" s="2"/>
      <c r="BF667" s="118"/>
      <c r="BG667" s="188" t="s">
        <v>1526</v>
      </c>
      <c r="BH667" s="192" t="s">
        <v>1527</v>
      </c>
      <c r="BI667" s="191" t="s">
        <v>1528</v>
      </c>
      <c r="BJ667" s="2"/>
      <c r="BK667" s="2"/>
      <c r="BL667" s="2"/>
      <c r="BM667" s="2"/>
      <c r="BN667" s="2"/>
      <c r="BO667" s="2"/>
      <c r="BT667" s="188" t="s">
        <v>1526</v>
      </c>
      <c r="BU667" s="192" t="s">
        <v>1527</v>
      </c>
      <c r="BV667" s="191" t="s">
        <v>1528</v>
      </c>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X667" s="1409" t="e">
        <f t="shared" si="42"/>
        <v>#VALUE!</v>
      </c>
      <c r="DY667" s="1409"/>
      <c r="DZ667" s="1409"/>
      <c r="EA667" s="1409"/>
      <c r="EB667" s="1409"/>
      <c r="EC667" s="1409" t="e">
        <f t="shared" si="43"/>
        <v>#VALUE!</v>
      </c>
      <c r="ED667" s="1409"/>
      <c r="EE667" s="1409"/>
      <c r="EF667" s="1409"/>
      <c r="EG667" s="1409"/>
      <c r="EH667" s="1409" t="e">
        <f t="shared" si="44"/>
        <v>#VALUE!</v>
      </c>
      <c r="EI667" s="1409"/>
      <c r="EJ667" s="1409"/>
      <c r="EK667" s="1409"/>
      <c r="EL667" s="1409"/>
      <c r="EM667" s="1409" t="e">
        <f t="shared" si="45"/>
        <v>#VALUE!</v>
      </c>
      <c r="EN667" s="1409"/>
      <c r="EO667" s="1409"/>
      <c r="EP667" s="1409"/>
      <c r="EQ667" s="1409"/>
      <c r="ER667" s="1409" t="e">
        <f t="shared" si="46"/>
        <v>#VALUE!</v>
      </c>
      <c r="ES667" s="1409"/>
      <c r="ET667" s="1409"/>
      <c r="EU667" s="1409"/>
      <c r="EV667" s="1409"/>
      <c r="EW667" s="1409" t="e">
        <f t="shared" si="47"/>
        <v>#VALUE!</v>
      </c>
      <c r="EX667" s="1409"/>
      <c r="EY667" s="1409"/>
      <c r="EZ667" s="1409"/>
      <c r="FA667" s="1409"/>
    </row>
    <row r="668" spans="1:157" ht="13" customHeight="1">
      <c r="A668" s="18"/>
      <c r="B668" t="s">
        <v>1113</v>
      </c>
      <c r="G668" s="1335"/>
      <c r="H668" s="1335"/>
      <c r="I668" s="1335"/>
      <c r="J668" s="1335"/>
      <c r="K668" s="1335"/>
      <c r="L668" s="1335"/>
      <c r="M668" s="1335"/>
      <c r="N668" s="1335"/>
      <c r="O668" s="1335"/>
      <c r="P668" s="1335"/>
      <c r="Q668" s="1335"/>
      <c r="R668" s="1335"/>
      <c r="T668" s="18"/>
      <c r="U668" t="s">
        <v>1113</v>
      </c>
      <c r="Z668" s="1335"/>
      <c r="AA668" s="1335"/>
      <c r="AB668" s="1335"/>
      <c r="AC668" s="1335"/>
      <c r="AD668" s="1335"/>
      <c r="AE668" s="1335"/>
      <c r="AF668" s="1335"/>
      <c r="AG668" s="1335"/>
      <c r="AH668" s="1335"/>
      <c r="AI668" s="1335"/>
      <c r="AJ668" s="1335"/>
      <c r="AK668" s="1335"/>
      <c r="AZ668" s="2"/>
      <c r="BA668" s="68">
        <f t="shared" si="48"/>
        <v>2754</v>
      </c>
      <c r="BB668" s="2"/>
      <c r="BC668" s="2"/>
      <c r="BD668" s="2"/>
      <c r="BE668" s="2"/>
      <c r="BF668" s="118"/>
      <c r="BG668" s="189">
        <f t="shared" ref="BG668:BG700" si="49">G718</f>
        <v>6</v>
      </c>
      <c r="BH668" s="193">
        <f t="shared" ref="BH668:BH702" si="50">IF($BG$703=0,0,BG668/$BG$703)</f>
        <v>0.11538461538461539</v>
      </c>
      <c r="BI668" s="194">
        <f t="shared" ref="BI668:BI691" si="51">IF(BH668=0,"",BH668*AC718)</f>
        <v>6.9230769230769235E-2</v>
      </c>
      <c r="BJ668" s="2"/>
      <c r="BK668" s="2"/>
      <c r="BL668" s="2"/>
      <c r="BM668" s="2"/>
      <c r="BN668" s="2"/>
      <c r="BO668" s="2"/>
      <c r="BT668" s="189">
        <f t="shared" ref="BT668:BT700" si="52">G718</f>
        <v>6</v>
      </c>
      <c r="BU668" s="193">
        <f t="shared" ref="BU668:BU702" si="53">IF($BT$703=0,0,BT668/$BT$703)</f>
        <v>0.11538461538461539</v>
      </c>
      <c r="BV668" s="194">
        <f t="shared" ref="BV668:BV700" si="54">IF(BU668=0,"",BU668*AH718)</f>
        <v>6.920061645671402E-2</v>
      </c>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X668" s="1409" t="e">
        <f>DX630*(BN630/$BN$632)</f>
        <v>#VALUE!</v>
      </c>
      <c r="DY668" s="1409"/>
      <c r="DZ668" s="1409"/>
      <c r="EA668" s="1409"/>
      <c r="EB668" s="1409"/>
      <c r="EC668" s="1409" t="e">
        <f>EC630*(BS630/$BS$632)</f>
        <v>#VALUE!</v>
      </c>
      <c r="ED668" s="1409"/>
      <c r="EE668" s="1409"/>
      <c r="EF668" s="1409"/>
      <c r="EG668" s="1409"/>
      <c r="EH668" s="1409" t="e">
        <f>EH630*(BX630/$BX$632)</f>
        <v>#VALUE!</v>
      </c>
      <c r="EI668" s="1409"/>
      <c r="EJ668" s="1409"/>
      <c r="EK668" s="1409"/>
      <c r="EL668" s="1409"/>
      <c r="EM668" s="1409" t="e">
        <f>EM630*(CC630/$CC$632)</f>
        <v>#VALUE!</v>
      </c>
      <c r="EN668" s="1409"/>
      <c r="EO668" s="1409"/>
      <c r="EP668" s="1409"/>
      <c r="EQ668" s="1409"/>
      <c r="ER668" s="1409" t="e">
        <f>ER630*(CH630/$CH$632)</f>
        <v>#VALUE!</v>
      </c>
      <c r="ES668" s="1409"/>
      <c r="ET668" s="1409"/>
      <c r="EU668" s="1409"/>
      <c r="EV668" s="1409"/>
      <c r="EW668" s="1409" t="e">
        <f>EW630*(CM630/$CM$632)</f>
        <v>#VALUE!</v>
      </c>
      <c r="EX668" s="1409"/>
      <c r="EY668" s="1409"/>
      <c r="EZ668" s="1409"/>
      <c r="FA668" s="1409"/>
    </row>
    <row r="669" spans="1:157" ht="13" customHeight="1">
      <c r="A669" s="18"/>
      <c r="B669" t="s">
        <v>982</v>
      </c>
      <c r="G669" s="1335"/>
      <c r="H669" s="1335"/>
      <c r="I669" s="1335"/>
      <c r="J669" s="1335"/>
      <c r="K669" s="1335"/>
      <c r="L669" s="1335"/>
      <c r="M669" s="1335"/>
      <c r="N669" s="1335"/>
      <c r="O669" s="1335"/>
      <c r="P669" s="1335"/>
      <c r="Q669" s="1335"/>
      <c r="R669" s="1335"/>
      <c r="T669" s="18"/>
      <c r="U669" t="s">
        <v>982</v>
      </c>
      <c r="Z669" s="1385"/>
      <c r="AA669" s="1385"/>
      <c r="AB669" s="1385"/>
      <c r="AC669" s="1385"/>
      <c r="AD669" s="1385"/>
      <c r="AE669" s="1385"/>
      <c r="AF669" s="1385"/>
      <c r="AG669" s="1385"/>
      <c r="AH669" s="1385"/>
      <c r="AI669" s="1385"/>
      <c r="AJ669" s="1385"/>
      <c r="AK669" s="1385"/>
      <c r="AZ669" s="2"/>
      <c r="BA669" s="68">
        <f t="shared" si="48"/>
        <v>2754</v>
      </c>
      <c r="BB669" s="2"/>
      <c r="BC669" s="2"/>
      <c r="BD669" s="2"/>
      <c r="BE669" s="2"/>
      <c r="BF669" s="118"/>
      <c r="BG669" s="190">
        <f t="shared" si="49"/>
        <v>14</v>
      </c>
      <c r="BH669" s="193">
        <f t="shared" si="50"/>
        <v>0.26923076923076922</v>
      </c>
      <c r="BI669" s="194">
        <f t="shared" si="51"/>
        <v>0.16153846153846152</v>
      </c>
      <c r="BJ669" s="2"/>
      <c r="BK669" s="2"/>
      <c r="BL669" s="2"/>
      <c r="BM669" s="2"/>
      <c r="BN669" s="2"/>
      <c r="BO669" s="2"/>
      <c r="BT669" s="190">
        <f t="shared" si="52"/>
        <v>14</v>
      </c>
      <c r="BU669" s="193">
        <f t="shared" si="53"/>
        <v>0.26923076923076922</v>
      </c>
      <c r="BV669" s="194">
        <f t="shared" si="54"/>
        <v>0.16159711747947042</v>
      </c>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X669" s="1409" t="e">
        <f>DX631*(BN631/$BN$632)</f>
        <v>#VALUE!</v>
      </c>
      <c r="DY669" s="1409"/>
      <c r="DZ669" s="1409"/>
      <c r="EA669" s="1409"/>
      <c r="EB669" s="1409"/>
      <c r="EC669" s="1409" t="e">
        <f>EC631*(BS631/$BS$632)</f>
        <v>#VALUE!</v>
      </c>
      <c r="ED669" s="1409"/>
      <c r="EE669" s="1409"/>
      <c r="EF669" s="1409"/>
      <c r="EG669" s="1409"/>
      <c r="EH669" s="1409" t="e">
        <f>EH631*(BX631/$BX$632)</f>
        <v>#VALUE!</v>
      </c>
      <c r="EI669" s="1409"/>
      <c r="EJ669" s="1409"/>
      <c r="EK669" s="1409"/>
      <c r="EL669" s="1409"/>
      <c r="EM669" s="1409" t="e">
        <f>EM631*(CC631/$CC$632)</f>
        <v>#VALUE!</v>
      </c>
      <c r="EN669" s="1409"/>
      <c r="EO669" s="1409"/>
      <c r="EP669" s="1409"/>
      <c r="EQ669" s="1409"/>
      <c r="ER669" s="1409" t="e">
        <f>ER631*(CH631/$CH$632)</f>
        <v>#VALUE!</v>
      </c>
      <c r="ES669" s="1409"/>
      <c r="ET669" s="1409"/>
      <c r="EU669" s="1409"/>
      <c r="EV669" s="1409"/>
      <c r="EW669" s="1409" t="e">
        <f>EW631*(CM631/$CM$632)</f>
        <v>#VALUE!</v>
      </c>
      <c r="EX669" s="1409"/>
      <c r="EY669" s="1409"/>
      <c r="EZ669" s="1409"/>
      <c r="FA669" s="1409"/>
    </row>
    <row r="670" spans="1:157" ht="13" customHeight="1">
      <c r="A670" s="18"/>
      <c r="B670" t="s">
        <v>1473</v>
      </c>
      <c r="G670" s="1335"/>
      <c r="H670" s="1335"/>
      <c r="I670" s="1335"/>
      <c r="J670" s="1335"/>
      <c r="K670" s="1335"/>
      <c r="L670" s="1335"/>
      <c r="M670" s="1335"/>
      <c r="N670" s="1335"/>
      <c r="O670" s="1335"/>
      <c r="P670" s="1335"/>
      <c r="Q670" s="1335"/>
      <c r="R670" s="1335"/>
      <c r="T670" s="18"/>
      <c r="U670" t="s">
        <v>1473</v>
      </c>
      <c r="Z670" s="1385"/>
      <c r="AA670" s="1385"/>
      <c r="AB670" s="1385"/>
      <c r="AC670" s="1385"/>
      <c r="AD670" s="1385"/>
      <c r="AE670" s="1385"/>
      <c r="AF670" s="1385"/>
      <c r="AG670" s="1385"/>
      <c r="AH670" s="1385"/>
      <c r="AI670" s="1385"/>
      <c r="AJ670" s="1385"/>
      <c r="AK670" s="1385"/>
      <c r="AZ670" s="2"/>
      <c r="BA670" s="68">
        <f t="shared" si="48"/>
        <v>3182</v>
      </c>
      <c r="BB670" s="2"/>
      <c r="BC670" s="2"/>
      <c r="BD670" s="2"/>
      <c r="BE670" s="2"/>
      <c r="BF670" s="118"/>
      <c r="BG670" s="190">
        <f t="shared" si="49"/>
        <v>10</v>
      </c>
      <c r="BH670" s="193">
        <f t="shared" si="50"/>
        <v>0.19230769230769232</v>
      </c>
      <c r="BI670" s="194">
        <f t="shared" si="51"/>
        <v>5.7692307692307696E-2</v>
      </c>
      <c r="BJ670" s="2"/>
      <c r="BK670" s="2"/>
      <c r="BL670" s="2"/>
      <c r="BM670" s="2"/>
      <c r="BN670" s="2"/>
      <c r="BO670" s="2"/>
      <c r="BT670" s="190">
        <f t="shared" si="52"/>
        <v>10</v>
      </c>
      <c r="BU670" s="193">
        <f t="shared" si="53"/>
        <v>0.19230769230769232</v>
      </c>
      <c r="BV670" s="194">
        <f t="shared" si="54"/>
        <v>5.7678341992067478E-2</v>
      </c>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X670" s="1409">
        <f>SUMIF(DX635:EB669,"&gt;0")</f>
        <v>0</v>
      </c>
      <c r="DY670" s="1409"/>
      <c r="DZ670" s="1409"/>
      <c r="EA670" s="1409"/>
      <c r="EB670" s="1409"/>
      <c r="EC670" s="1409">
        <f>SUMIF(EC635:EG669,"&gt;0")</f>
        <v>1277</v>
      </c>
      <c r="ED670" s="1409"/>
      <c r="EE670" s="1409"/>
      <c r="EF670" s="1409"/>
      <c r="EG670" s="1409"/>
      <c r="EH670" s="1409">
        <f>SUMIF(EH635:EL669,"&gt;0")</f>
        <v>1172.4166666666667</v>
      </c>
      <c r="EI670" s="1409"/>
      <c r="EJ670" s="1409"/>
      <c r="EK670" s="1409"/>
      <c r="EL670" s="1409"/>
      <c r="EM670" s="1409">
        <f>SUMIF(EM635:EQ669,"&gt;0")</f>
        <v>1082.8636363636365</v>
      </c>
      <c r="EN670" s="1409"/>
      <c r="EO670" s="1409"/>
      <c r="EP670" s="1409"/>
      <c r="EQ670" s="1409"/>
      <c r="ER670" s="1409">
        <f>SUMIF(ER635:EV669,"&gt;0")</f>
        <v>0</v>
      </c>
      <c r="ES670" s="1409"/>
      <c r="ET670" s="1409"/>
      <c r="EU670" s="1409"/>
      <c r="EV670" s="1409"/>
      <c r="EW670" s="1409">
        <f>SUMIF(EW635:FA669,"&gt;0")</f>
        <v>0</v>
      </c>
      <c r="EX670" s="1409"/>
      <c r="EY670" s="1409"/>
      <c r="EZ670" s="1409"/>
      <c r="FA670" s="1409"/>
    </row>
    <row r="671" spans="1:157" ht="13" customHeight="1">
      <c r="A671" s="18"/>
      <c r="B671" t="s">
        <v>884</v>
      </c>
      <c r="G671" s="1417"/>
      <c r="H671" s="1417"/>
      <c r="I671" s="1417"/>
      <c r="J671" s="1417"/>
      <c r="K671" s="1417"/>
      <c r="L671" s="1417"/>
      <c r="O671" s="840" t="s">
        <v>1121</v>
      </c>
      <c r="P671" s="1394"/>
      <c r="Q671" s="1394"/>
      <c r="R671" s="1394"/>
      <c r="T671" s="18"/>
      <c r="U671" t="s">
        <v>884</v>
      </c>
      <c r="Z671" s="1417"/>
      <c r="AA671" s="1417"/>
      <c r="AB671" s="1417"/>
      <c r="AC671" s="1417"/>
      <c r="AD671" s="1417"/>
      <c r="AE671" s="1417"/>
      <c r="AH671" s="840" t="s">
        <v>1121</v>
      </c>
      <c r="AI671" s="1394"/>
      <c r="AJ671" s="1394"/>
      <c r="AK671" s="1394"/>
      <c r="AZ671" s="2"/>
      <c r="BA671" s="68">
        <f t="shared" si="48"/>
        <v>3182</v>
      </c>
      <c r="BB671" s="2"/>
      <c r="BC671" s="2"/>
      <c r="BD671" s="2"/>
      <c r="BE671" s="2"/>
      <c r="BF671" s="118"/>
      <c r="BG671" s="190">
        <f t="shared" si="49"/>
        <v>7</v>
      </c>
      <c r="BH671" s="193">
        <f t="shared" si="50"/>
        <v>0.13461538461538461</v>
      </c>
      <c r="BI671" s="194">
        <f t="shared" si="51"/>
        <v>8.076923076923076E-2</v>
      </c>
      <c r="BJ671" s="2"/>
      <c r="BK671" s="2"/>
      <c r="BL671" s="2"/>
      <c r="BM671" s="2"/>
      <c r="BN671" s="2"/>
      <c r="BO671" s="2"/>
      <c r="BT671" s="190">
        <f t="shared" si="52"/>
        <v>7</v>
      </c>
      <c r="BU671" s="193">
        <f t="shared" si="53"/>
        <v>0.13461538461538461</v>
      </c>
      <c r="BV671" s="194">
        <f t="shared" si="54"/>
        <v>8.0760769714258079E-2</v>
      </c>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row>
    <row r="672" spans="1:157" ht="13" customHeight="1">
      <c r="A672" s="18"/>
      <c r="B672" t="s">
        <v>1476</v>
      </c>
      <c r="H672" s="1335"/>
      <c r="I672" s="1335"/>
      <c r="J672" s="1335"/>
      <c r="K672" s="1335"/>
      <c r="L672" s="1335"/>
      <c r="M672" s="1335"/>
      <c r="N672" s="1335"/>
      <c r="O672" s="1335"/>
      <c r="P672" s="1335"/>
      <c r="Q672" s="1335"/>
      <c r="R672" s="1335"/>
      <c r="T672" s="18"/>
      <c r="U672" t="s">
        <v>1476</v>
      </c>
      <c r="AA672" s="1335"/>
      <c r="AB672" s="1335"/>
      <c r="AC672" s="1335"/>
      <c r="AD672" s="1335"/>
      <c r="AE672" s="1335"/>
      <c r="AF672" s="1335"/>
      <c r="AG672" s="1335"/>
      <c r="AH672" s="1335"/>
      <c r="AI672" s="1335"/>
      <c r="AJ672" s="1335"/>
      <c r="AK672" s="1335"/>
      <c r="AZ672" s="2"/>
      <c r="BA672" s="68" t="str">
        <f t="shared" si="48"/>
        <v>N/A</v>
      </c>
      <c r="BB672" s="2"/>
      <c r="BC672" s="2"/>
      <c r="BD672" s="2"/>
      <c r="BE672" s="2"/>
      <c r="BF672" s="118"/>
      <c r="BG672" s="190">
        <f t="shared" si="49"/>
        <v>15</v>
      </c>
      <c r="BH672" s="193">
        <f t="shared" si="50"/>
        <v>0.28846153846153844</v>
      </c>
      <c r="BI672" s="194">
        <f t="shared" si="51"/>
        <v>8.6538461538461522E-2</v>
      </c>
      <c r="BJ672" s="2"/>
      <c r="BK672" s="2"/>
      <c r="BL672" s="2"/>
      <c r="BM672" s="2"/>
      <c r="BN672" s="2"/>
      <c r="BO672" s="2"/>
      <c r="BT672" s="190">
        <f t="shared" si="52"/>
        <v>15</v>
      </c>
      <c r="BU672" s="193">
        <f t="shared" si="53"/>
        <v>0.28846153846153844</v>
      </c>
      <c r="BV672" s="194">
        <f t="shared" si="54"/>
        <v>8.6484069042208581E-2</v>
      </c>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row>
    <row r="673" spans="1:108" ht="13" customHeight="1">
      <c r="A673" s="18"/>
      <c r="B673" t="s">
        <v>1480</v>
      </c>
      <c r="N673" s="1381" t="s">
        <v>895</v>
      </c>
      <c r="O673" s="1381"/>
      <c r="T673" s="18"/>
      <c r="U673" t="s">
        <v>1480</v>
      </c>
      <c r="AG673" s="1381" t="s">
        <v>895</v>
      </c>
      <c r="AH673" s="1381"/>
      <c r="AZ673" s="2"/>
      <c r="BA673" s="68" t="str">
        <f t="shared" si="48"/>
        <v>N/A</v>
      </c>
      <c r="BB673" s="2"/>
      <c r="BC673" s="2"/>
      <c r="BD673" s="2"/>
      <c r="BE673" s="2"/>
      <c r="BF673" s="118"/>
      <c r="BG673" s="190">
        <f t="shared" si="49"/>
        <v>0</v>
      </c>
      <c r="BH673" s="193">
        <f t="shared" si="50"/>
        <v>0</v>
      </c>
      <c r="BI673" s="194" t="str">
        <f t="shared" si="51"/>
        <v/>
      </c>
      <c r="BJ673" s="2"/>
      <c r="BK673" s="2"/>
      <c r="BL673" s="2"/>
      <c r="BM673" s="2"/>
      <c r="BN673" s="2"/>
      <c r="BO673" s="2"/>
      <c r="BT673" s="190">
        <f t="shared" si="52"/>
        <v>0</v>
      </c>
      <c r="BU673" s="193">
        <f t="shared" si="53"/>
        <v>0</v>
      </c>
      <c r="BV673" s="194" t="str">
        <f t="shared" si="54"/>
        <v/>
      </c>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row>
    <row r="674" spans="1:108" ht="13" customHeight="1">
      <c r="A674" s="18"/>
      <c r="T674" s="18"/>
      <c r="AZ674" s="2"/>
      <c r="BA674" s="68" t="str">
        <f t="shared" si="48"/>
        <v>N/A</v>
      </c>
      <c r="BB674" s="2"/>
      <c r="BC674" s="2"/>
      <c r="BD674" s="2"/>
      <c r="BE674" s="2"/>
      <c r="BF674" s="118"/>
      <c r="BG674" s="190">
        <f t="shared" si="49"/>
        <v>0</v>
      </c>
      <c r="BH674" s="193">
        <f t="shared" si="50"/>
        <v>0</v>
      </c>
      <c r="BI674" s="194" t="str">
        <f t="shared" si="51"/>
        <v/>
      </c>
      <c r="BJ674" s="2"/>
      <c r="BK674" s="2"/>
      <c r="BL674" s="2"/>
      <c r="BM674" s="2"/>
      <c r="BN674" s="2"/>
      <c r="BO674" s="2"/>
      <c r="BT674" s="190">
        <f t="shared" si="52"/>
        <v>0</v>
      </c>
      <c r="BU674" s="193">
        <f t="shared" si="53"/>
        <v>0</v>
      </c>
      <c r="BV674" s="194" t="str">
        <f t="shared" si="54"/>
        <v/>
      </c>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row>
    <row r="675" spans="1:108" ht="13" customHeight="1">
      <c r="A675" s="37" t="s">
        <v>1466</v>
      </c>
      <c r="B675" t="s">
        <v>1471</v>
      </c>
      <c r="G675" s="1395">
        <f>C635</f>
        <v>0</v>
      </c>
      <c r="H675" s="1395"/>
      <c r="I675" s="1395"/>
      <c r="J675" s="1395"/>
      <c r="K675" s="1395"/>
      <c r="L675" s="1395"/>
      <c r="M675" s="1395"/>
      <c r="N675" s="1395"/>
      <c r="O675" s="1395"/>
      <c r="P675" s="1395"/>
      <c r="Q675" s="1395"/>
      <c r="R675" s="1395"/>
      <c r="T675" s="37" t="s">
        <v>1467</v>
      </c>
      <c r="U675" t="s">
        <v>1471</v>
      </c>
      <c r="Z675" s="1395">
        <f>C636</f>
        <v>0</v>
      </c>
      <c r="AA675" s="1395"/>
      <c r="AB675" s="1395"/>
      <c r="AC675" s="1395"/>
      <c r="AD675" s="1395"/>
      <c r="AE675" s="1395"/>
      <c r="AF675" s="1395"/>
      <c r="AG675" s="1395"/>
      <c r="AH675" s="1395"/>
      <c r="AI675" s="1395"/>
      <c r="AJ675" s="1395"/>
      <c r="AK675" s="1395"/>
      <c r="AZ675" s="2"/>
      <c r="BA675" s="68" t="str">
        <f t="shared" si="48"/>
        <v>N/A</v>
      </c>
      <c r="BB675" s="2"/>
      <c r="BC675" s="2"/>
      <c r="BD675" s="2"/>
      <c r="BE675" s="2"/>
      <c r="BF675" s="118"/>
      <c r="BG675" s="190">
        <f t="shared" si="49"/>
        <v>0</v>
      </c>
      <c r="BH675" s="193">
        <f t="shared" si="50"/>
        <v>0</v>
      </c>
      <c r="BI675" s="194" t="str">
        <f t="shared" si="51"/>
        <v/>
      </c>
      <c r="BJ675" s="2"/>
      <c r="BK675" s="2"/>
      <c r="BL675" s="2"/>
      <c r="BM675" s="2"/>
      <c r="BN675" s="2"/>
      <c r="BO675" s="2"/>
      <c r="BT675" s="190">
        <f t="shared" si="52"/>
        <v>0</v>
      </c>
      <c r="BU675" s="193">
        <f t="shared" si="53"/>
        <v>0</v>
      </c>
      <c r="BV675" s="194" t="str">
        <f t="shared" si="54"/>
        <v/>
      </c>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row>
    <row r="676" spans="1:108" ht="13" customHeight="1">
      <c r="A676" s="18"/>
      <c r="B676" t="s">
        <v>1113</v>
      </c>
      <c r="G676" s="1335"/>
      <c r="H676" s="1335"/>
      <c r="I676" s="1335"/>
      <c r="J676" s="1335"/>
      <c r="K676" s="1335"/>
      <c r="L676" s="1335"/>
      <c r="M676" s="1335"/>
      <c r="N676" s="1335"/>
      <c r="O676" s="1335"/>
      <c r="P676" s="1335"/>
      <c r="Q676" s="1335"/>
      <c r="R676" s="1335"/>
      <c r="T676" s="18"/>
      <c r="U676" t="s">
        <v>1113</v>
      </c>
      <c r="Z676" s="1335"/>
      <c r="AA676" s="1335"/>
      <c r="AB676" s="1335"/>
      <c r="AC676" s="1335"/>
      <c r="AD676" s="1335"/>
      <c r="AE676" s="1335"/>
      <c r="AF676" s="1335"/>
      <c r="AG676" s="1335"/>
      <c r="AH676" s="1335"/>
      <c r="AI676" s="1335"/>
      <c r="AJ676" s="1335"/>
      <c r="AK676" s="1335"/>
      <c r="AZ676" s="2"/>
      <c r="BA676" s="68" t="str">
        <f t="shared" si="48"/>
        <v>N/A</v>
      </c>
      <c r="BB676" s="2"/>
      <c r="BC676" s="2"/>
      <c r="BD676" s="2"/>
      <c r="BE676" s="2"/>
      <c r="BF676" s="118"/>
      <c r="BG676" s="190">
        <f t="shared" si="49"/>
        <v>0</v>
      </c>
      <c r="BH676" s="193">
        <f t="shared" si="50"/>
        <v>0</v>
      </c>
      <c r="BI676" s="194" t="str">
        <f t="shared" si="51"/>
        <v/>
      </c>
      <c r="BJ676" s="2"/>
      <c r="BK676" s="2"/>
      <c r="BL676" s="2"/>
      <c r="BM676" s="2"/>
      <c r="BN676" s="2"/>
      <c r="BO676" s="2"/>
      <c r="BT676" s="190">
        <f t="shared" si="52"/>
        <v>0</v>
      </c>
      <c r="BU676" s="193">
        <f t="shared" si="53"/>
        <v>0</v>
      </c>
      <c r="BV676" s="194" t="str">
        <f t="shared" si="54"/>
        <v/>
      </c>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row>
    <row r="677" spans="1:108" ht="13" customHeight="1">
      <c r="A677" s="18"/>
      <c r="B677" t="s">
        <v>982</v>
      </c>
      <c r="G677" s="1335"/>
      <c r="H677" s="1335"/>
      <c r="I677" s="1335"/>
      <c r="J677" s="1335"/>
      <c r="K677" s="1335"/>
      <c r="L677" s="1335"/>
      <c r="M677" s="1335"/>
      <c r="N677" s="1335"/>
      <c r="O677" s="1335"/>
      <c r="P677" s="1335"/>
      <c r="Q677" s="1335"/>
      <c r="R677" s="1335"/>
      <c r="T677" s="18"/>
      <c r="U677" t="s">
        <v>982</v>
      </c>
      <c r="Z677" s="1385"/>
      <c r="AA677" s="1385"/>
      <c r="AB677" s="1385"/>
      <c r="AC677" s="1385"/>
      <c r="AD677" s="1385"/>
      <c r="AE677" s="1385"/>
      <c r="AF677" s="1385"/>
      <c r="AG677" s="1385"/>
      <c r="AH677" s="1385"/>
      <c r="AI677" s="1385"/>
      <c r="AJ677" s="1385"/>
      <c r="AK677" s="1385"/>
      <c r="AZ677" s="2"/>
      <c r="BA677" s="68" t="str">
        <f t="shared" si="48"/>
        <v>N/A</v>
      </c>
      <c r="BB677" s="2"/>
      <c r="BC677" s="2"/>
      <c r="BD677" s="2"/>
      <c r="BE677" s="2"/>
      <c r="BF677" s="118"/>
      <c r="BG677" s="190">
        <f t="shared" si="49"/>
        <v>0</v>
      </c>
      <c r="BH677" s="193">
        <f t="shared" si="50"/>
        <v>0</v>
      </c>
      <c r="BI677" s="194" t="str">
        <f t="shared" si="51"/>
        <v/>
      </c>
      <c r="BJ677" s="2"/>
      <c r="BK677" s="2"/>
      <c r="BL677" s="2"/>
      <c r="BM677" s="2"/>
      <c r="BN677" s="2"/>
      <c r="BO677" s="2"/>
      <c r="BT677" s="190">
        <f t="shared" si="52"/>
        <v>0</v>
      </c>
      <c r="BU677" s="193">
        <f t="shared" si="53"/>
        <v>0</v>
      </c>
      <c r="BV677" s="194" t="str">
        <f t="shared" si="54"/>
        <v/>
      </c>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row>
    <row r="678" spans="1:108" ht="13" customHeight="1">
      <c r="A678" s="18"/>
      <c r="B678" t="s">
        <v>1473</v>
      </c>
      <c r="G678" s="1335"/>
      <c r="H678" s="1335"/>
      <c r="I678" s="1335"/>
      <c r="J678" s="1335"/>
      <c r="K678" s="1335"/>
      <c r="L678" s="1335"/>
      <c r="M678" s="1335"/>
      <c r="N678" s="1335"/>
      <c r="O678" s="1335"/>
      <c r="P678" s="1335"/>
      <c r="Q678" s="1335"/>
      <c r="R678" s="1335"/>
      <c r="T678" s="18"/>
      <c r="U678" t="s">
        <v>1473</v>
      </c>
      <c r="Z678" s="1385"/>
      <c r="AA678" s="1385"/>
      <c r="AB678" s="1385"/>
      <c r="AC678" s="1385"/>
      <c r="AD678" s="1385"/>
      <c r="AE678" s="1385"/>
      <c r="AF678" s="1385"/>
      <c r="AG678" s="1385"/>
      <c r="AH678" s="1385"/>
      <c r="AI678" s="1385"/>
      <c r="AJ678" s="1385"/>
      <c r="AK678" s="1385"/>
      <c r="AZ678" s="2"/>
      <c r="BA678" s="68" t="str">
        <f t="shared" si="48"/>
        <v>N/A</v>
      </c>
      <c r="BB678" s="2"/>
      <c r="BC678" s="2"/>
      <c r="BD678" s="2"/>
      <c r="BE678" s="2"/>
      <c r="BF678" s="118"/>
      <c r="BG678" s="190">
        <f t="shared" si="49"/>
        <v>0</v>
      </c>
      <c r="BH678" s="193">
        <f t="shared" si="50"/>
        <v>0</v>
      </c>
      <c r="BI678" s="194" t="str">
        <f t="shared" si="51"/>
        <v/>
      </c>
      <c r="BJ678" s="2"/>
      <c r="BK678" s="2"/>
      <c r="BL678" s="2"/>
      <c r="BM678" s="2"/>
      <c r="BN678" s="2"/>
      <c r="BO678" s="2"/>
      <c r="BT678" s="190">
        <f t="shared" si="52"/>
        <v>0</v>
      </c>
      <c r="BU678" s="193">
        <f t="shared" si="53"/>
        <v>0</v>
      </c>
      <c r="BV678" s="194" t="str">
        <f t="shared" si="54"/>
        <v/>
      </c>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row>
    <row r="679" spans="1:108" ht="13" customHeight="1">
      <c r="A679" s="18"/>
      <c r="B679" t="s">
        <v>884</v>
      </c>
      <c r="G679" s="1417"/>
      <c r="H679" s="1417"/>
      <c r="I679" s="1417"/>
      <c r="J679" s="1417"/>
      <c r="K679" s="1417"/>
      <c r="L679" s="1417"/>
      <c r="O679" s="840" t="s">
        <v>1121</v>
      </c>
      <c r="P679" s="1394"/>
      <c r="Q679" s="1394"/>
      <c r="R679" s="1394"/>
      <c r="T679" s="18"/>
      <c r="U679" t="s">
        <v>884</v>
      </c>
      <c r="Z679" s="1417"/>
      <c r="AA679" s="1417"/>
      <c r="AB679" s="1417"/>
      <c r="AC679" s="1417"/>
      <c r="AD679" s="1417"/>
      <c r="AE679" s="1417"/>
      <c r="AH679" s="840" t="s">
        <v>1121</v>
      </c>
      <c r="AI679" s="1394"/>
      <c r="AJ679" s="1394"/>
      <c r="AK679" s="1394"/>
      <c r="AZ679" s="2"/>
      <c r="BA679" s="68" t="str">
        <f t="shared" si="48"/>
        <v>N/A</v>
      </c>
      <c r="BB679" s="2"/>
      <c r="BC679" s="2"/>
      <c r="BD679" s="2"/>
      <c r="BE679" s="2"/>
      <c r="BF679" s="118"/>
      <c r="BG679" s="190">
        <f t="shared" si="49"/>
        <v>0</v>
      </c>
      <c r="BH679" s="193">
        <f t="shared" si="50"/>
        <v>0</v>
      </c>
      <c r="BI679" s="194" t="str">
        <f t="shared" si="51"/>
        <v/>
      </c>
      <c r="BJ679" s="2"/>
      <c r="BK679" s="2"/>
      <c r="BL679" s="2"/>
      <c r="BM679" s="2"/>
      <c r="BN679" s="2"/>
      <c r="BO679" s="2"/>
      <c r="BT679" s="190">
        <f t="shared" si="52"/>
        <v>0</v>
      </c>
      <c r="BU679" s="193">
        <f t="shared" si="53"/>
        <v>0</v>
      </c>
      <c r="BV679" s="194" t="str">
        <f t="shared" si="54"/>
        <v/>
      </c>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row>
    <row r="680" spans="1:108" ht="13" customHeight="1">
      <c r="A680" s="18"/>
      <c r="B680" t="s">
        <v>1476</v>
      </c>
      <c r="H680" s="1335"/>
      <c r="I680" s="1335"/>
      <c r="J680" s="1335"/>
      <c r="K680" s="1335"/>
      <c r="L680" s="1335"/>
      <c r="M680" s="1335"/>
      <c r="N680" s="1335"/>
      <c r="O680" s="1335"/>
      <c r="P680" s="1335"/>
      <c r="Q680" s="1335"/>
      <c r="R680" s="1335"/>
      <c r="T680" s="18"/>
      <c r="U680" t="s">
        <v>1476</v>
      </c>
      <c r="AA680" s="1335"/>
      <c r="AB680" s="1335"/>
      <c r="AC680" s="1335"/>
      <c r="AD680" s="1335"/>
      <c r="AE680" s="1335"/>
      <c r="AF680" s="1335"/>
      <c r="AG680" s="1335"/>
      <c r="AH680" s="1335"/>
      <c r="AI680" s="1335"/>
      <c r="AJ680" s="1335"/>
      <c r="AK680" s="1335"/>
      <c r="AZ680" s="2"/>
      <c r="BA680" s="68" t="str">
        <f t="shared" si="48"/>
        <v>N/A</v>
      </c>
      <c r="BB680" s="2"/>
      <c r="BC680" s="2"/>
      <c r="BD680" s="2"/>
      <c r="BE680" s="2"/>
      <c r="BF680" s="118"/>
      <c r="BG680" s="190">
        <f t="shared" si="49"/>
        <v>0</v>
      </c>
      <c r="BH680" s="193">
        <f t="shared" si="50"/>
        <v>0</v>
      </c>
      <c r="BI680" s="194" t="str">
        <f t="shared" si="51"/>
        <v/>
      </c>
      <c r="BJ680" s="2"/>
      <c r="BK680" s="2"/>
      <c r="BL680" s="2"/>
      <c r="BM680" s="2"/>
      <c r="BN680" s="2"/>
      <c r="BO680" s="2"/>
      <c r="BT680" s="190">
        <f t="shared" si="52"/>
        <v>0</v>
      </c>
      <c r="BU680" s="193">
        <f t="shared" si="53"/>
        <v>0</v>
      </c>
      <c r="BV680" s="194" t="str">
        <f t="shared" si="54"/>
        <v/>
      </c>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row>
    <row r="681" spans="1:108" ht="13" customHeight="1">
      <c r="A681" s="18"/>
      <c r="B681" t="s">
        <v>1480</v>
      </c>
      <c r="N681" s="1381" t="s">
        <v>895</v>
      </c>
      <c r="O681" s="1381"/>
      <c r="T681" s="18"/>
      <c r="U681" t="s">
        <v>1480</v>
      </c>
      <c r="AG681" s="1381" t="s">
        <v>895</v>
      </c>
      <c r="AH681" s="1381"/>
      <c r="AZ681" s="2"/>
      <c r="BA681" s="68" t="str">
        <f t="shared" si="48"/>
        <v>N/A</v>
      </c>
      <c r="BB681" s="2"/>
      <c r="BC681" s="2"/>
      <c r="BD681" s="2"/>
      <c r="BE681" s="2"/>
      <c r="BF681" s="118"/>
      <c r="BG681" s="190">
        <f t="shared" si="49"/>
        <v>0</v>
      </c>
      <c r="BH681" s="193">
        <f t="shared" si="50"/>
        <v>0</v>
      </c>
      <c r="BI681" s="194" t="str">
        <f t="shared" si="51"/>
        <v/>
      </c>
      <c r="BJ681" s="2"/>
      <c r="BK681" s="2"/>
      <c r="BL681" s="2"/>
      <c r="BM681" s="2"/>
      <c r="BN681" s="2"/>
      <c r="BO681" s="2"/>
      <c r="BT681" s="190">
        <f t="shared" si="52"/>
        <v>0</v>
      </c>
      <c r="BU681" s="193">
        <f t="shared" si="53"/>
        <v>0</v>
      </c>
      <c r="BV681" s="194" t="str">
        <f t="shared" si="54"/>
        <v/>
      </c>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row>
    <row r="682" spans="1:108" ht="13" customHeight="1">
      <c r="A682" s="18"/>
      <c r="T682" s="18"/>
      <c r="AZ682" s="2"/>
      <c r="BA682" s="68" t="str">
        <f t="shared" si="48"/>
        <v>N/A</v>
      </c>
      <c r="BB682" s="2"/>
      <c r="BC682" s="2"/>
      <c r="BD682" s="2"/>
      <c r="BE682" s="2"/>
      <c r="BF682" s="118"/>
      <c r="BG682" s="190">
        <f t="shared" si="49"/>
        <v>0</v>
      </c>
      <c r="BH682" s="193">
        <f t="shared" si="50"/>
        <v>0</v>
      </c>
      <c r="BI682" s="194" t="str">
        <f t="shared" si="51"/>
        <v/>
      </c>
      <c r="BJ682" s="2"/>
      <c r="BK682" s="2"/>
      <c r="BL682" s="2"/>
      <c r="BM682" s="2"/>
      <c r="BN682" s="2"/>
      <c r="BO682" s="2"/>
      <c r="BT682" s="190">
        <f t="shared" si="52"/>
        <v>0</v>
      </c>
      <c r="BU682" s="193">
        <f t="shared" si="53"/>
        <v>0</v>
      </c>
      <c r="BV682" s="194" t="str">
        <f t="shared" si="54"/>
        <v/>
      </c>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row>
    <row r="683" spans="1:108" ht="13" customHeight="1">
      <c r="A683" s="37" t="s">
        <v>1468</v>
      </c>
      <c r="B683" t="s">
        <v>1471</v>
      </c>
      <c r="G683" s="1395">
        <f>C637</f>
        <v>0</v>
      </c>
      <c r="H683" s="1395"/>
      <c r="I683" s="1395"/>
      <c r="J683" s="1395"/>
      <c r="K683" s="1395"/>
      <c r="L683" s="1395"/>
      <c r="M683" s="1395"/>
      <c r="N683" s="1395"/>
      <c r="O683" s="1395"/>
      <c r="P683" s="1395"/>
      <c r="Q683" s="1395"/>
      <c r="R683" s="1395"/>
      <c r="T683" s="37" t="s">
        <v>1469</v>
      </c>
      <c r="U683" t="s">
        <v>1471</v>
      </c>
      <c r="Z683" s="1395">
        <f>C638</f>
        <v>0</v>
      </c>
      <c r="AA683" s="1395"/>
      <c r="AB683" s="1395"/>
      <c r="AC683" s="1395"/>
      <c r="AD683" s="1395"/>
      <c r="AE683" s="1395"/>
      <c r="AF683" s="1395"/>
      <c r="AG683" s="1395"/>
      <c r="AH683" s="1395"/>
      <c r="AI683" s="1395"/>
      <c r="AJ683" s="1395"/>
      <c r="AK683" s="1395"/>
      <c r="AZ683" s="2"/>
      <c r="BA683" s="68" t="str">
        <f t="shared" si="48"/>
        <v>N/A</v>
      </c>
      <c r="BB683" s="2"/>
      <c r="BC683" s="2"/>
      <c r="BD683" s="2"/>
      <c r="BE683" s="2"/>
      <c r="BF683" s="118"/>
      <c r="BG683" s="190">
        <f t="shared" si="49"/>
        <v>0</v>
      </c>
      <c r="BH683" s="193">
        <f t="shared" si="50"/>
        <v>0</v>
      </c>
      <c r="BI683" s="194" t="str">
        <f t="shared" si="51"/>
        <v/>
      </c>
      <c r="BJ683" s="2"/>
      <c r="BK683" s="2"/>
      <c r="BL683" s="2"/>
      <c r="BM683" s="2"/>
      <c r="BN683" s="2"/>
      <c r="BO683" s="2"/>
      <c r="BT683" s="190">
        <f t="shared" si="52"/>
        <v>0</v>
      </c>
      <c r="BU683" s="193">
        <f t="shared" si="53"/>
        <v>0</v>
      </c>
      <c r="BV683" s="194" t="str">
        <f t="shared" si="54"/>
        <v/>
      </c>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row>
    <row r="684" spans="1:108" ht="13" customHeight="1">
      <c r="B684" t="s">
        <v>1113</v>
      </c>
      <c r="G684" s="1335"/>
      <c r="H684" s="1335"/>
      <c r="I684" s="1335"/>
      <c r="J684" s="1335"/>
      <c r="K684" s="1335"/>
      <c r="L684" s="1335"/>
      <c r="M684" s="1335"/>
      <c r="N684" s="1335"/>
      <c r="O684" s="1335"/>
      <c r="P684" s="1335"/>
      <c r="Q684" s="1335"/>
      <c r="R684" s="1335"/>
      <c r="T684" s="18"/>
      <c r="U684" t="s">
        <v>1113</v>
      </c>
      <c r="Z684" s="1335"/>
      <c r="AA684" s="1335"/>
      <c r="AB684" s="1335"/>
      <c r="AC684" s="1335"/>
      <c r="AD684" s="1335"/>
      <c r="AE684" s="1335"/>
      <c r="AF684" s="1335"/>
      <c r="AG684" s="1335"/>
      <c r="AH684" s="1335"/>
      <c r="AI684" s="1335"/>
      <c r="AJ684" s="1335"/>
      <c r="AK684" s="1335"/>
      <c r="AZ684" s="2"/>
      <c r="BA684" s="68" t="str">
        <f t="shared" si="48"/>
        <v>N/A</v>
      </c>
      <c r="BB684" s="2"/>
      <c r="BC684" s="2"/>
      <c r="BD684" s="2"/>
      <c r="BE684" s="2"/>
      <c r="BF684" s="118"/>
      <c r="BG684" s="190">
        <f t="shared" si="49"/>
        <v>0</v>
      </c>
      <c r="BH684" s="193">
        <f t="shared" si="50"/>
        <v>0</v>
      </c>
      <c r="BI684" s="194" t="str">
        <f t="shared" si="51"/>
        <v/>
      </c>
      <c r="BJ684" s="2"/>
      <c r="BK684" s="2"/>
      <c r="BL684" s="2"/>
      <c r="BM684" s="2"/>
      <c r="BN684" s="2"/>
      <c r="BO684" s="2"/>
      <c r="BT684" s="190">
        <f t="shared" si="52"/>
        <v>0</v>
      </c>
      <c r="BU684" s="193">
        <f t="shared" si="53"/>
        <v>0</v>
      </c>
      <c r="BV684" s="194" t="str">
        <f t="shared" si="54"/>
        <v/>
      </c>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row>
    <row r="685" spans="1:108" ht="13" customHeight="1">
      <c r="B685" t="s">
        <v>982</v>
      </c>
      <c r="G685" s="1335"/>
      <c r="H685" s="1335"/>
      <c r="I685" s="1335"/>
      <c r="J685" s="1335"/>
      <c r="K685" s="1335"/>
      <c r="L685" s="1335"/>
      <c r="M685" s="1335"/>
      <c r="N685" s="1335"/>
      <c r="O685" s="1335"/>
      <c r="P685" s="1335"/>
      <c r="Q685" s="1335"/>
      <c r="R685" s="1335"/>
      <c r="U685" t="s">
        <v>982</v>
      </c>
      <c r="Z685" s="1385"/>
      <c r="AA685" s="1385"/>
      <c r="AB685" s="1385"/>
      <c r="AC685" s="1385"/>
      <c r="AD685" s="1385"/>
      <c r="AE685" s="1385"/>
      <c r="AF685" s="1385"/>
      <c r="AG685" s="1385"/>
      <c r="AH685" s="1385"/>
      <c r="AI685" s="1385"/>
      <c r="AJ685" s="1385"/>
      <c r="AK685" s="1385"/>
      <c r="AZ685" s="2"/>
      <c r="BA685" s="68" t="str">
        <f t="shared" si="48"/>
        <v>N/A</v>
      </c>
      <c r="BB685" s="2"/>
      <c r="BC685" s="2"/>
      <c r="BD685" s="2"/>
      <c r="BE685" s="2"/>
      <c r="BF685" s="118"/>
      <c r="BG685" s="190">
        <f t="shared" si="49"/>
        <v>0</v>
      </c>
      <c r="BH685" s="193">
        <f t="shared" si="50"/>
        <v>0</v>
      </c>
      <c r="BI685" s="194" t="str">
        <f t="shared" si="51"/>
        <v/>
      </c>
      <c r="BJ685" s="2"/>
      <c r="BK685" s="2"/>
      <c r="BL685" s="2"/>
      <c r="BM685" s="2"/>
      <c r="BN685" s="2"/>
      <c r="BO685" s="2"/>
      <c r="BT685" s="190">
        <f t="shared" si="52"/>
        <v>0</v>
      </c>
      <c r="BU685" s="193">
        <f t="shared" si="53"/>
        <v>0</v>
      </c>
      <c r="BV685" s="194" t="str">
        <f t="shared" si="54"/>
        <v/>
      </c>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row>
    <row r="686" spans="1:108" ht="13" customHeight="1">
      <c r="B686" t="s">
        <v>1473</v>
      </c>
      <c r="G686" s="1335"/>
      <c r="H686" s="1335"/>
      <c r="I686" s="1335"/>
      <c r="J686" s="1335"/>
      <c r="K686" s="1335"/>
      <c r="L686" s="1335"/>
      <c r="M686" s="1335"/>
      <c r="N686" s="1335"/>
      <c r="O686" s="1335"/>
      <c r="P686" s="1335"/>
      <c r="Q686" s="1335"/>
      <c r="R686" s="1335"/>
      <c r="U686" t="s">
        <v>1473</v>
      </c>
      <c r="Z686" s="1385"/>
      <c r="AA686" s="1385"/>
      <c r="AB686" s="1385"/>
      <c r="AC686" s="1385"/>
      <c r="AD686" s="1385"/>
      <c r="AE686" s="1385"/>
      <c r="AF686" s="1385"/>
      <c r="AG686" s="1385"/>
      <c r="AH686" s="1385"/>
      <c r="AI686" s="1385"/>
      <c r="AJ686" s="1385"/>
      <c r="AK686" s="1385"/>
      <c r="AZ686" s="2"/>
      <c r="BA686" s="68" t="str">
        <f t="shared" si="48"/>
        <v>N/A</v>
      </c>
      <c r="BB686" s="2"/>
      <c r="BC686" s="2"/>
      <c r="BD686" s="2"/>
      <c r="BE686" s="2"/>
      <c r="BF686" s="118"/>
      <c r="BG686" s="190">
        <f t="shared" si="49"/>
        <v>0</v>
      </c>
      <c r="BH686" s="193">
        <f t="shared" si="50"/>
        <v>0</v>
      </c>
      <c r="BI686" s="194" t="str">
        <f t="shared" si="51"/>
        <v/>
      </c>
      <c r="BJ686" s="2"/>
      <c r="BK686" s="2"/>
      <c r="BL686" s="2"/>
      <c r="BM686" s="2"/>
      <c r="BN686" s="2"/>
      <c r="BO686" s="2"/>
      <c r="BT686" s="190">
        <f t="shared" si="52"/>
        <v>0</v>
      </c>
      <c r="BU686" s="193">
        <f t="shared" si="53"/>
        <v>0</v>
      </c>
      <c r="BV686" s="194" t="str">
        <f t="shared" si="54"/>
        <v/>
      </c>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row>
    <row r="687" spans="1:108" ht="13" customHeight="1">
      <c r="B687" t="s">
        <v>884</v>
      </c>
      <c r="G687" s="1417"/>
      <c r="H687" s="1417"/>
      <c r="I687" s="1417"/>
      <c r="J687" s="1417"/>
      <c r="K687" s="1417"/>
      <c r="L687" s="1417"/>
      <c r="O687" s="840" t="s">
        <v>1121</v>
      </c>
      <c r="P687" s="1394"/>
      <c r="Q687" s="1394"/>
      <c r="R687" s="1394"/>
      <c r="U687" t="s">
        <v>884</v>
      </c>
      <c r="Z687" s="1417"/>
      <c r="AA687" s="1417"/>
      <c r="AB687" s="1417"/>
      <c r="AC687" s="1417"/>
      <c r="AD687" s="1417"/>
      <c r="AE687" s="1417"/>
      <c r="AH687" s="840" t="s">
        <v>1121</v>
      </c>
      <c r="AI687" s="1394"/>
      <c r="AJ687" s="1394"/>
      <c r="AK687" s="1394"/>
      <c r="AZ687" s="2"/>
      <c r="BA687" s="68" t="str">
        <f t="shared" si="48"/>
        <v>N/A</v>
      </c>
      <c r="BB687" s="2"/>
      <c r="BC687" s="2"/>
      <c r="BD687" s="2"/>
      <c r="BE687" s="2"/>
      <c r="BF687" s="118"/>
      <c r="BG687" s="190">
        <f t="shared" si="49"/>
        <v>0</v>
      </c>
      <c r="BH687" s="193">
        <f t="shared" si="50"/>
        <v>0</v>
      </c>
      <c r="BI687" s="194" t="str">
        <f t="shared" si="51"/>
        <v/>
      </c>
      <c r="BJ687" s="2"/>
      <c r="BK687" s="2"/>
      <c r="BL687" s="2"/>
      <c r="BM687" s="2"/>
      <c r="BN687" s="2"/>
      <c r="BO687" s="2"/>
      <c r="BT687" s="190">
        <f t="shared" si="52"/>
        <v>0</v>
      </c>
      <c r="BU687" s="193">
        <f t="shared" si="53"/>
        <v>0</v>
      </c>
      <c r="BV687" s="194" t="str">
        <f t="shared" si="54"/>
        <v/>
      </c>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row>
    <row r="688" spans="1:108" ht="13" customHeight="1">
      <c r="B688" t="s">
        <v>1476</v>
      </c>
      <c r="H688" s="1335"/>
      <c r="I688" s="1335"/>
      <c r="J688" s="1335"/>
      <c r="K688" s="1335"/>
      <c r="L688" s="1335"/>
      <c r="M688" s="1335"/>
      <c r="N688" s="1335"/>
      <c r="O688" s="1335"/>
      <c r="P688" s="1335"/>
      <c r="Q688" s="1335"/>
      <c r="R688" s="1335"/>
      <c r="U688" t="s">
        <v>1476</v>
      </c>
      <c r="AA688" s="1335"/>
      <c r="AB688" s="1335"/>
      <c r="AC688" s="1335"/>
      <c r="AD688" s="1335"/>
      <c r="AE688" s="1335"/>
      <c r="AF688" s="1335"/>
      <c r="AG688" s="1335"/>
      <c r="AH688" s="1335"/>
      <c r="AI688" s="1335"/>
      <c r="AJ688" s="1335"/>
      <c r="AK688" s="1335"/>
      <c r="AZ688" s="2"/>
      <c r="BA688" s="68" t="str">
        <f t="shared" si="48"/>
        <v>N/A</v>
      </c>
      <c r="BB688" s="2"/>
      <c r="BF688" s="118"/>
      <c r="BG688" s="190">
        <f t="shared" si="49"/>
        <v>0</v>
      </c>
      <c r="BH688" s="193">
        <f t="shared" si="50"/>
        <v>0</v>
      </c>
      <c r="BI688" s="194" t="str">
        <f t="shared" si="51"/>
        <v/>
      </c>
      <c r="BL688" s="2"/>
      <c r="BM688" s="2"/>
      <c r="BN688" s="2"/>
      <c r="BO688" s="2"/>
      <c r="BT688" s="190">
        <f t="shared" si="52"/>
        <v>0</v>
      </c>
      <c r="BU688" s="193">
        <f t="shared" si="53"/>
        <v>0</v>
      </c>
      <c r="BV688" s="194" t="str">
        <f t="shared" si="54"/>
        <v/>
      </c>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row>
    <row r="689" spans="1:110" ht="13" customHeight="1">
      <c r="B689" t="s">
        <v>1480</v>
      </c>
      <c r="N689" s="1381" t="s">
        <v>895</v>
      </c>
      <c r="O689" s="1381"/>
      <c r="U689" t="s">
        <v>1480</v>
      </c>
      <c r="AG689" s="1381" t="s">
        <v>895</v>
      </c>
      <c r="AH689" s="1381"/>
      <c r="AZ689" s="2"/>
      <c r="BA689" s="68" t="str">
        <f t="shared" si="48"/>
        <v>N/A</v>
      </c>
      <c r="BB689" s="2"/>
      <c r="BF689" s="118"/>
      <c r="BG689" s="190">
        <f t="shared" si="49"/>
        <v>0</v>
      </c>
      <c r="BH689" s="193">
        <f t="shared" si="50"/>
        <v>0</v>
      </c>
      <c r="BI689" s="194" t="str">
        <f t="shared" si="51"/>
        <v/>
      </c>
      <c r="BL689" s="2"/>
      <c r="BM689" s="2"/>
      <c r="BN689" s="2"/>
      <c r="BO689" s="2"/>
      <c r="BT689" s="190">
        <f t="shared" si="52"/>
        <v>0</v>
      </c>
      <c r="BU689" s="193">
        <f t="shared" si="53"/>
        <v>0</v>
      </c>
      <c r="BV689" s="194" t="str">
        <f t="shared" si="54"/>
        <v/>
      </c>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row>
    <row r="690" spans="1:110" ht="13" customHeight="1">
      <c r="AZ690" s="2"/>
      <c r="BA690" s="68" t="str">
        <f t="shared" si="48"/>
        <v>N/A</v>
      </c>
      <c r="BB690" s="2"/>
      <c r="BF690" s="118"/>
      <c r="BG690" s="190">
        <f t="shared" si="49"/>
        <v>0</v>
      </c>
      <c r="BH690" s="193">
        <f t="shared" si="50"/>
        <v>0</v>
      </c>
      <c r="BI690" s="194" t="str">
        <f t="shared" si="51"/>
        <v/>
      </c>
      <c r="BL690" s="2"/>
      <c r="BM690" s="2"/>
      <c r="BN690" s="2"/>
      <c r="BO690" s="2"/>
      <c r="BT690" s="190">
        <f t="shared" si="52"/>
        <v>0</v>
      </c>
      <c r="BU690" s="193">
        <f t="shared" si="53"/>
        <v>0</v>
      </c>
      <c r="BV690" s="194" t="str">
        <f t="shared" si="54"/>
        <v/>
      </c>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row>
    <row r="691" spans="1:110" ht="13" customHeight="1">
      <c r="A691" s="1" t="s">
        <v>963</v>
      </c>
      <c r="C691" s="1" t="s">
        <v>178</v>
      </c>
      <c r="E691" s="1162"/>
      <c r="F691" s="1162"/>
      <c r="G691" s="1162"/>
      <c r="H691" s="1162"/>
      <c r="AZ691" s="2"/>
      <c r="BA691" s="68" t="str">
        <f t="shared" si="48"/>
        <v>N/A</v>
      </c>
      <c r="BB691" s="2"/>
      <c r="BF691" s="118"/>
      <c r="BG691" s="190">
        <f t="shared" si="49"/>
        <v>0</v>
      </c>
      <c r="BH691" s="193">
        <f t="shared" si="50"/>
        <v>0</v>
      </c>
      <c r="BI691" s="194" t="str">
        <f t="shared" si="51"/>
        <v/>
      </c>
      <c r="BL691" s="2"/>
      <c r="BM691" s="2"/>
      <c r="BN691" s="2"/>
      <c r="BO691" s="2"/>
      <c r="BT691" s="190">
        <f t="shared" si="52"/>
        <v>0</v>
      </c>
      <c r="BU691" s="193">
        <f t="shared" si="53"/>
        <v>0</v>
      </c>
      <c r="BV691" s="194" t="str">
        <f t="shared" si="54"/>
        <v/>
      </c>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row>
    <row r="692" spans="1:110" ht="13" customHeight="1">
      <c r="B692" s="1146"/>
      <c r="C692" s="1146"/>
      <c r="D692" s="843" t="s">
        <v>1529</v>
      </c>
      <c r="E692" s="1146"/>
      <c r="F692" s="1146"/>
      <c r="G692" s="1146"/>
      <c r="H692" s="1146"/>
      <c r="AZ692" s="2"/>
      <c r="BA692" s="68" t="str">
        <f t="shared" si="48"/>
        <v>N/A</v>
      </c>
      <c r="BB692" s="2"/>
      <c r="BC692" s="2"/>
      <c r="BF692" s="118"/>
      <c r="BG692" s="190">
        <f t="shared" si="49"/>
        <v>0</v>
      </c>
      <c r="BH692" s="193">
        <f t="shared" si="50"/>
        <v>0</v>
      </c>
      <c r="BI692" s="194" t="str">
        <f t="shared" ref="BI692:BI697" si="55">IF(BH692=0,"",BH692*AC752)</f>
        <v/>
      </c>
      <c r="BM692" s="2"/>
      <c r="BN692" s="2"/>
      <c r="BO692" s="2"/>
      <c r="BT692" s="190">
        <f t="shared" si="52"/>
        <v>0</v>
      </c>
      <c r="BU692" s="193">
        <f t="shared" si="53"/>
        <v>0</v>
      </c>
      <c r="BV692" s="194" t="str">
        <f t="shared" si="54"/>
        <v/>
      </c>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row>
    <row r="693" spans="1:110" ht="13" customHeight="1">
      <c r="B693" s="1146"/>
      <c r="C693" s="1146"/>
      <c r="E693" s="843" t="s">
        <v>1530</v>
      </c>
      <c r="F693" s="1146"/>
      <c r="G693" s="1146"/>
      <c r="H693" s="1146"/>
      <c r="AE693" s="1381" t="s">
        <v>895</v>
      </c>
      <c r="AF693" s="1381"/>
      <c r="AZ693" s="2"/>
      <c r="BA693" s="68" t="str">
        <f t="shared" si="48"/>
        <v>N/A</v>
      </c>
      <c r="BB693" s="2"/>
      <c r="BC693" s="2"/>
      <c r="BD693" s="2"/>
      <c r="BG693" s="190">
        <f t="shared" si="49"/>
        <v>0</v>
      </c>
      <c r="BH693" s="193">
        <f t="shared" si="50"/>
        <v>0</v>
      </c>
      <c r="BI693" s="194" t="str">
        <f t="shared" si="55"/>
        <v/>
      </c>
      <c r="BT693" s="190">
        <f t="shared" si="52"/>
        <v>0</v>
      </c>
      <c r="BU693" s="193">
        <f t="shared" si="53"/>
        <v>0</v>
      </c>
      <c r="BV693" s="194" t="str">
        <f t="shared" si="54"/>
        <v/>
      </c>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row>
    <row r="694" spans="1:110" ht="13" customHeight="1">
      <c r="B694" s="1146"/>
      <c r="C694" s="1146"/>
      <c r="D694" s="843" t="s">
        <v>1531</v>
      </c>
      <c r="E694" s="1146"/>
      <c r="F694" s="1146"/>
      <c r="G694" s="1146"/>
      <c r="H694" s="1146"/>
      <c r="AE694" s="1381" t="s">
        <v>895</v>
      </c>
      <c r="AF694" s="1381"/>
      <c r="AZ694" s="2"/>
      <c r="BA694" s="68" t="str">
        <f t="shared" si="48"/>
        <v>N/A</v>
      </c>
      <c r="BB694" s="2"/>
      <c r="BC694" s="2"/>
      <c r="BD694" s="2"/>
      <c r="BE694" s="2"/>
      <c r="BF694" s="2"/>
      <c r="BG694" s="190">
        <f t="shared" si="49"/>
        <v>0</v>
      </c>
      <c r="BH694" s="193">
        <f t="shared" si="50"/>
        <v>0</v>
      </c>
      <c r="BI694" s="194" t="str">
        <f t="shared" si="55"/>
        <v/>
      </c>
      <c r="BJ694" s="2"/>
      <c r="BK694" s="2"/>
      <c r="BL694" s="2"/>
      <c r="BM694" s="2"/>
      <c r="BN694" s="2"/>
      <c r="BO694" s="2"/>
      <c r="BT694" s="190">
        <f t="shared" si="52"/>
        <v>0</v>
      </c>
      <c r="BU694" s="193">
        <f t="shared" si="53"/>
        <v>0</v>
      </c>
      <c r="BV694" s="194" t="str">
        <f t="shared" si="54"/>
        <v/>
      </c>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row>
    <row r="695" spans="1:110" ht="13" customHeight="1">
      <c r="B695" s="1146"/>
      <c r="C695" s="1146"/>
      <c r="D695" s="843" t="s">
        <v>1532</v>
      </c>
      <c r="E695" s="1146"/>
      <c r="F695" s="1146"/>
      <c r="G695" s="1146"/>
      <c r="H695" s="1146"/>
      <c r="AE695" s="1621">
        <v>45531</v>
      </c>
      <c r="AF695" s="1621"/>
      <c r="AG695" s="1621"/>
      <c r="AH695" s="1621"/>
      <c r="AI695" s="1621"/>
      <c r="AZ695" s="2"/>
      <c r="BA695" s="68" t="str">
        <f t="shared" si="48"/>
        <v>N/A</v>
      </c>
      <c r="BB695" s="2"/>
      <c r="BC695" s="2"/>
      <c r="BD695" s="2"/>
      <c r="BE695" s="2"/>
      <c r="BF695" s="2"/>
      <c r="BG695" s="190">
        <f t="shared" si="49"/>
        <v>0</v>
      </c>
      <c r="BH695" s="193">
        <f t="shared" si="50"/>
        <v>0</v>
      </c>
      <c r="BI695" s="194" t="str">
        <f t="shared" si="55"/>
        <v/>
      </c>
      <c r="BJ695" s="2"/>
      <c r="BK695" s="2"/>
      <c r="BL695" s="2"/>
      <c r="BM695" s="2"/>
      <c r="BN695" s="2"/>
      <c r="BO695" s="2"/>
      <c r="BT695" s="190">
        <f t="shared" si="52"/>
        <v>0</v>
      </c>
      <c r="BU695" s="193">
        <f t="shared" si="53"/>
        <v>0</v>
      </c>
      <c r="BV695" s="194" t="str">
        <f t="shared" si="54"/>
        <v/>
      </c>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row>
    <row r="696" spans="1:110" ht="13" customHeight="1">
      <c r="B696" s="1146"/>
      <c r="C696" s="1146"/>
      <c r="D696" s="212" t="s">
        <v>1533</v>
      </c>
      <c r="E696" s="1146"/>
      <c r="F696" s="1146"/>
      <c r="G696" s="1146"/>
      <c r="H696" s="1146"/>
      <c r="AE696" s="1712">
        <v>45637</v>
      </c>
      <c r="AF696" s="1712"/>
      <c r="AG696" s="1712"/>
      <c r="AH696" s="1712"/>
      <c r="AI696" s="1712"/>
      <c r="AZ696" s="2"/>
      <c r="BA696" s="68" t="str">
        <f t="shared" si="48"/>
        <v>N/A</v>
      </c>
      <c r="BB696" s="2"/>
      <c r="BC696" s="2"/>
      <c r="BD696" s="2"/>
      <c r="BE696" s="2"/>
      <c r="BF696" s="2"/>
      <c r="BG696" s="190">
        <f t="shared" si="49"/>
        <v>0</v>
      </c>
      <c r="BH696" s="193">
        <f t="shared" si="50"/>
        <v>0</v>
      </c>
      <c r="BI696" s="194" t="str">
        <f t="shared" si="55"/>
        <v/>
      </c>
      <c r="BJ696" s="2"/>
      <c r="BK696" s="2"/>
      <c r="BL696" s="2"/>
      <c r="BM696" s="2"/>
      <c r="BN696" s="2"/>
      <c r="BO696" s="2"/>
      <c r="BT696" s="190">
        <f t="shared" si="52"/>
        <v>0</v>
      </c>
      <c r="BU696" s="193">
        <f t="shared" si="53"/>
        <v>0</v>
      </c>
      <c r="BV696" s="194" t="str">
        <f t="shared" si="54"/>
        <v/>
      </c>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row>
    <row r="697" spans="1:110" ht="13" customHeight="1">
      <c r="B697" s="1146"/>
      <c r="C697" s="1146"/>
      <c r="AZ697" s="2"/>
      <c r="BA697" s="68" t="str">
        <f t="shared" si="48"/>
        <v>N/A</v>
      </c>
      <c r="BB697" s="2"/>
      <c r="BC697" s="2"/>
      <c r="BD697" s="2"/>
      <c r="BE697" s="2"/>
      <c r="BF697" s="2"/>
      <c r="BG697" s="190">
        <f t="shared" si="49"/>
        <v>0</v>
      </c>
      <c r="BH697" s="193">
        <f t="shared" si="50"/>
        <v>0</v>
      </c>
      <c r="BI697" s="194" t="str">
        <f t="shared" si="55"/>
        <v/>
      </c>
      <c r="BJ697" s="2"/>
      <c r="BK697" s="2"/>
      <c r="BL697" s="2"/>
      <c r="BM697" s="2"/>
      <c r="BN697" s="2"/>
      <c r="BO697" s="2"/>
      <c r="BT697" s="190">
        <f t="shared" si="52"/>
        <v>0</v>
      </c>
      <c r="BU697" s="193">
        <f t="shared" si="53"/>
        <v>0</v>
      </c>
      <c r="BV697" s="194" t="str">
        <f t="shared" si="54"/>
        <v/>
      </c>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row>
    <row r="698" spans="1:110" ht="13" customHeight="1">
      <c r="B698" s="1146"/>
      <c r="C698" s="1146"/>
      <c r="D698" s="843" t="s">
        <v>1534</v>
      </c>
      <c r="E698" s="1146"/>
      <c r="F698" s="1146"/>
      <c r="G698" s="1146"/>
      <c r="H698" s="1146"/>
      <c r="AE698" s="1621"/>
      <c r="AF698" s="1621"/>
      <c r="AG698" s="1621"/>
      <c r="AH698" s="1621"/>
      <c r="AI698" s="1621"/>
      <c r="AZ698" s="2"/>
      <c r="BA698" s="68" t="str">
        <f t="shared" si="48"/>
        <v>N/A</v>
      </c>
      <c r="BB698" s="2"/>
      <c r="BC698" s="2"/>
      <c r="BD698" s="2"/>
      <c r="BE698" s="2"/>
      <c r="BF698" s="2"/>
      <c r="BG698" s="190">
        <f t="shared" si="49"/>
        <v>0</v>
      </c>
      <c r="BH698" s="193">
        <f t="shared" si="50"/>
        <v>0</v>
      </c>
      <c r="BI698" s="194" t="str">
        <f>IF(BH698=0,"",BH698*AC759)</f>
        <v/>
      </c>
      <c r="BJ698" s="2"/>
      <c r="BK698" s="2"/>
      <c r="BL698" s="2"/>
      <c r="BM698" s="2"/>
      <c r="BN698" s="2"/>
      <c r="BO698" s="2"/>
      <c r="BT698" s="190">
        <f t="shared" si="52"/>
        <v>0</v>
      </c>
      <c r="BU698" s="193">
        <f t="shared" si="53"/>
        <v>0</v>
      </c>
      <c r="BV698" s="194" t="str">
        <f t="shared" si="54"/>
        <v/>
      </c>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row>
    <row r="699" spans="1:110" ht="13" customHeight="1">
      <c r="B699" s="1146"/>
      <c r="C699" s="1146"/>
      <c r="D699" s="843" t="s">
        <v>1535</v>
      </c>
      <c r="E699" s="1146"/>
      <c r="F699" s="1146"/>
      <c r="G699" s="1146"/>
      <c r="H699" s="1146"/>
      <c r="AE699" s="1710">
        <v>0.51</v>
      </c>
      <c r="AF699" s="1710"/>
      <c r="AG699" s="1710"/>
      <c r="AH699" s="1710"/>
      <c r="AI699" s="1710"/>
      <c r="AZ699" s="2"/>
      <c r="BA699" s="68" t="str">
        <f t="shared" si="48"/>
        <v>N/A</v>
      </c>
      <c r="BB699" s="2"/>
      <c r="BC699" s="2"/>
      <c r="BD699" s="2"/>
      <c r="BE699" s="2"/>
      <c r="BF699" s="2"/>
      <c r="BG699" s="190">
        <f t="shared" si="49"/>
        <v>0</v>
      </c>
      <c r="BH699" s="193">
        <f t="shared" si="50"/>
        <v>0</v>
      </c>
      <c r="BI699" s="194" t="str">
        <f>IF(BH699=0,"",BH699*AC760)</f>
        <v/>
      </c>
      <c r="BJ699" s="2"/>
      <c r="BK699" s="2"/>
      <c r="BL699" s="2"/>
      <c r="BM699" s="2"/>
      <c r="BN699" s="2"/>
      <c r="BO699" s="2"/>
      <c r="BT699" s="190">
        <f t="shared" si="52"/>
        <v>0</v>
      </c>
      <c r="BU699" s="193">
        <f t="shared" si="53"/>
        <v>0</v>
      </c>
      <c r="BV699" s="194" t="str">
        <f t="shared" si="54"/>
        <v/>
      </c>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row>
    <row r="700" spans="1:110" ht="13" customHeight="1">
      <c r="B700" s="1146"/>
      <c r="C700" s="1146"/>
      <c r="D700" s="843" t="s">
        <v>1536</v>
      </c>
      <c r="E700" s="1146"/>
      <c r="F700" s="1146"/>
      <c r="G700" s="1146"/>
      <c r="H700" s="1146"/>
      <c r="W700" s="1395" t="str">
        <f>H335</f>
        <v>California Municipal Finance Authority</v>
      </c>
      <c r="X700" s="1395"/>
      <c r="Y700" s="1395"/>
      <c r="Z700" s="1395"/>
      <c r="AA700" s="1395"/>
      <c r="AB700" s="1395"/>
      <c r="AC700" s="1395"/>
      <c r="AD700" s="1395"/>
      <c r="AE700" s="1395"/>
      <c r="AF700" s="1395"/>
      <c r="AG700" s="1395"/>
      <c r="AH700" s="1395"/>
      <c r="AI700" s="1395"/>
      <c r="AJ700" s="1395"/>
      <c r="AK700" s="1395"/>
      <c r="AZ700" s="2"/>
      <c r="BA700" s="68" t="str">
        <f>IF($G751=0,"N/A",VLOOKUP($T$189,TC_Rent,(MATCH($B751,bedrooms,FALSE))))</f>
        <v>N/A</v>
      </c>
      <c r="BB700" s="2"/>
      <c r="BC700" s="2"/>
      <c r="BD700" s="2"/>
      <c r="BE700" s="2"/>
      <c r="BF700" s="2"/>
      <c r="BG700" s="190">
        <f t="shared" si="49"/>
        <v>0</v>
      </c>
      <c r="BH700" s="193">
        <f t="shared" si="50"/>
        <v>0</v>
      </c>
      <c r="BI700" s="194" t="str">
        <f>IF(BH700=0,"",BH700*AC761)</f>
        <v/>
      </c>
      <c r="BJ700" s="2"/>
      <c r="BK700" s="2"/>
      <c r="BL700" s="2"/>
      <c r="BM700" s="2"/>
      <c r="BN700" s="2"/>
      <c r="BO700" s="2"/>
      <c r="BT700" s="190">
        <f t="shared" si="52"/>
        <v>0</v>
      </c>
      <c r="BU700" s="193">
        <f t="shared" si="53"/>
        <v>0</v>
      </c>
      <c r="BV700" s="194" t="str">
        <f t="shared" si="54"/>
        <v/>
      </c>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row>
    <row r="701" spans="1:110" ht="13" customHeight="1">
      <c r="B701" s="1146"/>
      <c r="C701" s="1146"/>
      <c r="D701" s="843"/>
      <c r="E701" s="1146"/>
      <c r="F701" s="1146"/>
      <c r="G701" s="1146"/>
      <c r="H701" s="1146"/>
      <c r="AZ701" s="2"/>
      <c r="BA701" s="68" t="str">
        <f>IF($G752=0,"N/A",VLOOKUP($T$189,TC_Rent,(MATCH($B752,bedrooms,FALSE))))</f>
        <v>N/A</v>
      </c>
      <c r="BB701" s="2"/>
      <c r="BC701" s="2"/>
      <c r="BD701" s="2"/>
      <c r="BE701" s="2"/>
      <c r="BF701" s="2"/>
      <c r="BG701" s="190">
        <f t="shared" ref="BG701" si="56">G751</f>
        <v>0</v>
      </c>
      <c r="BH701" s="193">
        <f t="shared" si="50"/>
        <v>0</v>
      </c>
      <c r="BI701" s="194" t="str">
        <f>IF(BH701=0,"",BH701*AC762)</f>
        <v/>
      </c>
      <c r="BJ701" s="2"/>
      <c r="BK701" s="2"/>
      <c r="BL701" s="2"/>
      <c r="BM701" s="2"/>
      <c r="BN701" s="2"/>
      <c r="BO701" s="2"/>
      <c r="BT701" s="190">
        <f t="shared" ref="BT701" si="57">G751</f>
        <v>0</v>
      </c>
      <c r="BU701" s="193">
        <f t="shared" si="53"/>
        <v>0</v>
      </c>
      <c r="BV701" s="194" t="str">
        <f t="shared" ref="BV701" si="58">IF(BU701=0,"",BU701*AH751)</f>
        <v/>
      </c>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row>
    <row r="702" spans="1:110" ht="13" customHeight="1">
      <c r="B702" s="1146"/>
      <c r="C702" s="1146"/>
      <c r="D702" s="843" t="s">
        <v>1537</v>
      </c>
      <c r="E702" s="1146"/>
      <c r="F702" s="1146"/>
      <c r="G702" s="1146"/>
      <c r="H702" s="1146"/>
      <c r="AE702" s="1381" t="s">
        <v>895</v>
      </c>
      <c r="AF702" s="1381"/>
      <c r="AZ702" s="2"/>
      <c r="BA702" s="2"/>
      <c r="BB702" s="2"/>
      <c r="BC702" s="2"/>
      <c r="BD702" s="2"/>
      <c r="BE702" s="2"/>
      <c r="BG702" s="190">
        <f>G752</f>
        <v>0</v>
      </c>
      <c r="BH702" s="193">
        <f t="shared" si="50"/>
        <v>0</v>
      </c>
      <c r="BI702" s="194" t="str">
        <f>IF(BH702=0,"",BH702*AC762)</f>
        <v/>
      </c>
      <c r="BJ702" s="2"/>
      <c r="BK702" s="2"/>
      <c r="BL702" s="2"/>
      <c r="BM702" s="2"/>
      <c r="BN702" s="2"/>
      <c r="BO702" s="2"/>
      <c r="BT702" s="702">
        <f>G752</f>
        <v>0</v>
      </c>
      <c r="BU702" s="193">
        <f t="shared" si="53"/>
        <v>0</v>
      </c>
      <c r="BV702" s="194" t="str">
        <f>IF(BU702=0,"",BU702*AH752)</f>
        <v/>
      </c>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row>
    <row r="703" spans="1:110" ht="13" customHeight="1">
      <c r="B703" s="1146"/>
      <c r="C703" s="1146"/>
      <c r="D703" s="843" t="s">
        <v>1538</v>
      </c>
      <c r="E703" s="1146"/>
      <c r="F703" s="1146"/>
      <c r="G703" s="1146"/>
      <c r="H703" s="1146"/>
      <c r="W703" s="1335"/>
      <c r="X703" s="1335"/>
      <c r="Y703" s="1335"/>
      <c r="Z703" s="1335"/>
      <c r="AA703" s="1335"/>
      <c r="AB703" s="1335"/>
      <c r="AC703" s="1335"/>
      <c r="AD703" s="1335"/>
      <c r="AE703" s="1335"/>
      <c r="AF703" s="1335"/>
      <c r="AG703" s="1335"/>
      <c r="AH703" s="1335"/>
      <c r="AI703" s="1335"/>
      <c r="AJ703" s="1335"/>
      <c r="AK703" s="1335"/>
      <c r="AZ703" s="2"/>
      <c r="BA703" s="2"/>
      <c r="BB703" s="2"/>
      <c r="BC703" s="2"/>
      <c r="BD703" s="2"/>
      <c r="BE703" s="2"/>
      <c r="BF703" s="187" t="s">
        <v>1539</v>
      </c>
      <c r="BG703" s="195">
        <f>SUM(BG668:BG702)</f>
        <v>52</v>
      </c>
      <c r="BH703" s="196">
        <f>SUM(BH668:BH702)</f>
        <v>0.99999999999999989</v>
      </c>
      <c r="BI703" s="196">
        <f>SUM(BI668:BI702)</f>
        <v>0.4557692307692307</v>
      </c>
      <c r="BN703" s="2"/>
      <c r="BO703" s="2"/>
      <c r="BT703" s="701">
        <f>SUM(BT668:BT702)</f>
        <v>52</v>
      </c>
      <c r="BU703" s="196">
        <f>SUM(BU668:BU702)</f>
        <v>0.99999999999999989</v>
      </c>
      <c r="BV703" s="196">
        <f>SUM(BV668:BV702)</f>
        <v>0.45572091468471859</v>
      </c>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row>
    <row r="704" spans="1:110" ht="13" customHeight="1">
      <c r="B704" s="1146"/>
      <c r="C704" s="1146"/>
      <c r="D704" s="843" t="s">
        <v>1118</v>
      </c>
      <c r="E704" s="1146"/>
      <c r="F704" s="1146"/>
      <c r="G704" s="1146"/>
      <c r="H704" s="1146"/>
      <c r="J704" s="1335"/>
      <c r="K704" s="1335"/>
      <c r="L704" s="1335"/>
      <c r="M704" s="1335"/>
      <c r="N704" s="1335"/>
      <c r="O704" s="1335"/>
      <c r="P704" s="1335"/>
      <c r="Q704" s="1335"/>
      <c r="R704" s="1335"/>
      <c r="S704" s="1335"/>
      <c r="T704" s="1335"/>
      <c r="U704" s="1335"/>
      <c r="V704" s="1335"/>
      <c r="W704" s="1335"/>
      <c r="X704" s="1335"/>
      <c r="AZ704" s="2"/>
      <c r="BA704" s="2"/>
      <c r="BB704" s="2"/>
      <c r="BC704" s="2"/>
      <c r="BD704" s="2"/>
      <c r="BE704" s="2"/>
      <c r="BF704" s="2"/>
      <c r="BJ704" s="2"/>
      <c r="BK704" s="2"/>
      <c r="BL704" s="2"/>
      <c r="BM704" s="2"/>
      <c r="BN704" s="2"/>
      <c r="BO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row>
    <row r="705" spans="1:110" ht="13" customHeight="1">
      <c r="B705" s="1146"/>
      <c r="C705" s="1146"/>
      <c r="D705" s="843" t="s">
        <v>1119</v>
      </c>
      <c r="J705" s="1417"/>
      <c r="K705" s="1417"/>
      <c r="L705" s="1417"/>
      <c r="M705" s="1417"/>
      <c r="N705" s="1417"/>
      <c r="O705" s="1417"/>
      <c r="P705" s="2" t="s">
        <v>1121</v>
      </c>
      <c r="Q705" s="2"/>
      <c r="R705" s="1394"/>
      <c r="S705" s="1394"/>
      <c r="T705" s="1394"/>
      <c r="AZ705" s="2"/>
      <c r="BA705" s="2"/>
      <c r="BB705" s="2"/>
      <c r="BC705" s="2"/>
      <c r="BD705" s="2"/>
      <c r="BE705" s="2"/>
      <c r="BF705" s="2"/>
      <c r="BJ705" s="2"/>
      <c r="BK705" s="2"/>
      <c r="BL705" s="2"/>
      <c r="BM705" s="2"/>
      <c r="BN705" s="2"/>
      <c r="BO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row>
    <row r="706" spans="1:110" ht="13" customHeight="1">
      <c r="B706" s="1146"/>
      <c r="C706" s="1146"/>
      <c r="D706" s="843" t="s">
        <v>1540</v>
      </c>
      <c r="W706" s="1335" t="s">
        <v>294</v>
      </c>
      <c r="X706" s="1335"/>
      <c r="Y706" s="1335"/>
      <c r="Z706" s="1335"/>
      <c r="AA706" s="1335"/>
      <c r="AB706" s="1335"/>
      <c r="AC706" s="1335"/>
      <c r="AD706" s="1335"/>
      <c r="AE706" s="1335"/>
      <c r="AF706" s="1335"/>
      <c r="AG706" s="1335"/>
      <c r="AH706" s="1335"/>
      <c r="AI706" s="1335"/>
      <c r="AJ706" s="1335"/>
      <c r="AK706" s="1335"/>
      <c r="AZ706" s="2"/>
      <c r="BA706" s="2"/>
      <c r="BB706" s="2"/>
      <c r="BC706" s="2"/>
      <c r="BD706" s="2"/>
      <c r="BE706" s="2"/>
      <c r="BF706" s="2"/>
      <c r="BJ706" s="2"/>
      <c r="BK706" s="2"/>
      <c r="BL706" s="2"/>
      <c r="BM706" s="2"/>
      <c r="BN706" s="2"/>
      <c r="BO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row>
    <row r="707" spans="1:110" ht="13" customHeight="1">
      <c r="B707" s="1146"/>
      <c r="C707" s="1146"/>
      <c r="D707" s="843"/>
      <c r="E707" s="1335" t="s">
        <v>1402</v>
      </c>
      <c r="F707" s="1335"/>
      <c r="G707" s="1335"/>
      <c r="H707" s="1335"/>
      <c r="I707" s="1335"/>
      <c r="J707" s="1335"/>
      <c r="K707" s="1335"/>
      <c r="L707" s="1335"/>
      <c r="M707" s="1335"/>
      <c r="N707" s="1335"/>
      <c r="O707" s="1335"/>
      <c r="P707" s="1335"/>
      <c r="Q707" s="1335"/>
      <c r="R707" s="1335"/>
      <c r="S707" s="1335"/>
      <c r="T707" s="1335"/>
      <c r="U707" s="1335"/>
      <c r="V707" s="1335"/>
      <c r="W707" s="1335"/>
      <c r="X707" s="1335"/>
      <c r="Y707" s="1335"/>
      <c r="Z707" s="1335"/>
      <c r="AA707" s="1335"/>
      <c r="AB707" s="1335"/>
      <c r="AC707" s="1335"/>
      <c r="AD707" s="1335"/>
      <c r="AE707" s="1335"/>
      <c r="AF707" s="1335"/>
      <c r="AG707" s="1335"/>
      <c r="AH707" s="1335"/>
      <c r="AI707" s="1335"/>
      <c r="AJ707" s="1335"/>
      <c r="AK707" s="1335"/>
      <c r="AZ707" s="2"/>
      <c r="BA707" s="2"/>
      <c r="BB707" s="2"/>
      <c r="BC707" s="2"/>
      <c r="BD707" s="2"/>
      <c r="BE707" s="2"/>
      <c r="BF707" s="2"/>
      <c r="BJ707" s="2"/>
      <c r="BK707" s="2"/>
      <c r="BL707" s="2"/>
      <c r="BM707" s="2"/>
      <c r="BN707" s="2"/>
      <c r="BO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row>
    <row r="708" spans="1:110" ht="13" customHeight="1">
      <c r="AZ708" s="2"/>
      <c r="BA708" s="2"/>
      <c r="BB708" s="2"/>
      <c r="BC708" s="2"/>
      <c r="BD708" s="2"/>
      <c r="BE708" s="2"/>
      <c r="BF708" s="2"/>
      <c r="BJ708" s="2"/>
      <c r="BK708" s="2"/>
      <c r="BL708" s="2"/>
      <c r="BM708" s="2"/>
      <c r="BN708" s="2"/>
      <c r="BO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row>
    <row r="709" spans="1:110" ht="13" customHeight="1">
      <c r="A709" s="1220" t="s">
        <v>1541</v>
      </c>
      <c r="B709" s="1220"/>
      <c r="C709" s="1220"/>
      <c r="D709" s="1220"/>
      <c r="E709" s="1220"/>
      <c r="F709" s="1220"/>
      <c r="G709" s="1220"/>
      <c r="H709" s="1220"/>
      <c r="I709" s="1220"/>
      <c r="J709" s="1220"/>
      <c r="K709" s="1220"/>
      <c r="L709" s="1220"/>
      <c r="M709" s="1220"/>
      <c r="N709" s="1220"/>
      <c r="O709" s="1220"/>
      <c r="P709" s="1220"/>
      <c r="Q709" s="1220"/>
      <c r="R709" s="1220"/>
      <c r="S709" s="1220"/>
      <c r="T709" s="1220"/>
      <c r="U709" s="1220"/>
      <c r="V709" s="1220"/>
      <c r="W709" s="1220"/>
      <c r="X709" s="1220"/>
      <c r="Y709" s="1220"/>
      <c r="Z709" s="1220"/>
      <c r="AA709" s="1220"/>
      <c r="AB709" s="1220"/>
      <c r="AC709" s="1220"/>
      <c r="AD709" s="1220"/>
      <c r="AE709" s="1220"/>
      <c r="AF709" s="1220"/>
      <c r="AG709" s="1220"/>
      <c r="AH709" s="1220"/>
      <c r="AI709" s="1220"/>
      <c r="AJ709" s="1220"/>
      <c r="AK709" s="1220"/>
      <c r="AL709" s="1220"/>
      <c r="AM709" s="1220"/>
      <c r="AN709" s="1220"/>
      <c r="AO709" s="1220"/>
      <c r="AP709" s="1220"/>
      <c r="AQ709" s="1220"/>
      <c r="AR709" s="1220"/>
      <c r="AS709" s="1220"/>
      <c r="AT709" s="1220"/>
      <c r="AZ709" s="2"/>
      <c r="BA709" s="2"/>
      <c r="BB709" s="2"/>
      <c r="BC709" s="2"/>
      <c r="BD709" s="2"/>
      <c r="BE709" s="2"/>
      <c r="BF709" s="2"/>
      <c r="BJ709" s="2"/>
      <c r="BK709" s="2"/>
      <c r="BL709" s="2"/>
      <c r="BM709" s="2"/>
      <c r="BN709" s="2"/>
      <c r="BO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row>
    <row r="710" spans="1:110" ht="13" customHeight="1">
      <c r="A710" s="1220"/>
      <c r="B710" s="1220"/>
      <c r="C710" s="1220"/>
      <c r="D710" s="1220"/>
      <c r="E710" s="1220"/>
      <c r="F710" s="1220"/>
      <c r="G710" s="1220"/>
      <c r="H710" s="1220"/>
      <c r="I710" s="1220"/>
      <c r="J710" s="1220"/>
      <c r="K710" s="1220"/>
      <c r="L710" s="1220"/>
      <c r="M710" s="1220"/>
      <c r="N710" s="1220"/>
      <c r="O710" s="1220"/>
      <c r="P710" s="1220"/>
      <c r="Q710" s="1220"/>
      <c r="R710" s="1220"/>
      <c r="S710" s="1220"/>
      <c r="T710" s="1220"/>
      <c r="U710" s="1220"/>
      <c r="V710" s="1220"/>
      <c r="W710" s="1220"/>
      <c r="X710" s="1220"/>
      <c r="Y710" s="1220"/>
      <c r="Z710" s="1220"/>
      <c r="AA710" s="1220"/>
      <c r="AB710" s="1220"/>
      <c r="AC710" s="1220"/>
      <c r="AD710" s="1220"/>
      <c r="AE710" s="1220"/>
      <c r="AF710" s="1220"/>
      <c r="AG710" s="1220"/>
      <c r="AH710" s="1220"/>
      <c r="AI710" s="1220"/>
      <c r="AJ710" s="1220"/>
      <c r="AK710" s="1220"/>
      <c r="AL710" s="1220"/>
      <c r="AM710" s="1220"/>
      <c r="AN710" s="1220"/>
      <c r="AO710" s="1220"/>
      <c r="AP710" s="1220"/>
      <c r="AQ710" s="1220"/>
      <c r="AR710" s="1220"/>
      <c r="AS710" s="1220"/>
      <c r="AT710" s="1220"/>
      <c r="AZ710" s="2"/>
      <c r="BA710" s="2"/>
      <c r="BB710" s="2"/>
      <c r="BC710" s="2"/>
      <c r="BD710" s="2"/>
      <c r="BE710" s="2"/>
      <c r="BF710" s="2"/>
      <c r="BJ710" s="2"/>
      <c r="BK710" s="2"/>
      <c r="BL710" s="2"/>
      <c r="BM710" s="2"/>
      <c r="BN710" s="2"/>
      <c r="BO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row>
    <row r="711" spans="1:110" ht="13" customHeight="1">
      <c r="A711" s="1220"/>
      <c r="B711" s="1220"/>
      <c r="C711" s="1220"/>
      <c r="D711" s="1220"/>
      <c r="E711" s="1220"/>
      <c r="F711" s="1220"/>
      <c r="G711" s="1220"/>
      <c r="H711" s="1220"/>
      <c r="I711" s="1220"/>
      <c r="J711" s="1220"/>
      <c r="K711" s="1220"/>
      <c r="L711" s="1220"/>
      <c r="M711" s="1220"/>
      <c r="N711" s="1220"/>
      <c r="O711" s="1220"/>
      <c r="P711" s="1220"/>
      <c r="Q711" s="1220"/>
      <c r="R711" s="1220"/>
      <c r="S711" s="1220"/>
      <c r="T711" s="1220"/>
      <c r="U711" s="1220"/>
      <c r="V711" s="1220"/>
      <c r="W711" s="1220"/>
      <c r="X711" s="1220"/>
      <c r="Y711" s="1220"/>
      <c r="Z711" s="1220"/>
      <c r="AA711" s="1220"/>
      <c r="AB711" s="1220"/>
      <c r="AC711" s="1220"/>
      <c r="AD711" s="1220"/>
      <c r="AE711" s="1220"/>
      <c r="AF711" s="1220"/>
      <c r="AG711" s="1220"/>
      <c r="AH711" s="1220"/>
      <c r="AI711" s="1220"/>
      <c r="AJ711" s="1220"/>
      <c r="AK711" s="1220"/>
      <c r="AL711" s="1220"/>
      <c r="AM711" s="1220"/>
      <c r="AN711" s="1220"/>
      <c r="AO711" s="1220"/>
      <c r="AP711" s="1220"/>
      <c r="AQ711" s="1220"/>
      <c r="AR711" s="1220"/>
      <c r="AS711" s="1220"/>
      <c r="AT711" s="1220"/>
      <c r="AZ711" s="2"/>
      <c r="BA711" s="2"/>
      <c r="BB711" s="2"/>
      <c r="BC711" s="2"/>
      <c r="BD711" s="2"/>
      <c r="BE711" s="2"/>
      <c r="BF711" s="2"/>
      <c r="BJ711" s="2"/>
      <c r="BK711" s="2"/>
      <c r="BL711" s="2"/>
      <c r="BM711" s="2"/>
      <c r="BN711" s="2"/>
      <c r="BO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row>
    <row r="712" spans="1:110" ht="13" customHeight="1">
      <c r="A712" s="1" t="s">
        <v>922</v>
      </c>
      <c r="B712" s="1"/>
      <c r="C712" s="1" t="s">
        <v>1542</v>
      </c>
      <c r="AZ712" s="2"/>
      <c r="BA712" s="2"/>
      <c r="BB712" s="2"/>
      <c r="BC712" s="2"/>
      <c r="BD712" s="2"/>
      <c r="BE712" s="2"/>
      <c r="BF712" s="2"/>
      <c r="BJ712" s="2"/>
      <c r="BK712" s="2"/>
      <c r="BL712" s="2"/>
      <c r="BM712" s="2"/>
      <c r="BN712" s="2"/>
      <c r="BO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row>
    <row r="713" spans="1:110" ht="13" customHeight="1">
      <c r="A713" s="1"/>
      <c r="B713" s="383"/>
      <c r="C713" s="1"/>
      <c r="AZ713" s="2"/>
      <c r="BA713" s="2"/>
      <c r="BB713" s="2"/>
      <c r="BC713" s="2"/>
      <c r="BD713" s="2"/>
      <c r="BE713" s="2"/>
      <c r="BF713" s="2"/>
      <c r="BJ713" s="2"/>
      <c r="BK713" s="2"/>
      <c r="BL713" s="2"/>
      <c r="BM713" s="2"/>
      <c r="BN713" s="2"/>
      <c r="BO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row>
    <row r="714" spans="1:110" ht="13" customHeight="1">
      <c r="B714" s="1424" t="s">
        <v>1543</v>
      </c>
      <c r="C714" s="1425"/>
      <c r="D714" s="1425"/>
      <c r="E714" s="1425"/>
      <c r="F714" s="1426"/>
      <c r="G714" s="1424" t="s">
        <v>1544</v>
      </c>
      <c r="H714" s="1425"/>
      <c r="I714" s="1425"/>
      <c r="J714" s="1426"/>
      <c r="K714" s="1323" t="s">
        <v>1545</v>
      </c>
      <c r="L714" s="1324"/>
      <c r="M714" s="1324"/>
      <c r="N714" s="1325"/>
      <c r="O714" s="1424" t="s">
        <v>1546</v>
      </c>
      <c r="P714" s="1425"/>
      <c r="Q714" s="1425"/>
      <c r="R714" s="1425"/>
      <c r="S714" s="1426"/>
      <c r="T714" s="1424" t="s">
        <v>1547</v>
      </c>
      <c r="U714" s="1425"/>
      <c r="V714" s="1425"/>
      <c r="W714" s="1426"/>
      <c r="X714" s="1424" t="s">
        <v>1548</v>
      </c>
      <c r="Y714" s="1425"/>
      <c r="Z714" s="1425"/>
      <c r="AA714" s="1425"/>
      <c r="AB714" s="1426"/>
      <c r="AC714" s="1424" t="s">
        <v>1549</v>
      </c>
      <c r="AD714" s="1425"/>
      <c r="AE714" s="1425"/>
      <c r="AF714" s="1425"/>
      <c r="AG714" s="1426"/>
      <c r="AH714" s="1424" t="s">
        <v>1550</v>
      </c>
      <c r="AI714" s="1425"/>
      <c r="AJ714" s="1426"/>
      <c r="AK714" s="1424" t="s">
        <v>1551</v>
      </c>
      <c r="AL714" s="1425"/>
      <c r="AM714" s="1425"/>
      <c r="AN714" s="1425"/>
      <c r="AO714" s="1426"/>
      <c r="AP714" s="2"/>
      <c r="AQ714" s="2"/>
      <c r="AR714" s="2"/>
      <c r="AS714" s="2"/>
      <c r="AZ714" s="2"/>
      <c r="BA714" s="2"/>
      <c r="BB714" s="2"/>
      <c r="BC714" s="2"/>
      <c r="BD714" s="2"/>
      <c r="BE714" s="2"/>
      <c r="BF714" s="2"/>
      <c r="BJ714" s="2"/>
      <c r="BK714" s="2"/>
      <c r="BL714" s="2"/>
      <c r="BM714" s="2"/>
      <c r="BN714" s="2"/>
      <c r="BO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row>
    <row r="715" spans="1:110" ht="13" customHeight="1">
      <c r="B715" s="1427"/>
      <c r="C715" s="1428"/>
      <c r="D715" s="1428"/>
      <c r="E715" s="1428"/>
      <c r="F715" s="1429"/>
      <c r="G715" s="1427"/>
      <c r="H715" s="1428"/>
      <c r="I715" s="1428"/>
      <c r="J715" s="1429"/>
      <c r="K715" s="1326"/>
      <c r="L715" s="1327"/>
      <c r="M715" s="1327"/>
      <c r="N715" s="1328"/>
      <c r="O715" s="1427"/>
      <c r="P715" s="1428"/>
      <c r="Q715" s="1428"/>
      <c r="R715" s="1428"/>
      <c r="S715" s="1429"/>
      <c r="T715" s="1427"/>
      <c r="U715" s="1428"/>
      <c r="V715" s="1428"/>
      <c r="W715" s="1429"/>
      <c r="X715" s="1427"/>
      <c r="Y715" s="1428"/>
      <c r="Z715" s="1428"/>
      <c r="AA715" s="1428"/>
      <c r="AB715" s="1429"/>
      <c r="AC715" s="1427"/>
      <c r="AD715" s="1428"/>
      <c r="AE715" s="1428"/>
      <c r="AF715" s="1428"/>
      <c r="AG715" s="1429"/>
      <c r="AH715" s="1427"/>
      <c r="AI715" s="1428"/>
      <c r="AJ715" s="1429"/>
      <c r="AK715" s="1427"/>
      <c r="AL715" s="1428"/>
      <c r="AM715" s="1428"/>
      <c r="AN715" s="1428"/>
      <c r="AO715" s="1429"/>
      <c r="AP715" s="2"/>
      <c r="AQ715" s="2"/>
      <c r="AR715" s="2"/>
      <c r="AS715" s="2"/>
      <c r="AZ715" s="2"/>
      <c r="BA715" s="2"/>
      <c r="BB715" s="2"/>
      <c r="BC715" s="2"/>
      <c r="BD715" s="2"/>
      <c r="BE715" s="2"/>
      <c r="BF715" s="2"/>
      <c r="BJ715" s="2"/>
      <c r="BK715" s="2"/>
      <c r="BL715" s="2"/>
      <c r="BM715" s="2"/>
      <c r="BN715" s="2"/>
      <c r="BO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row>
    <row r="716" spans="1:110" ht="13" customHeight="1">
      <c r="A716" s="2"/>
      <c r="B716" s="1427"/>
      <c r="C716" s="1428"/>
      <c r="D716" s="1428"/>
      <c r="E716" s="1428"/>
      <c r="F716" s="1429"/>
      <c r="G716" s="1427"/>
      <c r="H716" s="1428"/>
      <c r="I716" s="1428"/>
      <c r="J716" s="1429"/>
      <c r="K716" s="1326"/>
      <c r="L716" s="1327"/>
      <c r="M716" s="1327"/>
      <c r="N716" s="1328"/>
      <c r="O716" s="1427"/>
      <c r="P716" s="1428"/>
      <c r="Q716" s="1428"/>
      <c r="R716" s="1428"/>
      <c r="S716" s="1429"/>
      <c r="T716" s="1427"/>
      <c r="U716" s="1428"/>
      <c r="V716" s="1428"/>
      <c r="W716" s="1429"/>
      <c r="X716" s="1427"/>
      <c r="Y716" s="1428"/>
      <c r="Z716" s="1428"/>
      <c r="AA716" s="1428"/>
      <c r="AB716" s="1429"/>
      <c r="AC716" s="1427"/>
      <c r="AD716" s="1428"/>
      <c r="AE716" s="1428"/>
      <c r="AF716" s="1428"/>
      <c r="AG716" s="1429"/>
      <c r="AH716" s="1427"/>
      <c r="AI716" s="1428"/>
      <c r="AJ716" s="1429"/>
      <c r="AK716" s="1427"/>
      <c r="AL716" s="1428"/>
      <c r="AM716" s="1428"/>
      <c r="AN716" s="1428"/>
      <c r="AO716" s="1429"/>
      <c r="AP716" s="2"/>
      <c r="AQ716" s="2"/>
      <c r="AR716" s="2"/>
      <c r="AS716" s="2"/>
      <c r="AZ716" s="2"/>
      <c r="BA716" s="2"/>
      <c r="BB716" s="2"/>
      <c r="BC716" s="2"/>
      <c r="BD716" s="2"/>
      <c r="BE716" s="2"/>
      <c r="BF716" s="2"/>
      <c r="BJ716" s="2"/>
      <c r="BK716" s="2"/>
      <c r="BL716" s="2"/>
      <c r="BM716" s="2"/>
      <c r="BN716" s="2"/>
      <c r="BO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row>
    <row r="717" spans="1:110" ht="13" customHeight="1">
      <c r="A717" s="2"/>
      <c r="B717" s="1430"/>
      <c r="C717" s="1431"/>
      <c r="D717" s="1431"/>
      <c r="E717" s="1431"/>
      <c r="F717" s="1432"/>
      <c r="G717" s="1430"/>
      <c r="H717" s="1431"/>
      <c r="I717" s="1431"/>
      <c r="J717" s="1432"/>
      <c r="K717" s="1326"/>
      <c r="L717" s="1327"/>
      <c r="M717" s="1327"/>
      <c r="N717" s="1328"/>
      <c r="O717" s="1430"/>
      <c r="P717" s="1431"/>
      <c r="Q717" s="1431"/>
      <c r="R717" s="1431"/>
      <c r="S717" s="1432"/>
      <c r="T717" s="1430"/>
      <c r="U717" s="1431"/>
      <c r="V717" s="1431"/>
      <c r="W717" s="1432"/>
      <c r="X717" s="1430"/>
      <c r="Y717" s="1431"/>
      <c r="Z717" s="1431"/>
      <c r="AA717" s="1431"/>
      <c r="AB717" s="1432"/>
      <c r="AC717" s="1430"/>
      <c r="AD717" s="1431"/>
      <c r="AE717" s="1431"/>
      <c r="AF717" s="1431"/>
      <c r="AG717" s="1432"/>
      <c r="AH717" s="1430"/>
      <c r="AI717" s="1431"/>
      <c r="AJ717" s="1432"/>
      <c r="AK717" s="1430"/>
      <c r="AL717" s="1431"/>
      <c r="AM717" s="1431"/>
      <c r="AN717" s="1431"/>
      <c r="AO717" s="1432"/>
      <c r="AP717" s="2"/>
      <c r="AQ717" s="2"/>
      <c r="AR717" s="2"/>
      <c r="AS717" s="2"/>
      <c r="AZ717" s="2"/>
      <c r="BA717" s="2"/>
      <c r="BB717" s="2"/>
      <c r="BC717" s="2"/>
      <c r="BD717" s="2"/>
      <c r="BE717" s="2"/>
      <c r="BF717" s="2"/>
      <c r="BJ717" s="2"/>
      <c r="BK717" s="2"/>
      <c r="BL717" s="2"/>
      <c r="BM717" s="2"/>
      <c r="BN717" s="2"/>
      <c r="BO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row>
    <row r="718" spans="1:110" ht="13" customHeight="1">
      <c r="A718" s="2"/>
      <c r="B718" s="1313" t="s">
        <v>1378</v>
      </c>
      <c r="C718" s="1314"/>
      <c r="D718" s="1314"/>
      <c r="E718" s="1314"/>
      <c r="F718" s="1315"/>
      <c r="G718" s="1307">
        <v>6</v>
      </c>
      <c r="H718" s="1308"/>
      <c r="I718" s="1308"/>
      <c r="J718" s="1309"/>
      <c r="K718" s="1310">
        <v>572</v>
      </c>
      <c r="L718" s="1311"/>
      <c r="M718" s="1311"/>
      <c r="N718" s="1312"/>
      <c r="O718" s="1316">
        <v>1277</v>
      </c>
      <c r="P718" s="1317"/>
      <c r="Q718" s="1317"/>
      <c r="R718" s="1317"/>
      <c r="S718" s="1318"/>
      <c r="T718" s="1316">
        <v>100</v>
      </c>
      <c r="U718" s="1317"/>
      <c r="V718" s="1317"/>
      <c r="W718" s="1318"/>
      <c r="X718" s="1340">
        <f t="shared" ref="X718:X741" si="59">O718+T718</f>
        <v>1377</v>
      </c>
      <c r="Y718" s="1341"/>
      <c r="Z718" s="1341"/>
      <c r="AA718" s="1341"/>
      <c r="AB718" s="1342"/>
      <c r="AC718" s="1319">
        <v>0.6</v>
      </c>
      <c r="AD718" s="1320"/>
      <c r="AE718" s="1320"/>
      <c r="AF718" s="1320"/>
      <c r="AG718" s="1321"/>
      <c r="AH718" s="1332">
        <f t="shared" ref="AH718:AH751" si="60">IF($AC718&gt;0,($X718/$BA667), "")</f>
        <v>0.59973867595818819</v>
      </c>
      <c r="AI718" s="1333"/>
      <c r="AJ718" s="1334"/>
      <c r="AK718" s="1313" t="s">
        <v>299</v>
      </c>
      <c r="AL718" s="1314"/>
      <c r="AM718" s="1314"/>
      <c r="AN718" s="1314"/>
      <c r="AO718" s="1315"/>
      <c r="AP718" s="2"/>
      <c r="AQ718" s="2"/>
      <c r="AR718" s="2"/>
      <c r="AS718" s="2"/>
      <c r="AZ718" s="2"/>
      <c r="BA718" s="2"/>
      <c r="BB718" s="2"/>
      <c r="BC718" s="2"/>
      <c r="BD718" s="2"/>
      <c r="BE718" s="2"/>
      <c r="BF718" s="2"/>
      <c r="BJ718" s="2"/>
      <c r="BK718" s="2"/>
      <c r="BL718" s="2"/>
      <c r="BM718" s="2"/>
      <c r="BN718" s="2"/>
      <c r="BO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row>
    <row r="719" spans="1:110" ht="13" customHeight="1">
      <c r="A719" s="2"/>
      <c r="B719" s="1313" t="s">
        <v>1379</v>
      </c>
      <c r="C719" s="1314"/>
      <c r="D719" s="1314"/>
      <c r="E719" s="1314"/>
      <c r="F719" s="1315"/>
      <c r="G719" s="1307">
        <v>14</v>
      </c>
      <c r="H719" s="1308"/>
      <c r="I719" s="1308"/>
      <c r="J719" s="1309"/>
      <c r="K719" s="1310">
        <v>735</v>
      </c>
      <c r="L719" s="1311"/>
      <c r="M719" s="1311"/>
      <c r="N719" s="1312"/>
      <c r="O719" s="1316">
        <v>1517</v>
      </c>
      <c r="P719" s="1317"/>
      <c r="Q719" s="1317"/>
      <c r="R719" s="1317"/>
      <c r="S719" s="1318"/>
      <c r="T719" s="1316">
        <v>136</v>
      </c>
      <c r="U719" s="1317"/>
      <c r="V719" s="1317"/>
      <c r="W719" s="1318"/>
      <c r="X719" s="1340">
        <f t="shared" si="59"/>
        <v>1653</v>
      </c>
      <c r="Y719" s="1341"/>
      <c r="Z719" s="1341"/>
      <c r="AA719" s="1341"/>
      <c r="AB719" s="1342"/>
      <c r="AC719" s="1319">
        <v>0.6</v>
      </c>
      <c r="AD719" s="1320"/>
      <c r="AE719" s="1320"/>
      <c r="AF719" s="1320"/>
      <c r="AG719" s="1321"/>
      <c r="AH719" s="1332">
        <f t="shared" si="60"/>
        <v>0.60021786492374729</v>
      </c>
      <c r="AI719" s="1333"/>
      <c r="AJ719" s="1334"/>
      <c r="AK719" s="1313" t="s">
        <v>299</v>
      </c>
      <c r="AL719" s="1314"/>
      <c r="AM719" s="1314"/>
      <c r="AN719" s="1314"/>
      <c r="AO719" s="1315"/>
      <c r="AP719" s="2"/>
      <c r="AQ719" s="2"/>
      <c r="AR719" s="2"/>
      <c r="AS719" s="2"/>
      <c r="AZ719" s="2"/>
      <c r="BA719" s="2"/>
      <c r="BB719" s="2"/>
      <c r="BC719" s="2"/>
      <c r="BD719" s="2"/>
      <c r="BE719" s="2"/>
      <c r="BF719" s="2"/>
      <c r="BJ719" s="2"/>
      <c r="BK719" s="2"/>
      <c r="BL719" s="2"/>
      <c r="BM719" s="2"/>
      <c r="BN719" s="2"/>
      <c r="BO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row>
    <row r="720" spans="1:110" ht="13" customHeight="1">
      <c r="A720" s="2"/>
      <c r="B720" s="1313" t="s">
        <v>1379</v>
      </c>
      <c r="C720" s="1314"/>
      <c r="D720" s="1314"/>
      <c r="E720" s="1314"/>
      <c r="F720" s="1315"/>
      <c r="G720" s="1307">
        <v>10</v>
      </c>
      <c r="H720" s="1308"/>
      <c r="I720" s="1308"/>
      <c r="J720" s="1309"/>
      <c r="K720" s="1310">
        <v>735</v>
      </c>
      <c r="L720" s="1311"/>
      <c r="M720" s="1311"/>
      <c r="N720" s="1312"/>
      <c r="O720" s="1316">
        <v>690</v>
      </c>
      <c r="P720" s="1317"/>
      <c r="Q720" s="1317"/>
      <c r="R720" s="1317"/>
      <c r="S720" s="1318"/>
      <c r="T720" s="1316">
        <v>136</v>
      </c>
      <c r="U720" s="1317"/>
      <c r="V720" s="1317"/>
      <c r="W720" s="1318"/>
      <c r="X720" s="1340">
        <f t="shared" si="59"/>
        <v>826</v>
      </c>
      <c r="Y720" s="1341"/>
      <c r="Z720" s="1341"/>
      <c r="AA720" s="1341"/>
      <c r="AB720" s="1342"/>
      <c r="AC720" s="1319">
        <v>0.3</v>
      </c>
      <c r="AD720" s="1320"/>
      <c r="AE720" s="1320"/>
      <c r="AF720" s="1320"/>
      <c r="AG720" s="1321"/>
      <c r="AH720" s="1332">
        <f t="shared" si="60"/>
        <v>0.29992737835875088</v>
      </c>
      <c r="AI720" s="1333"/>
      <c r="AJ720" s="1334"/>
      <c r="AK720" s="1313" t="s">
        <v>299</v>
      </c>
      <c r="AL720" s="1314"/>
      <c r="AM720" s="1314"/>
      <c r="AN720" s="1314"/>
      <c r="AO720" s="1315"/>
      <c r="AP720" s="2"/>
      <c r="AQ720" s="2"/>
      <c r="AR720" s="2"/>
      <c r="AS720" s="2"/>
      <c r="AZ720" s="2"/>
      <c r="BA720" s="2"/>
      <c r="BB720" s="2"/>
      <c r="BC720" s="2"/>
      <c r="BD720" s="2"/>
      <c r="BE720" s="2"/>
      <c r="BF720" s="2"/>
      <c r="BK720" s="2"/>
      <c r="BL720" s="2"/>
      <c r="BM720" s="2"/>
      <c r="BN720" s="2"/>
      <c r="BO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row>
    <row r="721" spans="1:110" ht="13" customHeight="1">
      <c r="B721" s="1313" t="s">
        <v>1380</v>
      </c>
      <c r="C721" s="1314"/>
      <c r="D721" s="1314"/>
      <c r="E721" s="1314"/>
      <c r="F721" s="1315"/>
      <c r="G721" s="1307">
        <v>7</v>
      </c>
      <c r="H721" s="1308"/>
      <c r="I721" s="1308"/>
      <c r="J721" s="1309"/>
      <c r="K721" s="1310">
        <v>930</v>
      </c>
      <c r="L721" s="1311"/>
      <c r="M721" s="1311"/>
      <c r="N721" s="1312"/>
      <c r="O721" s="1316">
        <v>1734</v>
      </c>
      <c r="P721" s="1317"/>
      <c r="Q721" s="1317"/>
      <c r="R721" s="1317"/>
      <c r="S721" s="1318"/>
      <c r="T721" s="1316">
        <v>175</v>
      </c>
      <c r="U721" s="1317"/>
      <c r="V721" s="1317"/>
      <c r="W721" s="1318"/>
      <c r="X721" s="1340">
        <f t="shared" si="59"/>
        <v>1909</v>
      </c>
      <c r="Y721" s="1341"/>
      <c r="Z721" s="1341"/>
      <c r="AA721" s="1341"/>
      <c r="AB721" s="1342"/>
      <c r="AC721" s="1319">
        <v>0.6</v>
      </c>
      <c r="AD721" s="1320"/>
      <c r="AE721" s="1320"/>
      <c r="AF721" s="1320"/>
      <c r="AG721" s="1321"/>
      <c r="AH721" s="1332">
        <f t="shared" si="60"/>
        <v>0.59993714644877438</v>
      </c>
      <c r="AI721" s="1333"/>
      <c r="AJ721" s="1334"/>
      <c r="AK721" s="1313" t="s">
        <v>299</v>
      </c>
      <c r="AL721" s="1314"/>
      <c r="AM721" s="1314"/>
      <c r="AN721" s="1314"/>
      <c r="AO721" s="1315"/>
      <c r="AP721" s="2"/>
      <c r="AQ721" s="2"/>
      <c r="AR721" s="2"/>
      <c r="AS721" s="2"/>
      <c r="AY721" s="69"/>
      <c r="AZ721" s="69"/>
      <c r="BA721" s="69"/>
      <c r="BB721" s="69"/>
      <c r="BC721" s="69"/>
      <c r="BD721" s="2"/>
      <c r="BE721" s="2"/>
      <c r="BF721" s="2"/>
      <c r="BK721" s="2"/>
      <c r="BL721" s="2"/>
      <c r="BM721" s="2"/>
      <c r="BN721" s="2"/>
      <c r="BO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row>
    <row r="722" spans="1:110" ht="13" customHeight="1">
      <c r="B722" s="1313" t="s">
        <v>1380</v>
      </c>
      <c r="C722" s="1314"/>
      <c r="D722" s="1314"/>
      <c r="E722" s="1314"/>
      <c r="F722" s="1315"/>
      <c r="G722" s="1307">
        <v>15</v>
      </c>
      <c r="H722" s="1308"/>
      <c r="I722" s="1308"/>
      <c r="J722" s="1309"/>
      <c r="K722" s="1310">
        <v>930</v>
      </c>
      <c r="L722" s="1311"/>
      <c r="M722" s="1311"/>
      <c r="N722" s="1312"/>
      <c r="O722" s="1316">
        <v>779</v>
      </c>
      <c r="P722" s="1317"/>
      <c r="Q722" s="1317"/>
      <c r="R722" s="1317"/>
      <c r="S722" s="1318"/>
      <c r="T722" s="1316">
        <v>175</v>
      </c>
      <c r="U722" s="1317"/>
      <c r="V722" s="1317"/>
      <c r="W722" s="1318"/>
      <c r="X722" s="1340">
        <f t="shared" si="59"/>
        <v>954</v>
      </c>
      <c r="Y722" s="1341"/>
      <c r="Z722" s="1341"/>
      <c r="AA722" s="1341"/>
      <c r="AB722" s="1342"/>
      <c r="AC722" s="1319">
        <v>0.3</v>
      </c>
      <c r="AD722" s="1320"/>
      <c r="AE722" s="1320"/>
      <c r="AF722" s="1320"/>
      <c r="AG722" s="1321"/>
      <c r="AH722" s="1332">
        <f t="shared" si="60"/>
        <v>0.29981143934632309</v>
      </c>
      <c r="AI722" s="1333"/>
      <c r="AJ722" s="1334"/>
      <c r="AK722" s="1313" t="s">
        <v>299</v>
      </c>
      <c r="AL722" s="1314"/>
      <c r="AM722" s="1314"/>
      <c r="AN722" s="1314"/>
      <c r="AO722" s="1315"/>
      <c r="AP722" s="2"/>
      <c r="AQ722" s="2"/>
      <c r="AR722" s="2"/>
      <c r="AS722" s="2"/>
      <c r="AY722" s="69"/>
      <c r="AZ722" s="69"/>
      <c r="BA722" s="69"/>
      <c r="BB722" s="69"/>
      <c r="BC722" s="69"/>
      <c r="BD722" s="2"/>
      <c r="BE722" s="2"/>
      <c r="BF722" s="2"/>
      <c r="BK722" s="2"/>
      <c r="BL722" s="2"/>
      <c r="BM722" s="2"/>
      <c r="BN722" s="2"/>
      <c r="BO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row>
    <row r="723" spans="1:110" ht="13" customHeight="1">
      <c r="B723" s="1313"/>
      <c r="C723" s="1314"/>
      <c r="D723" s="1314"/>
      <c r="E723" s="1314"/>
      <c r="F723" s="1315"/>
      <c r="G723" s="1307"/>
      <c r="H723" s="1308"/>
      <c r="I723" s="1308"/>
      <c r="J723" s="1309"/>
      <c r="K723" s="1310"/>
      <c r="L723" s="1311"/>
      <c r="M723" s="1311"/>
      <c r="N723" s="1312"/>
      <c r="O723" s="1316"/>
      <c r="P723" s="1317"/>
      <c r="Q723" s="1317"/>
      <c r="R723" s="1317"/>
      <c r="S723" s="1318"/>
      <c r="T723" s="1316"/>
      <c r="U723" s="1317"/>
      <c r="V723" s="1317"/>
      <c r="W723" s="1318"/>
      <c r="X723" s="1340">
        <f t="shared" si="59"/>
        <v>0</v>
      </c>
      <c r="Y723" s="1341"/>
      <c r="Z723" s="1341"/>
      <c r="AA723" s="1341"/>
      <c r="AB723" s="1342"/>
      <c r="AC723" s="1319"/>
      <c r="AD723" s="1320"/>
      <c r="AE723" s="1320"/>
      <c r="AF723" s="1320"/>
      <c r="AG723" s="1321"/>
      <c r="AH723" s="1332" t="str">
        <f t="shared" si="60"/>
        <v/>
      </c>
      <c r="AI723" s="1333"/>
      <c r="AJ723" s="1334"/>
      <c r="AK723" s="1313" t="s">
        <v>299</v>
      </c>
      <c r="AL723" s="1314"/>
      <c r="AM723" s="1314"/>
      <c r="AN723" s="1314"/>
      <c r="AO723" s="1315"/>
      <c r="AP723" s="2"/>
      <c r="AQ723" s="2"/>
      <c r="AR723" s="2"/>
      <c r="AS723" s="2"/>
      <c r="AY723" s="69"/>
      <c r="AZ723" s="69"/>
      <c r="BA723" s="69"/>
      <c r="BB723" s="69"/>
      <c r="BC723" s="69"/>
      <c r="BD723" s="2"/>
      <c r="BE723" s="2"/>
      <c r="BF723" s="2"/>
      <c r="BK723" s="2"/>
      <c r="BL723" s="2"/>
      <c r="BM723" s="2"/>
      <c r="BN723" s="2"/>
      <c r="BO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row>
    <row r="724" spans="1:110" ht="13" customHeight="1">
      <c r="B724" s="1313"/>
      <c r="C724" s="1314"/>
      <c r="D724" s="1314"/>
      <c r="E724" s="1314"/>
      <c r="F724" s="1315"/>
      <c r="G724" s="1307"/>
      <c r="H724" s="1308"/>
      <c r="I724" s="1308"/>
      <c r="J724" s="1309"/>
      <c r="K724" s="1310"/>
      <c r="L724" s="1311"/>
      <c r="M724" s="1311"/>
      <c r="N724" s="1312"/>
      <c r="O724" s="1316"/>
      <c r="P724" s="1317"/>
      <c r="Q724" s="1317"/>
      <c r="R724" s="1317"/>
      <c r="S724" s="1318"/>
      <c r="T724" s="1316"/>
      <c r="U724" s="1317"/>
      <c r="V724" s="1317"/>
      <c r="W724" s="1318"/>
      <c r="X724" s="1340">
        <f t="shared" si="59"/>
        <v>0</v>
      </c>
      <c r="Y724" s="1341"/>
      <c r="Z724" s="1341"/>
      <c r="AA724" s="1341"/>
      <c r="AB724" s="1342"/>
      <c r="AC724" s="1319"/>
      <c r="AD724" s="1320"/>
      <c r="AE724" s="1320"/>
      <c r="AF724" s="1320"/>
      <c r="AG724" s="1321"/>
      <c r="AH724" s="1332" t="str">
        <f t="shared" si="60"/>
        <v/>
      </c>
      <c r="AI724" s="1333"/>
      <c r="AJ724" s="1334"/>
      <c r="AK724" s="1313" t="s">
        <v>299</v>
      </c>
      <c r="AL724" s="1314"/>
      <c r="AM724" s="1314"/>
      <c r="AN724" s="1314"/>
      <c r="AO724" s="1315"/>
      <c r="AP724" s="2"/>
      <c r="AQ724" s="2"/>
      <c r="AR724" s="2"/>
      <c r="AS724" s="2"/>
      <c r="AY724" s="69"/>
      <c r="AZ724" s="69"/>
      <c r="BA724" s="69"/>
      <c r="BB724" s="69"/>
      <c r="BC724" s="69"/>
      <c r="BD724" s="2"/>
      <c r="BE724" s="2"/>
      <c r="BF724" s="2"/>
      <c r="BK724" s="2"/>
      <c r="BL724" s="2"/>
      <c r="BM724" s="2"/>
      <c r="BN724" s="2"/>
      <c r="BO724" s="2"/>
      <c r="CC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row>
    <row r="725" spans="1:110" ht="13" customHeight="1">
      <c r="B725" s="1313"/>
      <c r="C725" s="1314"/>
      <c r="D725" s="1314"/>
      <c r="E725" s="1314"/>
      <c r="F725" s="1315"/>
      <c r="G725" s="1307"/>
      <c r="H725" s="1308"/>
      <c r="I725" s="1308"/>
      <c r="J725" s="1309"/>
      <c r="K725" s="1310"/>
      <c r="L725" s="1311"/>
      <c r="M725" s="1311"/>
      <c r="N725" s="1312"/>
      <c r="O725" s="1316"/>
      <c r="P725" s="1317"/>
      <c r="Q725" s="1317"/>
      <c r="R725" s="1317"/>
      <c r="S725" s="1318"/>
      <c r="T725" s="1316"/>
      <c r="U725" s="1317"/>
      <c r="V725" s="1317"/>
      <c r="W725" s="1318"/>
      <c r="X725" s="1340">
        <f t="shared" si="59"/>
        <v>0</v>
      </c>
      <c r="Y725" s="1341"/>
      <c r="Z725" s="1341"/>
      <c r="AA725" s="1341"/>
      <c r="AB725" s="1342"/>
      <c r="AC725" s="1319"/>
      <c r="AD725" s="1320"/>
      <c r="AE725" s="1320"/>
      <c r="AF725" s="1320"/>
      <c r="AG725" s="1321"/>
      <c r="AH725" s="1332" t="str">
        <f t="shared" si="60"/>
        <v/>
      </c>
      <c r="AI725" s="1333"/>
      <c r="AJ725" s="1334"/>
      <c r="AK725" s="1313" t="s">
        <v>299</v>
      </c>
      <c r="AL725" s="1314"/>
      <c r="AM725" s="1314"/>
      <c r="AN725" s="1314"/>
      <c r="AO725" s="1315"/>
      <c r="AP725" s="2"/>
      <c r="AQ725" s="2"/>
      <c r="AR725" s="2"/>
      <c r="AS725" s="2"/>
      <c r="AY725" s="784"/>
      <c r="AZ725" s="784"/>
      <c r="BA725" s="784"/>
      <c r="BB725" s="784"/>
      <c r="BC725" s="784"/>
      <c r="BD725" s="2"/>
      <c r="BE725" s="2"/>
      <c r="BF725" s="2"/>
      <c r="BK725" s="2"/>
      <c r="BL725" s="2"/>
      <c r="BM725" s="2"/>
      <c r="BN725" s="2"/>
      <c r="BO725" s="2"/>
      <c r="BP725" s="182"/>
      <c r="BQ725" s="114"/>
      <c r="BR725" s="1058"/>
      <c r="BS725" s="1058"/>
      <c r="BT725" s="1058"/>
      <c r="BU725" s="1058"/>
      <c r="BV725" s="1058"/>
      <c r="BW725" s="2"/>
      <c r="BX725" s="2"/>
      <c r="BY725" s="2"/>
      <c r="BZ725" s="2"/>
      <c r="CA725" s="2"/>
      <c r="CB725" s="2"/>
      <c r="CC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row>
    <row r="726" spans="1:110" ht="13" customHeight="1">
      <c r="B726" s="1313"/>
      <c r="C726" s="1314"/>
      <c r="D726" s="1314"/>
      <c r="E726" s="1314"/>
      <c r="F726" s="1315"/>
      <c r="G726" s="1307"/>
      <c r="H726" s="1308"/>
      <c r="I726" s="1308"/>
      <c r="J726" s="1309"/>
      <c r="K726" s="1310"/>
      <c r="L726" s="1311"/>
      <c r="M726" s="1311"/>
      <c r="N726" s="1312"/>
      <c r="O726" s="1316"/>
      <c r="P726" s="1317"/>
      <c r="Q726" s="1317"/>
      <c r="R726" s="1317"/>
      <c r="S726" s="1318"/>
      <c r="T726" s="1316"/>
      <c r="U726" s="1317"/>
      <c r="V726" s="1317"/>
      <c r="W726" s="1318"/>
      <c r="X726" s="1340">
        <f t="shared" si="59"/>
        <v>0</v>
      </c>
      <c r="Y726" s="1341"/>
      <c r="Z726" s="1341"/>
      <c r="AA726" s="1341"/>
      <c r="AB726" s="1342"/>
      <c r="AC726" s="1319"/>
      <c r="AD726" s="1320"/>
      <c r="AE726" s="1320"/>
      <c r="AF726" s="1320"/>
      <c r="AG726" s="1321"/>
      <c r="AH726" s="1332" t="str">
        <f t="shared" si="60"/>
        <v/>
      </c>
      <c r="AI726" s="1333"/>
      <c r="AJ726" s="1334"/>
      <c r="AK726" s="1313" t="s">
        <v>299</v>
      </c>
      <c r="AL726" s="1314"/>
      <c r="AM726" s="1314"/>
      <c r="AN726" s="1314"/>
      <c r="AO726" s="1315"/>
      <c r="AP726" s="2"/>
      <c r="AQ726" s="2"/>
      <c r="AR726" s="2"/>
      <c r="AS726" s="2"/>
      <c r="AY726" s="784"/>
      <c r="AZ726" s="784"/>
      <c r="BA726" s="784"/>
      <c r="BB726" s="784"/>
      <c r="BC726" s="784"/>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row>
    <row r="727" spans="1:110" ht="13" customHeight="1">
      <c r="A727" s="2"/>
      <c r="B727" s="1313"/>
      <c r="C727" s="1314"/>
      <c r="D727" s="1314"/>
      <c r="E727" s="1314"/>
      <c r="F727" s="1315"/>
      <c r="G727" s="1307"/>
      <c r="H727" s="1308"/>
      <c r="I727" s="1308"/>
      <c r="J727" s="1309"/>
      <c r="K727" s="1310"/>
      <c r="L727" s="1311"/>
      <c r="M727" s="1311"/>
      <c r="N727" s="1312"/>
      <c r="O727" s="1316"/>
      <c r="P727" s="1317"/>
      <c r="Q727" s="1317"/>
      <c r="R727" s="1317"/>
      <c r="S727" s="1318"/>
      <c r="T727" s="1316"/>
      <c r="U727" s="1317"/>
      <c r="V727" s="1317"/>
      <c r="W727" s="1318"/>
      <c r="X727" s="1340">
        <f t="shared" si="59"/>
        <v>0</v>
      </c>
      <c r="Y727" s="1341"/>
      <c r="Z727" s="1341"/>
      <c r="AA727" s="1341"/>
      <c r="AB727" s="1342"/>
      <c r="AC727" s="1319"/>
      <c r="AD727" s="1320"/>
      <c r="AE727" s="1320"/>
      <c r="AF727" s="1320"/>
      <c r="AG727" s="1321"/>
      <c r="AH727" s="1332" t="str">
        <f t="shared" si="60"/>
        <v/>
      </c>
      <c r="AI727" s="1333"/>
      <c r="AJ727" s="1334"/>
      <c r="AK727" s="1313" t="s">
        <v>299</v>
      </c>
      <c r="AL727" s="1314"/>
      <c r="AM727" s="1314"/>
      <c r="AN727" s="1314"/>
      <c r="AO727" s="1315"/>
      <c r="AP727" s="2"/>
      <c r="AQ727" s="2"/>
      <c r="AR727" s="2"/>
      <c r="AS727" s="2"/>
      <c r="AY727" s="784"/>
      <c r="AZ727" s="784"/>
      <c r="BA727" s="784"/>
      <c r="BB727" s="784"/>
      <c r="BC727" s="784"/>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row>
    <row r="728" spans="1:110" ht="13" customHeight="1">
      <c r="A728" s="2"/>
      <c r="B728" s="1313"/>
      <c r="C728" s="1314"/>
      <c r="D728" s="1314"/>
      <c r="E728" s="1314"/>
      <c r="F728" s="1315"/>
      <c r="G728" s="1307"/>
      <c r="H728" s="1308"/>
      <c r="I728" s="1308"/>
      <c r="J728" s="1309"/>
      <c r="K728" s="1310"/>
      <c r="L728" s="1311"/>
      <c r="M728" s="1311"/>
      <c r="N728" s="1312"/>
      <c r="O728" s="1316"/>
      <c r="P728" s="1317"/>
      <c r="Q728" s="1317"/>
      <c r="R728" s="1317"/>
      <c r="S728" s="1318"/>
      <c r="T728" s="1316"/>
      <c r="U728" s="1317"/>
      <c r="V728" s="1317"/>
      <c r="W728" s="1318"/>
      <c r="X728" s="1340">
        <f t="shared" si="59"/>
        <v>0</v>
      </c>
      <c r="Y728" s="1341"/>
      <c r="Z728" s="1341"/>
      <c r="AA728" s="1341"/>
      <c r="AB728" s="1342"/>
      <c r="AC728" s="1319"/>
      <c r="AD728" s="1320"/>
      <c r="AE728" s="1320"/>
      <c r="AF728" s="1320"/>
      <c r="AG728" s="1321"/>
      <c r="AH728" s="1332" t="str">
        <f t="shared" si="60"/>
        <v/>
      </c>
      <c r="AI728" s="1333"/>
      <c r="AJ728" s="1334"/>
      <c r="AK728" s="1313" t="s">
        <v>299</v>
      </c>
      <c r="AL728" s="1314"/>
      <c r="AM728" s="1314"/>
      <c r="AN728" s="1314"/>
      <c r="AO728" s="1315"/>
      <c r="AP728" s="2"/>
      <c r="AQ728" s="2"/>
      <c r="AR728" s="2"/>
      <c r="AS728" s="2"/>
      <c r="AY728" s="784"/>
      <c r="AZ728" s="784"/>
      <c r="BA728" s="784"/>
      <c r="BB728" s="784"/>
      <c r="BC728" s="784"/>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row>
    <row r="729" spans="1:110" ht="13" customHeight="1">
      <c r="A729" s="2"/>
      <c r="B729" s="1313"/>
      <c r="C729" s="1314"/>
      <c r="D729" s="1314"/>
      <c r="E729" s="1314"/>
      <c r="F729" s="1315"/>
      <c r="G729" s="1307"/>
      <c r="H729" s="1308"/>
      <c r="I729" s="1308"/>
      <c r="J729" s="1309"/>
      <c r="K729" s="1310"/>
      <c r="L729" s="1311"/>
      <c r="M729" s="1311"/>
      <c r="N729" s="1312"/>
      <c r="O729" s="1316"/>
      <c r="P729" s="1317"/>
      <c r="Q729" s="1317"/>
      <c r="R729" s="1317"/>
      <c r="S729" s="1318"/>
      <c r="T729" s="1316"/>
      <c r="U729" s="1317"/>
      <c r="V729" s="1317"/>
      <c r="W729" s="1318"/>
      <c r="X729" s="1340">
        <f t="shared" si="59"/>
        <v>0</v>
      </c>
      <c r="Y729" s="1341"/>
      <c r="Z729" s="1341"/>
      <c r="AA729" s="1341"/>
      <c r="AB729" s="1342"/>
      <c r="AC729" s="1319"/>
      <c r="AD729" s="1320"/>
      <c r="AE729" s="1320"/>
      <c r="AF729" s="1320"/>
      <c r="AG729" s="1321"/>
      <c r="AH729" s="1332" t="str">
        <f t="shared" si="60"/>
        <v/>
      </c>
      <c r="AI729" s="1333"/>
      <c r="AJ729" s="1334"/>
      <c r="AK729" s="1313" t="s">
        <v>299</v>
      </c>
      <c r="AL729" s="1314"/>
      <c r="AM729" s="1314"/>
      <c r="AN729" s="1314"/>
      <c r="AO729" s="1315"/>
      <c r="AP729" s="2"/>
      <c r="AQ729" s="2"/>
      <c r="AR729" s="2"/>
      <c r="AS729" s="2"/>
      <c r="AY729" s="784"/>
      <c r="AZ729" s="784"/>
      <c r="BA729" s="784"/>
      <c r="BB729" s="784"/>
      <c r="BC729" s="784"/>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row>
    <row r="730" spans="1:110" ht="13" customHeight="1">
      <c r="B730" s="1313"/>
      <c r="C730" s="1314"/>
      <c r="D730" s="1314"/>
      <c r="E730" s="1314"/>
      <c r="F730" s="1315"/>
      <c r="G730" s="1307"/>
      <c r="H730" s="1308"/>
      <c r="I730" s="1308"/>
      <c r="J730" s="1309"/>
      <c r="K730" s="1310"/>
      <c r="L730" s="1311"/>
      <c r="M730" s="1311"/>
      <c r="N730" s="1312"/>
      <c r="O730" s="1316"/>
      <c r="P730" s="1317"/>
      <c r="Q730" s="1317"/>
      <c r="R730" s="1317"/>
      <c r="S730" s="1318"/>
      <c r="T730" s="1316"/>
      <c r="U730" s="1317"/>
      <c r="V730" s="1317"/>
      <c r="W730" s="1318"/>
      <c r="X730" s="1340">
        <f t="shared" si="59"/>
        <v>0</v>
      </c>
      <c r="Y730" s="1341"/>
      <c r="Z730" s="1341"/>
      <c r="AA730" s="1341"/>
      <c r="AB730" s="1342"/>
      <c r="AC730" s="1319"/>
      <c r="AD730" s="1320"/>
      <c r="AE730" s="1320"/>
      <c r="AF730" s="1320"/>
      <c r="AG730" s="1321"/>
      <c r="AH730" s="1332" t="str">
        <f t="shared" si="60"/>
        <v/>
      </c>
      <c r="AI730" s="1333"/>
      <c r="AJ730" s="1334"/>
      <c r="AK730" s="1313" t="s">
        <v>299</v>
      </c>
      <c r="AL730" s="1314"/>
      <c r="AM730" s="1314"/>
      <c r="AN730" s="1314"/>
      <c r="AO730" s="1315"/>
      <c r="AP730" s="2"/>
      <c r="AQ730" s="2"/>
      <c r="AR730" s="2"/>
      <c r="AS730" s="2"/>
      <c r="AY730" s="784"/>
      <c r="AZ730" s="784"/>
      <c r="BA730" s="784"/>
      <c r="BB730" s="784"/>
      <c r="BC730" s="784"/>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row>
    <row r="731" spans="1:110" ht="13" customHeight="1">
      <c r="B731" s="1313"/>
      <c r="C731" s="1314"/>
      <c r="D731" s="1314"/>
      <c r="E731" s="1314"/>
      <c r="F731" s="1315"/>
      <c r="G731" s="1307"/>
      <c r="H731" s="1308"/>
      <c r="I731" s="1308"/>
      <c r="J731" s="1309"/>
      <c r="K731" s="1310"/>
      <c r="L731" s="1311"/>
      <c r="M731" s="1311"/>
      <c r="N731" s="1312"/>
      <c r="O731" s="1316"/>
      <c r="P731" s="1317"/>
      <c r="Q731" s="1317"/>
      <c r="R731" s="1317"/>
      <c r="S731" s="1318"/>
      <c r="T731" s="1316"/>
      <c r="U731" s="1317"/>
      <c r="V731" s="1317"/>
      <c r="W731" s="1318"/>
      <c r="X731" s="1340">
        <f t="shared" si="59"/>
        <v>0</v>
      </c>
      <c r="Y731" s="1341"/>
      <c r="Z731" s="1341"/>
      <c r="AA731" s="1341"/>
      <c r="AB731" s="1342"/>
      <c r="AC731" s="1319"/>
      <c r="AD731" s="1320"/>
      <c r="AE731" s="1320"/>
      <c r="AF731" s="1320"/>
      <c r="AG731" s="1321"/>
      <c r="AH731" s="1332" t="str">
        <f t="shared" si="60"/>
        <v/>
      </c>
      <c r="AI731" s="1333"/>
      <c r="AJ731" s="1334"/>
      <c r="AK731" s="1313" t="s">
        <v>299</v>
      </c>
      <c r="AL731" s="1314"/>
      <c r="AM731" s="1314"/>
      <c r="AN731" s="1314"/>
      <c r="AO731" s="1315"/>
      <c r="AP731" s="2"/>
      <c r="AQ731" s="2"/>
      <c r="AR731" s="2"/>
      <c r="AS731" s="2"/>
      <c r="AY731" s="784"/>
      <c r="AZ731" s="784"/>
      <c r="BA731" s="784"/>
      <c r="BB731" s="784"/>
      <c r="BC731" s="784"/>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row>
    <row r="732" spans="1:110" ht="13" customHeight="1">
      <c r="B732" s="1313"/>
      <c r="C732" s="1314"/>
      <c r="D732" s="1314"/>
      <c r="E732" s="1314"/>
      <c r="F732" s="1315"/>
      <c r="G732" s="1307"/>
      <c r="H732" s="1308"/>
      <c r="I732" s="1308"/>
      <c r="J732" s="1309"/>
      <c r="K732" s="1310"/>
      <c r="L732" s="1311"/>
      <c r="M732" s="1311"/>
      <c r="N732" s="1312"/>
      <c r="O732" s="1316"/>
      <c r="P732" s="1317"/>
      <c r="Q732" s="1317"/>
      <c r="R732" s="1317"/>
      <c r="S732" s="1318"/>
      <c r="T732" s="1316"/>
      <c r="U732" s="1317"/>
      <c r="V732" s="1317"/>
      <c r="W732" s="1318"/>
      <c r="X732" s="1340">
        <f t="shared" si="59"/>
        <v>0</v>
      </c>
      <c r="Y732" s="1341"/>
      <c r="Z732" s="1341"/>
      <c r="AA732" s="1341"/>
      <c r="AB732" s="1342"/>
      <c r="AC732" s="1319"/>
      <c r="AD732" s="1320"/>
      <c r="AE732" s="1320"/>
      <c r="AF732" s="1320"/>
      <c r="AG732" s="1321"/>
      <c r="AH732" s="1332" t="str">
        <f t="shared" si="60"/>
        <v/>
      </c>
      <c r="AI732" s="1333"/>
      <c r="AJ732" s="1334"/>
      <c r="AK732" s="1313" t="s">
        <v>299</v>
      </c>
      <c r="AL732" s="1314"/>
      <c r="AM732" s="1314"/>
      <c r="AN732" s="1314"/>
      <c r="AO732" s="1315"/>
      <c r="AP732" s="2"/>
      <c r="AQ732" s="2"/>
      <c r="AR732" s="2"/>
      <c r="AS732" s="2"/>
      <c r="AY732" s="784"/>
      <c r="AZ732" s="784"/>
      <c r="BA732" s="784"/>
      <c r="BB732" s="784"/>
      <c r="BC732" s="784"/>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row>
    <row r="733" spans="1:110" ht="13" customHeight="1">
      <c r="B733" s="1313"/>
      <c r="C733" s="1314"/>
      <c r="D733" s="1314"/>
      <c r="E733" s="1314"/>
      <c r="F733" s="1315"/>
      <c r="G733" s="1307"/>
      <c r="H733" s="1308"/>
      <c r="I733" s="1308"/>
      <c r="J733" s="1309"/>
      <c r="K733" s="1310"/>
      <c r="L733" s="1311"/>
      <c r="M733" s="1311"/>
      <c r="N733" s="1312"/>
      <c r="O733" s="1316"/>
      <c r="P733" s="1317"/>
      <c r="Q733" s="1317"/>
      <c r="R733" s="1317"/>
      <c r="S733" s="1318"/>
      <c r="T733" s="1316"/>
      <c r="U733" s="1317"/>
      <c r="V733" s="1317"/>
      <c r="W733" s="1318"/>
      <c r="X733" s="1340">
        <f t="shared" si="59"/>
        <v>0</v>
      </c>
      <c r="Y733" s="1341"/>
      <c r="Z733" s="1341"/>
      <c r="AA733" s="1341"/>
      <c r="AB733" s="1342"/>
      <c r="AC733" s="1319"/>
      <c r="AD733" s="1320"/>
      <c r="AE733" s="1320"/>
      <c r="AF733" s="1320"/>
      <c r="AG733" s="1321"/>
      <c r="AH733" s="1332" t="str">
        <f t="shared" si="60"/>
        <v/>
      </c>
      <c r="AI733" s="1333"/>
      <c r="AJ733" s="1334"/>
      <c r="AK733" s="1313" t="s">
        <v>299</v>
      </c>
      <c r="AL733" s="1314"/>
      <c r="AM733" s="1314"/>
      <c r="AN733" s="1314"/>
      <c r="AO733" s="1315"/>
      <c r="AP733" s="2"/>
      <c r="AQ733" s="2"/>
      <c r="AR733" s="2"/>
      <c r="AS733" s="2"/>
      <c r="AY733" s="784"/>
      <c r="AZ733" s="784"/>
      <c r="BA733" s="784"/>
      <c r="BB733" s="784"/>
      <c r="BC733" s="784"/>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row>
    <row r="734" spans="1:110" ht="13" customHeight="1">
      <c r="B734" s="1313"/>
      <c r="C734" s="1314"/>
      <c r="D734" s="1314"/>
      <c r="E734" s="1314"/>
      <c r="F734" s="1315"/>
      <c r="G734" s="1307"/>
      <c r="H734" s="1308"/>
      <c r="I734" s="1308"/>
      <c r="J734" s="1309"/>
      <c r="K734" s="1310"/>
      <c r="L734" s="1311"/>
      <c r="M734" s="1311"/>
      <c r="N734" s="1312"/>
      <c r="O734" s="1316"/>
      <c r="P734" s="1317"/>
      <c r="Q734" s="1317"/>
      <c r="R734" s="1317"/>
      <c r="S734" s="1318"/>
      <c r="T734" s="1316"/>
      <c r="U734" s="1317"/>
      <c r="V734" s="1317"/>
      <c r="W734" s="1318"/>
      <c r="X734" s="1340">
        <f t="shared" si="59"/>
        <v>0</v>
      </c>
      <c r="Y734" s="1341"/>
      <c r="Z734" s="1341"/>
      <c r="AA734" s="1341"/>
      <c r="AB734" s="1342"/>
      <c r="AC734" s="1319"/>
      <c r="AD734" s="1320"/>
      <c r="AE734" s="1320"/>
      <c r="AF734" s="1320"/>
      <c r="AG734" s="1321"/>
      <c r="AH734" s="1332" t="str">
        <f t="shared" si="60"/>
        <v/>
      </c>
      <c r="AI734" s="1333"/>
      <c r="AJ734" s="1334"/>
      <c r="AK734" s="1313" t="s">
        <v>299</v>
      </c>
      <c r="AL734" s="1314"/>
      <c r="AM734" s="1314"/>
      <c r="AN734" s="1314"/>
      <c r="AO734" s="1315"/>
      <c r="AP734" s="2"/>
      <c r="AQ734" s="2"/>
      <c r="AR734" s="2"/>
      <c r="AS734" s="2"/>
      <c r="AY734" s="784"/>
      <c r="AZ734" s="784"/>
      <c r="BA734" s="784"/>
      <c r="BB734" s="784"/>
      <c r="BC734" s="784"/>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row>
    <row r="735" spans="1:110" ht="13" customHeight="1">
      <c r="B735" s="1313"/>
      <c r="C735" s="1314"/>
      <c r="D735" s="1314"/>
      <c r="E735" s="1314"/>
      <c r="F735" s="1315"/>
      <c r="G735" s="1307"/>
      <c r="H735" s="1308"/>
      <c r="I735" s="1308"/>
      <c r="J735" s="1309"/>
      <c r="K735" s="1310"/>
      <c r="L735" s="1311"/>
      <c r="M735" s="1311"/>
      <c r="N735" s="1312"/>
      <c r="O735" s="1316"/>
      <c r="P735" s="1317"/>
      <c r="Q735" s="1317"/>
      <c r="R735" s="1317"/>
      <c r="S735" s="1318"/>
      <c r="T735" s="1316"/>
      <c r="U735" s="1317"/>
      <c r="V735" s="1317"/>
      <c r="W735" s="1318"/>
      <c r="X735" s="1340">
        <f t="shared" si="59"/>
        <v>0</v>
      </c>
      <c r="Y735" s="1341"/>
      <c r="Z735" s="1341"/>
      <c r="AA735" s="1341"/>
      <c r="AB735" s="1342"/>
      <c r="AC735" s="1319"/>
      <c r="AD735" s="1320"/>
      <c r="AE735" s="1320"/>
      <c r="AF735" s="1320"/>
      <c r="AG735" s="1321"/>
      <c r="AH735" s="1332" t="str">
        <f t="shared" si="60"/>
        <v/>
      </c>
      <c r="AI735" s="1333"/>
      <c r="AJ735" s="1334"/>
      <c r="AK735" s="1313" t="s">
        <v>299</v>
      </c>
      <c r="AL735" s="1314"/>
      <c r="AM735" s="1314"/>
      <c r="AN735" s="1314"/>
      <c r="AO735" s="1315"/>
      <c r="AP735" s="2"/>
      <c r="AQ735" s="2"/>
      <c r="AR735" s="2"/>
      <c r="AS735" s="2"/>
      <c r="AY735" s="784"/>
      <c r="AZ735" s="784"/>
      <c r="BA735" s="784"/>
      <c r="BB735" s="784"/>
      <c r="BC735" s="784"/>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row>
    <row r="736" spans="1:110" ht="13" customHeight="1">
      <c r="B736" s="1313"/>
      <c r="C736" s="1314"/>
      <c r="D736" s="1314"/>
      <c r="E736" s="1314"/>
      <c r="F736" s="1315"/>
      <c r="G736" s="1307"/>
      <c r="H736" s="1308"/>
      <c r="I736" s="1308"/>
      <c r="J736" s="1309"/>
      <c r="K736" s="1310"/>
      <c r="L736" s="1311"/>
      <c r="M736" s="1311"/>
      <c r="N736" s="1312"/>
      <c r="O736" s="1316"/>
      <c r="P736" s="1317"/>
      <c r="Q736" s="1317"/>
      <c r="R736" s="1317"/>
      <c r="S736" s="1318"/>
      <c r="T736" s="1316"/>
      <c r="U736" s="1317"/>
      <c r="V736" s="1317"/>
      <c r="W736" s="1318"/>
      <c r="X736" s="1340">
        <f t="shared" si="59"/>
        <v>0</v>
      </c>
      <c r="Y736" s="1341"/>
      <c r="Z736" s="1341"/>
      <c r="AA736" s="1341"/>
      <c r="AB736" s="1342"/>
      <c r="AC736" s="1319"/>
      <c r="AD736" s="1320"/>
      <c r="AE736" s="1320"/>
      <c r="AF736" s="1320"/>
      <c r="AG736" s="1321"/>
      <c r="AH736" s="1332" t="str">
        <f t="shared" si="60"/>
        <v/>
      </c>
      <c r="AI736" s="1333"/>
      <c r="AJ736" s="1334"/>
      <c r="AK736" s="1313" t="s">
        <v>299</v>
      </c>
      <c r="AL736" s="1314"/>
      <c r="AM736" s="1314"/>
      <c r="AN736" s="1314"/>
      <c r="AO736" s="1315"/>
      <c r="AP736" s="2"/>
      <c r="AQ736" s="2"/>
      <c r="AR736" s="2"/>
      <c r="AS736" s="2"/>
      <c r="AY736" s="784"/>
      <c r="AZ736" s="784"/>
      <c r="BA736" s="784"/>
      <c r="BB736" s="784"/>
      <c r="BC736" s="784"/>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row>
    <row r="737" spans="1:16383" ht="13" customHeight="1">
      <c r="B737" s="1313"/>
      <c r="C737" s="1314"/>
      <c r="D737" s="1314"/>
      <c r="E737" s="1314"/>
      <c r="F737" s="1315"/>
      <c r="G737" s="1307"/>
      <c r="H737" s="1308"/>
      <c r="I737" s="1308"/>
      <c r="J737" s="1309"/>
      <c r="K737" s="1310"/>
      <c r="L737" s="1311"/>
      <c r="M737" s="1311"/>
      <c r="N737" s="1312"/>
      <c r="O737" s="1316"/>
      <c r="P737" s="1317"/>
      <c r="Q737" s="1317"/>
      <c r="R737" s="1317"/>
      <c r="S737" s="1318"/>
      <c r="T737" s="1316"/>
      <c r="U737" s="1317"/>
      <c r="V737" s="1317"/>
      <c r="W737" s="1318"/>
      <c r="X737" s="1340">
        <f t="shared" si="59"/>
        <v>0</v>
      </c>
      <c r="Y737" s="1341"/>
      <c r="Z737" s="1341"/>
      <c r="AA737" s="1341"/>
      <c r="AB737" s="1342"/>
      <c r="AC737" s="1319"/>
      <c r="AD737" s="1320"/>
      <c r="AE737" s="1320"/>
      <c r="AF737" s="1320"/>
      <c r="AG737" s="1321"/>
      <c r="AH737" s="1332" t="str">
        <f t="shared" si="60"/>
        <v/>
      </c>
      <c r="AI737" s="1333"/>
      <c r="AJ737" s="1334"/>
      <c r="AK737" s="1313" t="s">
        <v>299</v>
      </c>
      <c r="AL737" s="1314"/>
      <c r="AM737" s="1314"/>
      <c r="AN737" s="1314"/>
      <c r="AO737" s="1315"/>
      <c r="AP737" s="2"/>
      <c r="AQ737" s="2"/>
      <c r="AR737" s="2"/>
      <c r="AS737" s="2"/>
      <c r="AY737" s="784"/>
      <c r="AZ737" s="784"/>
      <c r="BA737" s="784"/>
      <c r="BB737" s="784"/>
      <c r="BC737" s="784"/>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row>
    <row r="738" spans="1:16383" ht="13" customHeight="1">
      <c r="B738" s="1313"/>
      <c r="C738" s="1314"/>
      <c r="D738" s="1314"/>
      <c r="E738" s="1314"/>
      <c r="F738" s="1315"/>
      <c r="G738" s="1307"/>
      <c r="H738" s="1308"/>
      <c r="I738" s="1308"/>
      <c r="J738" s="1309"/>
      <c r="K738" s="1310"/>
      <c r="L738" s="1311"/>
      <c r="M738" s="1311"/>
      <c r="N738" s="1312"/>
      <c r="O738" s="1316"/>
      <c r="P738" s="1317"/>
      <c r="Q738" s="1317"/>
      <c r="R738" s="1317"/>
      <c r="S738" s="1318"/>
      <c r="T738" s="1316"/>
      <c r="U738" s="1317"/>
      <c r="V738" s="1317"/>
      <c r="W738" s="1318"/>
      <c r="X738" s="1340">
        <f t="shared" si="59"/>
        <v>0</v>
      </c>
      <c r="Y738" s="1341"/>
      <c r="Z738" s="1341"/>
      <c r="AA738" s="1341"/>
      <c r="AB738" s="1342"/>
      <c r="AC738" s="1319"/>
      <c r="AD738" s="1320"/>
      <c r="AE738" s="1320"/>
      <c r="AF738" s="1320"/>
      <c r="AG738" s="1321"/>
      <c r="AH738" s="1332" t="str">
        <f t="shared" si="60"/>
        <v/>
      </c>
      <c r="AI738" s="1333"/>
      <c r="AJ738" s="1334"/>
      <c r="AK738" s="1313" t="s">
        <v>299</v>
      </c>
      <c r="AL738" s="1314"/>
      <c r="AM738" s="1314"/>
      <c r="AN738" s="1314"/>
      <c r="AO738" s="1315"/>
      <c r="AP738" s="2"/>
      <c r="AQ738" s="2"/>
      <c r="AR738" s="2"/>
      <c r="AS738" s="2"/>
      <c r="AY738" s="784"/>
      <c r="AZ738" s="784"/>
      <c r="BA738" s="784"/>
      <c r="BB738" s="784"/>
      <c r="BC738" s="784"/>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row>
    <row r="739" spans="1:16383" ht="13" customHeight="1">
      <c r="B739" s="1313"/>
      <c r="C739" s="1314"/>
      <c r="D739" s="1314"/>
      <c r="E739" s="1314"/>
      <c r="F739" s="1315"/>
      <c r="G739" s="1307"/>
      <c r="H739" s="1308"/>
      <c r="I739" s="1308"/>
      <c r="J739" s="1309"/>
      <c r="K739" s="1310"/>
      <c r="L739" s="1311"/>
      <c r="M739" s="1311"/>
      <c r="N739" s="1312"/>
      <c r="O739" s="1316"/>
      <c r="P739" s="1317"/>
      <c r="Q739" s="1317"/>
      <c r="R739" s="1317"/>
      <c r="S739" s="1318"/>
      <c r="T739" s="1316"/>
      <c r="U739" s="1317"/>
      <c r="V739" s="1317"/>
      <c r="W739" s="1318"/>
      <c r="X739" s="1340">
        <f t="shared" si="59"/>
        <v>0</v>
      </c>
      <c r="Y739" s="1341"/>
      <c r="Z739" s="1341"/>
      <c r="AA739" s="1341"/>
      <c r="AB739" s="1342"/>
      <c r="AC739" s="1319"/>
      <c r="AD739" s="1320"/>
      <c r="AE739" s="1320"/>
      <c r="AF739" s="1320"/>
      <c r="AG739" s="1321"/>
      <c r="AH739" s="1332" t="str">
        <f t="shared" si="60"/>
        <v/>
      </c>
      <c r="AI739" s="1333"/>
      <c r="AJ739" s="1334"/>
      <c r="AK739" s="1313" t="s">
        <v>299</v>
      </c>
      <c r="AL739" s="1314"/>
      <c r="AM739" s="1314"/>
      <c r="AN739" s="1314"/>
      <c r="AO739" s="1315"/>
      <c r="AP739" s="2"/>
      <c r="AQ739" s="2"/>
      <c r="AR739" s="2"/>
      <c r="AS739" s="2"/>
      <c r="AY739" s="784"/>
      <c r="AZ739" s="784"/>
      <c r="BA739" s="784"/>
      <c r="BB739" s="784"/>
      <c r="BC739" s="784"/>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row>
    <row r="740" spans="1:16383" ht="13" customHeight="1">
      <c r="B740" s="1313"/>
      <c r="C740" s="1314"/>
      <c r="D740" s="1314"/>
      <c r="E740" s="1314"/>
      <c r="F740" s="1315"/>
      <c r="G740" s="1307"/>
      <c r="H740" s="1308"/>
      <c r="I740" s="1308"/>
      <c r="J740" s="1309"/>
      <c r="K740" s="1310"/>
      <c r="L740" s="1311"/>
      <c r="M740" s="1311"/>
      <c r="N740" s="1312"/>
      <c r="O740" s="1316"/>
      <c r="P740" s="1317"/>
      <c r="Q740" s="1317"/>
      <c r="R740" s="1317"/>
      <c r="S740" s="1318"/>
      <c r="T740" s="1316"/>
      <c r="U740" s="1317"/>
      <c r="V740" s="1317"/>
      <c r="W740" s="1318"/>
      <c r="X740" s="1340">
        <f t="shared" si="59"/>
        <v>0</v>
      </c>
      <c r="Y740" s="1341"/>
      <c r="Z740" s="1341"/>
      <c r="AA740" s="1341"/>
      <c r="AB740" s="1342"/>
      <c r="AC740" s="1319"/>
      <c r="AD740" s="1320"/>
      <c r="AE740" s="1320"/>
      <c r="AF740" s="1320"/>
      <c r="AG740" s="1321"/>
      <c r="AH740" s="1332" t="str">
        <f t="shared" si="60"/>
        <v/>
      </c>
      <c r="AI740" s="1333"/>
      <c r="AJ740" s="1334"/>
      <c r="AK740" s="1313" t="s">
        <v>299</v>
      </c>
      <c r="AL740" s="1314"/>
      <c r="AM740" s="1314"/>
      <c r="AN740" s="1314"/>
      <c r="AO740" s="1315"/>
      <c r="AP740" s="2"/>
      <c r="AQ740" s="2"/>
      <c r="AR740" s="2"/>
      <c r="AS740" s="2"/>
      <c r="AY740" s="784"/>
      <c r="AZ740" s="784"/>
      <c r="BA740" s="784"/>
      <c r="BB740" s="784"/>
      <c r="BC740" s="784"/>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row>
    <row r="741" spans="1:16383" ht="13" customHeight="1">
      <c r="B741" s="1313"/>
      <c r="C741" s="1314"/>
      <c r="D741" s="1314"/>
      <c r="E741" s="1314"/>
      <c r="F741" s="1315"/>
      <c r="G741" s="1307"/>
      <c r="H741" s="1308"/>
      <c r="I741" s="1308"/>
      <c r="J741" s="1309"/>
      <c r="K741" s="1310"/>
      <c r="L741" s="1311"/>
      <c r="M741" s="1311"/>
      <c r="N741" s="1312"/>
      <c r="O741" s="1316"/>
      <c r="P741" s="1317"/>
      <c r="Q741" s="1317"/>
      <c r="R741" s="1317"/>
      <c r="S741" s="1318"/>
      <c r="T741" s="1316"/>
      <c r="U741" s="1317"/>
      <c r="V741" s="1317"/>
      <c r="W741" s="1318"/>
      <c r="X741" s="1340">
        <f t="shared" si="59"/>
        <v>0</v>
      </c>
      <c r="Y741" s="1341"/>
      <c r="Z741" s="1341"/>
      <c r="AA741" s="1341"/>
      <c r="AB741" s="1342"/>
      <c r="AC741" s="1319"/>
      <c r="AD741" s="1320"/>
      <c r="AE741" s="1320"/>
      <c r="AF741" s="1320"/>
      <c r="AG741" s="1321"/>
      <c r="AH741" s="1332" t="str">
        <f t="shared" si="60"/>
        <v/>
      </c>
      <c r="AI741" s="1333"/>
      <c r="AJ741" s="1334"/>
      <c r="AK741" s="1313" t="s">
        <v>299</v>
      </c>
      <c r="AL741" s="1314"/>
      <c r="AM741" s="1314"/>
      <c r="AN741" s="1314"/>
      <c r="AO741" s="1315"/>
      <c r="AP741" s="2"/>
      <c r="AQ741" s="2"/>
      <c r="AR741" s="2"/>
      <c r="AS741" s="2"/>
      <c r="AY741" s="784"/>
      <c r="AZ741" s="784"/>
      <c r="BA741" s="784"/>
      <c r="BB741" s="784"/>
      <c r="BC741" s="784"/>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row>
    <row r="742" spans="1:16383" ht="13" customHeight="1">
      <c r="B742" s="1313"/>
      <c r="C742" s="1314"/>
      <c r="D742" s="1314"/>
      <c r="E742" s="1314"/>
      <c r="F742" s="1315"/>
      <c r="G742" s="1307"/>
      <c r="H742" s="1308"/>
      <c r="I742" s="1308"/>
      <c r="J742" s="1309"/>
      <c r="K742" s="1310"/>
      <c r="L742" s="1311"/>
      <c r="M742" s="1311"/>
      <c r="N742" s="1312"/>
      <c r="O742" s="1316"/>
      <c r="P742" s="1317"/>
      <c r="Q742" s="1317"/>
      <c r="R742" s="1317"/>
      <c r="S742" s="1318"/>
      <c r="T742" s="1316"/>
      <c r="U742" s="1317"/>
      <c r="V742" s="1317"/>
      <c r="W742" s="1318"/>
      <c r="X742" s="1340">
        <f t="shared" ref="X742:X751" si="61">O742+T742</f>
        <v>0</v>
      </c>
      <c r="Y742" s="1341"/>
      <c r="Z742" s="1341"/>
      <c r="AA742" s="1341"/>
      <c r="AB742" s="1342"/>
      <c r="AC742" s="1319"/>
      <c r="AD742" s="1320"/>
      <c r="AE742" s="1320"/>
      <c r="AF742" s="1320"/>
      <c r="AG742" s="1321"/>
      <c r="AH742" s="1332" t="str">
        <f t="shared" si="60"/>
        <v/>
      </c>
      <c r="AI742" s="1333"/>
      <c r="AJ742" s="1334"/>
      <c r="AK742" s="1313" t="s">
        <v>299</v>
      </c>
      <c r="AL742" s="1314"/>
      <c r="AM742" s="1314"/>
      <c r="AN742" s="1314"/>
      <c r="AO742" s="1315"/>
      <c r="AP742" s="2"/>
      <c r="AQ742" s="2"/>
      <c r="AR742" s="2"/>
      <c r="AS742" s="2"/>
      <c r="AY742" s="784"/>
      <c r="AZ742" s="784"/>
      <c r="BA742" s="784"/>
      <c r="BB742" s="784"/>
      <c r="BC742" s="784"/>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row>
    <row r="743" spans="1:16383" s="2" customFormat="1" ht="13" customHeight="1">
      <c r="A743"/>
      <c r="B743" s="1313"/>
      <c r="C743" s="1314"/>
      <c r="D743" s="1314"/>
      <c r="E743" s="1314"/>
      <c r="F743" s="1315"/>
      <c r="G743" s="1307"/>
      <c r="H743" s="1308"/>
      <c r="I743" s="1308"/>
      <c r="J743" s="1309"/>
      <c r="K743" s="1310"/>
      <c r="L743" s="1311"/>
      <c r="M743" s="1311"/>
      <c r="N743" s="1312"/>
      <c r="O743" s="1316"/>
      <c r="P743" s="1317"/>
      <c r="Q743" s="1317"/>
      <c r="R743" s="1317"/>
      <c r="S743" s="1318"/>
      <c r="T743" s="1316"/>
      <c r="U743" s="1317"/>
      <c r="V743" s="1317"/>
      <c r="W743" s="1318"/>
      <c r="X743" s="1340">
        <f t="shared" si="61"/>
        <v>0</v>
      </c>
      <c r="Y743" s="1341"/>
      <c r="Z743" s="1341"/>
      <c r="AA743" s="1341"/>
      <c r="AB743" s="1342"/>
      <c r="AC743" s="1319"/>
      <c r="AD743" s="1320"/>
      <c r="AE743" s="1320"/>
      <c r="AF743" s="1320"/>
      <c r="AG743" s="1321"/>
      <c r="AH743" s="1332" t="str">
        <f t="shared" si="60"/>
        <v/>
      </c>
      <c r="AI743" s="1333"/>
      <c r="AJ743" s="1334"/>
      <c r="AK743" s="1313" t="s">
        <v>299</v>
      </c>
      <c r="AL743" s="1314"/>
      <c r="AM743" s="1314"/>
      <c r="AN743" s="1314"/>
      <c r="AO743" s="1315"/>
      <c r="AT743"/>
      <c r="AU743"/>
      <c r="AV743"/>
      <c r="AW743"/>
      <c r="AX743"/>
      <c r="AY743" s="784"/>
      <c r="AZ743" s="784"/>
      <c r="BA743" s="784"/>
      <c r="BB743" s="784"/>
      <c r="BC743" s="784"/>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13"/>
      <c r="C744" s="1314"/>
      <c r="D744" s="1314"/>
      <c r="E744" s="1314"/>
      <c r="F744" s="1315"/>
      <c r="G744" s="1307"/>
      <c r="H744" s="1308"/>
      <c r="I744" s="1308"/>
      <c r="J744" s="1309"/>
      <c r="K744" s="1310"/>
      <c r="L744" s="1311"/>
      <c r="M744" s="1311"/>
      <c r="N744" s="1312"/>
      <c r="O744" s="1316"/>
      <c r="P744" s="1317"/>
      <c r="Q744" s="1317"/>
      <c r="R744" s="1317"/>
      <c r="S744" s="1318"/>
      <c r="T744" s="1316"/>
      <c r="U744" s="1317"/>
      <c r="V744" s="1317"/>
      <c r="W744" s="1318"/>
      <c r="X744" s="1340">
        <f t="shared" si="61"/>
        <v>0</v>
      </c>
      <c r="Y744" s="1341"/>
      <c r="Z744" s="1341"/>
      <c r="AA744" s="1341"/>
      <c r="AB744" s="1342"/>
      <c r="AC744" s="1319"/>
      <c r="AD744" s="1320"/>
      <c r="AE744" s="1320"/>
      <c r="AF744" s="1320"/>
      <c r="AG744" s="1321"/>
      <c r="AH744" s="1332" t="str">
        <f t="shared" si="60"/>
        <v/>
      </c>
      <c r="AI744" s="1333"/>
      <c r="AJ744" s="1334"/>
      <c r="AK744" s="1313" t="s">
        <v>299</v>
      </c>
      <c r="AL744" s="1314"/>
      <c r="AM744" s="1314"/>
      <c r="AN744" s="1314"/>
      <c r="AO744" s="1315"/>
      <c r="AP744" s="2"/>
      <c r="AQ744" s="2"/>
      <c r="AR744" s="2"/>
      <c r="AS744" s="2"/>
      <c r="AY744" s="784"/>
      <c r="AZ744" s="784"/>
      <c r="BA744" s="784"/>
      <c r="BB744" s="784"/>
      <c r="BC744" s="784"/>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row>
    <row r="745" spans="1:16383" ht="13" customHeight="1">
      <c r="B745" s="1313"/>
      <c r="C745" s="1314"/>
      <c r="D745" s="1314"/>
      <c r="E745" s="1314"/>
      <c r="F745" s="1315"/>
      <c r="G745" s="1307"/>
      <c r="H745" s="1308"/>
      <c r="I745" s="1308"/>
      <c r="J745" s="1309"/>
      <c r="K745" s="1310"/>
      <c r="L745" s="1311"/>
      <c r="M745" s="1311"/>
      <c r="N745" s="1312"/>
      <c r="O745" s="1316"/>
      <c r="P745" s="1317"/>
      <c r="Q745" s="1317"/>
      <c r="R745" s="1317"/>
      <c r="S745" s="1318"/>
      <c r="T745" s="1316"/>
      <c r="U745" s="1317"/>
      <c r="V745" s="1317"/>
      <c r="W745" s="1318"/>
      <c r="X745" s="1340">
        <f t="shared" si="61"/>
        <v>0</v>
      </c>
      <c r="Y745" s="1341"/>
      <c r="Z745" s="1341"/>
      <c r="AA745" s="1341"/>
      <c r="AB745" s="1342"/>
      <c r="AC745" s="1319"/>
      <c r="AD745" s="1320"/>
      <c r="AE745" s="1320"/>
      <c r="AF745" s="1320"/>
      <c r="AG745" s="1321"/>
      <c r="AH745" s="1332" t="str">
        <f t="shared" si="60"/>
        <v/>
      </c>
      <c r="AI745" s="1333"/>
      <c r="AJ745" s="1334"/>
      <c r="AK745" s="1313" t="s">
        <v>299</v>
      </c>
      <c r="AL745" s="1314"/>
      <c r="AM745" s="1314"/>
      <c r="AN745" s="1314"/>
      <c r="AO745" s="1315"/>
      <c r="AP745" s="2"/>
      <c r="AQ745" s="2"/>
      <c r="AR745" s="2"/>
      <c r="AS745" s="2"/>
      <c r="AY745" s="784"/>
      <c r="AZ745" s="784"/>
      <c r="BA745" s="784"/>
      <c r="BB745" s="784"/>
      <c r="BC745" s="784"/>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row>
    <row r="746" spans="1:16383" ht="13" customHeight="1">
      <c r="B746" s="1313"/>
      <c r="C746" s="1314"/>
      <c r="D746" s="1314"/>
      <c r="E746" s="1314"/>
      <c r="F746" s="1315"/>
      <c r="G746" s="1307"/>
      <c r="H746" s="1308"/>
      <c r="I746" s="1308"/>
      <c r="J746" s="1309"/>
      <c r="K746" s="1310"/>
      <c r="L746" s="1311"/>
      <c r="M746" s="1311"/>
      <c r="N746" s="1312"/>
      <c r="O746" s="1316"/>
      <c r="P746" s="1317"/>
      <c r="Q746" s="1317"/>
      <c r="R746" s="1317"/>
      <c r="S746" s="1318"/>
      <c r="T746" s="1316"/>
      <c r="U746" s="1317"/>
      <c r="V746" s="1317"/>
      <c r="W746" s="1318"/>
      <c r="X746" s="1340">
        <f t="shared" si="61"/>
        <v>0</v>
      </c>
      <c r="Y746" s="1341"/>
      <c r="Z746" s="1341"/>
      <c r="AA746" s="1341"/>
      <c r="AB746" s="1342"/>
      <c r="AC746" s="1319"/>
      <c r="AD746" s="1320"/>
      <c r="AE746" s="1320"/>
      <c r="AF746" s="1320"/>
      <c r="AG746" s="1321"/>
      <c r="AH746" s="1332" t="str">
        <f t="shared" si="60"/>
        <v/>
      </c>
      <c r="AI746" s="1333"/>
      <c r="AJ746" s="1334"/>
      <c r="AK746" s="1313" t="s">
        <v>299</v>
      </c>
      <c r="AL746" s="1314"/>
      <c r="AM746" s="1314"/>
      <c r="AN746" s="1314"/>
      <c r="AO746" s="1315"/>
      <c r="AP746" s="2"/>
      <c r="AQ746" s="2"/>
      <c r="AR746" s="2"/>
      <c r="AS746" s="2"/>
      <c r="AY746" s="784"/>
      <c r="AZ746" s="784"/>
      <c r="BA746" s="784"/>
      <c r="BB746" s="784"/>
      <c r="BC746" s="784"/>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FD746" s="187"/>
      <c r="FE746" s="187"/>
      <c r="FF746" s="187"/>
      <c r="FG746" s="187"/>
      <c r="FH746" s="187"/>
      <c r="FI746" s="187"/>
      <c r="FJ746" s="187"/>
      <c r="FK746" s="187"/>
      <c r="FL746" s="187"/>
      <c r="FM746" s="187"/>
      <c r="FN746" s="187"/>
      <c r="FO746" s="187"/>
      <c r="FP746" s="187"/>
      <c r="FQ746" s="187"/>
      <c r="FR746" s="187"/>
      <c r="FS746" s="187"/>
      <c r="FT746" s="187"/>
      <c r="FU746" s="187"/>
      <c r="FV746" s="187"/>
      <c r="FW746" s="187"/>
      <c r="FX746" s="187"/>
      <c r="FY746" s="187"/>
      <c r="FZ746" s="187"/>
      <c r="GA746" s="187"/>
      <c r="GB746" s="187"/>
      <c r="GC746" s="187"/>
      <c r="GD746" s="187"/>
      <c r="GE746" s="187"/>
      <c r="GF746" s="187"/>
      <c r="GG746" s="187"/>
      <c r="GH746" s="187"/>
      <c r="GI746" s="187"/>
      <c r="GJ746" s="187"/>
      <c r="GK746" s="187"/>
      <c r="GL746" s="187"/>
      <c r="GM746" s="187"/>
      <c r="GN746" s="187"/>
      <c r="GO746" s="187"/>
      <c r="GP746" s="187"/>
      <c r="GQ746" s="187"/>
      <c r="GR746" s="187"/>
      <c r="GS746" s="187"/>
      <c r="GT746" s="187"/>
      <c r="GU746" s="187"/>
      <c r="GV746" s="187"/>
      <c r="GW746" s="187"/>
      <c r="GX746" s="187"/>
      <c r="GY746" s="187"/>
      <c r="GZ746" s="187"/>
      <c r="HA746" s="187"/>
      <c r="HB746" s="187"/>
      <c r="HC746" s="187"/>
      <c r="HD746" s="187"/>
      <c r="HE746" s="187"/>
      <c r="HF746" s="187"/>
      <c r="HG746" s="187"/>
      <c r="HH746" s="187"/>
      <c r="HI746" s="187"/>
      <c r="HJ746" s="187"/>
      <c r="HK746" s="187"/>
      <c r="HL746" s="187"/>
      <c r="HM746" s="187"/>
      <c r="HN746" s="187"/>
      <c r="HO746" s="187"/>
      <c r="HP746" s="187"/>
      <c r="HQ746" s="187"/>
      <c r="HR746" s="187"/>
      <c r="HS746" s="187"/>
      <c r="HT746" s="187"/>
      <c r="HU746" s="187"/>
      <c r="HV746" s="187"/>
      <c r="HW746" s="187"/>
      <c r="HX746" s="187"/>
      <c r="HY746" s="187"/>
      <c r="HZ746" s="187"/>
      <c r="IA746" s="187"/>
      <c r="IB746" s="187"/>
      <c r="IC746" s="187"/>
      <c r="ID746" s="187"/>
      <c r="IE746" s="187"/>
      <c r="IF746" s="187"/>
      <c r="IG746" s="187"/>
      <c r="IH746" s="187"/>
      <c r="II746" s="187"/>
      <c r="IJ746" s="187"/>
      <c r="IK746" s="187"/>
      <c r="IL746" s="187"/>
      <c r="IM746" s="187"/>
      <c r="IN746" s="187"/>
      <c r="IO746" s="187"/>
      <c r="IP746" s="187"/>
      <c r="IQ746" s="187"/>
      <c r="IR746" s="187"/>
      <c r="IS746" s="187"/>
      <c r="IT746" s="187"/>
      <c r="IU746" s="187"/>
      <c r="IV746" s="187"/>
      <c r="IW746" s="187"/>
      <c r="IX746" s="187"/>
      <c r="IY746" s="187"/>
      <c r="IZ746" s="187"/>
      <c r="JA746" s="187"/>
      <c r="JB746" s="187"/>
      <c r="JC746" s="187"/>
      <c r="JD746" s="187"/>
      <c r="JE746" s="187"/>
      <c r="JF746" s="187"/>
      <c r="JG746" s="187"/>
      <c r="JH746" s="187"/>
      <c r="JI746" s="187"/>
      <c r="JJ746" s="187"/>
      <c r="JK746" s="187"/>
      <c r="JL746" s="187"/>
      <c r="JM746" s="187"/>
      <c r="JN746" s="187"/>
      <c r="JO746" s="187"/>
      <c r="JP746" s="187"/>
      <c r="JQ746" s="187"/>
      <c r="JR746" s="187"/>
      <c r="JS746" s="187"/>
      <c r="JT746" s="187"/>
      <c r="JU746" s="187"/>
      <c r="JV746" s="187"/>
      <c r="JW746" s="187"/>
      <c r="JX746" s="187"/>
      <c r="JY746" s="187"/>
      <c r="JZ746" s="187"/>
      <c r="KA746" s="187"/>
      <c r="KB746" s="187"/>
      <c r="KC746" s="187"/>
      <c r="KD746" s="187"/>
      <c r="KE746" s="187"/>
      <c r="KF746" s="187"/>
      <c r="KG746" s="187"/>
      <c r="KH746" s="187"/>
      <c r="KI746" s="187"/>
      <c r="KJ746" s="187"/>
      <c r="KK746" s="187"/>
      <c r="KL746" s="187"/>
      <c r="KM746" s="187"/>
      <c r="KN746" s="187"/>
      <c r="KO746" s="187"/>
      <c r="KP746" s="187"/>
      <c r="KQ746" s="187"/>
      <c r="KR746" s="187"/>
      <c r="KS746" s="187"/>
      <c r="KT746" s="187"/>
      <c r="KU746" s="187"/>
      <c r="KV746" s="187"/>
      <c r="KW746" s="187"/>
      <c r="KX746" s="187"/>
      <c r="KY746" s="187"/>
      <c r="KZ746" s="187"/>
      <c r="LA746" s="187"/>
      <c r="LB746" s="187"/>
      <c r="LC746" s="187"/>
      <c r="LD746" s="187"/>
      <c r="LE746" s="187"/>
      <c r="LF746" s="187"/>
      <c r="LG746" s="187"/>
      <c r="LH746" s="187"/>
      <c r="LI746" s="187"/>
      <c r="LJ746" s="187"/>
      <c r="LK746" s="187"/>
      <c r="LL746" s="187"/>
      <c r="LM746" s="187"/>
      <c r="LN746" s="187"/>
      <c r="LO746" s="187"/>
      <c r="LP746" s="187"/>
      <c r="LQ746" s="187"/>
      <c r="LR746" s="187"/>
      <c r="LS746" s="187"/>
      <c r="LT746" s="187"/>
      <c r="LU746" s="187"/>
      <c r="LV746" s="187"/>
      <c r="LW746" s="187"/>
      <c r="LX746" s="187"/>
      <c r="LY746" s="187"/>
      <c r="LZ746" s="187"/>
      <c r="MA746" s="187"/>
      <c r="MB746" s="187"/>
      <c r="MC746" s="187"/>
      <c r="MD746" s="187"/>
      <c r="ME746" s="187"/>
      <c r="MF746" s="187"/>
      <c r="MG746" s="187"/>
      <c r="MH746" s="187"/>
      <c r="MI746" s="187"/>
      <c r="MJ746" s="187"/>
      <c r="MK746" s="187"/>
      <c r="ML746" s="187"/>
      <c r="MM746" s="187"/>
      <c r="MN746" s="187"/>
      <c r="MO746" s="187"/>
      <c r="MP746" s="187"/>
      <c r="MQ746" s="187"/>
      <c r="MR746" s="187"/>
      <c r="MS746" s="187"/>
      <c r="MT746" s="187"/>
      <c r="MU746" s="187"/>
      <c r="MV746" s="187"/>
      <c r="MW746" s="187"/>
      <c r="MX746" s="187"/>
      <c r="MY746" s="187"/>
      <c r="MZ746" s="187"/>
      <c r="NA746" s="187"/>
      <c r="NB746" s="187"/>
      <c r="NC746" s="187"/>
      <c r="ND746" s="187"/>
      <c r="NE746" s="187"/>
      <c r="NF746" s="187"/>
      <c r="NG746" s="187"/>
      <c r="NH746" s="187"/>
      <c r="NI746" s="187"/>
      <c r="NJ746" s="187"/>
      <c r="NK746" s="187"/>
      <c r="NL746" s="187"/>
      <c r="NM746" s="187"/>
      <c r="NN746" s="187"/>
      <c r="NO746" s="187"/>
      <c r="NP746" s="187"/>
      <c r="NQ746" s="187"/>
      <c r="NR746" s="187"/>
      <c r="NS746" s="187"/>
      <c r="NT746" s="187"/>
      <c r="NU746" s="187"/>
      <c r="NV746" s="187"/>
      <c r="NW746" s="187"/>
      <c r="NX746" s="187"/>
      <c r="NY746" s="187"/>
      <c r="NZ746" s="187"/>
      <c r="OA746" s="187"/>
      <c r="OB746" s="187"/>
      <c r="OC746" s="187"/>
      <c r="OD746" s="187"/>
      <c r="OE746" s="187"/>
      <c r="OF746" s="187"/>
      <c r="OG746" s="187"/>
      <c r="OH746" s="187"/>
      <c r="OI746" s="187"/>
      <c r="OJ746" s="187"/>
      <c r="OK746" s="187"/>
      <c r="OL746" s="187"/>
      <c r="OM746" s="187"/>
      <c r="ON746" s="187"/>
      <c r="OO746" s="187"/>
      <c r="OP746" s="187"/>
      <c r="OQ746" s="187"/>
      <c r="OR746" s="187"/>
      <c r="OS746" s="187"/>
      <c r="OT746" s="187"/>
      <c r="OU746" s="187"/>
      <c r="OV746" s="187"/>
      <c r="OW746" s="187"/>
      <c r="OX746" s="187"/>
      <c r="OY746" s="187"/>
      <c r="OZ746" s="187"/>
      <c r="PA746" s="187"/>
      <c r="PB746" s="187"/>
      <c r="PC746" s="187"/>
      <c r="PD746" s="187"/>
      <c r="PE746" s="187"/>
      <c r="PF746" s="187"/>
      <c r="PG746" s="187"/>
      <c r="PH746" s="187"/>
      <c r="PI746" s="187"/>
      <c r="PJ746" s="187"/>
      <c r="PK746" s="187"/>
      <c r="PL746" s="187"/>
      <c r="PM746" s="187"/>
      <c r="PN746" s="187"/>
      <c r="PO746" s="187"/>
      <c r="PP746" s="187"/>
      <c r="PQ746" s="187"/>
      <c r="PR746" s="187"/>
      <c r="PS746" s="187"/>
      <c r="PT746" s="187"/>
      <c r="PU746" s="187"/>
      <c r="PV746" s="187"/>
      <c r="PW746" s="187"/>
      <c r="PX746" s="187"/>
      <c r="PY746" s="187"/>
      <c r="PZ746" s="187"/>
      <c r="QA746" s="187"/>
      <c r="QB746" s="187"/>
      <c r="QC746" s="187"/>
      <c r="QD746" s="187"/>
      <c r="QE746" s="187"/>
      <c r="QF746" s="187"/>
      <c r="QG746" s="187"/>
      <c r="QH746" s="187"/>
      <c r="QI746" s="187"/>
      <c r="QJ746" s="187"/>
      <c r="QK746" s="187"/>
      <c r="QL746" s="187"/>
      <c r="QM746" s="187"/>
      <c r="QN746" s="187"/>
      <c r="QO746" s="187"/>
      <c r="QP746" s="187"/>
      <c r="QQ746" s="187"/>
      <c r="QR746" s="187"/>
      <c r="QS746" s="187"/>
      <c r="QT746" s="187"/>
      <c r="QU746" s="187"/>
      <c r="QV746" s="187"/>
      <c r="QW746" s="187"/>
      <c r="QX746" s="187"/>
      <c r="QY746" s="187"/>
      <c r="QZ746" s="187"/>
      <c r="RA746" s="187"/>
      <c r="RB746" s="187"/>
      <c r="RC746" s="187"/>
      <c r="RD746" s="187"/>
      <c r="RE746" s="187"/>
      <c r="RF746" s="187"/>
      <c r="RG746" s="187"/>
      <c r="RH746" s="187"/>
      <c r="RI746" s="187"/>
      <c r="RJ746" s="187"/>
      <c r="RK746" s="187"/>
      <c r="RL746" s="187"/>
      <c r="RM746" s="187"/>
      <c r="RN746" s="187"/>
      <c r="RO746" s="187"/>
      <c r="RP746" s="187"/>
      <c r="RQ746" s="187"/>
      <c r="RR746" s="187"/>
      <c r="RS746" s="187"/>
      <c r="RT746" s="187"/>
      <c r="RU746" s="187"/>
      <c r="RV746" s="187"/>
      <c r="RW746" s="187"/>
      <c r="RX746" s="187"/>
      <c r="RY746" s="187"/>
      <c r="RZ746" s="187"/>
      <c r="SA746" s="187"/>
      <c r="SB746" s="187"/>
      <c r="SC746" s="187"/>
      <c r="SD746" s="187"/>
      <c r="SE746" s="187"/>
      <c r="SF746" s="187"/>
      <c r="SG746" s="187"/>
      <c r="SH746" s="187"/>
      <c r="SI746" s="187"/>
      <c r="SJ746" s="187"/>
      <c r="SK746" s="187"/>
      <c r="SL746" s="187"/>
      <c r="SM746" s="187"/>
      <c r="SN746" s="187"/>
      <c r="SO746" s="187"/>
      <c r="SP746" s="187"/>
      <c r="SQ746" s="187"/>
      <c r="SR746" s="187"/>
      <c r="SS746" s="187"/>
      <c r="ST746" s="187"/>
      <c r="SU746" s="187"/>
      <c r="SV746" s="187"/>
      <c r="SW746" s="187"/>
      <c r="SX746" s="187"/>
      <c r="SY746" s="187"/>
      <c r="SZ746" s="187"/>
      <c r="TA746" s="187"/>
      <c r="TB746" s="187"/>
      <c r="TC746" s="187"/>
      <c r="TD746" s="187"/>
      <c r="TE746" s="187"/>
      <c r="TF746" s="187"/>
      <c r="TG746" s="187"/>
      <c r="TH746" s="187"/>
      <c r="TI746" s="187"/>
      <c r="TJ746" s="187"/>
      <c r="TK746" s="187"/>
      <c r="TL746" s="187"/>
      <c r="TM746" s="187"/>
      <c r="TN746" s="187"/>
      <c r="TO746" s="187"/>
      <c r="TP746" s="187"/>
      <c r="TQ746" s="187"/>
      <c r="TR746" s="187"/>
      <c r="TS746" s="187"/>
      <c r="TT746" s="187"/>
      <c r="TU746" s="187"/>
      <c r="TV746" s="187"/>
      <c r="TW746" s="187"/>
      <c r="TX746" s="187"/>
      <c r="TY746" s="187"/>
      <c r="TZ746" s="187"/>
      <c r="UA746" s="187"/>
      <c r="UB746" s="187"/>
      <c r="UC746" s="187"/>
      <c r="UD746" s="187"/>
      <c r="UE746" s="187"/>
      <c r="UF746" s="187"/>
      <c r="UG746" s="187"/>
      <c r="UH746" s="187"/>
      <c r="UI746" s="187"/>
      <c r="UJ746" s="187"/>
      <c r="UK746" s="187"/>
      <c r="UL746" s="187"/>
      <c r="UM746" s="187"/>
      <c r="UN746" s="187"/>
      <c r="UO746" s="187"/>
      <c r="UP746" s="187"/>
      <c r="UQ746" s="187"/>
      <c r="UR746" s="187"/>
      <c r="US746" s="187"/>
      <c r="UT746" s="187"/>
      <c r="UU746" s="187"/>
      <c r="UV746" s="187"/>
      <c r="UW746" s="187"/>
      <c r="UX746" s="187"/>
      <c r="UY746" s="187"/>
      <c r="UZ746" s="187"/>
      <c r="VA746" s="187"/>
      <c r="VB746" s="187"/>
      <c r="VC746" s="187"/>
      <c r="VD746" s="187"/>
      <c r="VE746" s="187"/>
      <c r="VF746" s="187"/>
      <c r="VG746" s="187"/>
      <c r="VH746" s="187"/>
      <c r="VI746" s="187"/>
      <c r="VJ746" s="187"/>
      <c r="VK746" s="187"/>
      <c r="VL746" s="187"/>
      <c r="VM746" s="187"/>
      <c r="VN746" s="187"/>
      <c r="VO746" s="187"/>
      <c r="VP746" s="187"/>
      <c r="VQ746" s="187"/>
      <c r="VR746" s="187"/>
      <c r="VS746" s="187"/>
      <c r="VT746" s="187"/>
      <c r="VU746" s="187"/>
      <c r="VV746" s="187"/>
      <c r="VW746" s="187"/>
      <c r="VX746" s="187"/>
      <c r="VY746" s="187"/>
      <c r="VZ746" s="187"/>
      <c r="WA746" s="187"/>
      <c r="WB746" s="187"/>
      <c r="WC746" s="187"/>
      <c r="WD746" s="187"/>
      <c r="WE746" s="187"/>
      <c r="WF746" s="187"/>
      <c r="WG746" s="187"/>
      <c r="WH746" s="187"/>
      <c r="WI746" s="187"/>
      <c r="WJ746" s="187"/>
      <c r="WK746" s="187"/>
      <c r="WL746" s="187"/>
      <c r="WM746" s="187"/>
      <c r="WN746" s="187"/>
      <c r="WO746" s="187"/>
      <c r="WP746" s="187"/>
      <c r="WQ746" s="187"/>
      <c r="WR746" s="187"/>
      <c r="WS746" s="187"/>
      <c r="WT746" s="187"/>
      <c r="WU746" s="187"/>
      <c r="WV746" s="187"/>
      <c r="WW746" s="187"/>
      <c r="WX746" s="187"/>
      <c r="WY746" s="187"/>
      <c r="WZ746" s="187"/>
      <c r="XA746" s="187"/>
      <c r="XB746" s="187"/>
      <c r="XC746" s="187"/>
      <c r="XD746" s="187"/>
      <c r="XE746" s="187"/>
      <c r="XF746" s="187"/>
      <c r="XG746" s="187"/>
      <c r="XH746" s="187"/>
      <c r="XI746" s="187"/>
      <c r="XJ746" s="187"/>
      <c r="XK746" s="187"/>
      <c r="XL746" s="187"/>
      <c r="XM746" s="187"/>
      <c r="XN746" s="187"/>
      <c r="XO746" s="187"/>
      <c r="XP746" s="187"/>
      <c r="XQ746" s="187"/>
      <c r="XR746" s="187"/>
      <c r="XS746" s="187"/>
      <c r="XT746" s="187"/>
      <c r="XU746" s="187"/>
      <c r="XV746" s="187"/>
      <c r="XW746" s="187"/>
      <c r="XX746" s="187"/>
      <c r="XY746" s="187"/>
      <c r="XZ746" s="187"/>
      <c r="YA746" s="187"/>
      <c r="YB746" s="187"/>
      <c r="YC746" s="187"/>
      <c r="YD746" s="187"/>
      <c r="YE746" s="187"/>
      <c r="YF746" s="187"/>
      <c r="YG746" s="187"/>
      <c r="YH746" s="187"/>
      <c r="YI746" s="187"/>
      <c r="YJ746" s="187"/>
      <c r="YK746" s="187"/>
      <c r="YL746" s="187"/>
      <c r="YM746" s="187"/>
      <c r="YN746" s="187"/>
      <c r="YO746" s="187"/>
      <c r="YP746" s="187"/>
      <c r="YQ746" s="187"/>
      <c r="YR746" s="187"/>
      <c r="YS746" s="187"/>
      <c r="YT746" s="187"/>
      <c r="YU746" s="187"/>
      <c r="YV746" s="187"/>
      <c r="YW746" s="187"/>
      <c r="YX746" s="187"/>
      <c r="YY746" s="187"/>
      <c r="YZ746" s="187"/>
      <c r="ZA746" s="187"/>
      <c r="ZB746" s="187"/>
      <c r="ZC746" s="187"/>
      <c r="ZD746" s="187"/>
      <c r="ZE746" s="187"/>
      <c r="ZF746" s="187"/>
      <c r="ZG746" s="187"/>
      <c r="ZH746" s="187"/>
      <c r="ZI746" s="187"/>
      <c r="ZJ746" s="187"/>
      <c r="ZK746" s="187"/>
      <c r="ZL746" s="187"/>
      <c r="ZM746" s="187"/>
      <c r="ZN746" s="187"/>
      <c r="ZO746" s="187"/>
      <c r="ZP746" s="187"/>
      <c r="ZQ746" s="187"/>
      <c r="ZR746" s="187"/>
      <c r="ZS746" s="187"/>
      <c r="ZT746" s="187"/>
      <c r="ZU746" s="187"/>
      <c r="ZV746" s="187"/>
      <c r="ZW746" s="187"/>
      <c r="ZX746" s="187"/>
      <c r="ZY746" s="187"/>
      <c r="ZZ746" s="187"/>
      <c r="AAA746" s="187"/>
      <c r="AAB746" s="187"/>
      <c r="AAC746" s="187"/>
      <c r="AAD746" s="187"/>
      <c r="AAE746" s="187"/>
      <c r="AAF746" s="187"/>
      <c r="AAG746" s="187"/>
      <c r="AAH746" s="187"/>
      <c r="AAI746" s="187"/>
      <c r="AAJ746" s="187"/>
      <c r="AAK746" s="187"/>
      <c r="AAL746" s="187"/>
      <c r="AAM746" s="187"/>
      <c r="AAN746" s="187"/>
      <c r="AAO746" s="187"/>
      <c r="AAP746" s="187"/>
      <c r="AAQ746" s="187"/>
      <c r="AAR746" s="187"/>
      <c r="AAS746" s="187"/>
      <c r="AAT746" s="187"/>
      <c r="AAU746" s="187"/>
      <c r="AAV746" s="187"/>
      <c r="AAW746" s="187"/>
      <c r="AAX746" s="187"/>
      <c r="AAY746" s="187"/>
      <c r="AAZ746" s="187"/>
      <c r="ABA746" s="187"/>
      <c r="ABB746" s="187"/>
      <c r="ABC746" s="187"/>
      <c r="ABD746" s="187"/>
      <c r="ABE746" s="187"/>
      <c r="ABF746" s="187"/>
      <c r="ABG746" s="187"/>
      <c r="ABH746" s="187"/>
      <c r="ABI746" s="187"/>
      <c r="ABJ746" s="187"/>
      <c r="ABK746" s="187"/>
      <c r="ABL746" s="187"/>
      <c r="ABM746" s="187"/>
      <c r="ABN746" s="187"/>
      <c r="ABO746" s="187"/>
      <c r="ABP746" s="187"/>
      <c r="ABQ746" s="187"/>
      <c r="ABR746" s="187"/>
      <c r="ABS746" s="187"/>
      <c r="ABT746" s="187"/>
      <c r="ABU746" s="187"/>
      <c r="ABV746" s="187"/>
      <c r="ABW746" s="187"/>
      <c r="ABX746" s="187"/>
      <c r="ABY746" s="187"/>
      <c r="ABZ746" s="187"/>
      <c r="ACA746" s="187"/>
      <c r="ACB746" s="187"/>
      <c r="ACC746" s="187"/>
      <c r="ACD746" s="187"/>
      <c r="ACE746" s="187"/>
      <c r="ACF746" s="187"/>
      <c r="ACG746" s="187"/>
      <c r="ACH746" s="187"/>
      <c r="ACI746" s="187"/>
      <c r="ACJ746" s="187"/>
      <c r="ACK746" s="187"/>
      <c r="ACL746" s="187"/>
      <c r="ACM746" s="187"/>
      <c r="ACN746" s="187"/>
      <c r="ACO746" s="187"/>
      <c r="ACP746" s="187"/>
      <c r="ACQ746" s="187"/>
      <c r="ACR746" s="187"/>
      <c r="ACS746" s="187"/>
      <c r="ACT746" s="187"/>
      <c r="ACU746" s="187"/>
      <c r="ACV746" s="187"/>
      <c r="ACW746" s="187"/>
      <c r="ACX746" s="187"/>
      <c r="ACY746" s="187"/>
      <c r="ACZ746" s="187"/>
      <c r="ADA746" s="187"/>
      <c r="ADB746" s="187"/>
      <c r="ADC746" s="187"/>
      <c r="ADD746" s="187"/>
      <c r="ADE746" s="187"/>
      <c r="ADF746" s="187"/>
      <c r="ADG746" s="187"/>
      <c r="ADH746" s="187"/>
      <c r="ADI746" s="187"/>
      <c r="ADJ746" s="187"/>
      <c r="ADK746" s="187"/>
      <c r="ADL746" s="187"/>
      <c r="ADM746" s="187"/>
      <c r="ADN746" s="187"/>
      <c r="ADO746" s="187"/>
      <c r="ADP746" s="187"/>
      <c r="ADQ746" s="187"/>
      <c r="ADR746" s="187"/>
      <c r="ADS746" s="187"/>
      <c r="ADT746" s="187"/>
      <c r="ADU746" s="187"/>
      <c r="ADV746" s="187"/>
      <c r="ADW746" s="187"/>
      <c r="ADX746" s="187"/>
      <c r="ADY746" s="187"/>
      <c r="ADZ746" s="187"/>
      <c r="AEA746" s="187"/>
      <c r="AEB746" s="187"/>
      <c r="AEC746" s="187"/>
      <c r="AED746" s="187"/>
      <c r="AEE746" s="187"/>
      <c r="AEF746" s="187"/>
      <c r="AEG746" s="187"/>
      <c r="AEH746" s="187"/>
      <c r="AEI746" s="187"/>
      <c r="AEJ746" s="187"/>
      <c r="AEK746" s="187"/>
      <c r="AEL746" s="187"/>
      <c r="AEM746" s="187"/>
      <c r="AEN746" s="187"/>
      <c r="AEO746" s="187"/>
      <c r="AEP746" s="187"/>
      <c r="AEQ746" s="187"/>
      <c r="AER746" s="187"/>
      <c r="AES746" s="187"/>
      <c r="AET746" s="187"/>
      <c r="AEU746" s="187"/>
      <c r="AEV746" s="187"/>
      <c r="AEW746" s="187"/>
      <c r="AEX746" s="187"/>
      <c r="AEY746" s="187"/>
      <c r="AEZ746" s="187"/>
      <c r="AFA746" s="187"/>
      <c r="AFB746" s="187"/>
      <c r="AFC746" s="187"/>
      <c r="AFD746" s="187"/>
      <c r="AFE746" s="187"/>
      <c r="AFF746" s="187"/>
      <c r="AFG746" s="187"/>
      <c r="AFH746" s="187"/>
      <c r="AFI746" s="187"/>
      <c r="AFJ746" s="187"/>
      <c r="AFK746" s="187"/>
      <c r="AFL746" s="187"/>
      <c r="AFM746" s="187"/>
      <c r="AFN746" s="187"/>
      <c r="AFO746" s="187"/>
      <c r="AFP746" s="187"/>
      <c r="AFQ746" s="187"/>
      <c r="AFR746" s="187"/>
      <c r="AFS746" s="187"/>
      <c r="AFT746" s="187"/>
      <c r="AFU746" s="187"/>
      <c r="AFV746" s="187"/>
      <c r="AFW746" s="187"/>
      <c r="AFX746" s="187"/>
      <c r="AFY746" s="187"/>
      <c r="AFZ746" s="187"/>
      <c r="AGA746" s="187"/>
      <c r="AGB746" s="187"/>
      <c r="AGC746" s="187"/>
      <c r="AGD746" s="187"/>
      <c r="AGE746" s="187"/>
      <c r="AGF746" s="187"/>
      <c r="AGG746" s="187"/>
      <c r="AGH746" s="187"/>
      <c r="AGI746" s="187"/>
      <c r="AGJ746" s="187"/>
      <c r="AGK746" s="187"/>
      <c r="AGL746" s="187"/>
      <c r="AGM746" s="187"/>
      <c r="AGN746" s="187"/>
      <c r="AGO746" s="187"/>
      <c r="AGP746" s="187"/>
      <c r="AGQ746" s="187"/>
      <c r="AGR746" s="187"/>
      <c r="AGS746" s="187"/>
      <c r="AGT746" s="187"/>
      <c r="AGU746" s="187"/>
      <c r="AGV746" s="187"/>
      <c r="AGW746" s="187"/>
      <c r="AGX746" s="187"/>
      <c r="AGY746" s="187"/>
      <c r="AGZ746" s="187"/>
      <c r="AHA746" s="187"/>
      <c r="AHB746" s="187"/>
      <c r="AHC746" s="187"/>
      <c r="AHD746" s="187"/>
      <c r="AHE746" s="187"/>
      <c r="AHF746" s="187"/>
      <c r="AHG746" s="187"/>
      <c r="AHH746" s="187"/>
      <c r="AHI746" s="187"/>
      <c r="AHJ746" s="187"/>
      <c r="AHK746" s="187"/>
      <c r="AHL746" s="187"/>
      <c r="AHM746" s="187"/>
      <c r="AHN746" s="187"/>
      <c r="AHO746" s="187"/>
      <c r="AHP746" s="187"/>
      <c r="AHQ746" s="187"/>
      <c r="AHR746" s="187"/>
      <c r="AHS746" s="187"/>
      <c r="AHT746" s="187"/>
      <c r="AHU746" s="187"/>
      <c r="AHV746" s="187"/>
      <c r="AHW746" s="187"/>
      <c r="AHX746" s="187"/>
      <c r="AHY746" s="187"/>
      <c r="AHZ746" s="187"/>
      <c r="AIA746" s="187"/>
      <c r="AIB746" s="187"/>
      <c r="AIC746" s="187"/>
      <c r="AID746" s="187"/>
      <c r="AIE746" s="187"/>
      <c r="AIF746" s="187"/>
      <c r="AIG746" s="187"/>
      <c r="AIH746" s="187"/>
      <c r="AII746" s="187"/>
      <c r="AIJ746" s="187"/>
      <c r="AIK746" s="187"/>
      <c r="AIL746" s="187"/>
      <c r="AIM746" s="187"/>
      <c r="AIN746" s="187"/>
      <c r="AIO746" s="187"/>
      <c r="AIP746" s="187"/>
      <c r="AIQ746" s="187"/>
      <c r="AIR746" s="187"/>
      <c r="AIS746" s="187"/>
      <c r="AIT746" s="187"/>
      <c r="AIU746" s="187"/>
      <c r="AIV746" s="187"/>
      <c r="AIW746" s="187"/>
      <c r="AIX746" s="187"/>
      <c r="AIY746" s="187"/>
      <c r="AIZ746" s="187"/>
      <c r="AJA746" s="187"/>
      <c r="AJB746" s="187"/>
      <c r="AJC746" s="187"/>
      <c r="AJD746" s="187"/>
      <c r="AJE746" s="187"/>
      <c r="AJF746" s="187"/>
      <c r="AJG746" s="187"/>
      <c r="AJH746" s="187"/>
      <c r="AJI746" s="187"/>
      <c r="AJJ746" s="187"/>
      <c r="AJK746" s="187"/>
      <c r="AJL746" s="187"/>
      <c r="AJM746" s="187"/>
      <c r="AJN746" s="187"/>
      <c r="AJO746" s="187"/>
      <c r="AJP746" s="187"/>
      <c r="AJQ746" s="187"/>
      <c r="AJR746" s="187"/>
      <c r="AJS746" s="187"/>
      <c r="AJT746" s="187"/>
      <c r="AJU746" s="187"/>
      <c r="AJV746" s="187"/>
      <c r="AJW746" s="187"/>
      <c r="AJX746" s="187"/>
      <c r="AJY746" s="187"/>
      <c r="AJZ746" s="187"/>
      <c r="AKA746" s="187"/>
      <c r="AKB746" s="187"/>
      <c r="AKC746" s="187"/>
      <c r="AKD746" s="187"/>
      <c r="AKE746" s="187"/>
      <c r="AKF746" s="187"/>
      <c r="AKG746" s="187"/>
      <c r="AKH746" s="187"/>
      <c r="AKI746" s="187"/>
      <c r="AKJ746" s="187"/>
      <c r="AKK746" s="187"/>
      <c r="AKL746" s="187"/>
      <c r="AKM746" s="187"/>
      <c r="AKN746" s="187"/>
      <c r="AKO746" s="187"/>
      <c r="AKP746" s="187"/>
      <c r="AKQ746" s="187"/>
      <c r="AKR746" s="187"/>
      <c r="AKS746" s="187"/>
      <c r="AKT746" s="187"/>
      <c r="AKU746" s="187"/>
      <c r="AKV746" s="187"/>
      <c r="AKW746" s="187"/>
      <c r="AKX746" s="187"/>
      <c r="AKY746" s="187"/>
      <c r="AKZ746" s="187"/>
      <c r="ALA746" s="187"/>
      <c r="ALB746" s="187"/>
      <c r="ALC746" s="187"/>
      <c r="ALD746" s="187"/>
      <c r="ALE746" s="187"/>
      <c r="ALF746" s="187"/>
      <c r="ALG746" s="187"/>
      <c r="ALH746" s="187"/>
      <c r="ALI746" s="187"/>
      <c r="ALJ746" s="187"/>
      <c r="ALK746" s="187"/>
      <c r="ALL746" s="187"/>
      <c r="ALM746" s="187"/>
      <c r="ALN746" s="187"/>
      <c r="ALO746" s="187"/>
      <c r="ALP746" s="187"/>
      <c r="ALQ746" s="187"/>
      <c r="ALR746" s="187"/>
      <c r="ALS746" s="187"/>
      <c r="ALT746" s="187"/>
      <c r="ALU746" s="187"/>
      <c r="ALV746" s="187"/>
      <c r="ALW746" s="187"/>
      <c r="ALX746" s="187"/>
      <c r="ALY746" s="187"/>
      <c r="ALZ746" s="187"/>
      <c r="AMA746" s="187"/>
      <c r="AMB746" s="187"/>
      <c r="AMC746" s="187"/>
      <c r="AMD746" s="187"/>
      <c r="AME746" s="187"/>
      <c r="AMF746" s="187"/>
      <c r="AMG746" s="187"/>
      <c r="AMH746" s="187"/>
      <c r="AMI746" s="187"/>
      <c r="AMJ746" s="187"/>
      <c r="AMK746" s="187"/>
      <c r="AML746" s="187"/>
      <c r="AMM746" s="187"/>
      <c r="AMN746" s="187"/>
      <c r="AMO746" s="187"/>
      <c r="AMP746" s="187"/>
      <c r="AMQ746" s="187"/>
      <c r="AMR746" s="187"/>
      <c r="AMS746" s="187"/>
      <c r="AMT746" s="187"/>
      <c r="AMU746" s="187"/>
      <c r="AMV746" s="187"/>
      <c r="AMW746" s="187"/>
      <c r="AMX746" s="187"/>
      <c r="AMY746" s="187"/>
      <c r="AMZ746" s="187"/>
      <c r="ANA746" s="187"/>
      <c r="ANB746" s="187"/>
      <c r="ANC746" s="187"/>
      <c r="AND746" s="187"/>
      <c r="ANE746" s="187"/>
      <c r="ANF746" s="187"/>
      <c r="ANG746" s="187"/>
      <c r="ANH746" s="187"/>
      <c r="ANI746" s="187"/>
      <c r="ANJ746" s="187"/>
      <c r="ANK746" s="187"/>
      <c r="ANL746" s="187"/>
      <c r="ANM746" s="187"/>
      <c r="ANN746" s="187"/>
      <c r="ANO746" s="187"/>
      <c r="ANP746" s="187"/>
      <c r="ANQ746" s="187"/>
      <c r="ANR746" s="187"/>
      <c r="ANS746" s="187"/>
      <c r="ANT746" s="187"/>
      <c r="ANU746" s="187"/>
      <c r="ANV746" s="187"/>
      <c r="ANW746" s="187"/>
      <c r="ANX746" s="187"/>
      <c r="ANY746" s="187"/>
      <c r="ANZ746" s="187"/>
      <c r="AOA746" s="187"/>
      <c r="AOB746" s="187"/>
      <c r="AOC746" s="187"/>
      <c r="AOD746" s="187"/>
      <c r="AOE746" s="187"/>
      <c r="AOF746" s="187"/>
      <c r="AOG746" s="187"/>
      <c r="AOH746" s="187"/>
      <c r="AOI746" s="187"/>
      <c r="AOJ746" s="187"/>
      <c r="AOK746" s="187"/>
      <c r="AOL746" s="187"/>
      <c r="AOM746" s="187"/>
      <c r="AON746" s="187"/>
      <c r="AOO746" s="187"/>
      <c r="AOP746" s="187"/>
      <c r="AOQ746" s="187"/>
      <c r="AOR746" s="187"/>
      <c r="AOS746" s="187"/>
      <c r="AOT746" s="187"/>
      <c r="AOU746" s="187"/>
      <c r="AOV746" s="187"/>
      <c r="AOW746" s="187"/>
      <c r="AOX746" s="187"/>
      <c r="AOY746" s="187"/>
      <c r="AOZ746" s="187"/>
      <c r="APA746" s="187"/>
      <c r="APB746" s="187"/>
      <c r="APC746" s="187"/>
      <c r="APD746" s="187"/>
      <c r="APE746" s="187"/>
      <c r="APF746" s="187"/>
      <c r="APG746" s="187"/>
      <c r="APH746" s="187"/>
      <c r="API746" s="187"/>
      <c r="APJ746" s="187"/>
      <c r="APK746" s="187"/>
      <c r="APL746" s="187"/>
      <c r="APM746" s="187"/>
      <c r="APN746" s="187"/>
      <c r="APO746" s="187"/>
      <c r="APP746" s="187"/>
      <c r="APQ746" s="187"/>
      <c r="APR746" s="187"/>
      <c r="APS746" s="187"/>
      <c r="APT746" s="187"/>
      <c r="APU746" s="187"/>
      <c r="APV746" s="187"/>
      <c r="APW746" s="187"/>
      <c r="APX746" s="187"/>
      <c r="APY746" s="187"/>
      <c r="APZ746" s="187"/>
      <c r="AQA746" s="187"/>
      <c r="AQB746" s="187"/>
      <c r="AQC746" s="187"/>
      <c r="AQD746" s="187"/>
      <c r="AQE746" s="187"/>
      <c r="AQF746" s="187"/>
      <c r="AQG746" s="187"/>
      <c r="AQH746" s="187"/>
      <c r="AQI746" s="187"/>
      <c r="AQJ746" s="187"/>
      <c r="AQK746" s="187"/>
      <c r="AQL746" s="187"/>
      <c r="AQM746" s="187"/>
      <c r="AQN746" s="187"/>
      <c r="AQO746" s="187"/>
      <c r="AQP746" s="187"/>
      <c r="AQQ746" s="187"/>
      <c r="AQR746" s="187"/>
      <c r="AQS746" s="187"/>
      <c r="AQT746" s="187"/>
      <c r="AQU746" s="187"/>
      <c r="AQV746" s="187"/>
      <c r="AQW746" s="187"/>
      <c r="AQX746" s="187"/>
      <c r="AQY746" s="187"/>
      <c r="AQZ746" s="187"/>
      <c r="ARA746" s="187"/>
      <c r="ARB746" s="187"/>
      <c r="ARC746" s="187"/>
      <c r="ARD746" s="187"/>
      <c r="ARE746" s="187"/>
      <c r="ARF746" s="187"/>
      <c r="ARG746" s="187"/>
      <c r="ARH746" s="187"/>
      <c r="ARI746" s="187"/>
      <c r="ARJ746" s="187"/>
      <c r="ARK746" s="187"/>
      <c r="ARL746" s="187"/>
      <c r="ARM746" s="187"/>
      <c r="ARN746" s="187"/>
      <c r="ARO746" s="187"/>
      <c r="ARP746" s="187"/>
      <c r="ARQ746" s="187"/>
      <c r="ARR746" s="187"/>
      <c r="ARS746" s="187"/>
      <c r="ART746" s="187"/>
      <c r="ARU746" s="187"/>
      <c r="ARV746" s="187"/>
      <c r="ARW746" s="187"/>
      <c r="ARX746" s="187"/>
      <c r="ARY746" s="187"/>
      <c r="ARZ746" s="187"/>
      <c r="ASA746" s="187"/>
      <c r="ASB746" s="187"/>
      <c r="ASC746" s="187"/>
      <c r="ASD746" s="187"/>
      <c r="ASE746" s="187"/>
      <c r="ASF746" s="187"/>
      <c r="ASG746" s="187"/>
      <c r="ASH746" s="187"/>
      <c r="ASI746" s="187"/>
      <c r="ASJ746" s="187"/>
      <c r="ASK746" s="187"/>
      <c r="ASL746" s="187"/>
      <c r="ASM746" s="187"/>
      <c r="ASN746" s="187"/>
      <c r="ASO746" s="187"/>
      <c r="ASP746" s="187"/>
      <c r="ASQ746" s="187"/>
      <c r="ASR746" s="187"/>
      <c r="ASS746" s="187"/>
      <c r="AST746" s="187"/>
      <c r="ASU746" s="187"/>
      <c r="ASV746" s="187"/>
      <c r="ASW746" s="187"/>
      <c r="ASX746" s="187"/>
      <c r="ASY746" s="187"/>
      <c r="ASZ746" s="187"/>
      <c r="ATA746" s="187"/>
      <c r="ATB746" s="187"/>
      <c r="ATC746" s="187"/>
      <c r="ATD746" s="187"/>
      <c r="ATE746" s="187"/>
      <c r="ATF746" s="187"/>
      <c r="ATG746" s="187"/>
      <c r="ATH746" s="187"/>
      <c r="ATI746" s="187"/>
      <c r="ATJ746" s="187"/>
      <c r="ATK746" s="187"/>
      <c r="ATL746" s="187"/>
      <c r="ATM746" s="187"/>
      <c r="ATN746" s="187"/>
      <c r="ATO746" s="187"/>
      <c r="ATP746" s="187"/>
      <c r="ATQ746" s="187"/>
      <c r="ATR746" s="187"/>
      <c r="ATS746" s="187"/>
      <c r="ATT746" s="187"/>
      <c r="ATU746" s="187"/>
      <c r="ATV746" s="187"/>
      <c r="ATW746" s="187"/>
      <c r="ATX746" s="187"/>
      <c r="ATY746" s="187"/>
      <c r="ATZ746" s="187"/>
      <c r="AUA746" s="187"/>
      <c r="AUB746" s="187"/>
      <c r="AUC746" s="187"/>
      <c r="AUD746" s="187"/>
      <c r="AUE746" s="187"/>
      <c r="AUF746" s="187"/>
      <c r="AUG746" s="187"/>
      <c r="AUH746" s="187"/>
      <c r="AUI746" s="187"/>
      <c r="AUJ746" s="187"/>
      <c r="AUK746" s="187"/>
      <c r="AUL746" s="187"/>
      <c r="AUM746" s="187"/>
      <c r="AUN746" s="187"/>
      <c r="AUO746" s="187"/>
      <c r="AUP746" s="187"/>
      <c r="AUQ746" s="187"/>
      <c r="AUR746" s="187"/>
      <c r="AUS746" s="187"/>
      <c r="AUT746" s="187"/>
      <c r="AUU746" s="187"/>
      <c r="AUV746" s="187"/>
      <c r="AUW746" s="187"/>
      <c r="AUX746" s="187"/>
      <c r="AUY746" s="187"/>
      <c r="AUZ746" s="187"/>
      <c r="AVA746" s="187"/>
      <c r="AVB746" s="187"/>
      <c r="AVC746" s="187"/>
      <c r="AVD746" s="187"/>
      <c r="AVE746" s="187"/>
      <c r="AVF746" s="187"/>
      <c r="AVG746" s="187"/>
      <c r="AVH746" s="187"/>
      <c r="AVI746" s="187"/>
      <c r="AVJ746" s="187"/>
      <c r="AVK746" s="187"/>
      <c r="AVL746" s="187"/>
      <c r="AVM746" s="187"/>
      <c r="AVN746" s="187"/>
      <c r="AVO746" s="187"/>
      <c r="AVP746" s="187"/>
      <c r="AVQ746" s="187"/>
      <c r="AVR746" s="187"/>
      <c r="AVS746" s="187"/>
      <c r="AVT746" s="187"/>
      <c r="AVU746" s="187"/>
      <c r="AVV746" s="187"/>
      <c r="AVW746" s="187"/>
      <c r="AVX746" s="187"/>
      <c r="AVY746" s="187"/>
      <c r="AVZ746" s="187"/>
      <c r="AWA746" s="187"/>
      <c r="AWB746" s="187"/>
      <c r="AWC746" s="187"/>
      <c r="AWD746" s="187"/>
      <c r="AWE746" s="187"/>
      <c r="AWF746" s="187"/>
      <c r="AWG746" s="187"/>
      <c r="AWH746" s="187"/>
      <c r="AWI746" s="187"/>
      <c r="AWJ746" s="187"/>
      <c r="AWK746" s="187"/>
      <c r="AWL746" s="187"/>
      <c r="AWM746" s="187"/>
      <c r="AWN746" s="187"/>
      <c r="AWO746" s="187"/>
      <c r="AWP746" s="187"/>
      <c r="AWQ746" s="187"/>
      <c r="AWR746" s="187"/>
      <c r="AWS746" s="187"/>
      <c r="AWT746" s="187"/>
      <c r="AWU746" s="187"/>
      <c r="AWV746" s="187"/>
      <c r="AWW746" s="187"/>
      <c r="AWX746" s="187"/>
      <c r="AWY746" s="187"/>
      <c r="AWZ746" s="187"/>
      <c r="AXA746" s="187"/>
      <c r="AXB746" s="187"/>
      <c r="AXC746" s="187"/>
      <c r="AXD746" s="187"/>
      <c r="AXE746" s="187"/>
      <c r="AXF746" s="187"/>
      <c r="AXG746" s="187"/>
      <c r="AXH746" s="187"/>
      <c r="AXI746" s="187"/>
      <c r="AXJ746" s="187"/>
      <c r="AXK746" s="187"/>
      <c r="AXL746" s="187"/>
      <c r="AXM746" s="187"/>
      <c r="AXN746" s="187"/>
      <c r="AXO746" s="187"/>
      <c r="AXP746" s="187"/>
      <c r="AXQ746" s="187"/>
      <c r="AXR746" s="187"/>
      <c r="AXS746" s="187"/>
      <c r="AXT746" s="187"/>
      <c r="AXU746" s="187"/>
      <c r="AXV746" s="187"/>
      <c r="AXW746" s="187"/>
      <c r="AXX746" s="187"/>
      <c r="AXY746" s="187"/>
      <c r="AXZ746" s="187"/>
      <c r="AYA746" s="187"/>
      <c r="AYB746" s="187"/>
      <c r="AYC746" s="187"/>
      <c r="AYD746" s="187"/>
      <c r="AYE746" s="187"/>
      <c r="AYF746" s="187"/>
      <c r="AYG746" s="187"/>
      <c r="AYH746" s="187"/>
      <c r="AYI746" s="187"/>
      <c r="AYJ746" s="187"/>
      <c r="AYK746" s="187"/>
      <c r="AYL746" s="187"/>
      <c r="AYM746" s="187"/>
      <c r="AYN746" s="187"/>
      <c r="AYO746" s="187"/>
      <c r="AYP746" s="187"/>
      <c r="AYQ746" s="187"/>
      <c r="AYR746" s="187"/>
      <c r="AYS746" s="187"/>
      <c r="AYT746" s="187"/>
      <c r="AYU746" s="187"/>
      <c r="AYV746" s="187"/>
      <c r="AYW746" s="187"/>
      <c r="AYX746" s="187"/>
      <c r="AYY746" s="187"/>
      <c r="AYZ746" s="187"/>
      <c r="AZA746" s="187"/>
      <c r="AZB746" s="187"/>
      <c r="AZC746" s="187"/>
      <c r="AZD746" s="187"/>
      <c r="AZE746" s="187"/>
      <c r="AZF746" s="187"/>
      <c r="AZG746" s="187"/>
      <c r="AZH746" s="187"/>
      <c r="AZI746" s="187"/>
      <c r="AZJ746" s="187"/>
      <c r="AZK746" s="187"/>
      <c r="AZL746" s="187"/>
      <c r="AZM746" s="187"/>
      <c r="AZN746" s="187"/>
      <c r="AZO746" s="187"/>
      <c r="AZP746" s="187"/>
      <c r="AZQ746" s="187"/>
      <c r="AZR746" s="187"/>
      <c r="AZS746" s="187"/>
      <c r="AZT746" s="187"/>
      <c r="AZU746" s="187"/>
      <c r="AZV746" s="187"/>
      <c r="AZW746" s="187"/>
      <c r="AZX746" s="187"/>
      <c r="AZY746" s="187"/>
      <c r="AZZ746" s="187"/>
      <c r="BAA746" s="187"/>
      <c r="BAB746" s="187"/>
      <c r="BAC746" s="187"/>
      <c r="BAD746" s="187"/>
      <c r="BAE746" s="187"/>
      <c r="BAF746" s="187"/>
      <c r="BAG746" s="187"/>
      <c r="BAH746" s="187"/>
      <c r="BAI746" s="187"/>
      <c r="BAJ746" s="187"/>
      <c r="BAK746" s="187"/>
      <c r="BAL746" s="187"/>
      <c r="BAM746" s="187"/>
      <c r="BAN746" s="187"/>
      <c r="BAO746" s="187"/>
      <c r="BAP746" s="187"/>
      <c r="BAQ746" s="187"/>
      <c r="BAR746" s="187"/>
      <c r="BAS746" s="187"/>
      <c r="BAT746" s="187"/>
      <c r="BAU746" s="187"/>
      <c r="BAV746" s="187"/>
      <c r="BAW746" s="187"/>
      <c r="BAX746" s="187"/>
      <c r="BAY746" s="187"/>
      <c r="BAZ746" s="187"/>
      <c r="BBA746" s="187"/>
      <c r="BBB746" s="187"/>
      <c r="BBC746" s="187"/>
      <c r="BBD746" s="187"/>
      <c r="BBE746" s="187"/>
      <c r="BBF746" s="187"/>
      <c r="BBG746" s="187"/>
      <c r="BBH746" s="187"/>
      <c r="BBI746" s="187"/>
      <c r="BBJ746" s="187"/>
      <c r="BBK746" s="187"/>
      <c r="BBL746" s="187"/>
      <c r="BBM746" s="187"/>
      <c r="BBN746" s="187"/>
      <c r="BBO746" s="187"/>
      <c r="BBP746" s="187"/>
      <c r="BBQ746" s="187"/>
      <c r="BBR746" s="187"/>
      <c r="BBS746" s="187"/>
      <c r="BBT746" s="187"/>
      <c r="BBU746" s="187"/>
      <c r="BBV746" s="187"/>
      <c r="BBW746" s="187"/>
      <c r="BBX746" s="187"/>
      <c r="BBY746" s="187"/>
      <c r="BBZ746" s="187"/>
      <c r="BCA746" s="187"/>
      <c r="BCB746" s="187"/>
      <c r="BCC746" s="187"/>
      <c r="BCD746" s="187"/>
      <c r="BCE746" s="187"/>
      <c r="BCF746" s="187"/>
      <c r="BCG746" s="187"/>
      <c r="BCH746" s="187"/>
      <c r="BCI746" s="187"/>
      <c r="BCJ746" s="187"/>
      <c r="BCK746" s="187"/>
      <c r="BCL746" s="187"/>
      <c r="BCM746" s="187"/>
      <c r="BCN746" s="187"/>
      <c r="BCO746" s="187"/>
      <c r="BCP746" s="187"/>
      <c r="BCQ746" s="187"/>
      <c r="BCR746" s="187"/>
      <c r="BCS746" s="187"/>
      <c r="BCT746" s="187"/>
      <c r="BCU746" s="187"/>
      <c r="BCV746" s="187"/>
      <c r="BCW746" s="187"/>
      <c r="BCX746" s="187"/>
      <c r="BCY746" s="187"/>
      <c r="BCZ746" s="187"/>
      <c r="BDA746" s="187"/>
      <c r="BDB746" s="187"/>
      <c r="BDC746" s="187"/>
      <c r="BDD746" s="187"/>
      <c r="BDE746" s="187"/>
      <c r="BDF746" s="187"/>
      <c r="BDG746" s="187"/>
      <c r="BDH746" s="187"/>
      <c r="BDI746" s="187"/>
      <c r="BDJ746" s="187"/>
      <c r="BDK746" s="187"/>
      <c r="BDL746" s="187"/>
      <c r="BDM746" s="187"/>
      <c r="BDN746" s="187"/>
      <c r="BDO746" s="187"/>
      <c r="BDP746" s="187"/>
      <c r="BDQ746" s="187"/>
      <c r="BDR746" s="187"/>
      <c r="BDS746" s="187"/>
      <c r="BDT746" s="187"/>
      <c r="BDU746" s="187"/>
      <c r="BDV746" s="187"/>
      <c r="BDW746" s="187"/>
      <c r="BDX746" s="187"/>
      <c r="BDY746" s="187"/>
      <c r="BDZ746" s="187"/>
      <c r="BEA746" s="187"/>
      <c r="BEB746" s="187"/>
      <c r="BEC746" s="187"/>
      <c r="BED746" s="187"/>
      <c r="BEE746" s="187"/>
      <c r="BEF746" s="187"/>
      <c r="BEG746" s="187"/>
      <c r="BEH746" s="187"/>
      <c r="BEI746" s="187"/>
      <c r="BEJ746" s="187"/>
      <c r="BEK746" s="187"/>
      <c r="BEL746" s="187"/>
      <c r="BEM746" s="187"/>
      <c r="BEN746" s="187"/>
      <c r="BEO746" s="187"/>
      <c r="BEP746" s="187"/>
      <c r="BEQ746" s="187"/>
      <c r="BER746" s="187"/>
      <c r="BES746" s="187"/>
      <c r="BET746" s="187"/>
      <c r="BEU746" s="187"/>
      <c r="BEV746" s="187"/>
      <c r="BEW746" s="187"/>
      <c r="BEX746" s="187"/>
      <c r="BEY746" s="187"/>
      <c r="BEZ746" s="187"/>
      <c r="BFA746" s="187"/>
      <c r="BFB746" s="187"/>
      <c r="BFC746" s="187"/>
      <c r="BFD746" s="187"/>
      <c r="BFE746" s="187"/>
      <c r="BFF746" s="187"/>
      <c r="BFG746" s="187"/>
      <c r="BFH746" s="187"/>
      <c r="BFI746" s="187"/>
      <c r="BFJ746" s="187"/>
      <c r="BFK746" s="187"/>
      <c r="BFL746" s="187"/>
      <c r="BFM746" s="187"/>
      <c r="BFN746" s="187"/>
      <c r="BFO746" s="187"/>
      <c r="BFP746" s="187"/>
      <c r="BFQ746" s="187"/>
      <c r="BFR746" s="187"/>
      <c r="BFS746" s="187"/>
      <c r="BFT746" s="187"/>
      <c r="BFU746" s="187"/>
      <c r="BFV746" s="187"/>
      <c r="BFW746" s="187"/>
      <c r="BFX746" s="187"/>
      <c r="BFY746" s="187"/>
      <c r="BFZ746" s="187"/>
      <c r="BGA746" s="187"/>
      <c r="BGB746" s="187"/>
      <c r="BGC746" s="187"/>
      <c r="BGD746" s="187"/>
      <c r="BGE746" s="187"/>
      <c r="BGF746" s="187"/>
      <c r="BGG746" s="187"/>
      <c r="BGH746" s="187"/>
      <c r="BGI746" s="187"/>
      <c r="BGJ746" s="187"/>
      <c r="BGK746" s="187"/>
      <c r="BGL746" s="187"/>
      <c r="BGM746" s="187"/>
      <c r="BGN746" s="187"/>
      <c r="BGO746" s="187"/>
      <c r="BGP746" s="187"/>
      <c r="BGQ746" s="187"/>
      <c r="BGR746" s="187"/>
      <c r="BGS746" s="187"/>
      <c r="BGT746" s="187"/>
      <c r="BGU746" s="187"/>
      <c r="BGV746" s="187"/>
      <c r="BGW746" s="187"/>
      <c r="BGX746" s="187"/>
      <c r="BGY746" s="187"/>
      <c r="BGZ746" s="187"/>
      <c r="BHA746" s="187"/>
      <c r="BHB746" s="187"/>
      <c r="BHC746" s="187"/>
      <c r="BHD746" s="187"/>
      <c r="BHE746" s="187"/>
      <c r="BHF746" s="187"/>
      <c r="BHG746" s="187"/>
      <c r="BHH746" s="187"/>
      <c r="BHI746" s="187"/>
      <c r="BHJ746" s="187"/>
      <c r="BHK746" s="187"/>
      <c r="BHL746" s="187"/>
      <c r="BHM746" s="187"/>
      <c r="BHN746" s="187"/>
      <c r="BHO746" s="187"/>
      <c r="BHP746" s="187"/>
      <c r="BHQ746" s="187"/>
      <c r="BHR746" s="187"/>
      <c r="BHS746" s="187"/>
      <c r="BHT746" s="187"/>
      <c r="BHU746" s="187"/>
      <c r="BHV746" s="187"/>
      <c r="BHW746" s="187"/>
      <c r="BHX746" s="187"/>
      <c r="BHY746" s="187"/>
      <c r="BHZ746" s="187"/>
      <c r="BIA746" s="187"/>
      <c r="BIB746" s="187"/>
      <c r="BIC746" s="187"/>
      <c r="BID746" s="187"/>
      <c r="BIE746" s="187"/>
      <c r="BIF746" s="187"/>
      <c r="BIG746" s="187"/>
      <c r="BIH746" s="187"/>
      <c r="BII746" s="187"/>
      <c r="BIJ746" s="187"/>
      <c r="BIK746" s="187"/>
      <c r="BIL746" s="187"/>
      <c r="BIM746" s="187"/>
      <c r="BIN746" s="187"/>
      <c r="BIO746" s="187"/>
      <c r="BIP746" s="187"/>
      <c r="BIQ746" s="187"/>
      <c r="BIR746" s="187"/>
      <c r="BIS746" s="187"/>
      <c r="BIT746" s="187"/>
      <c r="BIU746" s="187"/>
      <c r="BIV746" s="187"/>
      <c r="BIW746" s="187"/>
      <c r="BIX746" s="187"/>
      <c r="BIY746" s="187"/>
      <c r="BIZ746" s="187"/>
      <c r="BJA746" s="187"/>
      <c r="BJB746" s="187"/>
      <c r="BJC746" s="187"/>
      <c r="BJD746" s="187"/>
      <c r="BJE746" s="187"/>
      <c r="BJF746" s="187"/>
      <c r="BJG746" s="187"/>
      <c r="BJH746" s="187"/>
      <c r="BJI746" s="187"/>
      <c r="BJJ746" s="187"/>
      <c r="BJK746" s="187"/>
      <c r="BJL746" s="187"/>
      <c r="BJM746" s="187"/>
      <c r="BJN746" s="187"/>
      <c r="BJO746" s="187"/>
      <c r="BJP746" s="187"/>
      <c r="BJQ746" s="187"/>
      <c r="BJR746" s="187"/>
      <c r="BJS746" s="187"/>
      <c r="BJT746" s="187"/>
      <c r="BJU746" s="187"/>
      <c r="BJV746" s="187"/>
      <c r="BJW746" s="187"/>
      <c r="BJX746" s="187"/>
      <c r="BJY746" s="187"/>
      <c r="BJZ746" s="187"/>
      <c r="BKA746" s="187"/>
      <c r="BKB746" s="187"/>
      <c r="BKC746" s="187"/>
      <c r="BKD746" s="187"/>
      <c r="BKE746" s="187"/>
      <c r="BKF746" s="187"/>
      <c r="BKG746" s="187"/>
      <c r="BKH746" s="187"/>
      <c r="BKI746" s="187"/>
      <c r="BKJ746" s="187"/>
      <c r="BKK746" s="187"/>
      <c r="BKL746" s="187"/>
      <c r="BKM746" s="187"/>
      <c r="BKN746" s="187"/>
      <c r="BKO746" s="187"/>
      <c r="BKP746" s="187"/>
      <c r="BKQ746" s="187"/>
      <c r="BKR746" s="187"/>
      <c r="BKS746" s="187"/>
      <c r="BKT746" s="187"/>
      <c r="BKU746" s="187"/>
      <c r="BKV746" s="187"/>
      <c r="BKW746" s="187"/>
      <c r="BKX746" s="187"/>
      <c r="BKY746" s="187"/>
      <c r="BKZ746" s="187"/>
      <c r="BLA746" s="187"/>
      <c r="BLB746" s="187"/>
      <c r="BLC746" s="187"/>
      <c r="BLD746" s="187"/>
      <c r="BLE746" s="187"/>
      <c r="BLF746" s="187"/>
      <c r="BLG746" s="187"/>
      <c r="BLH746" s="187"/>
      <c r="BLI746" s="187"/>
      <c r="BLJ746" s="187"/>
      <c r="BLK746" s="187"/>
      <c r="BLL746" s="187"/>
      <c r="BLM746" s="187"/>
      <c r="BLN746" s="187"/>
      <c r="BLO746" s="187"/>
      <c r="BLP746" s="187"/>
      <c r="BLQ746" s="187"/>
      <c r="BLR746" s="187"/>
      <c r="BLS746" s="187"/>
      <c r="BLT746" s="187"/>
      <c r="BLU746" s="187"/>
      <c r="BLV746" s="187"/>
      <c r="BLW746" s="187"/>
      <c r="BLX746" s="187"/>
      <c r="BLY746" s="187"/>
      <c r="BLZ746" s="187"/>
      <c r="BMA746" s="187"/>
      <c r="BMB746" s="187"/>
      <c r="BMC746" s="187"/>
      <c r="BMD746" s="187"/>
      <c r="BME746" s="187"/>
      <c r="BMF746" s="187"/>
      <c r="BMG746" s="187"/>
      <c r="BMH746" s="187"/>
      <c r="BMI746" s="187"/>
      <c r="BMJ746" s="187"/>
      <c r="BMK746" s="187"/>
      <c r="BML746" s="187"/>
      <c r="BMM746" s="187"/>
      <c r="BMN746" s="187"/>
      <c r="BMO746" s="187"/>
      <c r="BMP746" s="187"/>
      <c r="BMQ746" s="187"/>
      <c r="BMR746" s="187"/>
      <c r="BMS746" s="187"/>
      <c r="BMT746" s="187"/>
      <c r="BMU746" s="187"/>
      <c r="BMV746" s="187"/>
      <c r="BMW746" s="187"/>
      <c r="BMX746" s="187"/>
      <c r="BMY746" s="187"/>
      <c r="BMZ746" s="187"/>
      <c r="BNA746" s="187"/>
      <c r="BNB746" s="187"/>
      <c r="BNC746" s="187"/>
      <c r="BND746" s="187"/>
      <c r="BNE746" s="187"/>
      <c r="BNF746" s="187"/>
      <c r="BNG746" s="187"/>
      <c r="BNH746" s="187"/>
      <c r="BNI746" s="187"/>
      <c r="BNJ746" s="187"/>
      <c r="BNK746" s="187"/>
      <c r="BNL746" s="187"/>
      <c r="BNM746" s="187"/>
      <c r="BNN746" s="187"/>
      <c r="BNO746" s="187"/>
      <c r="BNP746" s="187"/>
      <c r="BNQ746" s="187"/>
      <c r="BNR746" s="187"/>
      <c r="BNS746" s="187"/>
      <c r="BNT746" s="187"/>
      <c r="BNU746" s="187"/>
      <c r="BNV746" s="187"/>
      <c r="BNW746" s="187"/>
      <c r="BNX746" s="187"/>
      <c r="BNY746" s="187"/>
      <c r="BNZ746" s="187"/>
      <c r="BOA746" s="187"/>
      <c r="BOB746" s="187"/>
      <c r="BOC746" s="187"/>
      <c r="BOD746" s="187"/>
      <c r="BOE746" s="187"/>
      <c r="BOF746" s="187"/>
      <c r="BOG746" s="187"/>
      <c r="BOH746" s="187"/>
      <c r="BOI746" s="187"/>
      <c r="BOJ746" s="187"/>
      <c r="BOK746" s="187"/>
      <c r="BOL746" s="187"/>
      <c r="BOM746" s="187"/>
      <c r="BON746" s="187"/>
      <c r="BOO746" s="187"/>
      <c r="BOP746" s="187"/>
      <c r="BOQ746" s="187"/>
      <c r="BOR746" s="187"/>
      <c r="BOS746" s="187"/>
      <c r="BOT746" s="187"/>
      <c r="BOU746" s="187"/>
      <c r="BOV746" s="187"/>
      <c r="BOW746" s="187"/>
      <c r="BOX746" s="187"/>
      <c r="BOY746" s="187"/>
      <c r="BOZ746" s="187"/>
      <c r="BPA746" s="187"/>
      <c r="BPB746" s="187"/>
      <c r="BPC746" s="187"/>
      <c r="BPD746" s="187"/>
      <c r="BPE746" s="187"/>
      <c r="BPF746" s="187"/>
      <c r="BPG746" s="187"/>
      <c r="BPH746" s="187"/>
      <c r="BPI746" s="187"/>
      <c r="BPJ746" s="187"/>
      <c r="BPK746" s="187"/>
      <c r="BPL746" s="187"/>
      <c r="BPM746" s="187"/>
      <c r="BPN746" s="187"/>
      <c r="BPO746" s="187"/>
      <c r="BPP746" s="187"/>
      <c r="BPQ746" s="187"/>
      <c r="BPR746" s="187"/>
      <c r="BPS746" s="187"/>
      <c r="BPT746" s="187"/>
      <c r="BPU746" s="187"/>
      <c r="BPV746" s="187"/>
      <c r="BPW746" s="187"/>
      <c r="BPX746" s="187"/>
      <c r="BPY746" s="187"/>
      <c r="BPZ746" s="187"/>
      <c r="BQA746" s="187"/>
      <c r="BQB746" s="187"/>
      <c r="BQC746" s="187"/>
      <c r="BQD746" s="187"/>
      <c r="BQE746" s="187"/>
      <c r="BQF746" s="187"/>
      <c r="BQG746" s="187"/>
      <c r="BQH746" s="187"/>
      <c r="BQI746" s="187"/>
      <c r="BQJ746" s="187"/>
      <c r="BQK746" s="187"/>
      <c r="BQL746" s="187"/>
      <c r="BQM746" s="187"/>
      <c r="BQN746" s="187"/>
      <c r="BQO746" s="187"/>
      <c r="BQP746" s="187"/>
      <c r="BQQ746" s="187"/>
      <c r="BQR746" s="187"/>
      <c r="BQS746" s="187"/>
      <c r="BQT746" s="187"/>
      <c r="BQU746" s="187"/>
      <c r="BQV746" s="187"/>
      <c r="BQW746" s="187"/>
      <c r="BQX746" s="187"/>
      <c r="BQY746" s="187"/>
      <c r="BQZ746" s="187"/>
      <c r="BRA746" s="187"/>
      <c r="BRB746" s="187"/>
      <c r="BRC746" s="187"/>
      <c r="BRD746" s="187"/>
      <c r="BRE746" s="187"/>
      <c r="BRF746" s="187"/>
      <c r="BRG746" s="187"/>
      <c r="BRH746" s="187"/>
      <c r="BRI746" s="187"/>
      <c r="BRJ746" s="187"/>
      <c r="BRK746" s="187"/>
      <c r="BRL746" s="187"/>
      <c r="BRM746" s="187"/>
      <c r="BRN746" s="187"/>
      <c r="BRO746" s="187"/>
      <c r="BRP746" s="187"/>
      <c r="BRQ746" s="187"/>
      <c r="BRR746" s="187"/>
      <c r="BRS746" s="187"/>
      <c r="BRT746" s="187"/>
      <c r="BRU746" s="187"/>
      <c r="BRV746" s="187"/>
      <c r="BRW746" s="187"/>
      <c r="BRX746" s="187"/>
      <c r="BRY746" s="187"/>
      <c r="BRZ746" s="187"/>
      <c r="BSA746" s="187"/>
      <c r="BSB746" s="187"/>
      <c r="BSC746" s="187"/>
      <c r="BSD746" s="187"/>
      <c r="BSE746" s="187"/>
      <c r="BSF746" s="187"/>
      <c r="BSG746" s="187"/>
      <c r="BSH746" s="187"/>
      <c r="BSI746" s="187"/>
      <c r="BSJ746" s="187"/>
      <c r="BSK746" s="187"/>
      <c r="BSL746" s="187"/>
      <c r="BSM746" s="187"/>
      <c r="BSN746" s="187"/>
      <c r="BSO746" s="187"/>
      <c r="BSP746" s="187"/>
      <c r="BSQ746" s="187"/>
      <c r="BSR746" s="187"/>
      <c r="BSS746" s="187"/>
      <c r="BST746" s="187"/>
      <c r="BSU746" s="187"/>
      <c r="BSV746" s="187"/>
      <c r="BSW746" s="187"/>
      <c r="BSX746" s="187"/>
      <c r="BSY746" s="187"/>
      <c r="BSZ746" s="187"/>
      <c r="BTA746" s="187"/>
      <c r="BTB746" s="187"/>
      <c r="BTC746" s="187"/>
      <c r="BTD746" s="187"/>
      <c r="BTE746" s="187"/>
      <c r="BTF746" s="187"/>
      <c r="BTG746" s="187"/>
      <c r="BTH746" s="187"/>
      <c r="BTI746" s="187"/>
      <c r="BTJ746" s="187"/>
      <c r="BTK746" s="187"/>
      <c r="BTL746" s="187"/>
      <c r="BTM746" s="187"/>
      <c r="BTN746" s="187"/>
      <c r="BTO746" s="187"/>
      <c r="BTP746" s="187"/>
      <c r="BTQ746" s="187"/>
      <c r="BTR746" s="187"/>
      <c r="BTS746" s="187"/>
      <c r="BTT746" s="187"/>
      <c r="BTU746" s="187"/>
      <c r="BTV746" s="187"/>
      <c r="BTW746" s="187"/>
      <c r="BTX746" s="187"/>
      <c r="BTY746" s="187"/>
      <c r="BTZ746" s="187"/>
      <c r="BUA746" s="187"/>
      <c r="BUB746" s="187"/>
      <c r="BUC746" s="187"/>
      <c r="BUD746" s="187"/>
      <c r="BUE746" s="187"/>
      <c r="BUF746" s="187"/>
      <c r="BUG746" s="187"/>
      <c r="BUH746" s="187"/>
      <c r="BUI746" s="187"/>
      <c r="BUJ746" s="187"/>
      <c r="BUK746" s="187"/>
      <c r="BUL746" s="187"/>
      <c r="BUM746" s="187"/>
      <c r="BUN746" s="187"/>
      <c r="BUO746" s="187"/>
      <c r="BUP746" s="187"/>
      <c r="BUQ746" s="187"/>
      <c r="BUR746" s="187"/>
      <c r="BUS746" s="187"/>
      <c r="BUT746" s="187"/>
      <c r="BUU746" s="187"/>
      <c r="BUV746" s="187"/>
      <c r="BUW746" s="187"/>
      <c r="BUX746" s="187"/>
      <c r="BUY746" s="187"/>
      <c r="BUZ746" s="187"/>
      <c r="BVA746" s="187"/>
      <c r="BVB746" s="187"/>
      <c r="BVC746" s="187"/>
      <c r="BVD746" s="187"/>
      <c r="BVE746" s="187"/>
      <c r="BVF746" s="187"/>
      <c r="BVG746" s="187"/>
      <c r="BVH746" s="187"/>
      <c r="BVI746" s="187"/>
      <c r="BVJ746" s="187"/>
      <c r="BVK746" s="187"/>
      <c r="BVL746" s="187"/>
      <c r="BVM746" s="187"/>
      <c r="BVN746" s="187"/>
      <c r="BVO746" s="187"/>
      <c r="BVP746" s="187"/>
      <c r="BVQ746" s="187"/>
      <c r="BVR746" s="187"/>
      <c r="BVS746" s="187"/>
      <c r="BVT746" s="187"/>
      <c r="BVU746" s="187"/>
      <c r="BVV746" s="187"/>
      <c r="BVW746" s="187"/>
      <c r="BVX746" s="187"/>
      <c r="BVY746" s="187"/>
      <c r="BVZ746" s="187"/>
      <c r="BWA746" s="187"/>
      <c r="BWB746" s="187"/>
      <c r="BWC746" s="187"/>
      <c r="BWD746" s="187"/>
      <c r="BWE746" s="187"/>
      <c r="BWF746" s="187"/>
      <c r="BWG746" s="187"/>
      <c r="BWH746" s="187"/>
      <c r="BWI746" s="187"/>
      <c r="BWJ746" s="187"/>
      <c r="BWK746" s="187"/>
      <c r="BWL746" s="187"/>
      <c r="BWM746" s="187"/>
      <c r="BWN746" s="187"/>
      <c r="BWO746" s="187"/>
      <c r="BWP746" s="187"/>
      <c r="BWQ746" s="187"/>
      <c r="BWR746" s="187"/>
      <c r="BWS746" s="187"/>
      <c r="BWT746" s="187"/>
      <c r="BWU746" s="187"/>
      <c r="BWV746" s="187"/>
      <c r="BWW746" s="187"/>
      <c r="BWX746" s="187"/>
      <c r="BWY746" s="187"/>
      <c r="BWZ746" s="187"/>
      <c r="BXA746" s="187"/>
      <c r="BXB746" s="187"/>
      <c r="BXC746" s="187"/>
      <c r="BXD746" s="187"/>
      <c r="BXE746" s="187"/>
      <c r="BXF746" s="187"/>
      <c r="BXG746" s="187"/>
      <c r="BXH746" s="187"/>
      <c r="BXI746" s="187"/>
      <c r="BXJ746" s="187"/>
      <c r="BXK746" s="187"/>
      <c r="BXL746" s="187"/>
      <c r="BXM746" s="187"/>
      <c r="BXN746" s="187"/>
      <c r="BXO746" s="187"/>
      <c r="BXP746" s="187"/>
      <c r="BXQ746" s="187"/>
      <c r="BXR746" s="187"/>
      <c r="BXS746" s="187"/>
      <c r="BXT746" s="187"/>
      <c r="BXU746" s="187"/>
      <c r="BXV746" s="187"/>
      <c r="BXW746" s="187"/>
      <c r="BXX746" s="187"/>
      <c r="BXY746" s="187"/>
      <c r="BXZ746" s="187"/>
      <c r="BYA746" s="187"/>
      <c r="BYB746" s="187"/>
      <c r="BYC746" s="187"/>
      <c r="BYD746" s="187"/>
      <c r="BYE746" s="187"/>
      <c r="BYF746" s="187"/>
      <c r="BYG746" s="187"/>
      <c r="BYH746" s="187"/>
      <c r="BYI746" s="187"/>
      <c r="BYJ746" s="187"/>
      <c r="BYK746" s="187"/>
      <c r="BYL746" s="187"/>
      <c r="BYM746" s="187"/>
      <c r="BYN746" s="187"/>
      <c r="BYO746" s="187"/>
      <c r="BYP746" s="187"/>
      <c r="BYQ746" s="187"/>
      <c r="BYR746" s="187"/>
      <c r="BYS746" s="187"/>
      <c r="BYT746" s="187"/>
      <c r="BYU746" s="187"/>
      <c r="BYV746" s="187"/>
      <c r="BYW746" s="187"/>
      <c r="BYX746" s="187"/>
      <c r="BYY746" s="187"/>
      <c r="BYZ746" s="187"/>
      <c r="BZA746" s="187"/>
      <c r="BZB746" s="187"/>
      <c r="BZC746" s="187"/>
      <c r="BZD746" s="187"/>
      <c r="BZE746" s="187"/>
      <c r="BZF746" s="187"/>
      <c r="BZG746" s="187"/>
      <c r="BZH746" s="187"/>
      <c r="BZI746" s="187"/>
      <c r="BZJ746" s="187"/>
      <c r="BZK746" s="187"/>
      <c r="BZL746" s="187"/>
      <c r="BZM746" s="187"/>
      <c r="BZN746" s="187"/>
      <c r="BZO746" s="187"/>
      <c r="BZP746" s="187"/>
      <c r="BZQ746" s="187"/>
      <c r="BZR746" s="187"/>
      <c r="BZS746" s="187"/>
      <c r="BZT746" s="187"/>
      <c r="BZU746" s="187"/>
      <c r="BZV746" s="187"/>
      <c r="BZW746" s="187"/>
      <c r="BZX746" s="187"/>
      <c r="BZY746" s="187"/>
      <c r="BZZ746" s="187"/>
      <c r="CAA746" s="187"/>
      <c r="CAB746" s="187"/>
      <c r="CAC746" s="187"/>
      <c r="CAD746" s="187"/>
      <c r="CAE746" s="187"/>
      <c r="CAF746" s="187"/>
      <c r="CAG746" s="187"/>
      <c r="CAH746" s="187"/>
      <c r="CAI746" s="187"/>
      <c r="CAJ746" s="187"/>
      <c r="CAK746" s="187"/>
      <c r="CAL746" s="187"/>
      <c r="CAM746" s="187"/>
      <c r="CAN746" s="187"/>
      <c r="CAO746" s="187"/>
      <c r="CAP746" s="187"/>
      <c r="CAQ746" s="187"/>
      <c r="CAR746" s="187"/>
      <c r="CAS746" s="187"/>
      <c r="CAT746" s="187"/>
      <c r="CAU746" s="187"/>
      <c r="CAV746" s="187"/>
      <c r="CAW746" s="187"/>
      <c r="CAX746" s="187"/>
      <c r="CAY746" s="187"/>
      <c r="CAZ746" s="187"/>
      <c r="CBA746" s="187"/>
      <c r="CBB746" s="187"/>
      <c r="CBC746" s="187"/>
      <c r="CBD746" s="187"/>
      <c r="CBE746" s="187"/>
      <c r="CBF746" s="187"/>
      <c r="CBG746" s="187"/>
      <c r="CBH746" s="187"/>
      <c r="CBI746" s="187"/>
      <c r="CBJ746" s="187"/>
      <c r="CBK746" s="187"/>
      <c r="CBL746" s="187"/>
      <c r="CBM746" s="187"/>
      <c r="CBN746" s="187"/>
      <c r="CBO746" s="187"/>
      <c r="CBP746" s="187"/>
      <c r="CBQ746" s="187"/>
      <c r="CBR746" s="187"/>
      <c r="CBS746" s="187"/>
      <c r="CBT746" s="187"/>
      <c r="CBU746" s="187"/>
      <c r="CBV746" s="187"/>
      <c r="CBW746" s="187"/>
      <c r="CBX746" s="187"/>
      <c r="CBY746" s="187"/>
      <c r="CBZ746" s="187"/>
      <c r="CCA746" s="187"/>
      <c r="CCB746" s="187"/>
      <c r="CCC746" s="187"/>
      <c r="CCD746" s="187"/>
      <c r="CCE746" s="187"/>
      <c r="CCF746" s="187"/>
      <c r="CCG746" s="187"/>
      <c r="CCH746" s="187"/>
      <c r="CCI746" s="187"/>
      <c r="CCJ746" s="187"/>
      <c r="CCK746" s="187"/>
      <c r="CCL746" s="187"/>
      <c r="CCM746" s="187"/>
      <c r="CCN746" s="187"/>
      <c r="CCO746" s="187"/>
      <c r="CCP746" s="187"/>
      <c r="CCQ746" s="187"/>
      <c r="CCR746" s="187"/>
      <c r="CCS746" s="187"/>
      <c r="CCT746" s="187"/>
      <c r="CCU746" s="187"/>
      <c r="CCV746" s="187"/>
      <c r="CCW746" s="187"/>
      <c r="CCX746" s="187"/>
      <c r="CCY746" s="187"/>
      <c r="CCZ746" s="187"/>
      <c r="CDA746" s="187"/>
      <c r="CDB746" s="187"/>
      <c r="CDC746" s="187"/>
      <c r="CDD746" s="187"/>
      <c r="CDE746" s="187"/>
      <c r="CDF746" s="187"/>
      <c r="CDG746" s="187"/>
      <c r="CDH746" s="187"/>
      <c r="CDI746" s="187"/>
      <c r="CDJ746" s="187"/>
      <c r="CDK746" s="187"/>
      <c r="CDL746" s="187"/>
      <c r="CDM746" s="187"/>
      <c r="CDN746" s="187"/>
      <c r="CDO746" s="187"/>
      <c r="CDP746" s="187"/>
      <c r="CDQ746" s="187"/>
      <c r="CDR746" s="187"/>
      <c r="CDS746" s="187"/>
      <c r="CDT746" s="187"/>
      <c r="CDU746" s="187"/>
      <c r="CDV746" s="187"/>
      <c r="CDW746" s="187"/>
      <c r="CDX746" s="187"/>
      <c r="CDY746" s="187"/>
      <c r="CDZ746" s="187"/>
      <c r="CEA746" s="187"/>
      <c r="CEB746" s="187"/>
      <c r="CEC746" s="187"/>
      <c r="CED746" s="187"/>
      <c r="CEE746" s="187"/>
      <c r="CEF746" s="187"/>
      <c r="CEG746" s="187"/>
      <c r="CEH746" s="187"/>
      <c r="CEI746" s="187"/>
      <c r="CEJ746" s="187"/>
      <c r="CEK746" s="187"/>
      <c r="CEL746" s="187"/>
      <c r="CEM746" s="187"/>
      <c r="CEN746" s="187"/>
      <c r="CEO746" s="187"/>
      <c r="CEP746" s="187"/>
      <c r="CEQ746" s="187"/>
      <c r="CER746" s="187"/>
      <c r="CES746" s="187"/>
      <c r="CET746" s="187"/>
      <c r="CEU746" s="187"/>
      <c r="CEV746" s="187"/>
      <c r="CEW746" s="187"/>
      <c r="CEX746" s="187"/>
      <c r="CEY746" s="187"/>
      <c r="CEZ746" s="187"/>
      <c r="CFA746" s="187"/>
      <c r="CFB746" s="187"/>
      <c r="CFC746" s="187"/>
      <c r="CFD746" s="187"/>
      <c r="CFE746" s="187"/>
      <c r="CFF746" s="187"/>
      <c r="CFG746" s="187"/>
      <c r="CFH746" s="187"/>
      <c r="CFI746" s="187"/>
      <c r="CFJ746" s="187"/>
      <c r="CFK746" s="187"/>
      <c r="CFL746" s="187"/>
      <c r="CFM746" s="187"/>
      <c r="CFN746" s="187"/>
      <c r="CFO746" s="187"/>
      <c r="CFP746" s="187"/>
      <c r="CFQ746" s="187"/>
      <c r="CFR746" s="187"/>
      <c r="CFS746" s="187"/>
      <c r="CFT746" s="187"/>
      <c r="CFU746" s="187"/>
      <c r="CFV746" s="187"/>
      <c r="CFW746" s="187"/>
      <c r="CFX746" s="187"/>
      <c r="CFY746" s="187"/>
      <c r="CFZ746" s="187"/>
      <c r="CGA746" s="187"/>
      <c r="CGB746" s="187"/>
      <c r="CGC746" s="187"/>
      <c r="CGD746" s="187"/>
      <c r="CGE746" s="187"/>
      <c r="CGF746" s="187"/>
      <c r="CGG746" s="187"/>
      <c r="CGH746" s="187"/>
      <c r="CGI746" s="187"/>
      <c r="CGJ746" s="187"/>
      <c r="CGK746" s="187"/>
      <c r="CGL746" s="187"/>
      <c r="CGM746" s="187"/>
      <c r="CGN746" s="187"/>
      <c r="CGO746" s="187"/>
      <c r="CGP746" s="187"/>
      <c r="CGQ746" s="187"/>
      <c r="CGR746" s="187"/>
      <c r="CGS746" s="187"/>
      <c r="CGT746" s="187"/>
      <c r="CGU746" s="187"/>
      <c r="CGV746" s="187"/>
      <c r="CGW746" s="187"/>
      <c r="CGX746" s="187"/>
      <c r="CGY746" s="187"/>
      <c r="CGZ746" s="187"/>
      <c r="CHA746" s="187"/>
      <c r="CHB746" s="187"/>
      <c r="CHC746" s="187"/>
      <c r="CHD746" s="187"/>
      <c r="CHE746" s="187"/>
      <c r="CHF746" s="187"/>
      <c r="CHG746" s="187"/>
      <c r="CHH746" s="187"/>
      <c r="CHI746" s="187"/>
      <c r="CHJ746" s="187"/>
      <c r="CHK746" s="187"/>
      <c r="CHL746" s="187"/>
      <c r="CHM746" s="187"/>
      <c r="CHN746" s="187"/>
      <c r="CHO746" s="187"/>
      <c r="CHP746" s="187"/>
      <c r="CHQ746" s="187"/>
      <c r="CHR746" s="187"/>
      <c r="CHS746" s="187"/>
      <c r="CHT746" s="187"/>
      <c r="CHU746" s="187"/>
      <c r="CHV746" s="187"/>
      <c r="CHW746" s="187"/>
      <c r="CHX746" s="187"/>
      <c r="CHY746" s="187"/>
      <c r="CHZ746" s="187"/>
      <c r="CIA746" s="187"/>
      <c r="CIB746" s="187"/>
      <c r="CIC746" s="187"/>
      <c r="CID746" s="187"/>
      <c r="CIE746" s="187"/>
      <c r="CIF746" s="187"/>
      <c r="CIG746" s="187"/>
      <c r="CIH746" s="187"/>
      <c r="CII746" s="187"/>
      <c r="CIJ746" s="187"/>
      <c r="CIK746" s="187"/>
      <c r="CIL746" s="187"/>
      <c r="CIM746" s="187"/>
      <c r="CIN746" s="187"/>
      <c r="CIO746" s="187"/>
      <c r="CIP746" s="187"/>
      <c r="CIQ746" s="187"/>
      <c r="CIR746" s="187"/>
      <c r="CIS746" s="187"/>
      <c r="CIT746" s="187"/>
      <c r="CIU746" s="187"/>
      <c r="CIV746" s="187"/>
      <c r="CIW746" s="187"/>
      <c r="CIX746" s="187"/>
      <c r="CIY746" s="187"/>
      <c r="CIZ746" s="187"/>
      <c r="CJA746" s="187"/>
      <c r="CJB746" s="187"/>
      <c r="CJC746" s="187"/>
      <c r="CJD746" s="187"/>
      <c r="CJE746" s="187"/>
      <c r="CJF746" s="187"/>
      <c r="CJG746" s="187"/>
      <c r="CJH746" s="187"/>
      <c r="CJI746" s="187"/>
      <c r="CJJ746" s="187"/>
      <c r="CJK746" s="187"/>
      <c r="CJL746" s="187"/>
      <c r="CJM746" s="187"/>
      <c r="CJN746" s="187"/>
      <c r="CJO746" s="187"/>
      <c r="CJP746" s="187"/>
      <c r="CJQ746" s="187"/>
      <c r="CJR746" s="187"/>
      <c r="CJS746" s="187"/>
      <c r="CJT746" s="187"/>
      <c r="CJU746" s="187"/>
      <c r="CJV746" s="187"/>
      <c r="CJW746" s="187"/>
      <c r="CJX746" s="187"/>
      <c r="CJY746" s="187"/>
      <c r="CJZ746" s="187"/>
      <c r="CKA746" s="187"/>
      <c r="CKB746" s="187"/>
      <c r="CKC746" s="187"/>
      <c r="CKD746" s="187"/>
      <c r="CKE746" s="187"/>
      <c r="CKF746" s="187"/>
      <c r="CKG746" s="187"/>
      <c r="CKH746" s="187"/>
      <c r="CKI746" s="187"/>
      <c r="CKJ746" s="187"/>
      <c r="CKK746" s="187"/>
      <c r="CKL746" s="187"/>
      <c r="CKM746" s="187"/>
      <c r="CKN746" s="187"/>
      <c r="CKO746" s="187"/>
      <c r="CKP746" s="187"/>
      <c r="CKQ746" s="187"/>
      <c r="CKR746" s="187"/>
      <c r="CKS746" s="187"/>
      <c r="CKT746" s="187"/>
      <c r="CKU746" s="187"/>
      <c r="CKV746" s="187"/>
      <c r="CKW746" s="187"/>
      <c r="CKX746" s="187"/>
      <c r="CKY746" s="187"/>
      <c r="CKZ746" s="187"/>
      <c r="CLA746" s="187"/>
      <c r="CLB746" s="187"/>
      <c r="CLC746" s="187"/>
      <c r="CLD746" s="187"/>
      <c r="CLE746" s="187"/>
      <c r="CLF746" s="187"/>
      <c r="CLG746" s="187"/>
      <c r="CLH746" s="187"/>
      <c r="CLI746" s="187"/>
      <c r="CLJ746" s="187"/>
      <c r="CLK746" s="187"/>
      <c r="CLL746" s="187"/>
      <c r="CLM746" s="187"/>
      <c r="CLN746" s="187"/>
      <c r="CLO746" s="187"/>
      <c r="CLP746" s="187"/>
      <c r="CLQ746" s="187"/>
      <c r="CLR746" s="187"/>
      <c r="CLS746" s="187"/>
      <c r="CLT746" s="187"/>
      <c r="CLU746" s="187"/>
      <c r="CLV746" s="187"/>
      <c r="CLW746" s="187"/>
      <c r="CLX746" s="187"/>
      <c r="CLY746" s="187"/>
      <c r="CLZ746" s="187"/>
      <c r="CMA746" s="187"/>
      <c r="CMB746" s="187"/>
      <c r="CMC746" s="187"/>
      <c r="CMD746" s="187"/>
      <c r="CME746" s="187"/>
      <c r="CMF746" s="187"/>
      <c r="CMG746" s="187"/>
      <c r="CMH746" s="187"/>
      <c r="CMI746" s="187"/>
      <c r="CMJ746" s="187"/>
      <c r="CMK746" s="187"/>
      <c r="CML746" s="187"/>
      <c r="CMM746" s="187"/>
      <c r="CMN746" s="187"/>
      <c r="CMO746" s="187"/>
      <c r="CMP746" s="187"/>
      <c r="CMQ746" s="187"/>
      <c r="CMR746" s="187"/>
      <c r="CMS746" s="187"/>
      <c r="CMT746" s="187"/>
      <c r="CMU746" s="187"/>
      <c r="CMV746" s="187"/>
      <c r="CMW746" s="187"/>
      <c r="CMX746" s="187"/>
      <c r="CMY746" s="187"/>
      <c r="CMZ746" s="187"/>
      <c r="CNA746" s="187"/>
      <c r="CNB746" s="187"/>
      <c r="CNC746" s="187"/>
      <c r="CND746" s="187"/>
      <c r="CNE746" s="187"/>
      <c r="CNF746" s="187"/>
      <c r="CNG746" s="187"/>
      <c r="CNH746" s="187"/>
      <c r="CNI746" s="187"/>
      <c r="CNJ746" s="187"/>
      <c r="CNK746" s="187"/>
      <c r="CNL746" s="187"/>
      <c r="CNM746" s="187"/>
      <c r="CNN746" s="187"/>
      <c r="CNO746" s="187"/>
      <c r="CNP746" s="187"/>
      <c r="CNQ746" s="187"/>
      <c r="CNR746" s="187"/>
      <c r="CNS746" s="187"/>
      <c r="CNT746" s="187"/>
      <c r="CNU746" s="187"/>
      <c r="CNV746" s="187"/>
      <c r="CNW746" s="187"/>
      <c r="CNX746" s="187"/>
      <c r="CNY746" s="187"/>
      <c r="CNZ746" s="187"/>
      <c r="COA746" s="187"/>
      <c r="COB746" s="187"/>
      <c r="COC746" s="187"/>
      <c r="COD746" s="187"/>
      <c r="COE746" s="187"/>
      <c r="COF746" s="187"/>
      <c r="COG746" s="187"/>
      <c r="COH746" s="187"/>
      <c r="COI746" s="187"/>
      <c r="COJ746" s="187"/>
      <c r="COK746" s="187"/>
      <c r="COL746" s="187"/>
      <c r="COM746" s="187"/>
      <c r="CON746" s="187"/>
      <c r="COO746" s="187"/>
      <c r="COP746" s="187"/>
      <c r="COQ746" s="187"/>
      <c r="COR746" s="187"/>
      <c r="COS746" s="187"/>
      <c r="COT746" s="187"/>
      <c r="COU746" s="187"/>
      <c r="COV746" s="187"/>
      <c r="COW746" s="187"/>
      <c r="COX746" s="187"/>
      <c r="COY746" s="187"/>
      <c r="COZ746" s="187"/>
      <c r="CPA746" s="187"/>
      <c r="CPB746" s="187"/>
      <c r="CPC746" s="187"/>
      <c r="CPD746" s="187"/>
      <c r="CPE746" s="187"/>
      <c r="CPF746" s="187"/>
      <c r="CPG746" s="187"/>
      <c r="CPH746" s="187"/>
      <c r="CPI746" s="187"/>
      <c r="CPJ746" s="187"/>
      <c r="CPK746" s="187"/>
      <c r="CPL746" s="187"/>
      <c r="CPM746" s="187"/>
      <c r="CPN746" s="187"/>
      <c r="CPO746" s="187"/>
      <c r="CPP746" s="187"/>
      <c r="CPQ746" s="187"/>
      <c r="CPR746" s="187"/>
      <c r="CPS746" s="187"/>
      <c r="CPT746" s="187"/>
      <c r="CPU746" s="187"/>
      <c r="CPV746" s="187"/>
      <c r="CPW746" s="187"/>
      <c r="CPX746" s="187"/>
      <c r="CPY746" s="187"/>
      <c r="CPZ746" s="187"/>
      <c r="CQA746" s="187"/>
      <c r="CQB746" s="187"/>
      <c r="CQC746" s="187"/>
      <c r="CQD746" s="187"/>
      <c r="CQE746" s="187"/>
      <c r="CQF746" s="187"/>
      <c r="CQG746" s="187"/>
      <c r="CQH746" s="187"/>
      <c r="CQI746" s="187"/>
      <c r="CQJ746" s="187"/>
      <c r="CQK746" s="187"/>
      <c r="CQL746" s="187"/>
      <c r="CQM746" s="187"/>
      <c r="CQN746" s="187"/>
      <c r="CQO746" s="187"/>
      <c r="CQP746" s="187"/>
      <c r="CQQ746" s="187"/>
      <c r="CQR746" s="187"/>
      <c r="CQS746" s="187"/>
      <c r="CQT746" s="187"/>
      <c r="CQU746" s="187"/>
      <c r="CQV746" s="187"/>
      <c r="CQW746" s="187"/>
      <c r="CQX746" s="187"/>
      <c r="CQY746" s="187"/>
      <c r="CQZ746" s="187"/>
      <c r="CRA746" s="187"/>
      <c r="CRB746" s="187"/>
      <c r="CRC746" s="187"/>
      <c r="CRD746" s="187"/>
      <c r="CRE746" s="187"/>
      <c r="CRF746" s="187"/>
      <c r="CRG746" s="187"/>
      <c r="CRH746" s="187"/>
      <c r="CRI746" s="187"/>
      <c r="CRJ746" s="187"/>
      <c r="CRK746" s="187"/>
      <c r="CRL746" s="187"/>
      <c r="CRM746" s="187"/>
      <c r="CRN746" s="187"/>
      <c r="CRO746" s="187"/>
      <c r="CRP746" s="187"/>
      <c r="CRQ746" s="187"/>
      <c r="CRR746" s="187"/>
      <c r="CRS746" s="187"/>
      <c r="CRT746" s="187"/>
      <c r="CRU746" s="187"/>
      <c r="CRV746" s="187"/>
      <c r="CRW746" s="187"/>
      <c r="CRX746" s="187"/>
      <c r="CRY746" s="187"/>
      <c r="CRZ746" s="187"/>
      <c r="CSA746" s="187"/>
      <c r="CSB746" s="187"/>
      <c r="CSC746" s="187"/>
      <c r="CSD746" s="187"/>
      <c r="CSE746" s="187"/>
      <c r="CSF746" s="187"/>
      <c r="CSG746" s="187"/>
      <c r="CSH746" s="187"/>
      <c r="CSI746" s="187"/>
      <c r="CSJ746" s="187"/>
      <c r="CSK746" s="187"/>
      <c r="CSL746" s="187"/>
      <c r="CSM746" s="187"/>
      <c r="CSN746" s="187"/>
      <c r="CSO746" s="187"/>
      <c r="CSP746" s="187"/>
      <c r="CSQ746" s="187"/>
      <c r="CSR746" s="187"/>
      <c r="CSS746" s="187"/>
      <c r="CST746" s="187"/>
      <c r="CSU746" s="187"/>
      <c r="CSV746" s="187"/>
      <c r="CSW746" s="187"/>
      <c r="CSX746" s="187"/>
      <c r="CSY746" s="187"/>
      <c r="CSZ746" s="187"/>
      <c r="CTA746" s="187"/>
      <c r="CTB746" s="187"/>
      <c r="CTC746" s="187"/>
      <c r="CTD746" s="187"/>
      <c r="CTE746" s="187"/>
      <c r="CTF746" s="187"/>
      <c r="CTG746" s="187"/>
      <c r="CTH746" s="187"/>
      <c r="CTI746" s="187"/>
      <c r="CTJ746" s="187"/>
      <c r="CTK746" s="187"/>
      <c r="CTL746" s="187"/>
      <c r="CTM746" s="187"/>
      <c r="CTN746" s="187"/>
      <c r="CTO746" s="187"/>
      <c r="CTP746" s="187"/>
      <c r="CTQ746" s="187"/>
      <c r="CTR746" s="187"/>
      <c r="CTS746" s="187"/>
      <c r="CTT746" s="187"/>
      <c r="CTU746" s="187"/>
      <c r="CTV746" s="187"/>
      <c r="CTW746" s="187"/>
      <c r="CTX746" s="187"/>
      <c r="CTY746" s="187"/>
      <c r="CTZ746" s="187"/>
      <c r="CUA746" s="187"/>
      <c r="CUB746" s="187"/>
      <c r="CUC746" s="187"/>
      <c r="CUD746" s="187"/>
      <c r="CUE746" s="187"/>
      <c r="CUF746" s="187"/>
      <c r="CUG746" s="187"/>
      <c r="CUH746" s="187"/>
      <c r="CUI746" s="187"/>
      <c r="CUJ746" s="187"/>
      <c r="CUK746" s="187"/>
      <c r="CUL746" s="187"/>
      <c r="CUM746" s="187"/>
      <c r="CUN746" s="187"/>
      <c r="CUO746" s="187"/>
      <c r="CUP746" s="187"/>
      <c r="CUQ746" s="187"/>
      <c r="CUR746" s="187"/>
      <c r="CUS746" s="187"/>
      <c r="CUT746" s="187"/>
      <c r="CUU746" s="187"/>
      <c r="CUV746" s="187"/>
      <c r="CUW746" s="187"/>
      <c r="CUX746" s="187"/>
      <c r="CUY746" s="187"/>
      <c r="CUZ746" s="187"/>
      <c r="CVA746" s="187"/>
      <c r="CVB746" s="187"/>
      <c r="CVC746" s="187"/>
      <c r="CVD746" s="187"/>
      <c r="CVE746" s="187"/>
      <c r="CVF746" s="187"/>
      <c r="CVG746" s="187"/>
      <c r="CVH746" s="187"/>
      <c r="CVI746" s="187"/>
      <c r="CVJ746" s="187"/>
      <c r="CVK746" s="187"/>
      <c r="CVL746" s="187"/>
      <c r="CVM746" s="187"/>
      <c r="CVN746" s="187"/>
      <c r="CVO746" s="187"/>
      <c r="CVP746" s="187"/>
      <c r="CVQ746" s="187"/>
      <c r="CVR746" s="187"/>
      <c r="CVS746" s="187"/>
      <c r="CVT746" s="187"/>
      <c r="CVU746" s="187"/>
      <c r="CVV746" s="187"/>
      <c r="CVW746" s="187"/>
      <c r="CVX746" s="187"/>
      <c r="CVY746" s="187"/>
      <c r="CVZ746" s="187"/>
      <c r="CWA746" s="187"/>
      <c r="CWB746" s="187"/>
      <c r="CWC746" s="187"/>
      <c r="CWD746" s="187"/>
      <c r="CWE746" s="187"/>
      <c r="CWF746" s="187"/>
      <c r="CWG746" s="187"/>
      <c r="CWH746" s="187"/>
      <c r="CWI746" s="187"/>
      <c r="CWJ746" s="187"/>
      <c r="CWK746" s="187"/>
      <c r="CWL746" s="187"/>
      <c r="CWM746" s="187"/>
      <c r="CWN746" s="187"/>
      <c r="CWO746" s="187"/>
      <c r="CWP746" s="187"/>
      <c r="CWQ746" s="187"/>
      <c r="CWR746" s="187"/>
      <c r="CWS746" s="187"/>
      <c r="CWT746" s="187"/>
      <c r="CWU746" s="187"/>
      <c r="CWV746" s="187"/>
      <c r="CWW746" s="187"/>
      <c r="CWX746" s="187"/>
      <c r="CWY746" s="187"/>
      <c r="CWZ746" s="187"/>
      <c r="CXA746" s="187"/>
      <c r="CXB746" s="187"/>
      <c r="CXC746" s="187"/>
      <c r="CXD746" s="187"/>
      <c r="CXE746" s="187"/>
      <c r="CXF746" s="187"/>
      <c r="CXG746" s="187"/>
      <c r="CXH746" s="187"/>
      <c r="CXI746" s="187"/>
      <c r="CXJ746" s="187"/>
      <c r="CXK746" s="187"/>
      <c r="CXL746" s="187"/>
      <c r="CXM746" s="187"/>
      <c r="CXN746" s="187"/>
      <c r="CXO746" s="187"/>
      <c r="CXP746" s="187"/>
      <c r="CXQ746" s="187"/>
      <c r="CXR746" s="187"/>
      <c r="CXS746" s="187"/>
      <c r="CXT746" s="187"/>
      <c r="CXU746" s="187"/>
      <c r="CXV746" s="187"/>
      <c r="CXW746" s="187"/>
      <c r="CXX746" s="187"/>
      <c r="CXY746" s="187"/>
      <c r="CXZ746" s="187"/>
      <c r="CYA746" s="187"/>
      <c r="CYB746" s="187"/>
      <c r="CYC746" s="187"/>
      <c r="CYD746" s="187"/>
      <c r="CYE746" s="187"/>
      <c r="CYF746" s="187"/>
      <c r="CYG746" s="187"/>
      <c r="CYH746" s="187"/>
      <c r="CYI746" s="187"/>
      <c r="CYJ746" s="187"/>
      <c r="CYK746" s="187"/>
      <c r="CYL746" s="187"/>
      <c r="CYM746" s="187"/>
      <c r="CYN746" s="187"/>
      <c r="CYO746" s="187"/>
      <c r="CYP746" s="187"/>
      <c r="CYQ746" s="187"/>
      <c r="CYR746" s="187"/>
      <c r="CYS746" s="187"/>
      <c r="CYT746" s="187"/>
      <c r="CYU746" s="187"/>
      <c r="CYV746" s="187"/>
      <c r="CYW746" s="187"/>
      <c r="CYX746" s="187"/>
      <c r="CYY746" s="187"/>
      <c r="CYZ746" s="187"/>
      <c r="CZA746" s="187"/>
      <c r="CZB746" s="187"/>
      <c r="CZC746" s="187"/>
      <c r="CZD746" s="187"/>
      <c r="CZE746" s="187"/>
      <c r="CZF746" s="187"/>
      <c r="CZG746" s="187"/>
      <c r="CZH746" s="187"/>
      <c r="CZI746" s="187"/>
      <c r="CZJ746" s="187"/>
      <c r="CZK746" s="187"/>
      <c r="CZL746" s="187"/>
      <c r="CZM746" s="187"/>
      <c r="CZN746" s="187"/>
      <c r="CZO746" s="187"/>
      <c r="CZP746" s="187"/>
      <c r="CZQ746" s="187"/>
      <c r="CZR746" s="187"/>
      <c r="CZS746" s="187"/>
      <c r="CZT746" s="187"/>
      <c r="CZU746" s="187"/>
      <c r="CZV746" s="187"/>
      <c r="CZW746" s="187"/>
      <c r="CZX746" s="187"/>
      <c r="CZY746" s="187"/>
      <c r="CZZ746" s="187"/>
      <c r="DAA746" s="187"/>
      <c r="DAB746" s="187"/>
      <c r="DAC746" s="187"/>
      <c r="DAD746" s="187"/>
      <c r="DAE746" s="187"/>
      <c r="DAF746" s="187"/>
      <c r="DAG746" s="187"/>
      <c r="DAH746" s="187"/>
      <c r="DAI746" s="187"/>
      <c r="DAJ746" s="187"/>
      <c r="DAK746" s="187"/>
      <c r="DAL746" s="187"/>
      <c r="DAM746" s="187"/>
      <c r="DAN746" s="187"/>
      <c r="DAO746" s="187"/>
      <c r="DAP746" s="187"/>
      <c r="DAQ746" s="187"/>
      <c r="DAR746" s="187"/>
      <c r="DAS746" s="187"/>
      <c r="DAT746" s="187"/>
      <c r="DAU746" s="187"/>
      <c r="DAV746" s="187"/>
      <c r="DAW746" s="187"/>
      <c r="DAX746" s="187"/>
      <c r="DAY746" s="187"/>
      <c r="DAZ746" s="187"/>
      <c r="DBA746" s="187"/>
      <c r="DBB746" s="187"/>
      <c r="DBC746" s="187"/>
      <c r="DBD746" s="187"/>
      <c r="DBE746" s="187"/>
      <c r="DBF746" s="187"/>
      <c r="DBG746" s="187"/>
      <c r="DBH746" s="187"/>
      <c r="DBI746" s="187"/>
      <c r="DBJ746" s="187"/>
      <c r="DBK746" s="187"/>
      <c r="DBL746" s="187"/>
      <c r="DBM746" s="187"/>
      <c r="DBN746" s="187"/>
      <c r="DBO746" s="187"/>
      <c r="DBP746" s="187"/>
      <c r="DBQ746" s="187"/>
      <c r="DBR746" s="187"/>
      <c r="DBS746" s="187"/>
      <c r="DBT746" s="187"/>
      <c r="DBU746" s="187"/>
      <c r="DBV746" s="187"/>
      <c r="DBW746" s="187"/>
      <c r="DBX746" s="187"/>
      <c r="DBY746" s="187"/>
      <c r="DBZ746" s="187"/>
      <c r="DCA746" s="187"/>
      <c r="DCB746" s="187"/>
      <c r="DCC746" s="187"/>
      <c r="DCD746" s="187"/>
      <c r="DCE746" s="187"/>
      <c r="DCF746" s="187"/>
      <c r="DCG746" s="187"/>
      <c r="DCH746" s="187"/>
      <c r="DCI746" s="187"/>
      <c r="DCJ746" s="187"/>
      <c r="DCK746" s="187"/>
      <c r="DCL746" s="187"/>
      <c r="DCM746" s="187"/>
      <c r="DCN746" s="187"/>
      <c r="DCO746" s="187"/>
      <c r="DCP746" s="187"/>
      <c r="DCQ746" s="187"/>
      <c r="DCR746" s="187"/>
      <c r="DCS746" s="187"/>
      <c r="DCT746" s="187"/>
      <c r="DCU746" s="187"/>
      <c r="DCV746" s="187"/>
      <c r="DCW746" s="187"/>
      <c r="DCX746" s="187"/>
      <c r="DCY746" s="187"/>
      <c r="DCZ746" s="187"/>
      <c r="DDA746" s="187"/>
      <c r="DDB746" s="187"/>
      <c r="DDC746" s="187"/>
      <c r="DDD746" s="187"/>
      <c r="DDE746" s="187"/>
      <c r="DDF746" s="187"/>
      <c r="DDG746" s="187"/>
      <c r="DDH746" s="187"/>
      <c r="DDI746" s="187"/>
      <c r="DDJ746" s="187"/>
      <c r="DDK746" s="187"/>
      <c r="DDL746" s="187"/>
      <c r="DDM746" s="187"/>
      <c r="DDN746" s="187"/>
      <c r="DDO746" s="187"/>
      <c r="DDP746" s="187"/>
      <c r="DDQ746" s="187"/>
      <c r="DDR746" s="187"/>
      <c r="DDS746" s="187"/>
      <c r="DDT746" s="187"/>
      <c r="DDU746" s="187"/>
      <c r="DDV746" s="187"/>
      <c r="DDW746" s="187"/>
      <c r="DDX746" s="187"/>
      <c r="DDY746" s="187"/>
      <c r="DDZ746" s="187"/>
      <c r="DEA746" s="187"/>
      <c r="DEB746" s="187"/>
      <c r="DEC746" s="187"/>
      <c r="DED746" s="187"/>
      <c r="DEE746" s="187"/>
      <c r="DEF746" s="187"/>
      <c r="DEG746" s="187"/>
      <c r="DEH746" s="187"/>
      <c r="DEI746" s="187"/>
      <c r="DEJ746" s="187"/>
      <c r="DEK746" s="187"/>
      <c r="DEL746" s="187"/>
      <c r="DEM746" s="187"/>
      <c r="DEN746" s="187"/>
      <c r="DEO746" s="187"/>
      <c r="DEP746" s="187"/>
      <c r="DEQ746" s="187"/>
      <c r="DER746" s="187"/>
      <c r="DES746" s="187"/>
      <c r="DET746" s="187"/>
      <c r="DEU746" s="187"/>
      <c r="DEV746" s="187"/>
      <c r="DEW746" s="187"/>
      <c r="DEX746" s="187"/>
      <c r="DEY746" s="187"/>
      <c r="DEZ746" s="187"/>
      <c r="DFA746" s="187"/>
      <c r="DFB746" s="187"/>
      <c r="DFC746" s="187"/>
      <c r="DFD746" s="187"/>
      <c r="DFE746" s="187"/>
      <c r="DFF746" s="187"/>
      <c r="DFG746" s="187"/>
      <c r="DFH746" s="187"/>
      <c r="DFI746" s="187"/>
      <c r="DFJ746" s="187"/>
      <c r="DFK746" s="187"/>
      <c r="DFL746" s="187"/>
      <c r="DFM746" s="187"/>
      <c r="DFN746" s="187"/>
      <c r="DFO746" s="187"/>
      <c r="DFP746" s="187"/>
      <c r="DFQ746" s="187"/>
      <c r="DFR746" s="187"/>
      <c r="DFS746" s="187"/>
      <c r="DFT746" s="187"/>
      <c r="DFU746" s="187"/>
      <c r="DFV746" s="187"/>
      <c r="DFW746" s="187"/>
      <c r="DFX746" s="187"/>
      <c r="DFY746" s="187"/>
      <c r="DFZ746" s="187"/>
      <c r="DGA746" s="187"/>
      <c r="DGB746" s="187"/>
      <c r="DGC746" s="187"/>
      <c r="DGD746" s="187"/>
      <c r="DGE746" s="187"/>
      <c r="DGF746" s="187"/>
      <c r="DGG746" s="187"/>
      <c r="DGH746" s="187"/>
      <c r="DGI746" s="187"/>
      <c r="DGJ746" s="187"/>
      <c r="DGK746" s="187"/>
      <c r="DGL746" s="187"/>
      <c r="DGM746" s="187"/>
      <c r="DGN746" s="187"/>
      <c r="DGO746" s="187"/>
      <c r="DGP746" s="187"/>
      <c r="DGQ746" s="187"/>
      <c r="DGR746" s="187"/>
      <c r="DGS746" s="187"/>
      <c r="DGT746" s="187"/>
      <c r="DGU746" s="187"/>
      <c r="DGV746" s="187"/>
      <c r="DGW746" s="187"/>
      <c r="DGX746" s="187"/>
      <c r="DGY746" s="187"/>
      <c r="DGZ746" s="187"/>
      <c r="DHA746" s="187"/>
      <c r="DHB746" s="187"/>
      <c r="DHC746" s="187"/>
      <c r="DHD746" s="187"/>
      <c r="DHE746" s="187"/>
      <c r="DHF746" s="187"/>
      <c r="DHG746" s="187"/>
      <c r="DHH746" s="187"/>
      <c r="DHI746" s="187"/>
      <c r="DHJ746" s="187"/>
      <c r="DHK746" s="187"/>
      <c r="DHL746" s="187"/>
      <c r="DHM746" s="187"/>
      <c r="DHN746" s="187"/>
      <c r="DHO746" s="187"/>
      <c r="DHP746" s="187"/>
      <c r="DHQ746" s="187"/>
      <c r="DHR746" s="187"/>
      <c r="DHS746" s="187"/>
      <c r="DHT746" s="187"/>
      <c r="DHU746" s="187"/>
      <c r="DHV746" s="187"/>
      <c r="DHW746" s="187"/>
      <c r="DHX746" s="187"/>
      <c r="DHY746" s="187"/>
      <c r="DHZ746" s="187"/>
      <c r="DIA746" s="187"/>
      <c r="DIB746" s="187"/>
      <c r="DIC746" s="187"/>
      <c r="DID746" s="187"/>
      <c r="DIE746" s="187"/>
      <c r="DIF746" s="187"/>
      <c r="DIG746" s="187"/>
      <c r="DIH746" s="187"/>
      <c r="DII746" s="187"/>
      <c r="DIJ746" s="187"/>
      <c r="DIK746" s="187"/>
      <c r="DIL746" s="187"/>
      <c r="DIM746" s="187"/>
      <c r="DIN746" s="187"/>
      <c r="DIO746" s="187"/>
      <c r="DIP746" s="187"/>
      <c r="DIQ746" s="187"/>
      <c r="DIR746" s="187"/>
      <c r="DIS746" s="187"/>
      <c r="DIT746" s="187"/>
      <c r="DIU746" s="187"/>
      <c r="DIV746" s="187"/>
      <c r="DIW746" s="187"/>
      <c r="DIX746" s="187"/>
      <c r="DIY746" s="187"/>
      <c r="DIZ746" s="187"/>
      <c r="DJA746" s="187"/>
      <c r="DJB746" s="187"/>
      <c r="DJC746" s="187"/>
      <c r="DJD746" s="187"/>
      <c r="DJE746" s="187"/>
      <c r="DJF746" s="187"/>
      <c r="DJG746" s="187"/>
      <c r="DJH746" s="187"/>
      <c r="DJI746" s="187"/>
      <c r="DJJ746" s="187"/>
      <c r="DJK746" s="187"/>
      <c r="DJL746" s="187"/>
      <c r="DJM746" s="187"/>
      <c r="DJN746" s="187"/>
      <c r="DJO746" s="187"/>
      <c r="DJP746" s="187"/>
      <c r="DJQ746" s="187"/>
      <c r="DJR746" s="187"/>
      <c r="DJS746" s="187"/>
      <c r="DJT746" s="187"/>
      <c r="DJU746" s="187"/>
      <c r="DJV746" s="187"/>
      <c r="DJW746" s="187"/>
      <c r="DJX746" s="187"/>
      <c r="DJY746" s="187"/>
      <c r="DJZ746" s="187"/>
      <c r="DKA746" s="187"/>
      <c r="DKB746" s="187"/>
      <c r="DKC746" s="187"/>
      <c r="DKD746" s="187"/>
      <c r="DKE746" s="187"/>
      <c r="DKF746" s="187"/>
      <c r="DKG746" s="187"/>
      <c r="DKH746" s="187"/>
      <c r="DKI746" s="187"/>
      <c r="DKJ746" s="187"/>
      <c r="DKK746" s="187"/>
      <c r="DKL746" s="187"/>
      <c r="DKM746" s="187"/>
      <c r="DKN746" s="187"/>
      <c r="DKO746" s="187"/>
      <c r="DKP746" s="187"/>
      <c r="DKQ746" s="187"/>
      <c r="DKR746" s="187"/>
      <c r="DKS746" s="187"/>
      <c r="DKT746" s="187"/>
      <c r="DKU746" s="187"/>
      <c r="DKV746" s="187"/>
      <c r="DKW746" s="187"/>
      <c r="DKX746" s="187"/>
      <c r="DKY746" s="187"/>
      <c r="DKZ746" s="187"/>
      <c r="DLA746" s="187"/>
      <c r="DLB746" s="187"/>
      <c r="DLC746" s="187"/>
      <c r="DLD746" s="187"/>
      <c r="DLE746" s="187"/>
      <c r="DLF746" s="187"/>
      <c r="DLG746" s="187"/>
      <c r="DLH746" s="187"/>
      <c r="DLI746" s="187"/>
      <c r="DLJ746" s="187"/>
      <c r="DLK746" s="187"/>
      <c r="DLL746" s="187"/>
      <c r="DLM746" s="187"/>
      <c r="DLN746" s="187"/>
      <c r="DLO746" s="187"/>
      <c r="DLP746" s="187"/>
      <c r="DLQ746" s="187"/>
      <c r="DLR746" s="187"/>
      <c r="DLS746" s="187"/>
      <c r="DLT746" s="187"/>
      <c r="DLU746" s="187"/>
      <c r="DLV746" s="187"/>
      <c r="DLW746" s="187"/>
      <c r="DLX746" s="187"/>
      <c r="DLY746" s="187"/>
      <c r="DLZ746" s="187"/>
      <c r="DMA746" s="187"/>
      <c r="DMB746" s="187"/>
      <c r="DMC746" s="187"/>
      <c r="DMD746" s="187"/>
      <c r="DME746" s="187"/>
      <c r="DMF746" s="187"/>
      <c r="DMG746" s="187"/>
      <c r="DMH746" s="187"/>
      <c r="DMI746" s="187"/>
      <c r="DMJ746" s="187"/>
      <c r="DMK746" s="187"/>
      <c r="DML746" s="187"/>
      <c r="DMM746" s="187"/>
      <c r="DMN746" s="187"/>
      <c r="DMO746" s="187"/>
      <c r="DMP746" s="187"/>
      <c r="DMQ746" s="187"/>
      <c r="DMR746" s="187"/>
      <c r="DMS746" s="187"/>
      <c r="DMT746" s="187"/>
      <c r="DMU746" s="187"/>
      <c r="DMV746" s="187"/>
      <c r="DMW746" s="187"/>
      <c r="DMX746" s="187"/>
      <c r="DMY746" s="187"/>
      <c r="DMZ746" s="187"/>
      <c r="DNA746" s="187"/>
      <c r="DNB746" s="187"/>
      <c r="DNC746" s="187"/>
      <c r="DND746" s="187"/>
      <c r="DNE746" s="187"/>
      <c r="DNF746" s="187"/>
      <c r="DNG746" s="187"/>
      <c r="DNH746" s="187"/>
      <c r="DNI746" s="187"/>
      <c r="DNJ746" s="187"/>
      <c r="DNK746" s="187"/>
      <c r="DNL746" s="187"/>
      <c r="DNM746" s="187"/>
      <c r="DNN746" s="187"/>
      <c r="DNO746" s="187"/>
      <c r="DNP746" s="187"/>
      <c r="DNQ746" s="187"/>
      <c r="DNR746" s="187"/>
      <c r="DNS746" s="187"/>
      <c r="DNT746" s="187"/>
      <c r="DNU746" s="187"/>
      <c r="DNV746" s="187"/>
      <c r="DNW746" s="187"/>
      <c r="DNX746" s="187"/>
      <c r="DNY746" s="187"/>
      <c r="DNZ746" s="187"/>
      <c r="DOA746" s="187"/>
      <c r="DOB746" s="187"/>
      <c r="DOC746" s="187"/>
      <c r="DOD746" s="187"/>
      <c r="DOE746" s="187"/>
      <c r="DOF746" s="187"/>
      <c r="DOG746" s="187"/>
      <c r="DOH746" s="187"/>
      <c r="DOI746" s="187"/>
      <c r="DOJ746" s="187"/>
      <c r="DOK746" s="187"/>
      <c r="DOL746" s="187"/>
      <c r="DOM746" s="187"/>
      <c r="DON746" s="187"/>
      <c r="DOO746" s="187"/>
      <c r="DOP746" s="187"/>
      <c r="DOQ746" s="187"/>
      <c r="DOR746" s="187"/>
      <c r="DOS746" s="187"/>
      <c r="DOT746" s="187"/>
      <c r="DOU746" s="187"/>
      <c r="DOV746" s="187"/>
      <c r="DOW746" s="187"/>
      <c r="DOX746" s="187"/>
      <c r="DOY746" s="187"/>
      <c r="DOZ746" s="187"/>
      <c r="DPA746" s="187"/>
      <c r="DPB746" s="187"/>
      <c r="DPC746" s="187"/>
      <c r="DPD746" s="187"/>
      <c r="DPE746" s="187"/>
      <c r="DPF746" s="187"/>
      <c r="DPG746" s="187"/>
      <c r="DPH746" s="187"/>
      <c r="DPI746" s="187"/>
      <c r="DPJ746" s="187"/>
      <c r="DPK746" s="187"/>
      <c r="DPL746" s="187"/>
      <c r="DPM746" s="187"/>
      <c r="DPN746" s="187"/>
      <c r="DPO746" s="187"/>
      <c r="DPP746" s="187"/>
      <c r="DPQ746" s="187"/>
      <c r="DPR746" s="187"/>
      <c r="DPS746" s="187"/>
      <c r="DPT746" s="187"/>
      <c r="DPU746" s="187"/>
      <c r="DPV746" s="187"/>
      <c r="DPW746" s="187"/>
      <c r="DPX746" s="187"/>
      <c r="DPY746" s="187"/>
      <c r="DPZ746" s="187"/>
      <c r="DQA746" s="187"/>
      <c r="DQB746" s="187"/>
      <c r="DQC746" s="187"/>
      <c r="DQD746" s="187"/>
      <c r="DQE746" s="187"/>
      <c r="DQF746" s="187"/>
      <c r="DQG746" s="187"/>
      <c r="DQH746" s="187"/>
      <c r="DQI746" s="187"/>
      <c r="DQJ746" s="187"/>
      <c r="DQK746" s="187"/>
      <c r="DQL746" s="187"/>
      <c r="DQM746" s="187"/>
      <c r="DQN746" s="187"/>
      <c r="DQO746" s="187"/>
      <c r="DQP746" s="187"/>
      <c r="DQQ746" s="187"/>
      <c r="DQR746" s="187"/>
      <c r="DQS746" s="187"/>
      <c r="DQT746" s="187"/>
      <c r="DQU746" s="187"/>
      <c r="DQV746" s="187"/>
      <c r="DQW746" s="187"/>
      <c r="DQX746" s="187"/>
      <c r="DQY746" s="187"/>
      <c r="DQZ746" s="187"/>
      <c r="DRA746" s="187"/>
      <c r="DRB746" s="187"/>
      <c r="DRC746" s="187"/>
      <c r="DRD746" s="187"/>
      <c r="DRE746" s="187"/>
      <c r="DRF746" s="187"/>
      <c r="DRG746" s="187"/>
      <c r="DRH746" s="187"/>
      <c r="DRI746" s="187"/>
      <c r="DRJ746" s="187"/>
      <c r="DRK746" s="187"/>
      <c r="DRL746" s="187"/>
      <c r="DRM746" s="187"/>
      <c r="DRN746" s="187"/>
      <c r="DRO746" s="187"/>
      <c r="DRP746" s="187"/>
      <c r="DRQ746" s="187"/>
      <c r="DRR746" s="187"/>
      <c r="DRS746" s="187"/>
      <c r="DRT746" s="187"/>
      <c r="DRU746" s="187"/>
      <c r="DRV746" s="187"/>
      <c r="DRW746" s="187"/>
      <c r="DRX746" s="187"/>
      <c r="DRY746" s="187"/>
      <c r="DRZ746" s="187"/>
      <c r="DSA746" s="187"/>
      <c r="DSB746" s="187"/>
      <c r="DSC746" s="187"/>
      <c r="DSD746" s="187"/>
      <c r="DSE746" s="187"/>
      <c r="DSF746" s="187"/>
      <c r="DSG746" s="187"/>
      <c r="DSH746" s="187"/>
      <c r="DSI746" s="187"/>
      <c r="DSJ746" s="187"/>
      <c r="DSK746" s="187"/>
      <c r="DSL746" s="187"/>
      <c r="DSM746" s="187"/>
      <c r="DSN746" s="187"/>
      <c r="DSO746" s="187"/>
      <c r="DSP746" s="187"/>
      <c r="DSQ746" s="187"/>
      <c r="DSR746" s="187"/>
      <c r="DSS746" s="187"/>
      <c r="DST746" s="187"/>
      <c r="DSU746" s="187"/>
      <c r="DSV746" s="187"/>
      <c r="DSW746" s="187"/>
      <c r="DSX746" s="187"/>
      <c r="DSY746" s="187"/>
      <c r="DSZ746" s="187"/>
      <c r="DTA746" s="187"/>
      <c r="DTB746" s="187"/>
      <c r="DTC746" s="187"/>
      <c r="DTD746" s="187"/>
      <c r="DTE746" s="187"/>
      <c r="DTF746" s="187"/>
      <c r="DTG746" s="187"/>
      <c r="DTH746" s="187"/>
      <c r="DTI746" s="187"/>
      <c r="DTJ746" s="187"/>
      <c r="DTK746" s="187"/>
      <c r="DTL746" s="187"/>
      <c r="DTM746" s="187"/>
      <c r="DTN746" s="187"/>
      <c r="DTO746" s="187"/>
      <c r="DTP746" s="187"/>
      <c r="DTQ746" s="187"/>
      <c r="DTR746" s="187"/>
      <c r="DTS746" s="187"/>
      <c r="DTT746" s="187"/>
      <c r="DTU746" s="187"/>
      <c r="DTV746" s="187"/>
      <c r="DTW746" s="187"/>
      <c r="DTX746" s="187"/>
      <c r="DTY746" s="187"/>
      <c r="DTZ746" s="187"/>
      <c r="DUA746" s="187"/>
      <c r="DUB746" s="187"/>
      <c r="DUC746" s="187"/>
      <c r="DUD746" s="187"/>
      <c r="DUE746" s="187"/>
      <c r="DUF746" s="187"/>
      <c r="DUG746" s="187"/>
      <c r="DUH746" s="187"/>
      <c r="DUI746" s="187"/>
      <c r="DUJ746" s="187"/>
      <c r="DUK746" s="187"/>
      <c r="DUL746" s="187"/>
      <c r="DUM746" s="187"/>
      <c r="DUN746" s="187"/>
      <c r="DUO746" s="187"/>
      <c r="DUP746" s="187"/>
      <c r="DUQ746" s="187"/>
      <c r="DUR746" s="187"/>
      <c r="DUS746" s="187"/>
      <c r="DUT746" s="187"/>
      <c r="DUU746" s="187"/>
      <c r="DUV746" s="187"/>
      <c r="DUW746" s="187"/>
      <c r="DUX746" s="187"/>
      <c r="DUY746" s="187"/>
      <c r="DUZ746" s="187"/>
      <c r="DVA746" s="187"/>
      <c r="DVB746" s="187"/>
      <c r="DVC746" s="187"/>
      <c r="DVD746" s="187"/>
      <c r="DVE746" s="187"/>
      <c r="DVF746" s="187"/>
      <c r="DVG746" s="187"/>
      <c r="DVH746" s="187"/>
      <c r="DVI746" s="187"/>
      <c r="DVJ746" s="187"/>
      <c r="DVK746" s="187"/>
      <c r="DVL746" s="187"/>
      <c r="DVM746" s="187"/>
      <c r="DVN746" s="187"/>
      <c r="DVO746" s="187"/>
      <c r="DVP746" s="187"/>
      <c r="DVQ746" s="187"/>
      <c r="DVR746" s="187"/>
      <c r="DVS746" s="187"/>
      <c r="DVT746" s="187"/>
      <c r="DVU746" s="187"/>
      <c r="DVV746" s="187"/>
      <c r="DVW746" s="187"/>
      <c r="DVX746" s="187"/>
      <c r="DVY746" s="187"/>
      <c r="DVZ746" s="187"/>
      <c r="DWA746" s="187"/>
      <c r="DWB746" s="187"/>
      <c r="DWC746" s="187"/>
      <c r="DWD746" s="187"/>
      <c r="DWE746" s="187"/>
      <c r="DWF746" s="187"/>
      <c r="DWG746" s="187"/>
      <c r="DWH746" s="187"/>
      <c r="DWI746" s="187"/>
      <c r="DWJ746" s="187"/>
      <c r="DWK746" s="187"/>
      <c r="DWL746" s="187"/>
      <c r="DWM746" s="187"/>
      <c r="DWN746" s="187"/>
      <c r="DWO746" s="187"/>
      <c r="DWP746" s="187"/>
      <c r="DWQ746" s="187"/>
      <c r="DWR746" s="187"/>
      <c r="DWS746" s="187"/>
      <c r="DWT746" s="187"/>
      <c r="DWU746" s="187"/>
      <c r="DWV746" s="187"/>
      <c r="DWW746" s="187"/>
      <c r="DWX746" s="187"/>
      <c r="DWY746" s="187"/>
      <c r="DWZ746" s="187"/>
      <c r="DXA746" s="187"/>
      <c r="DXB746" s="187"/>
      <c r="DXC746" s="187"/>
      <c r="DXD746" s="187"/>
      <c r="DXE746" s="187"/>
      <c r="DXF746" s="187"/>
      <c r="DXG746" s="187"/>
      <c r="DXH746" s="187"/>
      <c r="DXI746" s="187"/>
      <c r="DXJ746" s="187"/>
      <c r="DXK746" s="187"/>
      <c r="DXL746" s="187"/>
      <c r="DXM746" s="187"/>
      <c r="DXN746" s="187"/>
      <c r="DXO746" s="187"/>
      <c r="DXP746" s="187"/>
      <c r="DXQ746" s="187"/>
      <c r="DXR746" s="187"/>
      <c r="DXS746" s="187"/>
      <c r="DXT746" s="187"/>
      <c r="DXU746" s="187"/>
      <c r="DXV746" s="187"/>
      <c r="DXW746" s="187"/>
      <c r="DXX746" s="187"/>
      <c r="DXY746" s="187"/>
      <c r="DXZ746" s="187"/>
      <c r="DYA746" s="187"/>
      <c r="DYB746" s="187"/>
      <c r="DYC746" s="187"/>
      <c r="DYD746" s="187"/>
      <c r="DYE746" s="187"/>
      <c r="DYF746" s="187"/>
      <c r="DYG746" s="187"/>
      <c r="DYH746" s="187"/>
      <c r="DYI746" s="187"/>
      <c r="DYJ746" s="187"/>
      <c r="DYK746" s="187"/>
      <c r="DYL746" s="187"/>
      <c r="DYM746" s="187"/>
      <c r="DYN746" s="187"/>
      <c r="DYO746" s="187"/>
      <c r="DYP746" s="187"/>
      <c r="DYQ746" s="187"/>
      <c r="DYR746" s="187"/>
      <c r="DYS746" s="187"/>
      <c r="DYT746" s="187"/>
      <c r="DYU746" s="187"/>
      <c r="DYV746" s="187"/>
      <c r="DYW746" s="187"/>
      <c r="DYX746" s="187"/>
      <c r="DYY746" s="187"/>
      <c r="DYZ746" s="187"/>
      <c r="DZA746" s="187"/>
      <c r="DZB746" s="187"/>
      <c r="DZC746" s="187"/>
      <c r="DZD746" s="187"/>
      <c r="DZE746" s="187"/>
      <c r="DZF746" s="187"/>
      <c r="DZG746" s="187"/>
      <c r="DZH746" s="187"/>
      <c r="DZI746" s="187"/>
      <c r="DZJ746" s="187"/>
      <c r="DZK746" s="187"/>
      <c r="DZL746" s="187"/>
      <c r="DZM746" s="187"/>
      <c r="DZN746" s="187"/>
      <c r="DZO746" s="187"/>
      <c r="DZP746" s="187"/>
      <c r="DZQ746" s="187"/>
      <c r="DZR746" s="187"/>
      <c r="DZS746" s="187"/>
      <c r="DZT746" s="187"/>
      <c r="DZU746" s="187"/>
      <c r="DZV746" s="187"/>
      <c r="DZW746" s="187"/>
      <c r="DZX746" s="187"/>
      <c r="DZY746" s="187"/>
      <c r="DZZ746" s="187"/>
      <c r="EAA746" s="187"/>
      <c r="EAB746" s="187"/>
      <c r="EAC746" s="187"/>
      <c r="EAD746" s="187"/>
      <c r="EAE746" s="187"/>
      <c r="EAF746" s="187"/>
      <c r="EAG746" s="187"/>
      <c r="EAH746" s="187"/>
      <c r="EAI746" s="187"/>
      <c r="EAJ746" s="187"/>
      <c r="EAK746" s="187"/>
      <c r="EAL746" s="187"/>
      <c r="EAM746" s="187"/>
      <c r="EAN746" s="187"/>
      <c r="EAO746" s="187"/>
      <c r="EAP746" s="187"/>
      <c r="EAQ746" s="187"/>
      <c r="EAR746" s="187"/>
      <c r="EAS746" s="187"/>
      <c r="EAT746" s="187"/>
      <c r="EAU746" s="187"/>
      <c r="EAV746" s="187"/>
      <c r="EAW746" s="187"/>
      <c r="EAX746" s="187"/>
      <c r="EAY746" s="187"/>
      <c r="EAZ746" s="187"/>
      <c r="EBA746" s="187"/>
      <c r="EBB746" s="187"/>
      <c r="EBC746" s="187"/>
      <c r="EBD746" s="187"/>
      <c r="EBE746" s="187"/>
      <c r="EBF746" s="187"/>
      <c r="EBG746" s="187"/>
      <c r="EBH746" s="187"/>
      <c r="EBI746" s="187"/>
      <c r="EBJ746" s="187"/>
      <c r="EBK746" s="187"/>
      <c r="EBL746" s="187"/>
      <c r="EBM746" s="187"/>
      <c r="EBN746" s="187"/>
      <c r="EBO746" s="187"/>
      <c r="EBP746" s="187"/>
      <c r="EBQ746" s="187"/>
      <c r="EBR746" s="187"/>
      <c r="EBS746" s="187"/>
      <c r="EBT746" s="187"/>
      <c r="EBU746" s="187"/>
      <c r="EBV746" s="187"/>
      <c r="EBW746" s="187"/>
      <c r="EBX746" s="187"/>
      <c r="EBY746" s="187"/>
      <c r="EBZ746" s="187"/>
      <c r="ECA746" s="187"/>
      <c r="ECB746" s="187"/>
      <c r="ECC746" s="187"/>
      <c r="ECD746" s="187"/>
      <c r="ECE746" s="187"/>
      <c r="ECF746" s="187"/>
      <c r="ECG746" s="187"/>
      <c r="ECH746" s="187"/>
      <c r="ECI746" s="187"/>
      <c r="ECJ746" s="187"/>
      <c r="ECK746" s="187"/>
      <c r="ECL746" s="187"/>
      <c r="ECM746" s="187"/>
      <c r="ECN746" s="187"/>
      <c r="ECO746" s="187"/>
      <c r="ECP746" s="187"/>
      <c r="ECQ746" s="187"/>
      <c r="ECR746" s="187"/>
      <c r="ECS746" s="187"/>
      <c r="ECT746" s="187"/>
      <c r="ECU746" s="187"/>
      <c r="ECV746" s="187"/>
      <c r="ECW746" s="187"/>
      <c r="ECX746" s="187"/>
      <c r="ECY746" s="187"/>
      <c r="ECZ746" s="187"/>
      <c r="EDA746" s="187"/>
      <c r="EDB746" s="187"/>
      <c r="EDC746" s="187"/>
      <c r="EDD746" s="187"/>
      <c r="EDE746" s="187"/>
      <c r="EDF746" s="187"/>
      <c r="EDG746" s="187"/>
      <c r="EDH746" s="187"/>
      <c r="EDI746" s="187"/>
      <c r="EDJ746" s="187"/>
      <c r="EDK746" s="187"/>
      <c r="EDL746" s="187"/>
      <c r="EDM746" s="187"/>
      <c r="EDN746" s="187"/>
      <c r="EDO746" s="187"/>
      <c r="EDP746" s="187"/>
      <c r="EDQ746" s="187"/>
      <c r="EDR746" s="187"/>
      <c r="EDS746" s="187"/>
      <c r="EDT746" s="187"/>
      <c r="EDU746" s="187"/>
      <c r="EDV746" s="187"/>
      <c r="EDW746" s="187"/>
      <c r="EDX746" s="187"/>
      <c r="EDY746" s="187"/>
      <c r="EDZ746" s="187"/>
      <c r="EEA746" s="187"/>
      <c r="EEB746" s="187"/>
      <c r="EEC746" s="187"/>
      <c r="EED746" s="187"/>
      <c r="EEE746" s="187"/>
      <c r="EEF746" s="187"/>
      <c r="EEG746" s="187"/>
      <c r="EEH746" s="187"/>
      <c r="EEI746" s="187"/>
      <c r="EEJ746" s="187"/>
      <c r="EEK746" s="187"/>
      <c r="EEL746" s="187"/>
      <c r="EEM746" s="187"/>
      <c r="EEN746" s="187"/>
      <c r="EEO746" s="187"/>
      <c r="EEP746" s="187"/>
      <c r="EEQ746" s="187"/>
      <c r="EER746" s="187"/>
      <c r="EES746" s="187"/>
      <c r="EET746" s="187"/>
      <c r="EEU746" s="187"/>
      <c r="EEV746" s="187"/>
      <c r="EEW746" s="187"/>
      <c r="EEX746" s="187"/>
      <c r="EEY746" s="187"/>
      <c r="EEZ746" s="187"/>
      <c r="EFA746" s="187"/>
      <c r="EFB746" s="187"/>
      <c r="EFC746" s="187"/>
      <c r="EFD746" s="187"/>
      <c r="EFE746" s="187"/>
      <c r="EFF746" s="187"/>
      <c r="EFG746" s="187"/>
      <c r="EFH746" s="187"/>
      <c r="EFI746" s="187"/>
      <c r="EFJ746" s="187"/>
      <c r="EFK746" s="187"/>
      <c r="EFL746" s="187"/>
      <c r="EFM746" s="187"/>
      <c r="EFN746" s="187"/>
      <c r="EFO746" s="187"/>
      <c r="EFP746" s="187"/>
      <c r="EFQ746" s="187"/>
      <c r="EFR746" s="187"/>
      <c r="EFS746" s="187"/>
      <c r="EFT746" s="187"/>
      <c r="EFU746" s="187"/>
      <c r="EFV746" s="187"/>
      <c r="EFW746" s="187"/>
      <c r="EFX746" s="187"/>
      <c r="EFY746" s="187"/>
      <c r="EFZ746" s="187"/>
      <c r="EGA746" s="187"/>
      <c r="EGB746" s="187"/>
      <c r="EGC746" s="187"/>
      <c r="EGD746" s="187"/>
      <c r="EGE746" s="187"/>
      <c r="EGF746" s="187"/>
      <c r="EGG746" s="187"/>
      <c r="EGH746" s="187"/>
      <c r="EGI746" s="187"/>
      <c r="EGJ746" s="187"/>
      <c r="EGK746" s="187"/>
      <c r="EGL746" s="187"/>
      <c r="EGM746" s="187"/>
      <c r="EGN746" s="187"/>
      <c r="EGO746" s="187"/>
      <c r="EGP746" s="187"/>
      <c r="EGQ746" s="187"/>
      <c r="EGR746" s="187"/>
      <c r="EGS746" s="187"/>
      <c r="EGT746" s="187"/>
      <c r="EGU746" s="187"/>
      <c r="EGV746" s="187"/>
      <c r="EGW746" s="187"/>
      <c r="EGX746" s="187"/>
      <c r="EGY746" s="187"/>
      <c r="EGZ746" s="187"/>
      <c r="EHA746" s="187"/>
      <c r="EHB746" s="187"/>
      <c r="EHC746" s="187"/>
      <c r="EHD746" s="187"/>
      <c r="EHE746" s="187"/>
      <c r="EHF746" s="187"/>
      <c r="EHG746" s="187"/>
      <c r="EHH746" s="187"/>
      <c r="EHI746" s="187"/>
      <c r="EHJ746" s="187"/>
      <c r="EHK746" s="187"/>
      <c r="EHL746" s="187"/>
      <c r="EHM746" s="187"/>
      <c r="EHN746" s="187"/>
      <c r="EHO746" s="187"/>
      <c r="EHP746" s="187"/>
      <c r="EHQ746" s="187"/>
      <c r="EHR746" s="187"/>
      <c r="EHS746" s="187"/>
      <c r="EHT746" s="187"/>
      <c r="EHU746" s="187"/>
      <c r="EHV746" s="187"/>
      <c r="EHW746" s="187"/>
      <c r="EHX746" s="187"/>
      <c r="EHY746" s="187"/>
      <c r="EHZ746" s="187"/>
      <c r="EIA746" s="187"/>
      <c r="EIB746" s="187"/>
      <c r="EIC746" s="187"/>
      <c r="EID746" s="187"/>
      <c r="EIE746" s="187"/>
      <c r="EIF746" s="187"/>
      <c r="EIG746" s="187"/>
      <c r="EIH746" s="187"/>
      <c r="EII746" s="187"/>
      <c r="EIJ746" s="187"/>
      <c r="EIK746" s="187"/>
      <c r="EIL746" s="187"/>
      <c r="EIM746" s="187"/>
      <c r="EIN746" s="187"/>
      <c r="EIO746" s="187"/>
      <c r="EIP746" s="187"/>
      <c r="EIQ746" s="187"/>
      <c r="EIR746" s="187"/>
      <c r="EIS746" s="187"/>
      <c r="EIT746" s="187"/>
      <c r="EIU746" s="187"/>
      <c r="EIV746" s="187"/>
      <c r="EIW746" s="187"/>
      <c r="EIX746" s="187"/>
      <c r="EIY746" s="187"/>
      <c r="EIZ746" s="187"/>
      <c r="EJA746" s="187"/>
      <c r="EJB746" s="187"/>
      <c r="EJC746" s="187"/>
      <c r="EJD746" s="187"/>
      <c r="EJE746" s="187"/>
      <c r="EJF746" s="187"/>
      <c r="EJG746" s="187"/>
      <c r="EJH746" s="187"/>
      <c r="EJI746" s="187"/>
      <c r="EJJ746" s="187"/>
      <c r="EJK746" s="187"/>
      <c r="EJL746" s="187"/>
      <c r="EJM746" s="187"/>
      <c r="EJN746" s="187"/>
      <c r="EJO746" s="187"/>
      <c r="EJP746" s="187"/>
      <c r="EJQ746" s="187"/>
      <c r="EJR746" s="187"/>
      <c r="EJS746" s="187"/>
      <c r="EJT746" s="187"/>
      <c r="EJU746" s="187"/>
      <c r="EJV746" s="187"/>
      <c r="EJW746" s="187"/>
      <c r="EJX746" s="187"/>
      <c r="EJY746" s="187"/>
      <c r="EJZ746" s="187"/>
      <c r="EKA746" s="187"/>
      <c r="EKB746" s="187"/>
      <c r="EKC746" s="187"/>
      <c r="EKD746" s="187"/>
      <c r="EKE746" s="187"/>
      <c r="EKF746" s="187"/>
      <c r="EKG746" s="187"/>
      <c r="EKH746" s="187"/>
      <c r="EKI746" s="187"/>
      <c r="EKJ746" s="187"/>
      <c r="EKK746" s="187"/>
      <c r="EKL746" s="187"/>
      <c r="EKM746" s="187"/>
      <c r="EKN746" s="187"/>
      <c r="EKO746" s="187"/>
      <c r="EKP746" s="187"/>
      <c r="EKQ746" s="187"/>
      <c r="EKR746" s="187"/>
      <c r="EKS746" s="187"/>
      <c r="EKT746" s="187"/>
      <c r="EKU746" s="187"/>
      <c r="EKV746" s="187"/>
      <c r="EKW746" s="187"/>
      <c r="EKX746" s="187"/>
      <c r="EKY746" s="187"/>
      <c r="EKZ746" s="187"/>
      <c r="ELA746" s="187"/>
      <c r="ELB746" s="187"/>
      <c r="ELC746" s="187"/>
      <c r="ELD746" s="187"/>
      <c r="ELE746" s="187"/>
      <c r="ELF746" s="187"/>
      <c r="ELG746" s="187"/>
      <c r="ELH746" s="187"/>
      <c r="ELI746" s="187"/>
      <c r="ELJ746" s="187"/>
      <c r="ELK746" s="187"/>
      <c r="ELL746" s="187"/>
      <c r="ELM746" s="187"/>
      <c r="ELN746" s="187"/>
      <c r="ELO746" s="187"/>
      <c r="ELP746" s="187"/>
      <c r="ELQ746" s="187"/>
      <c r="ELR746" s="187"/>
      <c r="ELS746" s="187"/>
      <c r="ELT746" s="187"/>
      <c r="ELU746" s="187"/>
      <c r="ELV746" s="187"/>
      <c r="ELW746" s="187"/>
      <c r="ELX746" s="187"/>
      <c r="ELY746" s="187"/>
      <c r="ELZ746" s="187"/>
      <c r="EMA746" s="187"/>
      <c r="EMB746" s="187"/>
      <c r="EMC746" s="187"/>
      <c r="EMD746" s="187"/>
      <c r="EME746" s="187"/>
      <c r="EMF746" s="187"/>
      <c r="EMG746" s="187"/>
      <c r="EMH746" s="187"/>
      <c r="EMI746" s="187"/>
      <c r="EMJ746" s="187"/>
      <c r="EMK746" s="187"/>
      <c r="EML746" s="187"/>
      <c r="EMM746" s="187"/>
      <c r="EMN746" s="187"/>
      <c r="EMO746" s="187"/>
      <c r="EMP746" s="187"/>
      <c r="EMQ746" s="187"/>
      <c r="EMR746" s="187"/>
      <c r="EMS746" s="187"/>
      <c r="EMT746" s="187"/>
      <c r="EMU746" s="187"/>
      <c r="EMV746" s="187"/>
      <c r="EMW746" s="187"/>
      <c r="EMX746" s="187"/>
      <c r="EMY746" s="187"/>
      <c r="EMZ746" s="187"/>
      <c r="ENA746" s="187"/>
      <c r="ENB746" s="187"/>
      <c r="ENC746" s="187"/>
      <c r="END746" s="187"/>
      <c r="ENE746" s="187"/>
      <c r="ENF746" s="187"/>
      <c r="ENG746" s="187"/>
      <c r="ENH746" s="187"/>
      <c r="ENI746" s="187"/>
      <c r="ENJ746" s="187"/>
      <c r="ENK746" s="187"/>
      <c r="ENL746" s="187"/>
      <c r="ENM746" s="187"/>
      <c r="ENN746" s="187"/>
      <c r="ENO746" s="187"/>
      <c r="ENP746" s="187"/>
      <c r="ENQ746" s="187"/>
      <c r="ENR746" s="187"/>
      <c r="ENS746" s="187"/>
      <c r="ENT746" s="187"/>
      <c r="ENU746" s="187"/>
      <c r="ENV746" s="187"/>
      <c r="ENW746" s="187"/>
      <c r="ENX746" s="187"/>
      <c r="ENY746" s="187"/>
      <c r="ENZ746" s="187"/>
      <c r="EOA746" s="187"/>
      <c r="EOB746" s="187"/>
      <c r="EOC746" s="187"/>
      <c r="EOD746" s="187"/>
      <c r="EOE746" s="187"/>
      <c r="EOF746" s="187"/>
      <c r="EOG746" s="187"/>
      <c r="EOH746" s="187"/>
      <c r="EOI746" s="187"/>
      <c r="EOJ746" s="187"/>
      <c r="EOK746" s="187"/>
      <c r="EOL746" s="187"/>
      <c r="EOM746" s="187"/>
      <c r="EON746" s="187"/>
      <c r="EOO746" s="187"/>
      <c r="EOP746" s="187"/>
      <c r="EOQ746" s="187"/>
      <c r="EOR746" s="187"/>
      <c r="EOS746" s="187"/>
      <c r="EOT746" s="187"/>
      <c r="EOU746" s="187"/>
      <c r="EOV746" s="187"/>
      <c r="EOW746" s="187"/>
      <c r="EOX746" s="187"/>
      <c r="EOY746" s="187"/>
      <c r="EOZ746" s="187"/>
      <c r="EPA746" s="187"/>
      <c r="EPB746" s="187"/>
      <c r="EPC746" s="187"/>
      <c r="EPD746" s="187"/>
      <c r="EPE746" s="187"/>
      <c r="EPF746" s="187"/>
      <c r="EPG746" s="187"/>
      <c r="EPH746" s="187"/>
      <c r="EPI746" s="187"/>
      <c r="EPJ746" s="187"/>
      <c r="EPK746" s="187"/>
      <c r="EPL746" s="187"/>
      <c r="EPM746" s="187"/>
      <c r="EPN746" s="187"/>
      <c r="EPO746" s="187"/>
      <c r="EPP746" s="187"/>
      <c r="EPQ746" s="187"/>
      <c r="EPR746" s="187"/>
      <c r="EPS746" s="187"/>
      <c r="EPT746" s="187"/>
      <c r="EPU746" s="187"/>
      <c r="EPV746" s="187"/>
      <c r="EPW746" s="187"/>
      <c r="EPX746" s="187"/>
      <c r="EPY746" s="187"/>
      <c r="EPZ746" s="187"/>
      <c r="EQA746" s="187"/>
      <c r="EQB746" s="187"/>
      <c r="EQC746" s="187"/>
      <c r="EQD746" s="187"/>
      <c r="EQE746" s="187"/>
      <c r="EQF746" s="187"/>
      <c r="EQG746" s="187"/>
      <c r="EQH746" s="187"/>
      <c r="EQI746" s="187"/>
      <c r="EQJ746" s="187"/>
      <c r="EQK746" s="187"/>
      <c r="EQL746" s="187"/>
      <c r="EQM746" s="187"/>
      <c r="EQN746" s="187"/>
      <c r="EQO746" s="187"/>
      <c r="EQP746" s="187"/>
      <c r="EQQ746" s="187"/>
      <c r="EQR746" s="187"/>
      <c r="EQS746" s="187"/>
      <c r="EQT746" s="187"/>
      <c r="EQU746" s="187"/>
      <c r="EQV746" s="187"/>
      <c r="EQW746" s="187"/>
      <c r="EQX746" s="187"/>
      <c r="EQY746" s="187"/>
      <c r="EQZ746" s="187"/>
      <c r="ERA746" s="187"/>
      <c r="ERB746" s="187"/>
      <c r="ERC746" s="187"/>
      <c r="ERD746" s="187"/>
      <c r="ERE746" s="187"/>
      <c r="ERF746" s="187"/>
      <c r="ERG746" s="187"/>
      <c r="ERH746" s="187"/>
      <c r="ERI746" s="187"/>
      <c r="ERJ746" s="187"/>
      <c r="ERK746" s="187"/>
      <c r="ERL746" s="187"/>
      <c r="ERM746" s="187"/>
      <c r="ERN746" s="187"/>
      <c r="ERO746" s="187"/>
      <c r="ERP746" s="187"/>
      <c r="ERQ746" s="187"/>
      <c r="ERR746" s="187"/>
      <c r="ERS746" s="187"/>
      <c r="ERT746" s="187"/>
      <c r="ERU746" s="187"/>
      <c r="ERV746" s="187"/>
      <c r="ERW746" s="187"/>
      <c r="ERX746" s="187"/>
      <c r="ERY746" s="187"/>
      <c r="ERZ746" s="187"/>
      <c r="ESA746" s="187"/>
      <c r="ESB746" s="187"/>
      <c r="ESC746" s="187"/>
      <c r="ESD746" s="187"/>
      <c r="ESE746" s="187"/>
      <c r="ESF746" s="187"/>
      <c r="ESG746" s="187"/>
      <c r="ESH746" s="187"/>
      <c r="ESI746" s="187"/>
      <c r="ESJ746" s="187"/>
      <c r="ESK746" s="187"/>
      <c r="ESL746" s="187"/>
      <c r="ESM746" s="187"/>
      <c r="ESN746" s="187"/>
      <c r="ESO746" s="187"/>
      <c r="ESP746" s="187"/>
      <c r="ESQ746" s="187"/>
      <c r="ESR746" s="187"/>
      <c r="ESS746" s="187"/>
      <c r="EST746" s="187"/>
      <c r="ESU746" s="187"/>
      <c r="ESV746" s="187"/>
      <c r="ESW746" s="187"/>
      <c r="ESX746" s="187"/>
      <c r="ESY746" s="187"/>
      <c r="ESZ746" s="187"/>
      <c r="ETA746" s="187"/>
      <c r="ETB746" s="187"/>
      <c r="ETC746" s="187"/>
      <c r="ETD746" s="187"/>
      <c r="ETE746" s="187"/>
      <c r="ETF746" s="187"/>
      <c r="ETG746" s="187"/>
      <c r="ETH746" s="187"/>
      <c r="ETI746" s="187"/>
      <c r="ETJ746" s="187"/>
      <c r="ETK746" s="187"/>
      <c r="ETL746" s="187"/>
      <c r="ETM746" s="187"/>
      <c r="ETN746" s="187"/>
      <c r="ETO746" s="187"/>
      <c r="ETP746" s="187"/>
      <c r="ETQ746" s="187"/>
      <c r="ETR746" s="187"/>
      <c r="ETS746" s="187"/>
      <c r="ETT746" s="187"/>
      <c r="ETU746" s="187"/>
      <c r="ETV746" s="187"/>
      <c r="ETW746" s="187"/>
      <c r="ETX746" s="187"/>
      <c r="ETY746" s="187"/>
      <c r="ETZ746" s="187"/>
      <c r="EUA746" s="187"/>
      <c r="EUB746" s="187"/>
      <c r="EUC746" s="187"/>
      <c r="EUD746" s="187"/>
      <c r="EUE746" s="187"/>
      <c r="EUF746" s="187"/>
      <c r="EUG746" s="187"/>
      <c r="EUH746" s="187"/>
      <c r="EUI746" s="187"/>
      <c r="EUJ746" s="187"/>
      <c r="EUK746" s="187"/>
      <c r="EUL746" s="187"/>
      <c r="EUM746" s="187"/>
      <c r="EUN746" s="187"/>
      <c r="EUO746" s="187"/>
      <c r="EUP746" s="187"/>
      <c r="EUQ746" s="187"/>
      <c r="EUR746" s="187"/>
      <c r="EUS746" s="187"/>
      <c r="EUT746" s="187"/>
      <c r="EUU746" s="187"/>
      <c r="EUV746" s="187"/>
      <c r="EUW746" s="187"/>
      <c r="EUX746" s="187"/>
      <c r="EUY746" s="187"/>
      <c r="EUZ746" s="187"/>
      <c r="EVA746" s="187"/>
      <c r="EVB746" s="187"/>
      <c r="EVC746" s="187"/>
      <c r="EVD746" s="187"/>
      <c r="EVE746" s="187"/>
      <c r="EVF746" s="187"/>
      <c r="EVG746" s="187"/>
      <c r="EVH746" s="187"/>
      <c r="EVI746" s="187"/>
      <c r="EVJ746" s="187"/>
      <c r="EVK746" s="187"/>
      <c r="EVL746" s="187"/>
      <c r="EVM746" s="187"/>
      <c r="EVN746" s="187"/>
      <c r="EVO746" s="187"/>
      <c r="EVP746" s="187"/>
      <c r="EVQ746" s="187"/>
      <c r="EVR746" s="187"/>
      <c r="EVS746" s="187"/>
      <c r="EVT746" s="187"/>
      <c r="EVU746" s="187"/>
      <c r="EVV746" s="187"/>
      <c r="EVW746" s="187"/>
      <c r="EVX746" s="187"/>
      <c r="EVY746" s="187"/>
      <c r="EVZ746" s="187"/>
      <c r="EWA746" s="187"/>
      <c r="EWB746" s="187"/>
      <c r="EWC746" s="187"/>
      <c r="EWD746" s="187"/>
      <c r="EWE746" s="187"/>
      <c r="EWF746" s="187"/>
      <c r="EWG746" s="187"/>
      <c r="EWH746" s="187"/>
      <c r="EWI746" s="187"/>
      <c r="EWJ746" s="187"/>
      <c r="EWK746" s="187"/>
      <c r="EWL746" s="187"/>
      <c r="EWM746" s="187"/>
      <c r="EWN746" s="187"/>
      <c r="EWO746" s="187"/>
      <c r="EWP746" s="187"/>
      <c r="EWQ746" s="187"/>
      <c r="EWR746" s="187"/>
      <c r="EWS746" s="187"/>
      <c r="EWT746" s="187"/>
      <c r="EWU746" s="187"/>
      <c r="EWV746" s="187"/>
      <c r="EWW746" s="187"/>
      <c r="EWX746" s="187"/>
      <c r="EWY746" s="187"/>
      <c r="EWZ746" s="187"/>
      <c r="EXA746" s="187"/>
      <c r="EXB746" s="187"/>
      <c r="EXC746" s="187"/>
      <c r="EXD746" s="187"/>
      <c r="EXE746" s="187"/>
      <c r="EXF746" s="187"/>
      <c r="EXG746" s="187"/>
      <c r="EXH746" s="187"/>
      <c r="EXI746" s="187"/>
      <c r="EXJ746" s="187"/>
      <c r="EXK746" s="187"/>
      <c r="EXL746" s="187"/>
      <c r="EXM746" s="187"/>
      <c r="EXN746" s="187"/>
      <c r="EXO746" s="187"/>
      <c r="EXP746" s="187"/>
      <c r="EXQ746" s="187"/>
      <c r="EXR746" s="187"/>
      <c r="EXS746" s="187"/>
      <c r="EXT746" s="187"/>
      <c r="EXU746" s="187"/>
      <c r="EXV746" s="187"/>
      <c r="EXW746" s="187"/>
      <c r="EXX746" s="187"/>
      <c r="EXY746" s="187"/>
      <c r="EXZ746" s="187"/>
      <c r="EYA746" s="187"/>
      <c r="EYB746" s="187"/>
      <c r="EYC746" s="187"/>
      <c r="EYD746" s="187"/>
      <c r="EYE746" s="187"/>
      <c r="EYF746" s="187"/>
      <c r="EYG746" s="187"/>
      <c r="EYH746" s="187"/>
      <c r="EYI746" s="187"/>
      <c r="EYJ746" s="187"/>
      <c r="EYK746" s="187"/>
      <c r="EYL746" s="187"/>
      <c r="EYM746" s="187"/>
      <c r="EYN746" s="187"/>
      <c r="EYO746" s="187"/>
      <c r="EYP746" s="187"/>
      <c r="EYQ746" s="187"/>
      <c r="EYR746" s="187"/>
      <c r="EYS746" s="187"/>
      <c r="EYT746" s="187"/>
      <c r="EYU746" s="187"/>
      <c r="EYV746" s="187"/>
      <c r="EYW746" s="187"/>
      <c r="EYX746" s="187"/>
      <c r="EYY746" s="187"/>
      <c r="EYZ746" s="187"/>
      <c r="EZA746" s="187"/>
      <c r="EZB746" s="187"/>
      <c r="EZC746" s="187"/>
      <c r="EZD746" s="187"/>
      <c r="EZE746" s="187"/>
      <c r="EZF746" s="187"/>
      <c r="EZG746" s="187"/>
      <c r="EZH746" s="187"/>
      <c r="EZI746" s="187"/>
      <c r="EZJ746" s="187"/>
      <c r="EZK746" s="187"/>
      <c r="EZL746" s="187"/>
      <c r="EZM746" s="187"/>
      <c r="EZN746" s="187"/>
      <c r="EZO746" s="187"/>
      <c r="EZP746" s="187"/>
      <c r="EZQ746" s="187"/>
      <c r="EZR746" s="187"/>
      <c r="EZS746" s="187"/>
      <c r="EZT746" s="187"/>
      <c r="EZU746" s="187"/>
      <c r="EZV746" s="187"/>
      <c r="EZW746" s="187"/>
      <c r="EZX746" s="187"/>
      <c r="EZY746" s="187"/>
      <c r="EZZ746" s="187"/>
      <c r="FAA746" s="187"/>
      <c r="FAB746" s="187"/>
      <c r="FAC746" s="187"/>
      <c r="FAD746" s="187"/>
      <c r="FAE746" s="187"/>
      <c r="FAF746" s="187"/>
      <c r="FAG746" s="187"/>
      <c r="FAH746" s="187"/>
      <c r="FAI746" s="187"/>
      <c r="FAJ746" s="187"/>
      <c r="FAK746" s="187"/>
      <c r="FAL746" s="187"/>
      <c r="FAM746" s="187"/>
      <c r="FAN746" s="187"/>
      <c r="FAO746" s="187"/>
      <c r="FAP746" s="187"/>
      <c r="FAQ746" s="187"/>
      <c r="FAR746" s="187"/>
      <c r="FAS746" s="187"/>
      <c r="FAT746" s="187"/>
      <c r="FAU746" s="187"/>
      <c r="FAV746" s="187"/>
      <c r="FAW746" s="187"/>
      <c r="FAX746" s="187"/>
      <c r="FAY746" s="187"/>
      <c r="FAZ746" s="187"/>
      <c r="FBA746" s="187"/>
      <c r="FBB746" s="187"/>
      <c r="FBC746" s="187"/>
      <c r="FBD746" s="187"/>
      <c r="FBE746" s="187"/>
      <c r="FBF746" s="187"/>
      <c r="FBG746" s="187"/>
      <c r="FBH746" s="187"/>
      <c r="FBI746" s="187"/>
      <c r="FBJ746" s="187"/>
      <c r="FBK746" s="187"/>
      <c r="FBL746" s="187"/>
      <c r="FBM746" s="187"/>
      <c r="FBN746" s="187"/>
      <c r="FBO746" s="187"/>
      <c r="FBP746" s="187"/>
      <c r="FBQ746" s="187"/>
      <c r="FBR746" s="187"/>
      <c r="FBS746" s="187"/>
      <c r="FBT746" s="187"/>
      <c r="FBU746" s="187"/>
      <c r="FBV746" s="187"/>
      <c r="FBW746" s="187"/>
      <c r="FBX746" s="187"/>
      <c r="FBY746" s="187"/>
      <c r="FBZ746" s="187"/>
      <c r="FCA746" s="187"/>
      <c r="FCB746" s="187"/>
      <c r="FCC746" s="187"/>
      <c r="FCD746" s="187"/>
      <c r="FCE746" s="187"/>
      <c r="FCF746" s="187"/>
      <c r="FCG746" s="187"/>
      <c r="FCH746" s="187"/>
      <c r="FCI746" s="187"/>
      <c r="FCJ746" s="187"/>
      <c r="FCK746" s="187"/>
      <c r="FCL746" s="187"/>
      <c r="FCM746" s="187"/>
      <c r="FCN746" s="187"/>
      <c r="FCO746" s="187"/>
      <c r="FCP746" s="187"/>
      <c r="FCQ746" s="187"/>
      <c r="FCR746" s="187"/>
      <c r="FCS746" s="187"/>
      <c r="FCT746" s="187"/>
      <c r="FCU746" s="187"/>
      <c r="FCV746" s="187"/>
      <c r="FCW746" s="187"/>
      <c r="FCX746" s="187"/>
      <c r="FCY746" s="187"/>
      <c r="FCZ746" s="187"/>
      <c r="FDA746" s="187"/>
      <c r="FDB746" s="187"/>
      <c r="FDC746" s="187"/>
      <c r="FDD746" s="187"/>
      <c r="FDE746" s="187"/>
      <c r="FDF746" s="187"/>
      <c r="FDG746" s="187"/>
      <c r="FDH746" s="187"/>
      <c r="FDI746" s="187"/>
      <c r="FDJ746" s="187"/>
      <c r="FDK746" s="187"/>
      <c r="FDL746" s="187"/>
      <c r="FDM746" s="187"/>
      <c r="FDN746" s="187"/>
      <c r="FDO746" s="187"/>
      <c r="FDP746" s="187"/>
      <c r="FDQ746" s="187"/>
      <c r="FDR746" s="187"/>
      <c r="FDS746" s="187"/>
      <c r="FDT746" s="187"/>
      <c r="FDU746" s="187"/>
      <c r="FDV746" s="187"/>
      <c r="FDW746" s="187"/>
      <c r="FDX746" s="187"/>
      <c r="FDY746" s="187"/>
      <c r="FDZ746" s="187"/>
      <c r="FEA746" s="187"/>
      <c r="FEB746" s="187"/>
      <c r="FEC746" s="187"/>
      <c r="FED746" s="187"/>
      <c r="FEE746" s="187"/>
      <c r="FEF746" s="187"/>
      <c r="FEG746" s="187"/>
      <c r="FEH746" s="187"/>
      <c r="FEI746" s="187"/>
      <c r="FEJ746" s="187"/>
      <c r="FEK746" s="187"/>
      <c r="FEL746" s="187"/>
      <c r="FEM746" s="187"/>
      <c r="FEN746" s="187"/>
      <c r="FEO746" s="187"/>
      <c r="FEP746" s="187"/>
      <c r="FEQ746" s="187"/>
      <c r="FER746" s="187"/>
      <c r="FES746" s="187"/>
      <c r="FET746" s="187"/>
      <c r="FEU746" s="187"/>
      <c r="FEV746" s="187"/>
      <c r="FEW746" s="187"/>
      <c r="FEX746" s="187"/>
      <c r="FEY746" s="187"/>
      <c r="FEZ746" s="187"/>
      <c r="FFA746" s="187"/>
      <c r="FFB746" s="187"/>
      <c r="FFC746" s="187"/>
      <c r="FFD746" s="187"/>
      <c r="FFE746" s="187"/>
      <c r="FFF746" s="187"/>
      <c r="FFG746" s="187"/>
      <c r="FFH746" s="187"/>
      <c r="FFI746" s="187"/>
      <c r="FFJ746" s="187"/>
      <c r="FFK746" s="187"/>
      <c r="FFL746" s="187"/>
      <c r="FFM746" s="187"/>
      <c r="FFN746" s="187"/>
      <c r="FFO746" s="187"/>
      <c r="FFP746" s="187"/>
      <c r="FFQ746" s="187"/>
      <c r="FFR746" s="187"/>
      <c r="FFS746" s="187"/>
      <c r="FFT746" s="187"/>
      <c r="FFU746" s="187"/>
      <c r="FFV746" s="187"/>
      <c r="FFW746" s="187"/>
      <c r="FFX746" s="187"/>
      <c r="FFY746" s="187"/>
      <c r="FFZ746" s="187"/>
      <c r="FGA746" s="187"/>
      <c r="FGB746" s="187"/>
      <c r="FGC746" s="187"/>
      <c r="FGD746" s="187"/>
      <c r="FGE746" s="187"/>
      <c r="FGF746" s="187"/>
      <c r="FGG746" s="187"/>
      <c r="FGH746" s="187"/>
      <c r="FGI746" s="187"/>
      <c r="FGJ746" s="187"/>
      <c r="FGK746" s="187"/>
      <c r="FGL746" s="187"/>
      <c r="FGM746" s="187"/>
      <c r="FGN746" s="187"/>
      <c r="FGO746" s="187"/>
      <c r="FGP746" s="187"/>
      <c r="FGQ746" s="187"/>
      <c r="FGR746" s="187"/>
      <c r="FGS746" s="187"/>
      <c r="FGT746" s="187"/>
      <c r="FGU746" s="187"/>
      <c r="FGV746" s="187"/>
      <c r="FGW746" s="187"/>
      <c r="FGX746" s="187"/>
      <c r="FGY746" s="187"/>
      <c r="FGZ746" s="187"/>
      <c r="FHA746" s="187"/>
      <c r="FHB746" s="187"/>
      <c r="FHC746" s="187"/>
      <c r="FHD746" s="187"/>
      <c r="FHE746" s="187"/>
      <c r="FHF746" s="187"/>
      <c r="FHG746" s="187"/>
      <c r="FHH746" s="187"/>
      <c r="FHI746" s="187"/>
      <c r="FHJ746" s="187"/>
      <c r="FHK746" s="187"/>
      <c r="FHL746" s="187"/>
      <c r="FHM746" s="187"/>
      <c r="FHN746" s="187"/>
      <c r="FHO746" s="187"/>
      <c r="FHP746" s="187"/>
      <c r="FHQ746" s="187"/>
      <c r="FHR746" s="187"/>
      <c r="FHS746" s="187"/>
      <c r="FHT746" s="187"/>
      <c r="FHU746" s="187"/>
      <c r="FHV746" s="187"/>
      <c r="FHW746" s="187"/>
      <c r="FHX746" s="187"/>
      <c r="FHY746" s="187"/>
      <c r="FHZ746" s="187"/>
      <c r="FIA746" s="187"/>
      <c r="FIB746" s="187"/>
      <c r="FIC746" s="187"/>
      <c r="FID746" s="187"/>
      <c r="FIE746" s="187"/>
      <c r="FIF746" s="187"/>
      <c r="FIG746" s="187"/>
      <c r="FIH746" s="187"/>
      <c r="FII746" s="187"/>
      <c r="FIJ746" s="187"/>
      <c r="FIK746" s="187"/>
      <c r="FIL746" s="187"/>
      <c r="FIM746" s="187"/>
      <c r="FIN746" s="187"/>
      <c r="FIO746" s="187"/>
      <c r="FIP746" s="187"/>
      <c r="FIQ746" s="187"/>
      <c r="FIR746" s="187"/>
      <c r="FIS746" s="187"/>
      <c r="FIT746" s="187"/>
      <c r="FIU746" s="187"/>
      <c r="FIV746" s="187"/>
      <c r="FIW746" s="187"/>
      <c r="FIX746" s="187"/>
      <c r="FIY746" s="187"/>
      <c r="FIZ746" s="187"/>
      <c r="FJA746" s="187"/>
      <c r="FJB746" s="187"/>
      <c r="FJC746" s="187"/>
      <c r="FJD746" s="187"/>
      <c r="FJE746" s="187"/>
      <c r="FJF746" s="187"/>
      <c r="FJG746" s="187"/>
      <c r="FJH746" s="187"/>
      <c r="FJI746" s="187"/>
      <c r="FJJ746" s="187"/>
      <c r="FJK746" s="187"/>
      <c r="FJL746" s="187"/>
      <c r="FJM746" s="187"/>
      <c r="FJN746" s="187"/>
      <c r="FJO746" s="187"/>
      <c r="FJP746" s="187"/>
      <c r="FJQ746" s="187"/>
      <c r="FJR746" s="187"/>
      <c r="FJS746" s="187"/>
      <c r="FJT746" s="187"/>
      <c r="FJU746" s="187"/>
      <c r="FJV746" s="187"/>
      <c r="FJW746" s="187"/>
      <c r="FJX746" s="187"/>
      <c r="FJY746" s="187"/>
      <c r="FJZ746" s="187"/>
      <c r="FKA746" s="187"/>
      <c r="FKB746" s="187"/>
      <c r="FKC746" s="187"/>
      <c r="FKD746" s="187"/>
      <c r="FKE746" s="187"/>
      <c r="FKF746" s="187"/>
      <c r="FKG746" s="187"/>
      <c r="FKH746" s="187"/>
      <c r="FKI746" s="187"/>
      <c r="FKJ746" s="187"/>
      <c r="FKK746" s="187"/>
      <c r="FKL746" s="187"/>
      <c r="FKM746" s="187"/>
      <c r="FKN746" s="187"/>
      <c r="FKO746" s="187"/>
      <c r="FKP746" s="187"/>
      <c r="FKQ746" s="187"/>
      <c r="FKR746" s="187"/>
      <c r="FKS746" s="187"/>
      <c r="FKT746" s="187"/>
      <c r="FKU746" s="187"/>
      <c r="FKV746" s="187"/>
      <c r="FKW746" s="187"/>
      <c r="FKX746" s="187"/>
      <c r="FKY746" s="187"/>
      <c r="FKZ746" s="187"/>
      <c r="FLA746" s="187"/>
      <c r="FLB746" s="187"/>
      <c r="FLC746" s="187"/>
      <c r="FLD746" s="187"/>
      <c r="FLE746" s="187"/>
      <c r="FLF746" s="187"/>
      <c r="FLG746" s="187"/>
      <c r="FLH746" s="187"/>
      <c r="FLI746" s="187"/>
      <c r="FLJ746" s="187"/>
      <c r="FLK746" s="187"/>
      <c r="FLL746" s="187"/>
      <c r="FLM746" s="187"/>
      <c r="FLN746" s="187"/>
      <c r="FLO746" s="187"/>
      <c r="FLP746" s="187"/>
      <c r="FLQ746" s="187"/>
      <c r="FLR746" s="187"/>
      <c r="FLS746" s="187"/>
      <c r="FLT746" s="187"/>
      <c r="FLU746" s="187"/>
      <c r="FLV746" s="187"/>
      <c r="FLW746" s="187"/>
      <c r="FLX746" s="187"/>
      <c r="FLY746" s="187"/>
      <c r="FLZ746" s="187"/>
      <c r="FMA746" s="187"/>
      <c r="FMB746" s="187"/>
      <c r="FMC746" s="187"/>
      <c r="FMD746" s="187"/>
      <c r="FME746" s="187"/>
      <c r="FMF746" s="187"/>
      <c r="FMG746" s="187"/>
      <c r="FMH746" s="187"/>
      <c r="FMI746" s="187"/>
      <c r="FMJ746" s="187"/>
      <c r="FMK746" s="187"/>
      <c r="FML746" s="187"/>
      <c r="FMM746" s="187"/>
      <c r="FMN746" s="187"/>
      <c r="FMO746" s="187"/>
      <c r="FMP746" s="187"/>
      <c r="FMQ746" s="187"/>
      <c r="FMR746" s="187"/>
      <c r="FMS746" s="187"/>
      <c r="FMT746" s="187"/>
      <c r="FMU746" s="187"/>
      <c r="FMV746" s="187"/>
      <c r="FMW746" s="187"/>
      <c r="FMX746" s="187"/>
      <c r="FMY746" s="187"/>
      <c r="FMZ746" s="187"/>
      <c r="FNA746" s="187"/>
      <c r="FNB746" s="187"/>
      <c r="FNC746" s="187"/>
      <c r="FND746" s="187"/>
      <c r="FNE746" s="187"/>
      <c r="FNF746" s="187"/>
      <c r="FNG746" s="187"/>
      <c r="FNH746" s="187"/>
      <c r="FNI746" s="187"/>
      <c r="FNJ746" s="187"/>
      <c r="FNK746" s="187"/>
      <c r="FNL746" s="187"/>
      <c r="FNM746" s="187"/>
      <c r="FNN746" s="187"/>
      <c r="FNO746" s="187"/>
      <c r="FNP746" s="187"/>
      <c r="FNQ746" s="187"/>
      <c r="FNR746" s="187"/>
      <c r="FNS746" s="187"/>
      <c r="FNT746" s="187"/>
      <c r="FNU746" s="187"/>
      <c r="FNV746" s="187"/>
      <c r="FNW746" s="187"/>
      <c r="FNX746" s="187"/>
      <c r="FNY746" s="187"/>
      <c r="FNZ746" s="187"/>
      <c r="FOA746" s="187"/>
      <c r="FOB746" s="187"/>
      <c r="FOC746" s="187"/>
      <c r="FOD746" s="187"/>
      <c r="FOE746" s="187"/>
      <c r="FOF746" s="187"/>
      <c r="FOG746" s="187"/>
      <c r="FOH746" s="187"/>
      <c r="FOI746" s="187"/>
      <c r="FOJ746" s="187"/>
      <c r="FOK746" s="187"/>
      <c r="FOL746" s="187"/>
      <c r="FOM746" s="187"/>
      <c r="FON746" s="187"/>
      <c r="FOO746" s="187"/>
      <c r="FOP746" s="187"/>
      <c r="FOQ746" s="187"/>
      <c r="FOR746" s="187"/>
      <c r="FOS746" s="187"/>
      <c r="FOT746" s="187"/>
      <c r="FOU746" s="187"/>
      <c r="FOV746" s="187"/>
      <c r="FOW746" s="187"/>
      <c r="FOX746" s="187"/>
      <c r="FOY746" s="187"/>
      <c r="FOZ746" s="187"/>
      <c r="FPA746" s="187"/>
      <c r="FPB746" s="187"/>
      <c r="FPC746" s="187"/>
      <c r="FPD746" s="187"/>
      <c r="FPE746" s="187"/>
      <c r="FPF746" s="187"/>
      <c r="FPG746" s="187"/>
      <c r="FPH746" s="187"/>
      <c r="FPI746" s="187"/>
      <c r="FPJ746" s="187"/>
      <c r="FPK746" s="187"/>
      <c r="FPL746" s="187"/>
      <c r="FPM746" s="187"/>
      <c r="FPN746" s="187"/>
      <c r="FPO746" s="187"/>
      <c r="FPP746" s="187"/>
      <c r="FPQ746" s="187"/>
      <c r="FPR746" s="187"/>
      <c r="FPS746" s="187"/>
      <c r="FPT746" s="187"/>
      <c r="FPU746" s="187"/>
      <c r="FPV746" s="187"/>
      <c r="FPW746" s="187"/>
      <c r="FPX746" s="187"/>
      <c r="FPY746" s="187"/>
      <c r="FPZ746" s="187"/>
      <c r="FQA746" s="187"/>
      <c r="FQB746" s="187"/>
      <c r="FQC746" s="187"/>
      <c r="FQD746" s="187"/>
      <c r="FQE746" s="187"/>
      <c r="FQF746" s="187"/>
      <c r="FQG746" s="187"/>
      <c r="FQH746" s="187"/>
      <c r="FQI746" s="187"/>
      <c r="FQJ746" s="187"/>
      <c r="FQK746" s="187"/>
      <c r="FQL746" s="187"/>
      <c r="FQM746" s="187"/>
      <c r="FQN746" s="187"/>
      <c r="FQO746" s="187"/>
      <c r="FQP746" s="187"/>
      <c r="FQQ746" s="187"/>
      <c r="FQR746" s="187"/>
      <c r="FQS746" s="187"/>
      <c r="FQT746" s="187"/>
      <c r="FQU746" s="187"/>
      <c r="FQV746" s="187"/>
      <c r="FQW746" s="187"/>
      <c r="FQX746" s="187"/>
      <c r="FQY746" s="187"/>
      <c r="FQZ746" s="187"/>
      <c r="FRA746" s="187"/>
      <c r="FRB746" s="187"/>
      <c r="FRC746" s="187"/>
      <c r="FRD746" s="187"/>
      <c r="FRE746" s="187"/>
      <c r="FRF746" s="187"/>
      <c r="FRG746" s="187"/>
      <c r="FRH746" s="187"/>
      <c r="FRI746" s="187"/>
      <c r="FRJ746" s="187"/>
      <c r="FRK746" s="187"/>
      <c r="FRL746" s="187"/>
      <c r="FRM746" s="187"/>
      <c r="FRN746" s="187"/>
      <c r="FRO746" s="187"/>
      <c r="FRP746" s="187"/>
      <c r="FRQ746" s="187"/>
      <c r="FRR746" s="187"/>
      <c r="FRS746" s="187"/>
      <c r="FRT746" s="187"/>
      <c r="FRU746" s="187"/>
      <c r="FRV746" s="187"/>
      <c r="FRW746" s="187"/>
      <c r="FRX746" s="187"/>
      <c r="FRY746" s="187"/>
      <c r="FRZ746" s="187"/>
      <c r="FSA746" s="187"/>
      <c r="FSB746" s="187"/>
      <c r="FSC746" s="187"/>
      <c r="FSD746" s="187"/>
      <c r="FSE746" s="187"/>
      <c r="FSF746" s="187"/>
      <c r="FSG746" s="187"/>
      <c r="FSH746" s="187"/>
      <c r="FSI746" s="187"/>
      <c r="FSJ746" s="187"/>
      <c r="FSK746" s="187"/>
      <c r="FSL746" s="187"/>
      <c r="FSM746" s="187"/>
      <c r="FSN746" s="187"/>
      <c r="FSO746" s="187"/>
      <c r="FSP746" s="187"/>
      <c r="FSQ746" s="187"/>
      <c r="FSR746" s="187"/>
      <c r="FSS746" s="187"/>
      <c r="FST746" s="187"/>
      <c r="FSU746" s="187"/>
      <c r="FSV746" s="187"/>
      <c r="FSW746" s="187"/>
      <c r="FSX746" s="187"/>
      <c r="FSY746" s="187"/>
      <c r="FSZ746" s="187"/>
      <c r="FTA746" s="187"/>
      <c r="FTB746" s="187"/>
      <c r="FTC746" s="187"/>
      <c r="FTD746" s="187"/>
      <c r="FTE746" s="187"/>
      <c r="FTF746" s="187"/>
      <c r="FTG746" s="187"/>
      <c r="FTH746" s="187"/>
      <c r="FTI746" s="187"/>
      <c r="FTJ746" s="187"/>
      <c r="FTK746" s="187"/>
      <c r="FTL746" s="187"/>
      <c r="FTM746" s="187"/>
      <c r="FTN746" s="187"/>
      <c r="FTO746" s="187"/>
      <c r="FTP746" s="187"/>
      <c r="FTQ746" s="187"/>
      <c r="FTR746" s="187"/>
      <c r="FTS746" s="187"/>
      <c r="FTT746" s="187"/>
      <c r="FTU746" s="187"/>
      <c r="FTV746" s="187"/>
      <c r="FTW746" s="187"/>
      <c r="FTX746" s="187"/>
      <c r="FTY746" s="187"/>
      <c r="FTZ746" s="187"/>
      <c r="FUA746" s="187"/>
      <c r="FUB746" s="187"/>
      <c r="FUC746" s="187"/>
      <c r="FUD746" s="187"/>
      <c r="FUE746" s="187"/>
      <c r="FUF746" s="187"/>
      <c r="FUG746" s="187"/>
      <c r="FUH746" s="187"/>
      <c r="FUI746" s="187"/>
      <c r="FUJ746" s="187"/>
      <c r="FUK746" s="187"/>
      <c r="FUL746" s="187"/>
      <c r="FUM746" s="187"/>
      <c r="FUN746" s="187"/>
      <c r="FUO746" s="187"/>
      <c r="FUP746" s="187"/>
      <c r="FUQ746" s="187"/>
      <c r="FUR746" s="187"/>
      <c r="FUS746" s="187"/>
      <c r="FUT746" s="187"/>
      <c r="FUU746" s="187"/>
      <c r="FUV746" s="187"/>
      <c r="FUW746" s="187"/>
      <c r="FUX746" s="187"/>
      <c r="FUY746" s="187"/>
      <c r="FUZ746" s="187"/>
      <c r="FVA746" s="187"/>
      <c r="FVB746" s="187"/>
      <c r="FVC746" s="187"/>
      <c r="FVD746" s="187"/>
      <c r="FVE746" s="187"/>
      <c r="FVF746" s="187"/>
      <c r="FVG746" s="187"/>
      <c r="FVH746" s="187"/>
      <c r="FVI746" s="187"/>
      <c r="FVJ746" s="187"/>
      <c r="FVK746" s="187"/>
      <c r="FVL746" s="187"/>
      <c r="FVM746" s="187"/>
      <c r="FVN746" s="187"/>
      <c r="FVO746" s="187"/>
      <c r="FVP746" s="187"/>
      <c r="FVQ746" s="187"/>
      <c r="FVR746" s="187"/>
      <c r="FVS746" s="187"/>
      <c r="FVT746" s="187"/>
      <c r="FVU746" s="187"/>
      <c r="FVV746" s="187"/>
      <c r="FVW746" s="187"/>
      <c r="FVX746" s="187"/>
      <c r="FVY746" s="187"/>
      <c r="FVZ746" s="187"/>
      <c r="FWA746" s="187"/>
      <c r="FWB746" s="187"/>
      <c r="FWC746" s="187"/>
      <c r="FWD746" s="187"/>
      <c r="FWE746" s="187"/>
      <c r="FWF746" s="187"/>
      <c r="FWG746" s="187"/>
      <c r="FWH746" s="187"/>
      <c r="FWI746" s="187"/>
      <c r="FWJ746" s="187"/>
      <c r="FWK746" s="187"/>
      <c r="FWL746" s="187"/>
      <c r="FWM746" s="187"/>
      <c r="FWN746" s="187"/>
      <c r="FWO746" s="187"/>
      <c r="FWP746" s="187"/>
      <c r="FWQ746" s="187"/>
      <c r="FWR746" s="187"/>
      <c r="FWS746" s="187"/>
      <c r="FWT746" s="187"/>
      <c r="FWU746" s="187"/>
      <c r="FWV746" s="187"/>
      <c r="FWW746" s="187"/>
      <c r="FWX746" s="187"/>
      <c r="FWY746" s="187"/>
      <c r="FWZ746" s="187"/>
      <c r="FXA746" s="187"/>
      <c r="FXB746" s="187"/>
      <c r="FXC746" s="187"/>
      <c r="FXD746" s="187"/>
      <c r="FXE746" s="187"/>
      <c r="FXF746" s="187"/>
      <c r="FXG746" s="187"/>
      <c r="FXH746" s="187"/>
      <c r="FXI746" s="187"/>
      <c r="FXJ746" s="187"/>
      <c r="FXK746" s="187"/>
      <c r="FXL746" s="187"/>
      <c r="FXM746" s="187"/>
      <c r="FXN746" s="187"/>
      <c r="FXO746" s="187"/>
      <c r="FXP746" s="187"/>
      <c r="FXQ746" s="187"/>
      <c r="FXR746" s="187"/>
      <c r="FXS746" s="187"/>
      <c r="FXT746" s="187"/>
      <c r="FXU746" s="187"/>
      <c r="FXV746" s="187"/>
      <c r="FXW746" s="187"/>
      <c r="FXX746" s="187"/>
      <c r="FXY746" s="187"/>
      <c r="FXZ746" s="187"/>
      <c r="FYA746" s="187"/>
      <c r="FYB746" s="187"/>
      <c r="FYC746" s="187"/>
      <c r="FYD746" s="187"/>
      <c r="FYE746" s="187"/>
      <c r="FYF746" s="187"/>
      <c r="FYG746" s="187"/>
      <c r="FYH746" s="187"/>
      <c r="FYI746" s="187"/>
      <c r="FYJ746" s="187"/>
      <c r="FYK746" s="187"/>
      <c r="FYL746" s="187"/>
      <c r="FYM746" s="187"/>
      <c r="FYN746" s="187"/>
      <c r="FYO746" s="187"/>
      <c r="FYP746" s="187"/>
      <c r="FYQ746" s="187"/>
      <c r="FYR746" s="187"/>
      <c r="FYS746" s="187"/>
      <c r="FYT746" s="187"/>
      <c r="FYU746" s="187"/>
      <c r="FYV746" s="187"/>
      <c r="FYW746" s="187"/>
      <c r="FYX746" s="187"/>
      <c r="FYY746" s="187"/>
      <c r="FYZ746" s="187"/>
      <c r="FZA746" s="187"/>
      <c r="FZB746" s="187"/>
      <c r="FZC746" s="187"/>
      <c r="FZD746" s="187"/>
      <c r="FZE746" s="187"/>
      <c r="FZF746" s="187"/>
      <c r="FZG746" s="187"/>
      <c r="FZH746" s="187"/>
      <c r="FZI746" s="187"/>
      <c r="FZJ746" s="187"/>
      <c r="FZK746" s="187"/>
      <c r="FZL746" s="187"/>
      <c r="FZM746" s="187"/>
      <c r="FZN746" s="187"/>
      <c r="FZO746" s="187"/>
      <c r="FZP746" s="187"/>
      <c r="FZQ746" s="187"/>
      <c r="FZR746" s="187"/>
      <c r="FZS746" s="187"/>
      <c r="FZT746" s="187"/>
      <c r="FZU746" s="187"/>
      <c r="FZV746" s="187"/>
      <c r="FZW746" s="187"/>
      <c r="FZX746" s="187"/>
      <c r="FZY746" s="187"/>
      <c r="FZZ746" s="187"/>
      <c r="GAA746" s="187"/>
      <c r="GAB746" s="187"/>
      <c r="GAC746" s="187"/>
      <c r="GAD746" s="187"/>
      <c r="GAE746" s="187"/>
      <c r="GAF746" s="187"/>
      <c r="GAG746" s="187"/>
      <c r="GAH746" s="187"/>
      <c r="GAI746" s="187"/>
      <c r="GAJ746" s="187"/>
      <c r="GAK746" s="187"/>
      <c r="GAL746" s="187"/>
      <c r="GAM746" s="187"/>
      <c r="GAN746" s="187"/>
      <c r="GAO746" s="187"/>
      <c r="GAP746" s="187"/>
      <c r="GAQ746" s="187"/>
      <c r="GAR746" s="187"/>
      <c r="GAS746" s="187"/>
      <c r="GAT746" s="187"/>
      <c r="GAU746" s="187"/>
      <c r="GAV746" s="187"/>
      <c r="GAW746" s="187"/>
      <c r="GAX746" s="187"/>
      <c r="GAY746" s="187"/>
      <c r="GAZ746" s="187"/>
      <c r="GBA746" s="187"/>
      <c r="GBB746" s="187"/>
      <c r="GBC746" s="187"/>
      <c r="GBD746" s="187"/>
      <c r="GBE746" s="187"/>
      <c r="GBF746" s="187"/>
      <c r="GBG746" s="187"/>
      <c r="GBH746" s="187"/>
      <c r="GBI746" s="187"/>
      <c r="GBJ746" s="187"/>
      <c r="GBK746" s="187"/>
      <c r="GBL746" s="187"/>
      <c r="GBM746" s="187"/>
      <c r="GBN746" s="187"/>
      <c r="GBO746" s="187"/>
      <c r="GBP746" s="187"/>
      <c r="GBQ746" s="187"/>
      <c r="GBR746" s="187"/>
      <c r="GBS746" s="187"/>
      <c r="GBT746" s="187"/>
      <c r="GBU746" s="187"/>
      <c r="GBV746" s="187"/>
      <c r="GBW746" s="187"/>
      <c r="GBX746" s="187"/>
      <c r="GBY746" s="187"/>
      <c r="GBZ746" s="187"/>
      <c r="GCA746" s="187"/>
      <c r="GCB746" s="187"/>
      <c r="GCC746" s="187"/>
      <c r="GCD746" s="187"/>
      <c r="GCE746" s="187"/>
      <c r="GCF746" s="187"/>
      <c r="GCG746" s="187"/>
      <c r="GCH746" s="187"/>
      <c r="GCI746" s="187"/>
      <c r="GCJ746" s="187"/>
      <c r="GCK746" s="187"/>
      <c r="GCL746" s="187"/>
      <c r="GCM746" s="187"/>
      <c r="GCN746" s="187"/>
      <c r="GCO746" s="187"/>
      <c r="GCP746" s="187"/>
      <c r="GCQ746" s="187"/>
      <c r="GCR746" s="187"/>
      <c r="GCS746" s="187"/>
      <c r="GCT746" s="187"/>
      <c r="GCU746" s="187"/>
      <c r="GCV746" s="187"/>
      <c r="GCW746" s="187"/>
      <c r="GCX746" s="187"/>
      <c r="GCY746" s="187"/>
      <c r="GCZ746" s="187"/>
      <c r="GDA746" s="187"/>
      <c r="GDB746" s="187"/>
      <c r="GDC746" s="187"/>
      <c r="GDD746" s="187"/>
      <c r="GDE746" s="187"/>
      <c r="GDF746" s="187"/>
      <c r="GDG746" s="187"/>
      <c r="GDH746" s="187"/>
      <c r="GDI746" s="187"/>
      <c r="GDJ746" s="187"/>
      <c r="GDK746" s="187"/>
      <c r="GDL746" s="187"/>
      <c r="GDM746" s="187"/>
      <c r="GDN746" s="187"/>
      <c r="GDO746" s="187"/>
      <c r="GDP746" s="187"/>
      <c r="GDQ746" s="187"/>
      <c r="GDR746" s="187"/>
      <c r="GDS746" s="187"/>
      <c r="GDT746" s="187"/>
      <c r="GDU746" s="187"/>
      <c r="GDV746" s="187"/>
      <c r="GDW746" s="187"/>
      <c r="GDX746" s="187"/>
      <c r="GDY746" s="187"/>
      <c r="GDZ746" s="187"/>
      <c r="GEA746" s="187"/>
      <c r="GEB746" s="187"/>
      <c r="GEC746" s="187"/>
      <c r="GED746" s="187"/>
      <c r="GEE746" s="187"/>
      <c r="GEF746" s="187"/>
      <c r="GEG746" s="187"/>
      <c r="GEH746" s="187"/>
      <c r="GEI746" s="187"/>
      <c r="GEJ746" s="187"/>
      <c r="GEK746" s="187"/>
      <c r="GEL746" s="187"/>
      <c r="GEM746" s="187"/>
      <c r="GEN746" s="187"/>
      <c r="GEO746" s="187"/>
      <c r="GEP746" s="187"/>
      <c r="GEQ746" s="187"/>
      <c r="GER746" s="187"/>
      <c r="GES746" s="187"/>
      <c r="GET746" s="187"/>
      <c r="GEU746" s="187"/>
      <c r="GEV746" s="187"/>
      <c r="GEW746" s="187"/>
      <c r="GEX746" s="187"/>
      <c r="GEY746" s="187"/>
      <c r="GEZ746" s="187"/>
      <c r="GFA746" s="187"/>
      <c r="GFB746" s="187"/>
      <c r="GFC746" s="187"/>
      <c r="GFD746" s="187"/>
      <c r="GFE746" s="187"/>
      <c r="GFF746" s="187"/>
      <c r="GFG746" s="187"/>
      <c r="GFH746" s="187"/>
      <c r="GFI746" s="187"/>
      <c r="GFJ746" s="187"/>
      <c r="GFK746" s="187"/>
      <c r="GFL746" s="187"/>
      <c r="GFM746" s="187"/>
      <c r="GFN746" s="187"/>
      <c r="GFO746" s="187"/>
      <c r="GFP746" s="187"/>
      <c r="GFQ746" s="187"/>
      <c r="GFR746" s="187"/>
      <c r="GFS746" s="187"/>
      <c r="GFT746" s="187"/>
      <c r="GFU746" s="187"/>
      <c r="GFV746" s="187"/>
      <c r="GFW746" s="187"/>
      <c r="GFX746" s="187"/>
      <c r="GFY746" s="187"/>
      <c r="GFZ746" s="187"/>
      <c r="GGA746" s="187"/>
      <c r="GGB746" s="187"/>
      <c r="GGC746" s="187"/>
      <c r="GGD746" s="187"/>
      <c r="GGE746" s="187"/>
      <c r="GGF746" s="187"/>
      <c r="GGG746" s="187"/>
      <c r="GGH746" s="187"/>
      <c r="GGI746" s="187"/>
      <c r="GGJ746" s="187"/>
      <c r="GGK746" s="187"/>
      <c r="GGL746" s="187"/>
      <c r="GGM746" s="187"/>
      <c r="GGN746" s="187"/>
      <c r="GGO746" s="187"/>
      <c r="GGP746" s="187"/>
      <c r="GGQ746" s="187"/>
      <c r="GGR746" s="187"/>
      <c r="GGS746" s="187"/>
      <c r="GGT746" s="187"/>
      <c r="GGU746" s="187"/>
      <c r="GGV746" s="187"/>
      <c r="GGW746" s="187"/>
      <c r="GGX746" s="187"/>
      <c r="GGY746" s="187"/>
      <c r="GGZ746" s="187"/>
      <c r="GHA746" s="187"/>
      <c r="GHB746" s="187"/>
      <c r="GHC746" s="187"/>
      <c r="GHD746" s="187"/>
      <c r="GHE746" s="187"/>
      <c r="GHF746" s="187"/>
      <c r="GHG746" s="187"/>
      <c r="GHH746" s="187"/>
      <c r="GHI746" s="187"/>
      <c r="GHJ746" s="187"/>
      <c r="GHK746" s="187"/>
      <c r="GHL746" s="187"/>
      <c r="GHM746" s="187"/>
      <c r="GHN746" s="187"/>
      <c r="GHO746" s="187"/>
      <c r="GHP746" s="187"/>
      <c r="GHQ746" s="187"/>
      <c r="GHR746" s="187"/>
      <c r="GHS746" s="187"/>
      <c r="GHT746" s="187"/>
      <c r="GHU746" s="187"/>
      <c r="GHV746" s="187"/>
      <c r="GHW746" s="187"/>
      <c r="GHX746" s="187"/>
      <c r="GHY746" s="187"/>
      <c r="GHZ746" s="187"/>
      <c r="GIA746" s="187"/>
      <c r="GIB746" s="187"/>
      <c r="GIC746" s="187"/>
      <c r="GID746" s="187"/>
      <c r="GIE746" s="187"/>
      <c r="GIF746" s="187"/>
      <c r="GIG746" s="187"/>
      <c r="GIH746" s="187"/>
      <c r="GII746" s="187"/>
      <c r="GIJ746" s="187"/>
      <c r="GIK746" s="187"/>
      <c r="GIL746" s="187"/>
      <c r="GIM746" s="187"/>
      <c r="GIN746" s="187"/>
      <c r="GIO746" s="187"/>
      <c r="GIP746" s="187"/>
      <c r="GIQ746" s="187"/>
      <c r="GIR746" s="187"/>
      <c r="GIS746" s="187"/>
      <c r="GIT746" s="187"/>
      <c r="GIU746" s="187"/>
      <c r="GIV746" s="187"/>
      <c r="GIW746" s="187"/>
      <c r="GIX746" s="187"/>
      <c r="GIY746" s="187"/>
      <c r="GIZ746" s="187"/>
      <c r="GJA746" s="187"/>
      <c r="GJB746" s="187"/>
      <c r="GJC746" s="187"/>
      <c r="GJD746" s="187"/>
      <c r="GJE746" s="187"/>
      <c r="GJF746" s="187"/>
      <c r="GJG746" s="187"/>
      <c r="GJH746" s="187"/>
      <c r="GJI746" s="187"/>
      <c r="GJJ746" s="187"/>
      <c r="GJK746" s="187"/>
      <c r="GJL746" s="187"/>
      <c r="GJM746" s="187"/>
      <c r="GJN746" s="187"/>
      <c r="GJO746" s="187"/>
      <c r="GJP746" s="187"/>
      <c r="GJQ746" s="187"/>
      <c r="GJR746" s="187"/>
      <c r="GJS746" s="187"/>
      <c r="GJT746" s="187"/>
      <c r="GJU746" s="187"/>
      <c r="GJV746" s="187"/>
      <c r="GJW746" s="187"/>
      <c r="GJX746" s="187"/>
      <c r="GJY746" s="187"/>
      <c r="GJZ746" s="187"/>
      <c r="GKA746" s="187"/>
      <c r="GKB746" s="187"/>
      <c r="GKC746" s="187"/>
      <c r="GKD746" s="187"/>
      <c r="GKE746" s="187"/>
      <c r="GKF746" s="187"/>
      <c r="GKG746" s="187"/>
      <c r="GKH746" s="187"/>
      <c r="GKI746" s="187"/>
      <c r="GKJ746" s="187"/>
      <c r="GKK746" s="187"/>
      <c r="GKL746" s="187"/>
      <c r="GKM746" s="187"/>
      <c r="GKN746" s="187"/>
      <c r="GKO746" s="187"/>
      <c r="GKP746" s="187"/>
      <c r="GKQ746" s="187"/>
      <c r="GKR746" s="187"/>
      <c r="GKS746" s="187"/>
      <c r="GKT746" s="187"/>
      <c r="GKU746" s="187"/>
      <c r="GKV746" s="187"/>
      <c r="GKW746" s="187"/>
      <c r="GKX746" s="187"/>
      <c r="GKY746" s="187"/>
      <c r="GKZ746" s="187"/>
      <c r="GLA746" s="187"/>
      <c r="GLB746" s="187"/>
      <c r="GLC746" s="187"/>
      <c r="GLD746" s="187"/>
      <c r="GLE746" s="187"/>
      <c r="GLF746" s="187"/>
      <c r="GLG746" s="187"/>
      <c r="GLH746" s="187"/>
      <c r="GLI746" s="187"/>
      <c r="GLJ746" s="187"/>
      <c r="GLK746" s="187"/>
      <c r="GLL746" s="187"/>
      <c r="GLM746" s="187"/>
      <c r="GLN746" s="187"/>
      <c r="GLO746" s="187"/>
      <c r="GLP746" s="187"/>
      <c r="GLQ746" s="187"/>
      <c r="GLR746" s="187"/>
      <c r="GLS746" s="187"/>
      <c r="GLT746" s="187"/>
      <c r="GLU746" s="187"/>
      <c r="GLV746" s="187"/>
      <c r="GLW746" s="187"/>
      <c r="GLX746" s="187"/>
      <c r="GLY746" s="187"/>
      <c r="GLZ746" s="187"/>
      <c r="GMA746" s="187"/>
      <c r="GMB746" s="187"/>
      <c r="GMC746" s="187"/>
      <c r="GMD746" s="187"/>
      <c r="GME746" s="187"/>
      <c r="GMF746" s="187"/>
      <c r="GMG746" s="187"/>
      <c r="GMH746" s="187"/>
      <c r="GMI746" s="187"/>
      <c r="GMJ746" s="187"/>
      <c r="GMK746" s="187"/>
      <c r="GML746" s="187"/>
      <c r="GMM746" s="187"/>
      <c r="GMN746" s="187"/>
      <c r="GMO746" s="187"/>
      <c r="GMP746" s="187"/>
      <c r="GMQ746" s="187"/>
      <c r="GMR746" s="187"/>
      <c r="GMS746" s="187"/>
      <c r="GMT746" s="187"/>
      <c r="GMU746" s="187"/>
      <c r="GMV746" s="187"/>
      <c r="GMW746" s="187"/>
      <c r="GMX746" s="187"/>
      <c r="GMY746" s="187"/>
      <c r="GMZ746" s="187"/>
      <c r="GNA746" s="187"/>
      <c r="GNB746" s="187"/>
      <c r="GNC746" s="187"/>
      <c r="GND746" s="187"/>
      <c r="GNE746" s="187"/>
      <c r="GNF746" s="187"/>
      <c r="GNG746" s="187"/>
      <c r="GNH746" s="187"/>
      <c r="GNI746" s="187"/>
      <c r="GNJ746" s="187"/>
      <c r="GNK746" s="187"/>
      <c r="GNL746" s="187"/>
      <c r="GNM746" s="187"/>
      <c r="GNN746" s="187"/>
      <c r="GNO746" s="187"/>
      <c r="GNP746" s="187"/>
      <c r="GNQ746" s="187"/>
      <c r="GNR746" s="187"/>
      <c r="GNS746" s="187"/>
      <c r="GNT746" s="187"/>
      <c r="GNU746" s="187"/>
      <c r="GNV746" s="187"/>
      <c r="GNW746" s="187"/>
      <c r="GNX746" s="187"/>
      <c r="GNY746" s="187"/>
      <c r="GNZ746" s="187"/>
      <c r="GOA746" s="187"/>
      <c r="GOB746" s="187"/>
      <c r="GOC746" s="187"/>
      <c r="GOD746" s="187"/>
      <c r="GOE746" s="187"/>
      <c r="GOF746" s="187"/>
      <c r="GOG746" s="187"/>
      <c r="GOH746" s="187"/>
      <c r="GOI746" s="187"/>
      <c r="GOJ746" s="187"/>
      <c r="GOK746" s="187"/>
      <c r="GOL746" s="187"/>
      <c r="GOM746" s="187"/>
      <c r="GON746" s="187"/>
      <c r="GOO746" s="187"/>
      <c r="GOP746" s="187"/>
      <c r="GOQ746" s="187"/>
      <c r="GOR746" s="187"/>
      <c r="GOS746" s="187"/>
      <c r="GOT746" s="187"/>
      <c r="GOU746" s="187"/>
      <c r="GOV746" s="187"/>
      <c r="GOW746" s="187"/>
      <c r="GOX746" s="187"/>
      <c r="GOY746" s="187"/>
      <c r="GOZ746" s="187"/>
      <c r="GPA746" s="187"/>
      <c r="GPB746" s="187"/>
      <c r="GPC746" s="187"/>
      <c r="GPD746" s="187"/>
      <c r="GPE746" s="187"/>
      <c r="GPF746" s="187"/>
      <c r="GPG746" s="187"/>
      <c r="GPH746" s="187"/>
      <c r="GPI746" s="187"/>
      <c r="GPJ746" s="187"/>
      <c r="GPK746" s="187"/>
      <c r="GPL746" s="187"/>
      <c r="GPM746" s="187"/>
      <c r="GPN746" s="187"/>
      <c r="GPO746" s="187"/>
      <c r="GPP746" s="187"/>
      <c r="GPQ746" s="187"/>
      <c r="GPR746" s="187"/>
      <c r="GPS746" s="187"/>
      <c r="GPT746" s="187"/>
      <c r="GPU746" s="187"/>
      <c r="GPV746" s="187"/>
      <c r="GPW746" s="187"/>
      <c r="GPX746" s="187"/>
      <c r="GPY746" s="187"/>
      <c r="GPZ746" s="187"/>
      <c r="GQA746" s="187"/>
      <c r="GQB746" s="187"/>
      <c r="GQC746" s="187"/>
      <c r="GQD746" s="187"/>
      <c r="GQE746" s="187"/>
      <c r="GQF746" s="187"/>
      <c r="GQG746" s="187"/>
      <c r="GQH746" s="187"/>
      <c r="GQI746" s="187"/>
      <c r="GQJ746" s="187"/>
      <c r="GQK746" s="187"/>
      <c r="GQL746" s="187"/>
      <c r="GQM746" s="187"/>
      <c r="GQN746" s="187"/>
      <c r="GQO746" s="187"/>
      <c r="GQP746" s="187"/>
      <c r="GQQ746" s="187"/>
      <c r="GQR746" s="187"/>
      <c r="GQS746" s="187"/>
      <c r="GQT746" s="187"/>
      <c r="GQU746" s="187"/>
      <c r="GQV746" s="187"/>
      <c r="GQW746" s="187"/>
      <c r="GQX746" s="187"/>
      <c r="GQY746" s="187"/>
      <c r="GQZ746" s="187"/>
      <c r="GRA746" s="187"/>
      <c r="GRB746" s="187"/>
      <c r="GRC746" s="187"/>
      <c r="GRD746" s="187"/>
      <c r="GRE746" s="187"/>
      <c r="GRF746" s="187"/>
      <c r="GRG746" s="187"/>
      <c r="GRH746" s="187"/>
      <c r="GRI746" s="187"/>
      <c r="GRJ746" s="187"/>
      <c r="GRK746" s="187"/>
      <c r="GRL746" s="187"/>
      <c r="GRM746" s="187"/>
      <c r="GRN746" s="187"/>
      <c r="GRO746" s="187"/>
      <c r="GRP746" s="187"/>
      <c r="GRQ746" s="187"/>
      <c r="GRR746" s="187"/>
      <c r="GRS746" s="187"/>
      <c r="GRT746" s="187"/>
      <c r="GRU746" s="187"/>
      <c r="GRV746" s="187"/>
      <c r="GRW746" s="187"/>
      <c r="GRX746" s="187"/>
      <c r="GRY746" s="187"/>
      <c r="GRZ746" s="187"/>
      <c r="GSA746" s="187"/>
      <c r="GSB746" s="187"/>
      <c r="GSC746" s="187"/>
      <c r="GSD746" s="187"/>
      <c r="GSE746" s="187"/>
      <c r="GSF746" s="187"/>
      <c r="GSG746" s="187"/>
      <c r="GSH746" s="187"/>
      <c r="GSI746" s="187"/>
      <c r="GSJ746" s="187"/>
      <c r="GSK746" s="187"/>
      <c r="GSL746" s="187"/>
      <c r="GSM746" s="187"/>
      <c r="GSN746" s="187"/>
      <c r="GSO746" s="187"/>
      <c r="GSP746" s="187"/>
      <c r="GSQ746" s="187"/>
      <c r="GSR746" s="187"/>
      <c r="GSS746" s="187"/>
      <c r="GST746" s="187"/>
      <c r="GSU746" s="187"/>
      <c r="GSV746" s="187"/>
      <c r="GSW746" s="187"/>
      <c r="GSX746" s="187"/>
      <c r="GSY746" s="187"/>
      <c r="GSZ746" s="187"/>
      <c r="GTA746" s="187"/>
      <c r="GTB746" s="187"/>
      <c r="GTC746" s="187"/>
      <c r="GTD746" s="187"/>
      <c r="GTE746" s="187"/>
      <c r="GTF746" s="187"/>
      <c r="GTG746" s="187"/>
      <c r="GTH746" s="187"/>
      <c r="GTI746" s="187"/>
      <c r="GTJ746" s="187"/>
      <c r="GTK746" s="187"/>
      <c r="GTL746" s="187"/>
      <c r="GTM746" s="187"/>
      <c r="GTN746" s="187"/>
      <c r="GTO746" s="187"/>
      <c r="GTP746" s="187"/>
      <c r="GTQ746" s="187"/>
      <c r="GTR746" s="187"/>
      <c r="GTS746" s="187"/>
      <c r="GTT746" s="187"/>
      <c r="GTU746" s="187"/>
      <c r="GTV746" s="187"/>
      <c r="GTW746" s="187"/>
      <c r="GTX746" s="187"/>
      <c r="GTY746" s="187"/>
      <c r="GTZ746" s="187"/>
      <c r="GUA746" s="187"/>
      <c r="GUB746" s="187"/>
      <c r="GUC746" s="187"/>
      <c r="GUD746" s="187"/>
      <c r="GUE746" s="187"/>
      <c r="GUF746" s="187"/>
      <c r="GUG746" s="187"/>
      <c r="GUH746" s="187"/>
      <c r="GUI746" s="187"/>
      <c r="GUJ746" s="187"/>
      <c r="GUK746" s="187"/>
      <c r="GUL746" s="187"/>
      <c r="GUM746" s="187"/>
      <c r="GUN746" s="187"/>
      <c r="GUO746" s="187"/>
      <c r="GUP746" s="187"/>
      <c r="GUQ746" s="187"/>
      <c r="GUR746" s="187"/>
      <c r="GUS746" s="187"/>
      <c r="GUT746" s="187"/>
      <c r="GUU746" s="187"/>
      <c r="GUV746" s="187"/>
      <c r="GUW746" s="187"/>
      <c r="GUX746" s="187"/>
      <c r="GUY746" s="187"/>
      <c r="GUZ746" s="187"/>
      <c r="GVA746" s="187"/>
      <c r="GVB746" s="187"/>
      <c r="GVC746" s="187"/>
      <c r="GVD746" s="187"/>
      <c r="GVE746" s="187"/>
      <c r="GVF746" s="187"/>
      <c r="GVG746" s="187"/>
      <c r="GVH746" s="187"/>
      <c r="GVI746" s="187"/>
      <c r="GVJ746" s="187"/>
      <c r="GVK746" s="187"/>
      <c r="GVL746" s="187"/>
      <c r="GVM746" s="187"/>
      <c r="GVN746" s="187"/>
      <c r="GVO746" s="187"/>
      <c r="GVP746" s="187"/>
      <c r="GVQ746" s="187"/>
      <c r="GVR746" s="187"/>
      <c r="GVS746" s="187"/>
      <c r="GVT746" s="187"/>
      <c r="GVU746" s="187"/>
      <c r="GVV746" s="187"/>
      <c r="GVW746" s="187"/>
      <c r="GVX746" s="187"/>
      <c r="GVY746" s="187"/>
      <c r="GVZ746" s="187"/>
      <c r="GWA746" s="187"/>
      <c r="GWB746" s="187"/>
      <c r="GWC746" s="187"/>
      <c r="GWD746" s="187"/>
      <c r="GWE746" s="187"/>
      <c r="GWF746" s="187"/>
      <c r="GWG746" s="187"/>
      <c r="GWH746" s="187"/>
      <c r="GWI746" s="187"/>
      <c r="GWJ746" s="187"/>
      <c r="GWK746" s="187"/>
      <c r="GWL746" s="187"/>
      <c r="GWM746" s="187"/>
      <c r="GWN746" s="187"/>
      <c r="GWO746" s="187"/>
      <c r="GWP746" s="187"/>
      <c r="GWQ746" s="187"/>
      <c r="GWR746" s="187"/>
      <c r="GWS746" s="187"/>
      <c r="GWT746" s="187"/>
      <c r="GWU746" s="187"/>
      <c r="GWV746" s="187"/>
      <c r="GWW746" s="187"/>
      <c r="GWX746" s="187"/>
      <c r="GWY746" s="187"/>
      <c r="GWZ746" s="187"/>
      <c r="GXA746" s="187"/>
      <c r="GXB746" s="187"/>
      <c r="GXC746" s="187"/>
      <c r="GXD746" s="187"/>
      <c r="GXE746" s="187"/>
      <c r="GXF746" s="187"/>
      <c r="GXG746" s="187"/>
      <c r="GXH746" s="187"/>
      <c r="GXI746" s="187"/>
      <c r="GXJ746" s="187"/>
      <c r="GXK746" s="187"/>
      <c r="GXL746" s="187"/>
      <c r="GXM746" s="187"/>
      <c r="GXN746" s="187"/>
      <c r="GXO746" s="187"/>
      <c r="GXP746" s="187"/>
      <c r="GXQ746" s="187"/>
      <c r="GXR746" s="187"/>
      <c r="GXS746" s="187"/>
      <c r="GXT746" s="187"/>
      <c r="GXU746" s="187"/>
      <c r="GXV746" s="187"/>
      <c r="GXW746" s="187"/>
      <c r="GXX746" s="187"/>
      <c r="GXY746" s="187"/>
      <c r="GXZ746" s="187"/>
      <c r="GYA746" s="187"/>
      <c r="GYB746" s="187"/>
      <c r="GYC746" s="187"/>
      <c r="GYD746" s="187"/>
      <c r="GYE746" s="187"/>
      <c r="GYF746" s="187"/>
      <c r="GYG746" s="187"/>
      <c r="GYH746" s="187"/>
      <c r="GYI746" s="187"/>
      <c r="GYJ746" s="187"/>
      <c r="GYK746" s="187"/>
      <c r="GYL746" s="187"/>
      <c r="GYM746" s="187"/>
      <c r="GYN746" s="187"/>
      <c r="GYO746" s="187"/>
      <c r="GYP746" s="187"/>
      <c r="GYQ746" s="187"/>
      <c r="GYR746" s="187"/>
      <c r="GYS746" s="187"/>
      <c r="GYT746" s="187"/>
      <c r="GYU746" s="187"/>
      <c r="GYV746" s="187"/>
      <c r="GYW746" s="187"/>
      <c r="GYX746" s="187"/>
      <c r="GYY746" s="187"/>
      <c r="GYZ746" s="187"/>
      <c r="GZA746" s="187"/>
      <c r="GZB746" s="187"/>
      <c r="GZC746" s="187"/>
      <c r="GZD746" s="187"/>
      <c r="GZE746" s="187"/>
      <c r="GZF746" s="187"/>
      <c r="GZG746" s="187"/>
      <c r="GZH746" s="187"/>
      <c r="GZI746" s="187"/>
      <c r="GZJ746" s="187"/>
      <c r="GZK746" s="187"/>
      <c r="GZL746" s="187"/>
      <c r="GZM746" s="187"/>
      <c r="GZN746" s="187"/>
      <c r="GZO746" s="187"/>
      <c r="GZP746" s="187"/>
      <c r="GZQ746" s="187"/>
      <c r="GZR746" s="187"/>
      <c r="GZS746" s="187"/>
      <c r="GZT746" s="187"/>
      <c r="GZU746" s="187"/>
      <c r="GZV746" s="187"/>
      <c r="GZW746" s="187"/>
      <c r="GZX746" s="187"/>
      <c r="GZY746" s="187"/>
      <c r="GZZ746" s="187"/>
      <c r="HAA746" s="187"/>
      <c r="HAB746" s="187"/>
      <c r="HAC746" s="187"/>
      <c r="HAD746" s="187"/>
      <c r="HAE746" s="187"/>
      <c r="HAF746" s="187"/>
      <c r="HAG746" s="187"/>
      <c r="HAH746" s="187"/>
      <c r="HAI746" s="187"/>
      <c r="HAJ746" s="187"/>
      <c r="HAK746" s="187"/>
      <c r="HAL746" s="187"/>
      <c r="HAM746" s="187"/>
      <c r="HAN746" s="187"/>
      <c r="HAO746" s="187"/>
      <c r="HAP746" s="187"/>
      <c r="HAQ746" s="187"/>
      <c r="HAR746" s="187"/>
      <c r="HAS746" s="187"/>
      <c r="HAT746" s="187"/>
      <c r="HAU746" s="187"/>
      <c r="HAV746" s="187"/>
      <c r="HAW746" s="187"/>
      <c r="HAX746" s="187"/>
      <c r="HAY746" s="187"/>
      <c r="HAZ746" s="187"/>
      <c r="HBA746" s="187"/>
      <c r="HBB746" s="187"/>
      <c r="HBC746" s="187"/>
      <c r="HBD746" s="187"/>
      <c r="HBE746" s="187"/>
      <c r="HBF746" s="187"/>
      <c r="HBG746" s="187"/>
      <c r="HBH746" s="187"/>
      <c r="HBI746" s="187"/>
      <c r="HBJ746" s="187"/>
      <c r="HBK746" s="187"/>
      <c r="HBL746" s="187"/>
      <c r="HBM746" s="187"/>
      <c r="HBN746" s="187"/>
      <c r="HBO746" s="187"/>
      <c r="HBP746" s="187"/>
      <c r="HBQ746" s="187"/>
      <c r="HBR746" s="187"/>
      <c r="HBS746" s="187"/>
      <c r="HBT746" s="187"/>
      <c r="HBU746" s="187"/>
      <c r="HBV746" s="187"/>
      <c r="HBW746" s="187"/>
      <c r="HBX746" s="187"/>
      <c r="HBY746" s="187"/>
      <c r="HBZ746" s="187"/>
      <c r="HCA746" s="187"/>
      <c r="HCB746" s="187"/>
      <c r="HCC746" s="187"/>
      <c r="HCD746" s="187"/>
      <c r="HCE746" s="187"/>
      <c r="HCF746" s="187"/>
      <c r="HCG746" s="187"/>
      <c r="HCH746" s="187"/>
      <c r="HCI746" s="187"/>
      <c r="HCJ746" s="187"/>
      <c r="HCK746" s="187"/>
      <c r="HCL746" s="187"/>
      <c r="HCM746" s="187"/>
      <c r="HCN746" s="187"/>
      <c r="HCO746" s="187"/>
      <c r="HCP746" s="187"/>
      <c r="HCQ746" s="187"/>
      <c r="HCR746" s="187"/>
      <c r="HCS746" s="187"/>
      <c r="HCT746" s="187"/>
      <c r="HCU746" s="187"/>
      <c r="HCV746" s="187"/>
      <c r="HCW746" s="187"/>
      <c r="HCX746" s="187"/>
      <c r="HCY746" s="187"/>
      <c r="HCZ746" s="187"/>
      <c r="HDA746" s="187"/>
      <c r="HDB746" s="187"/>
      <c r="HDC746" s="187"/>
      <c r="HDD746" s="187"/>
      <c r="HDE746" s="187"/>
      <c r="HDF746" s="187"/>
      <c r="HDG746" s="187"/>
      <c r="HDH746" s="187"/>
      <c r="HDI746" s="187"/>
      <c r="HDJ746" s="187"/>
      <c r="HDK746" s="187"/>
      <c r="HDL746" s="187"/>
      <c r="HDM746" s="187"/>
      <c r="HDN746" s="187"/>
      <c r="HDO746" s="187"/>
      <c r="HDP746" s="187"/>
      <c r="HDQ746" s="187"/>
      <c r="HDR746" s="187"/>
      <c r="HDS746" s="187"/>
      <c r="HDT746" s="187"/>
      <c r="HDU746" s="187"/>
      <c r="HDV746" s="187"/>
      <c r="HDW746" s="187"/>
      <c r="HDX746" s="187"/>
      <c r="HDY746" s="187"/>
      <c r="HDZ746" s="187"/>
      <c r="HEA746" s="187"/>
      <c r="HEB746" s="187"/>
      <c r="HEC746" s="187"/>
      <c r="HED746" s="187"/>
      <c r="HEE746" s="187"/>
      <c r="HEF746" s="187"/>
      <c r="HEG746" s="187"/>
      <c r="HEH746" s="187"/>
      <c r="HEI746" s="187"/>
      <c r="HEJ746" s="187"/>
      <c r="HEK746" s="187"/>
      <c r="HEL746" s="187"/>
      <c r="HEM746" s="187"/>
      <c r="HEN746" s="187"/>
      <c r="HEO746" s="187"/>
      <c r="HEP746" s="187"/>
      <c r="HEQ746" s="187"/>
      <c r="HER746" s="187"/>
      <c r="HES746" s="187"/>
      <c r="HET746" s="187"/>
      <c r="HEU746" s="187"/>
      <c r="HEV746" s="187"/>
      <c r="HEW746" s="187"/>
      <c r="HEX746" s="187"/>
      <c r="HEY746" s="187"/>
      <c r="HEZ746" s="187"/>
      <c r="HFA746" s="187"/>
      <c r="HFB746" s="187"/>
      <c r="HFC746" s="187"/>
      <c r="HFD746" s="187"/>
      <c r="HFE746" s="187"/>
      <c r="HFF746" s="187"/>
      <c r="HFG746" s="187"/>
      <c r="HFH746" s="187"/>
      <c r="HFI746" s="187"/>
      <c r="HFJ746" s="187"/>
      <c r="HFK746" s="187"/>
      <c r="HFL746" s="187"/>
      <c r="HFM746" s="187"/>
      <c r="HFN746" s="187"/>
      <c r="HFO746" s="187"/>
      <c r="HFP746" s="187"/>
      <c r="HFQ746" s="187"/>
      <c r="HFR746" s="187"/>
      <c r="HFS746" s="187"/>
      <c r="HFT746" s="187"/>
      <c r="HFU746" s="187"/>
      <c r="HFV746" s="187"/>
      <c r="HFW746" s="187"/>
      <c r="HFX746" s="187"/>
      <c r="HFY746" s="187"/>
      <c r="HFZ746" s="187"/>
      <c r="HGA746" s="187"/>
      <c r="HGB746" s="187"/>
      <c r="HGC746" s="187"/>
      <c r="HGD746" s="187"/>
      <c r="HGE746" s="187"/>
      <c r="HGF746" s="187"/>
      <c r="HGG746" s="187"/>
      <c r="HGH746" s="187"/>
      <c r="HGI746" s="187"/>
      <c r="HGJ746" s="187"/>
      <c r="HGK746" s="187"/>
      <c r="HGL746" s="187"/>
      <c r="HGM746" s="187"/>
      <c r="HGN746" s="187"/>
      <c r="HGO746" s="187"/>
      <c r="HGP746" s="187"/>
      <c r="HGQ746" s="187"/>
      <c r="HGR746" s="187"/>
      <c r="HGS746" s="187"/>
      <c r="HGT746" s="187"/>
      <c r="HGU746" s="187"/>
      <c r="HGV746" s="187"/>
      <c r="HGW746" s="187"/>
      <c r="HGX746" s="187"/>
      <c r="HGY746" s="187"/>
      <c r="HGZ746" s="187"/>
      <c r="HHA746" s="187"/>
      <c r="HHB746" s="187"/>
      <c r="HHC746" s="187"/>
      <c r="HHD746" s="187"/>
      <c r="HHE746" s="187"/>
      <c r="HHF746" s="187"/>
      <c r="HHG746" s="187"/>
      <c r="HHH746" s="187"/>
      <c r="HHI746" s="187"/>
      <c r="HHJ746" s="187"/>
      <c r="HHK746" s="187"/>
      <c r="HHL746" s="187"/>
      <c r="HHM746" s="187"/>
      <c r="HHN746" s="187"/>
      <c r="HHO746" s="187"/>
      <c r="HHP746" s="187"/>
      <c r="HHQ746" s="187"/>
      <c r="HHR746" s="187"/>
      <c r="HHS746" s="187"/>
      <c r="HHT746" s="187"/>
      <c r="HHU746" s="187"/>
      <c r="HHV746" s="187"/>
      <c r="HHW746" s="187"/>
      <c r="HHX746" s="187"/>
      <c r="HHY746" s="187"/>
      <c r="HHZ746" s="187"/>
      <c r="HIA746" s="187"/>
      <c r="HIB746" s="187"/>
      <c r="HIC746" s="187"/>
      <c r="HID746" s="187"/>
      <c r="HIE746" s="187"/>
      <c r="HIF746" s="187"/>
      <c r="HIG746" s="187"/>
      <c r="HIH746" s="187"/>
      <c r="HII746" s="187"/>
      <c r="HIJ746" s="187"/>
      <c r="HIK746" s="187"/>
      <c r="HIL746" s="187"/>
      <c r="HIM746" s="187"/>
      <c r="HIN746" s="187"/>
      <c r="HIO746" s="187"/>
      <c r="HIP746" s="187"/>
      <c r="HIQ746" s="187"/>
      <c r="HIR746" s="187"/>
      <c r="HIS746" s="187"/>
      <c r="HIT746" s="187"/>
      <c r="HIU746" s="187"/>
      <c r="HIV746" s="187"/>
      <c r="HIW746" s="187"/>
      <c r="HIX746" s="187"/>
      <c r="HIY746" s="187"/>
      <c r="HIZ746" s="187"/>
      <c r="HJA746" s="187"/>
      <c r="HJB746" s="187"/>
      <c r="HJC746" s="187"/>
      <c r="HJD746" s="187"/>
      <c r="HJE746" s="187"/>
      <c r="HJF746" s="187"/>
      <c r="HJG746" s="187"/>
      <c r="HJH746" s="187"/>
      <c r="HJI746" s="187"/>
      <c r="HJJ746" s="187"/>
      <c r="HJK746" s="187"/>
      <c r="HJL746" s="187"/>
      <c r="HJM746" s="187"/>
      <c r="HJN746" s="187"/>
      <c r="HJO746" s="187"/>
      <c r="HJP746" s="187"/>
      <c r="HJQ746" s="187"/>
      <c r="HJR746" s="187"/>
      <c r="HJS746" s="187"/>
      <c r="HJT746" s="187"/>
      <c r="HJU746" s="187"/>
      <c r="HJV746" s="187"/>
      <c r="HJW746" s="187"/>
      <c r="HJX746" s="187"/>
      <c r="HJY746" s="187"/>
      <c r="HJZ746" s="187"/>
      <c r="HKA746" s="187"/>
      <c r="HKB746" s="187"/>
      <c r="HKC746" s="187"/>
      <c r="HKD746" s="187"/>
      <c r="HKE746" s="187"/>
      <c r="HKF746" s="187"/>
      <c r="HKG746" s="187"/>
      <c r="HKH746" s="187"/>
      <c r="HKI746" s="187"/>
      <c r="HKJ746" s="187"/>
      <c r="HKK746" s="187"/>
      <c r="HKL746" s="187"/>
      <c r="HKM746" s="187"/>
      <c r="HKN746" s="187"/>
      <c r="HKO746" s="187"/>
      <c r="HKP746" s="187"/>
      <c r="HKQ746" s="187"/>
      <c r="HKR746" s="187"/>
      <c r="HKS746" s="187"/>
      <c r="HKT746" s="187"/>
      <c r="HKU746" s="187"/>
      <c r="HKV746" s="187"/>
      <c r="HKW746" s="187"/>
      <c r="HKX746" s="187"/>
      <c r="HKY746" s="187"/>
      <c r="HKZ746" s="187"/>
      <c r="HLA746" s="187"/>
      <c r="HLB746" s="187"/>
      <c r="HLC746" s="187"/>
      <c r="HLD746" s="187"/>
      <c r="HLE746" s="187"/>
      <c r="HLF746" s="187"/>
      <c r="HLG746" s="187"/>
      <c r="HLH746" s="187"/>
      <c r="HLI746" s="187"/>
      <c r="HLJ746" s="187"/>
      <c r="HLK746" s="187"/>
      <c r="HLL746" s="187"/>
      <c r="HLM746" s="187"/>
      <c r="HLN746" s="187"/>
      <c r="HLO746" s="187"/>
      <c r="HLP746" s="187"/>
      <c r="HLQ746" s="187"/>
      <c r="HLR746" s="187"/>
      <c r="HLS746" s="187"/>
      <c r="HLT746" s="187"/>
      <c r="HLU746" s="187"/>
      <c r="HLV746" s="187"/>
      <c r="HLW746" s="187"/>
      <c r="HLX746" s="187"/>
      <c r="HLY746" s="187"/>
      <c r="HLZ746" s="187"/>
      <c r="HMA746" s="187"/>
      <c r="HMB746" s="187"/>
      <c r="HMC746" s="187"/>
      <c r="HMD746" s="187"/>
      <c r="HME746" s="187"/>
      <c r="HMF746" s="187"/>
      <c r="HMG746" s="187"/>
      <c r="HMH746" s="187"/>
      <c r="HMI746" s="187"/>
      <c r="HMJ746" s="187"/>
      <c r="HMK746" s="187"/>
      <c r="HML746" s="187"/>
      <c r="HMM746" s="187"/>
      <c r="HMN746" s="187"/>
      <c r="HMO746" s="187"/>
      <c r="HMP746" s="187"/>
      <c r="HMQ746" s="187"/>
      <c r="HMR746" s="187"/>
      <c r="HMS746" s="187"/>
      <c r="HMT746" s="187"/>
      <c r="HMU746" s="187"/>
      <c r="HMV746" s="187"/>
      <c r="HMW746" s="187"/>
      <c r="HMX746" s="187"/>
      <c r="HMY746" s="187"/>
      <c r="HMZ746" s="187"/>
      <c r="HNA746" s="187"/>
      <c r="HNB746" s="187"/>
      <c r="HNC746" s="187"/>
      <c r="HND746" s="187"/>
      <c r="HNE746" s="187"/>
      <c r="HNF746" s="187"/>
      <c r="HNG746" s="187"/>
      <c r="HNH746" s="187"/>
      <c r="HNI746" s="187"/>
      <c r="HNJ746" s="187"/>
      <c r="HNK746" s="187"/>
      <c r="HNL746" s="187"/>
      <c r="HNM746" s="187"/>
      <c r="HNN746" s="187"/>
      <c r="HNO746" s="187"/>
      <c r="HNP746" s="187"/>
      <c r="HNQ746" s="187"/>
      <c r="HNR746" s="187"/>
      <c r="HNS746" s="187"/>
      <c r="HNT746" s="187"/>
      <c r="HNU746" s="187"/>
      <c r="HNV746" s="187"/>
      <c r="HNW746" s="187"/>
      <c r="HNX746" s="187"/>
      <c r="HNY746" s="187"/>
      <c r="HNZ746" s="187"/>
      <c r="HOA746" s="187"/>
      <c r="HOB746" s="187"/>
      <c r="HOC746" s="187"/>
      <c r="HOD746" s="187"/>
      <c r="HOE746" s="187"/>
      <c r="HOF746" s="187"/>
      <c r="HOG746" s="187"/>
      <c r="HOH746" s="187"/>
      <c r="HOI746" s="187"/>
      <c r="HOJ746" s="187"/>
      <c r="HOK746" s="187"/>
      <c r="HOL746" s="187"/>
      <c r="HOM746" s="187"/>
      <c r="HON746" s="187"/>
      <c r="HOO746" s="187"/>
      <c r="HOP746" s="187"/>
      <c r="HOQ746" s="187"/>
      <c r="HOR746" s="187"/>
      <c r="HOS746" s="187"/>
      <c r="HOT746" s="187"/>
      <c r="HOU746" s="187"/>
      <c r="HOV746" s="187"/>
      <c r="HOW746" s="187"/>
      <c r="HOX746" s="187"/>
      <c r="HOY746" s="187"/>
      <c r="HOZ746" s="187"/>
      <c r="HPA746" s="187"/>
      <c r="HPB746" s="187"/>
      <c r="HPC746" s="187"/>
      <c r="HPD746" s="187"/>
      <c r="HPE746" s="187"/>
      <c r="HPF746" s="187"/>
      <c r="HPG746" s="187"/>
      <c r="HPH746" s="187"/>
      <c r="HPI746" s="187"/>
      <c r="HPJ746" s="187"/>
      <c r="HPK746" s="187"/>
      <c r="HPL746" s="187"/>
      <c r="HPM746" s="187"/>
      <c r="HPN746" s="187"/>
      <c r="HPO746" s="187"/>
      <c r="HPP746" s="187"/>
      <c r="HPQ746" s="187"/>
      <c r="HPR746" s="187"/>
      <c r="HPS746" s="187"/>
      <c r="HPT746" s="187"/>
      <c r="HPU746" s="187"/>
      <c r="HPV746" s="187"/>
      <c r="HPW746" s="187"/>
      <c r="HPX746" s="187"/>
      <c r="HPY746" s="187"/>
      <c r="HPZ746" s="187"/>
      <c r="HQA746" s="187"/>
      <c r="HQB746" s="187"/>
      <c r="HQC746" s="187"/>
      <c r="HQD746" s="187"/>
      <c r="HQE746" s="187"/>
      <c r="HQF746" s="187"/>
      <c r="HQG746" s="187"/>
      <c r="HQH746" s="187"/>
      <c r="HQI746" s="187"/>
      <c r="HQJ746" s="187"/>
      <c r="HQK746" s="187"/>
      <c r="HQL746" s="187"/>
      <c r="HQM746" s="187"/>
      <c r="HQN746" s="187"/>
      <c r="HQO746" s="187"/>
      <c r="HQP746" s="187"/>
      <c r="HQQ746" s="187"/>
      <c r="HQR746" s="187"/>
      <c r="HQS746" s="187"/>
      <c r="HQT746" s="187"/>
      <c r="HQU746" s="187"/>
      <c r="HQV746" s="187"/>
      <c r="HQW746" s="187"/>
      <c r="HQX746" s="187"/>
      <c r="HQY746" s="187"/>
      <c r="HQZ746" s="187"/>
      <c r="HRA746" s="187"/>
      <c r="HRB746" s="187"/>
      <c r="HRC746" s="187"/>
      <c r="HRD746" s="187"/>
      <c r="HRE746" s="187"/>
      <c r="HRF746" s="187"/>
      <c r="HRG746" s="187"/>
      <c r="HRH746" s="187"/>
      <c r="HRI746" s="187"/>
      <c r="HRJ746" s="187"/>
      <c r="HRK746" s="187"/>
      <c r="HRL746" s="187"/>
      <c r="HRM746" s="187"/>
      <c r="HRN746" s="187"/>
      <c r="HRO746" s="187"/>
      <c r="HRP746" s="187"/>
      <c r="HRQ746" s="187"/>
      <c r="HRR746" s="187"/>
      <c r="HRS746" s="187"/>
      <c r="HRT746" s="187"/>
      <c r="HRU746" s="187"/>
      <c r="HRV746" s="187"/>
      <c r="HRW746" s="187"/>
      <c r="HRX746" s="187"/>
      <c r="HRY746" s="187"/>
      <c r="HRZ746" s="187"/>
      <c r="HSA746" s="187"/>
      <c r="HSB746" s="187"/>
      <c r="HSC746" s="187"/>
      <c r="HSD746" s="187"/>
      <c r="HSE746" s="187"/>
      <c r="HSF746" s="187"/>
      <c r="HSG746" s="187"/>
      <c r="HSH746" s="187"/>
      <c r="HSI746" s="187"/>
      <c r="HSJ746" s="187"/>
      <c r="HSK746" s="187"/>
      <c r="HSL746" s="187"/>
      <c r="HSM746" s="187"/>
      <c r="HSN746" s="187"/>
      <c r="HSO746" s="187"/>
      <c r="HSP746" s="187"/>
      <c r="HSQ746" s="187"/>
      <c r="HSR746" s="187"/>
      <c r="HSS746" s="187"/>
      <c r="HST746" s="187"/>
      <c r="HSU746" s="187"/>
      <c r="HSV746" s="187"/>
      <c r="HSW746" s="187"/>
      <c r="HSX746" s="187"/>
      <c r="HSY746" s="187"/>
      <c r="HSZ746" s="187"/>
      <c r="HTA746" s="187"/>
      <c r="HTB746" s="187"/>
      <c r="HTC746" s="187"/>
      <c r="HTD746" s="187"/>
      <c r="HTE746" s="187"/>
      <c r="HTF746" s="187"/>
      <c r="HTG746" s="187"/>
      <c r="HTH746" s="187"/>
      <c r="HTI746" s="187"/>
      <c r="HTJ746" s="187"/>
      <c r="HTK746" s="187"/>
      <c r="HTL746" s="187"/>
      <c r="HTM746" s="187"/>
      <c r="HTN746" s="187"/>
      <c r="HTO746" s="187"/>
      <c r="HTP746" s="187"/>
      <c r="HTQ746" s="187"/>
      <c r="HTR746" s="187"/>
      <c r="HTS746" s="187"/>
      <c r="HTT746" s="187"/>
      <c r="HTU746" s="187"/>
      <c r="HTV746" s="187"/>
      <c r="HTW746" s="187"/>
      <c r="HTX746" s="187"/>
      <c r="HTY746" s="187"/>
      <c r="HTZ746" s="187"/>
      <c r="HUA746" s="187"/>
      <c r="HUB746" s="187"/>
      <c r="HUC746" s="187"/>
      <c r="HUD746" s="187"/>
      <c r="HUE746" s="187"/>
      <c r="HUF746" s="187"/>
      <c r="HUG746" s="187"/>
      <c r="HUH746" s="187"/>
      <c r="HUI746" s="187"/>
      <c r="HUJ746" s="187"/>
      <c r="HUK746" s="187"/>
      <c r="HUL746" s="187"/>
      <c r="HUM746" s="187"/>
      <c r="HUN746" s="187"/>
      <c r="HUO746" s="187"/>
      <c r="HUP746" s="187"/>
      <c r="HUQ746" s="187"/>
      <c r="HUR746" s="187"/>
      <c r="HUS746" s="187"/>
      <c r="HUT746" s="187"/>
      <c r="HUU746" s="187"/>
      <c r="HUV746" s="187"/>
      <c r="HUW746" s="187"/>
      <c r="HUX746" s="187"/>
      <c r="HUY746" s="187"/>
      <c r="HUZ746" s="187"/>
      <c r="HVA746" s="187"/>
      <c r="HVB746" s="187"/>
      <c r="HVC746" s="187"/>
      <c r="HVD746" s="187"/>
      <c r="HVE746" s="187"/>
      <c r="HVF746" s="187"/>
      <c r="HVG746" s="187"/>
      <c r="HVH746" s="187"/>
      <c r="HVI746" s="187"/>
      <c r="HVJ746" s="187"/>
      <c r="HVK746" s="187"/>
      <c r="HVL746" s="187"/>
      <c r="HVM746" s="187"/>
      <c r="HVN746" s="187"/>
      <c r="HVO746" s="187"/>
      <c r="HVP746" s="187"/>
      <c r="HVQ746" s="187"/>
      <c r="HVR746" s="187"/>
      <c r="HVS746" s="187"/>
      <c r="HVT746" s="187"/>
      <c r="HVU746" s="187"/>
      <c r="HVV746" s="187"/>
      <c r="HVW746" s="187"/>
      <c r="HVX746" s="187"/>
      <c r="HVY746" s="187"/>
      <c r="HVZ746" s="187"/>
      <c r="HWA746" s="187"/>
      <c r="HWB746" s="187"/>
      <c r="HWC746" s="187"/>
      <c r="HWD746" s="187"/>
      <c r="HWE746" s="187"/>
      <c r="HWF746" s="187"/>
      <c r="HWG746" s="187"/>
      <c r="HWH746" s="187"/>
      <c r="HWI746" s="187"/>
      <c r="HWJ746" s="187"/>
      <c r="HWK746" s="187"/>
      <c r="HWL746" s="187"/>
      <c r="HWM746" s="187"/>
      <c r="HWN746" s="187"/>
      <c r="HWO746" s="187"/>
      <c r="HWP746" s="187"/>
      <c r="HWQ746" s="187"/>
      <c r="HWR746" s="187"/>
      <c r="HWS746" s="187"/>
      <c r="HWT746" s="187"/>
      <c r="HWU746" s="187"/>
      <c r="HWV746" s="187"/>
      <c r="HWW746" s="187"/>
      <c r="HWX746" s="187"/>
      <c r="HWY746" s="187"/>
      <c r="HWZ746" s="187"/>
      <c r="HXA746" s="187"/>
      <c r="HXB746" s="187"/>
      <c r="HXC746" s="187"/>
      <c r="HXD746" s="187"/>
      <c r="HXE746" s="187"/>
      <c r="HXF746" s="187"/>
      <c r="HXG746" s="187"/>
      <c r="HXH746" s="187"/>
      <c r="HXI746" s="187"/>
      <c r="HXJ746" s="187"/>
      <c r="HXK746" s="187"/>
      <c r="HXL746" s="187"/>
      <c r="HXM746" s="187"/>
      <c r="HXN746" s="187"/>
      <c r="HXO746" s="187"/>
      <c r="HXP746" s="187"/>
      <c r="HXQ746" s="187"/>
      <c r="HXR746" s="187"/>
      <c r="HXS746" s="187"/>
      <c r="HXT746" s="187"/>
      <c r="HXU746" s="187"/>
      <c r="HXV746" s="187"/>
      <c r="HXW746" s="187"/>
      <c r="HXX746" s="187"/>
      <c r="HXY746" s="187"/>
      <c r="HXZ746" s="187"/>
      <c r="HYA746" s="187"/>
      <c r="HYB746" s="187"/>
      <c r="HYC746" s="187"/>
      <c r="HYD746" s="187"/>
      <c r="HYE746" s="187"/>
      <c r="HYF746" s="187"/>
      <c r="HYG746" s="187"/>
      <c r="HYH746" s="187"/>
      <c r="HYI746" s="187"/>
      <c r="HYJ746" s="187"/>
      <c r="HYK746" s="187"/>
      <c r="HYL746" s="187"/>
      <c r="HYM746" s="187"/>
      <c r="HYN746" s="187"/>
      <c r="HYO746" s="187"/>
      <c r="HYP746" s="187"/>
      <c r="HYQ746" s="187"/>
      <c r="HYR746" s="187"/>
      <c r="HYS746" s="187"/>
      <c r="HYT746" s="187"/>
      <c r="HYU746" s="187"/>
      <c r="HYV746" s="187"/>
      <c r="HYW746" s="187"/>
      <c r="HYX746" s="187"/>
      <c r="HYY746" s="187"/>
      <c r="HYZ746" s="187"/>
      <c r="HZA746" s="187"/>
      <c r="HZB746" s="187"/>
      <c r="HZC746" s="187"/>
      <c r="HZD746" s="187"/>
      <c r="HZE746" s="187"/>
      <c r="HZF746" s="187"/>
      <c r="HZG746" s="187"/>
      <c r="HZH746" s="187"/>
      <c r="HZI746" s="187"/>
      <c r="HZJ746" s="187"/>
      <c r="HZK746" s="187"/>
      <c r="HZL746" s="187"/>
      <c r="HZM746" s="187"/>
      <c r="HZN746" s="187"/>
      <c r="HZO746" s="187"/>
      <c r="HZP746" s="187"/>
      <c r="HZQ746" s="187"/>
      <c r="HZR746" s="187"/>
      <c r="HZS746" s="187"/>
      <c r="HZT746" s="187"/>
      <c r="HZU746" s="187"/>
      <c r="HZV746" s="187"/>
      <c r="HZW746" s="187"/>
      <c r="HZX746" s="187"/>
      <c r="HZY746" s="187"/>
      <c r="HZZ746" s="187"/>
      <c r="IAA746" s="187"/>
      <c r="IAB746" s="187"/>
      <c r="IAC746" s="187"/>
      <c r="IAD746" s="187"/>
      <c r="IAE746" s="187"/>
      <c r="IAF746" s="187"/>
      <c r="IAG746" s="187"/>
      <c r="IAH746" s="187"/>
      <c r="IAI746" s="187"/>
      <c r="IAJ746" s="187"/>
      <c r="IAK746" s="187"/>
      <c r="IAL746" s="187"/>
      <c r="IAM746" s="187"/>
      <c r="IAN746" s="187"/>
      <c r="IAO746" s="187"/>
      <c r="IAP746" s="187"/>
      <c r="IAQ746" s="187"/>
      <c r="IAR746" s="187"/>
      <c r="IAS746" s="187"/>
      <c r="IAT746" s="187"/>
      <c r="IAU746" s="187"/>
      <c r="IAV746" s="187"/>
      <c r="IAW746" s="187"/>
      <c r="IAX746" s="187"/>
      <c r="IAY746" s="187"/>
      <c r="IAZ746" s="187"/>
      <c r="IBA746" s="187"/>
      <c r="IBB746" s="187"/>
      <c r="IBC746" s="187"/>
      <c r="IBD746" s="187"/>
      <c r="IBE746" s="187"/>
      <c r="IBF746" s="187"/>
      <c r="IBG746" s="187"/>
      <c r="IBH746" s="187"/>
      <c r="IBI746" s="187"/>
      <c r="IBJ746" s="187"/>
      <c r="IBK746" s="187"/>
      <c r="IBL746" s="187"/>
      <c r="IBM746" s="187"/>
      <c r="IBN746" s="187"/>
      <c r="IBO746" s="187"/>
      <c r="IBP746" s="187"/>
      <c r="IBQ746" s="187"/>
      <c r="IBR746" s="187"/>
      <c r="IBS746" s="187"/>
      <c r="IBT746" s="187"/>
      <c r="IBU746" s="187"/>
      <c r="IBV746" s="187"/>
      <c r="IBW746" s="187"/>
      <c r="IBX746" s="187"/>
      <c r="IBY746" s="187"/>
      <c r="IBZ746" s="187"/>
      <c r="ICA746" s="187"/>
      <c r="ICB746" s="187"/>
      <c r="ICC746" s="187"/>
      <c r="ICD746" s="187"/>
      <c r="ICE746" s="187"/>
      <c r="ICF746" s="187"/>
      <c r="ICG746" s="187"/>
      <c r="ICH746" s="187"/>
      <c r="ICI746" s="187"/>
      <c r="ICJ746" s="187"/>
      <c r="ICK746" s="187"/>
      <c r="ICL746" s="187"/>
      <c r="ICM746" s="187"/>
      <c r="ICN746" s="187"/>
      <c r="ICO746" s="187"/>
      <c r="ICP746" s="187"/>
      <c r="ICQ746" s="187"/>
      <c r="ICR746" s="187"/>
      <c r="ICS746" s="187"/>
      <c r="ICT746" s="187"/>
      <c r="ICU746" s="187"/>
      <c r="ICV746" s="187"/>
      <c r="ICW746" s="187"/>
      <c r="ICX746" s="187"/>
      <c r="ICY746" s="187"/>
      <c r="ICZ746" s="187"/>
      <c r="IDA746" s="187"/>
      <c r="IDB746" s="187"/>
      <c r="IDC746" s="187"/>
      <c r="IDD746" s="187"/>
      <c r="IDE746" s="187"/>
      <c r="IDF746" s="187"/>
      <c r="IDG746" s="187"/>
      <c r="IDH746" s="187"/>
      <c r="IDI746" s="187"/>
      <c r="IDJ746" s="187"/>
      <c r="IDK746" s="187"/>
      <c r="IDL746" s="187"/>
      <c r="IDM746" s="187"/>
      <c r="IDN746" s="187"/>
      <c r="IDO746" s="187"/>
      <c r="IDP746" s="187"/>
      <c r="IDQ746" s="187"/>
      <c r="IDR746" s="187"/>
      <c r="IDS746" s="187"/>
      <c r="IDT746" s="187"/>
      <c r="IDU746" s="187"/>
      <c r="IDV746" s="187"/>
      <c r="IDW746" s="187"/>
      <c r="IDX746" s="187"/>
      <c r="IDY746" s="187"/>
      <c r="IDZ746" s="187"/>
      <c r="IEA746" s="187"/>
      <c r="IEB746" s="187"/>
      <c r="IEC746" s="187"/>
      <c r="IED746" s="187"/>
      <c r="IEE746" s="187"/>
      <c r="IEF746" s="187"/>
      <c r="IEG746" s="187"/>
      <c r="IEH746" s="187"/>
      <c r="IEI746" s="187"/>
      <c r="IEJ746" s="187"/>
      <c r="IEK746" s="187"/>
      <c r="IEL746" s="187"/>
      <c r="IEM746" s="187"/>
      <c r="IEN746" s="187"/>
      <c r="IEO746" s="187"/>
      <c r="IEP746" s="187"/>
      <c r="IEQ746" s="187"/>
      <c r="IER746" s="187"/>
      <c r="IES746" s="187"/>
      <c r="IET746" s="187"/>
      <c r="IEU746" s="187"/>
      <c r="IEV746" s="187"/>
      <c r="IEW746" s="187"/>
      <c r="IEX746" s="187"/>
      <c r="IEY746" s="187"/>
      <c r="IEZ746" s="187"/>
      <c r="IFA746" s="187"/>
      <c r="IFB746" s="187"/>
      <c r="IFC746" s="187"/>
      <c r="IFD746" s="187"/>
      <c r="IFE746" s="187"/>
      <c r="IFF746" s="187"/>
      <c r="IFG746" s="187"/>
      <c r="IFH746" s="187"/>
      <c r="IFI746" s="187"/>
      <c r="IFJ746" s="187"/>
      <c r="IFK746" s="187"/>
      <c r="IFL746" s="187"/>
      <c r="IFM746" s="187"/>
      <c r="IFN746" s="187"/>
      <c r="IFO746" s="187"/>
      <c r="IFP746" s="187"/>
      <c r="IFQ746" s="187"/>
      <c r="IFR746" s="187"/>
      <c r="IFS746" s="187"/>
      <c r="IFT746" s="187"/>
      <c r="IFU746" s="187"/>
      <c r="IFV746" s="187"/>
      <c r="IFW746" s="187"/>
      <c r="IFX746" s="187"/>
      <c r="IFY746" s="187"/>
      <c r="IFZ746" s="187"/>
      <c r="IGA746" s="187"/>
      <c r="IGB746" s="187"/>
      <c r="IGC746" s="187"/>
      <c r="IGD746" s="187"/>
      <c r="IGE746" s="187"/>
      <c r="IGF746" s="187"/>
      <c r="IGG746" s="187"/>
      <c r="IGH746" s="187"/>
      <c r="IGI746" s="187"/>
      <c r="IGJ746" s="187"/>
      <c r="IGK746" s="187"/>
      <c r="IGL746" s="187"/>
      <c r="IGM746" s="187"/>
      <c r="IGN746" s="187"/>
      <c r="IGO746" s="187"/>
      <c r="IGP746" s="187"/>
      <c r="IGQ746" s="187"/>
      <c r="IGR746" s="187"/>
      <c r="IGS746" s="187"/>
      <c r="IGT746" s="187"/>
      <c r="IGU746" s="187"/>
      <c r="IGV746" s="187"/>
      <c r="IGW746" s="187"/>
      <c r="IGX746" s="187"/>
      <c r="IGY746" s="187"/>
      <c r="IGZ746" s="187"/>
      <c r="IHA746" s="187"/>
      <c r="IHB746" s="187"/>
      <c r="IHC746" s="187"/>
      <c r="IHD746" s="187"/>
      <c r="IHE746" s="187"/>
      <c r="IHF746" s="187"/>
      <c r="IHG746" s="187"/>
      <c r="IHH746" s="187"/>
      <c r="IHI746" s="187"/>
      <c r="IHJ746" s="187"/>
      <c r="IHK746" s="187"/>
      <c r="IHL746" s="187"/>
      <c r="IHM746" s="187"/>
      <c r="IHN746" s="187"/>
      <c r="IHO746" s="187"/>
      <c r="IHP746" s="187"/>
      <c r="IHQ746" s="187"/>
      <c r="IHR746" s="187"/>
      <c r="IHS746" s="187"/>
      <c r="IHT746" s="187"/>
      <c r="IHU746" s="187"/>
      <c r="IHV746" s="187"/>
      <c r="IHW746" s="187"/>
      <c r="IHX746" s="187"/>
      <c r="IHY746" s="187"/>
      <c r="IHZ746" s="187"/>
      <c r="IIA746" s="187"/>
      <c r="IIB746" s="187"/>
      <c r="IIC746" s="187"/>
      <c r="IID746" s="187"/>
      <c r="IIE746" s="187"/>
      <c r="IIF746" s="187"/>
      <c r="IIG746" s="187"/>
      <c r="IIH746" s="187"/>
      <c r="III746" s="187"/>
      <c r="IIJ746" s="187"/>
      <c r="IIK746" s="187"/>
      <c r="IIL746" s="187"/>
      <c r="IIM746" s="187"/>
      <c r="IIN746" s="187"/>
      <c r="IIO746" s="187"/>
      <c r="IIP746" s="187"/>
      <c r="IIQ746" s="187"/>
      <c r="IIR746" s="187"/>
      <c r="IIS746" s="187"/>
      <c r="IIT746" s="187"/>
      <c r="IIU746" s="187"/>
      <c r="IIV746" s="187"/>
      <c r="IIW746" s="187"/>
      <c r="IIX746" s="187"/>
      <c r="IIY746" s="187"/>
      <c r="IIZ746" s="187"/>
      <c r="IJA746" s="187"/>
      <c r="IJB746" s="187"/>
      <c r="IJC746" s="187"/>
      <c r="IJD746" s="187"/>
      <c r="IJE746" s="187"/>
      <c r="IJF746" s="187"/>
      <c r="IJG746" s="187"/>
      <c r="IJH746" s="187"/>
      <c r="IJI746" s="187"/>
      <c r="IJJ746" s="187"/>
      <c r="IJK746" s="187"/>
      <c r="IJL746" s="187"/>
      <c r="IJM746" s="187"/>
      <c r="IJN746" s="187"/>
      <c r="IJO746" s="187"/>
      <c r="IJP746" s="187"/>
      <c r="IJQ746" s="187"/>
      <c r="IJR746" s="187"/>
      <c r="IJS746" s="187"/>
      <c r="IJT746" s="187"/>
      <c r="IJU746" s="187"/>
      <c r="IJV746" s="187"/>
      <c r="IJW746" s="187"/>
      <c r="IJX746" s="187"/>
      <c r="IJY746" s="187"/>
      <c r="IJZ746" s="187"/>
      <c r="IKA746" s="187"/>
      <c r="IKB746" s="187"/>
      <c r="IKC746" s="187"/>
      <c r="IKD746" s="187"/>
      <c r="IKE746" s="187"/>
      <c r="IKF746" s="187"/>
      <c r="IKG746" s="187"/>
      <c r="IKH746" s="187"/>
      <c r="IKI746" s="187"/>
      <c r="IKJ746" s="187"/>
      <c r="IKK746" s="187"/>
      <c r="IKL746" s="187"/>
      <c r="IKM746" s="187"/>
      <c r="IKN746" s="187"/>
      <c r="IKO746" s="187"/>
      <c r="IKP746" s="187"/>
      <c r="IKQ746" s="187"/>
      <c r="IKR746" s="187"/>
      <c r="IKS746" s="187"/>
      <c r="IKT746" s="187"/>
      <c r="IKU746" s="187"/>
      <c r="IKV746" s="187"/>
      <c r="IKW746" s="187"/>
      <c r="IKX746" s="187"/>
      <c r="IKY746" s="187"/>
      <c r="IKZ746" s="187"/>
      <c r="ILA746" s="187"/>
      <c r="ILB746" s="187"/>
      <c r="ILC746" s="187"/>
      <c r="ILD746" s="187"/>
      <c r="ILE746" s="187"/>
      <c r="ILF746" s="187"/>
      <c r="ILG746" s="187"/>
      <c r="ILH746" s="187"/>
      <c r="ILI746" s="187"/>
      <c r="ILJ746" s="187"/>
      <c r="ILK746" s="187"/>
      <c r="ILL746" s="187"/>
      <c r="ILM746" s="187"/>
      <c r="ILN746" s="187"/>
      <c r="ILO746" s="187"/>
      <c r="ILP746" s="187"/>
      <c r="ILQ746" s="187"/>
      <c r="ILR746" s="187"/>
      <c r="ILS746" s="187"/>
      <c r="ILT746" s="187"/>
      <c r="ILU746" s="187"/>
      <c r="ILV746" s="187"/>
      <c r="ILW746" s="187"/>
      <c r="ILX746" s="187"/>
      <c r="ILY746" s="187"/>
      <c r="ILZ746" s="187"/>
      <c r="IMA746" s="187"/>
      <c r="IMB746" s="187"/>
      <c r="IMC746" s="187"/>
      <c r="IMD746" s="187"/>
      <c r="IME746" s="187"/>
      <c r="IMF746" s="187"/>
      <c r="IMG746" s="187"/>
      <c r="IMH746" s="187"/>
      <c r="IMI746" s="187"/>
      <c r="IMJ746" s="187"/>
      <c r="IMK746" s="187"/>
      <c r="IML746" s="187"/>
      <c r="IMM746" s="187"/>
      <c r="IMN746" s="187"/>
      <c r="IMO746" s="187"/>
      <c r="IMP746" s="187"/>
      <c r="IMQ746" s="187"/>
      <c r="IMR746" s="187"/>
      <c r="IMS746" s="187"/>
      <c r="IMT746" s="187"/>
      <c r="IMU746" s="187"/>
      <c r="IMV746" s="187"/>
      <c r="IMW746" s="187"/>
      <c r="IMX746" s="187"/>
      <c r="IMY746" s="187"/>
      <c r="IMZ746" s="187"/>
      <c r="INA746" s="187"/>
      <c r="INB746" s="187"/>
      <c r="INC746" s="187"/>
      <c r="IND746" s="187"/>
      <c r="INE746" s="187"/>
      <c r="INF746" s="187"/>
      <c r="ING746" s="187"/>
      <c r="INH746" s="187"/>
      <c r="INI746" s="187"/>
      <c r="INJ746" s="187"/>
      <c r="INK746" s="187"/>
      <c r="INL746" s="187"/>
      <c r="INM746" s="187"/>
      <c r="INN746" s="187"/>
      <c r="INO746" s="187"/>
      <c r="INP746" s="187"/>
      <c r="INQ746" s="187"/>
      <c r="INR746" s="187"/>
      <c r="INS746" s="187"/>
      <c r="INT746" s="187"/>
      <c r="INU746" s="187"/>
      <c r="INV746" s="187"/>
      <c r="INW746" s="187"/>
      <c r="INX746" s="187"/>
      <c r="INY746" s="187"/>
      <c r="INZ746" s="187"/>
      <c r="IOA746" s="187"/>
      <c r="IOB746" s="187"/>
      <c r="IOC746" s="187"/>
      <c r="IOD746" s="187"/>
      <c r="IOE746" s="187"/>
      <c r="IOF746" s="187"/>
      <c r="IOG746" s="187"/>
      <c r="IOH746" s="187"/>
      <c r="IOI746" s="187"/>
      <c r="IOJ746" s="187"/>
      <c r="IOK746" s="187"/>
      <c r="IOL746" s="187"/>
      <c r="IOM746" s="187"/>
      <c r="ION746" s="187"/>
      <c r="IOO746" s="187"/>
      <c r="IOP746" s="187"/>
      <c r="IOQ746" s="187"/>
      <c r="IOR746" s="187"/>
      <c r="IOS746" s="187"/>
      <c r="IOT746" s="187"/>
      <c r="IOU746" s="187"/>
      <c r="IOV746" s="187"/>
      <c r="IOW746" s="187"/>
      <c r="IOX746" s="187"/>
      <c r="IOY746" s="187"/>
      <c r="IOZ746" s="187"/>
      <c r="IPA746" s="187"/>
      <c r="IPB746" s="187"/>
      <c r="IPC746" s="187"/>
      <c r="IPD746" s="187"/>
      <c r="IPE746" s="187"/>
      <c r="IPF746" s="187"/>
      <c r="IPG746" s="187"/>
      <c r="IPH746" s="187"/>
      <c r="IPI746" s="187"/>
      <c r="IPJ746" s="187"/>
      <c r="IPK746" s="187"/>
      <c r="IPL746" s="187"/>
      <c r="IPM746" s="187"/>
      <c r="IPN746" s="187"/>
      <c r="IPO746" s="187"/>
      <c r="IPP746" s="187"/>
      <c r="IPQ746" s="187"/>
      <c r="IPR746" s="187"/>
      <c r="IPS746" s="187"/>
      <c r="IPT746" s="187"/>
      <c r="IPU746" s="187"/>
      <c r="IPV746" s="187"/>
      <c r="IPW746" s="187"/>
      <c r="IPX746" s="187"/>
      <c r="IPY746" s="187"/>
      <c r="IPZ746" s="187"/>
      <c r="IQA746" s="187"/>
      <c r="IQB746" s="187"/>
      <c r="IQC746" s="187"/>
      <c r="IQD746" s="187"/>
      <c r="IQE746" s="187"/>
      <c r="IQF746" s="187"/>
      <c r="IQG746" s="187"/>
      <c r="IQH746" s="187"/>
      <c r="IQI746" s="187"/>
      <c r="IQJ746" s="187"/>
      <c r="IQK746" s="187"/>
      <c r="IQL746" s="187"/>
      <c r="IQM746" s="187"/>
      <c r="IQN746" s="187"/>
      <c r="IQO746" s="187"/>
      <c r="IQP746" s="187"/>
      <c r="IQQ746" s="187"/>
      <c r="IQR746" s="187"/>
      <c r="IQS746" s="187"/>
      <c r="IQT746" s="187"/>
      <c r="IQU746" s="187"/>
      <c r="IQV746" s="187"/>
      <c r="IQW746" s="187"/>
      <c r="IQX746" s="187"/>
      <c r="IQY746" s="187"/>
      <c r="IQZ746" s="187"/>
      <c r="IRA746" s="187"/>
      <c r="IRB746" s="187"/>
      <c r="IRC746" s="187"/>
      <c r="IRD746" s="187"/>
      <c r="IRE746" s="187"/>
      <c r="IRF746" s="187"/>
      <c r="IRG746" s="187"/>
      <c r="IRH746" s="187"/>
      <c r="IRI746" s="187"/>
      <c r="IRJ746" s="187"/>
      <c r="IRK746" s="187"/>
      <c r="IRL746" s="187"/>
      <c r="IRM746" s="187"/>
      <c r="IRN746" s="187"/>
      <c r="IRO746" s="187"/>
      <c r="IRP746" s="187"/>
      <c r="IRQ746" s="187"/>
      <c r="IRR746" s="187"/>
      <c r="IRS746" s="187"/>
      <c r="IRT746" s="187"/>
      <c r="IRU746" s="187"/>
      <c r="IRV746" s="187"/>
      <c r="IRW746" s="187"/>
      <c r="IRX746" s="187"/>
      <c r="IRY746" s="187"/>
      <c r="IRZ746" s="187"/>
      <c r="ISA746" s="187"/>
      <c r="ISB746" s="187"/>
      <c r="ISC746" s="187"/>
      <c r="ISD746" s="187"/>
      <c r="ISE746" s="187"/>
      <c r="ISF746" s="187"/>
      <c r="ISG746" s="187"/>
      <c r="ISH746" s="187"/>
      <c r="ISI746" s="187"/>
      <c r="ISJ746" s="187"/>
      <c r="ISK746" s="187"/>
      <c r="ISL746" s="187"/>
      <c r="ISM746" s="187"/>
      <c r="ISN746" s="187"/>
      <c r="ISO746" s="187"/>
      <c r="ISP746" s="187"/>
      <c r="ISQ746" s="187"/>
      <c r="ISR746" s="187"/>
      <c r="ISS746" s="187"/>
      <c r="IST746" s="187"/>
      <c r="ISU746" s="187"/>
      <c r="ISV746" s="187"/>
      <c r="ISW746" s="187"/>
      <c r="ISX746" s="187"/>
      <c r="ISY746" s="187"/>
      <c r="ISZ746" s="187"/>
      <c r="ITA746" s="187"/>
      <c r="ITB746" s="187"/>
      <c r="ITC746" s="187"/>
      <c r="ITD746" s="187"/>
      <c r="ITE746" s="187"/>
      <c r="ITF746" s="187"/>
      <c r="ITG746" s="187"/>
      <c r="ITH746" s="187"/>
      <c r="ITI746" s="187"/>
      <c r="ITJ746" s="187"/>
      <c r="ITK746" s="187"/>
      <c r="ITL746" s="187"/>
      <c r="ITM746" s="187"/>
      <c r="ITN746" s="187"/>
      <c r="ITO746" s="187"/>
      <c r="ITP746" s="187"/>
      <c r="ITQ746" s="187"/>
      <c r="ITR746" s="187"/>
      <c r="ITS746" s="187"/>
      <c r="ITT746" s="187"/>
      <c r="ITU746" s="187"/>
      <c r="ITV746" s="187"/>
      <c r="ITW746" s="187"/>
      <c r="ITX746" s="187"/>
      <c r="ITY746" s="187"/>
      <c r="ITZ746" s="187"/>
      <c r="IUA746" s="187"/>
      <c r="IUB746" s="187"/>
      <c r="IUC746" s="187"/>
      <c r="IUD746" s="187"/>
      <c r="IUE746" s="187"/>
      <c r="IUF746" s="187"/>
      <c r="IUG746" s="187"/>
      <c r="IUH746" s="187"/>
      <c r="IUI746" s="187"/>
      <c r="IUJ746" s="187"/>
      <c r="IUK746" s="187"/>
      <c r="IUL746" s="187"/>
      <c r="IUM746" s="187"/>
      <c r="IUN746" s="187"/>
      <c r="IUO746" s="187"/>
      <c r="IUP746" s="187"/>
      <c r="IUQ746" s="187"/>
      <c r="IUR746" s="187"/>
      <c r="IUS746" s="187"/>
      <c r="IUT746" s="187"/>
      <c r="IUU746" s="187"/>
      <c r="IUV746" s="187"/>
      <c r="IUW746" s="187"/>
      <c r="IUX746" s="187"/>
      <c r="IUY746" s="187"/>
      <c r="IUZ746" s="187"/>
      <c r="IVA746" s="187"/>
      <c r="IVB746" s="187"/>
      <c r="IVC746" s="187"/>
      <c r="IVD746" s="187"/>
      <c r="IVE746" s="187"/>
      <c r="IVF746" s="187"/>
      <c r="IVG746" s="187"/>
      <c r="IVH746" s="187"/>
      <c r="IVI746" s="187"/>
      <c r="IVJ746" s="187"/>
      <c r="IVK746" s="187"/>
      <c r="IVL746" s="187"/>
      <c r="IVM746" s="187"/>
      <c r="IVN746" s="187"/>
      <c r="IVO746" s="187"/>
      <c r="IVP746" s="187"/>
      <c r="IVQ746" s="187"/>
      <c r="IVR746" s="187"/>
      <c r="IVS746" s="187"/>
      <c r="IVT746" s="187"/>
      <c r="IVU746" s="187"/>
      <c r="IVV746" s="187"/>
      <c r="IVW746" s="187"/>
      <c r="IVX746" s="187"/>
      <c r="IVY746" s="187"/>
      <c r="IVZ746" s="187"/>
      <c r="IWA746" s="187"/>
      <c r="IWB746" s="187"/>
      <c r="IWC746" s="187"/>
      <c r="IWD746" s="187"/>
      <c r="IWE746" s="187"/>
      <c r="IWF746" s="187"/>
      <c r="IWG746" s="187"/>
      <c r="IWH746" s="187"/>
      <c r="IWI746" s="187"/>
      <c r="IWJ746" s="187"/>
      <c r="IWK746" s="187"/>
      <c r="IWL746" s="187"/>
      <c r="IWM746" s="187"/>
      <c r="IWN746" s="187"/>
      <c r="IWO746" s="187"/>
      <c r="IWP746" s="187"/>
      <c r="IWQ746" s="187"/>
      <c r="IWR746" s="187"/>
      <c r="IWS746" s="187"/>
      <c r="IWT746" s="187"/>
      <c r="IWU746" s="187"/>
      <c r="IWV746" s="187"/>
      <c r="IWW746" s="187"/>
      <c r="IWX746" s="187"/>
      <c r="IWY746" s="187"/>
      <c r="IWZ746" s="187"/>
      <c r="IXA746" s="187"/>
      <c r="IXB746" s="187"/>
      <c r="IXC746" s="187"/>
      <c r="IXD746" s="187"/>
      <c r="IXE746" s="187"/>
      <c r="IXF746" s="187"/>
      <c r="IXG746" s="187"/>
      <c r="IXH746" s="187"/>
      <c r="IXI746" s="187"/>
      <c r="IXJ746" s="187"/>
      <c r="IXK746" s="187"/>
      <c r="IXL746" s="187"/>
      <c r="IXM746" s="187"/>
      <c r="IXN746" s="187"/>
      <c r="IXO746" s="187"/>
      <c r="IXP746" s="187"/>
      <c r="IXQ746" s="187"/>
      <c r="IXR746" s="187"/>
      <c r="IXS746" s="187"/>
      <c r="IXT746" s="187"/>
      <c r="IXU746" s="187"/>
      <c r="IXV746" s="187"/>
      <c r="IXW746" s="187"/>
      <c r="IXX746" s="187"/>
      <c r="IXY746" s="187"/>
      <c r="IXZ746" s="187"/>
      <c r="IYA746" s="187"/>
      <c r="IYB746" s="187"/>
      <c r="IYC746" s="187"/>
      <c r="IYD746" s="187"/>
      <c r="IYE746" s="187"/>
      <c r="IYF746" s="187"/>
      <c r="IYG746" s="187"/>
      <c r="IYH746" s="187"/>
      <c r="IYI746" s="187"/>
      <c r="IYJ746" s="187"/>
      <c r="IYK746" s="187"/>
      <c r="IYL746" s="187"/>
      <c r="IYM746" s="187"/>
      <c r="IYN746" s="187"/>
      <c r="IYO746" s="187"/>
      <c r="IYP746" s="187"/>
      <c r="IYQ746" s="187"/>
      <c r="IYR746" s="187"/>
      <c r="IYS746" s="187"/>
      <c r="IYT746" s="187"/>
      <c r="IYU746" s="187"/>
      <c r="IYV746" s="187"/>
      <c r="IYW746" s="187"/>
      <c r="IYX746" s="187"/>
      <c r="IYY746" s="187"/>
      <c r="IYZ746" s="187"/>
      <c r="IZA746" s="187"/>
      <c r="IZB746" s="187"/>
      <c r="IZC746" s="187"/>
      <c r="IZD746" s="187"/>
      <c r="IZE746" s="187"/>
      <c r="IZF746" s="187"/>
      <c r="IZG746" s="187"/>
      <c r="IZH746" s="187"/>
      <c r="IZI746" s="187"/>
      <c r="IZJ746" s="187"/>
      <c r="IZK746" s="187"/>
      <c r="IZL746" s="187"/>
      <c r="IZM746" s="187"/>
      <c r="IZN746" s="187"/>
      <c r="IZO746" s="187"/>
      <c r="IZP746" s="187"/>
      <c r="IZQ746" s="187"/>
      <c r="IZR746" s="187"/>
      <c r="IZS746" s="187"/>
      <c r="IZT746" s="187"/>
      <c r="IZU746" s="187"/>
      <c r="IZV746" s="187"/>
      <c r="IZW746" s="187"/>
      <c r="IZX746" s="187"/>
      <c r="IZY746" s="187"/>
      <c r="IZZ746" s="187"/>
      <c r="JAA746" s="187"/>
      <c r="JAB746" s="187"/>
      <c r="JAC746" s="187"/>
      <c r="JAD746" s="187"/>
      <c r="JAE746" s="187"/>
      <c r="JAF746" s="187"/>
      <c r="JAG746" s="187"/>
      <c r="JAH746" s="187"/>
      <c r="JAI746" s="187"/>
      <c r="JAJ746" s="187"/>
      <c r="JAK746" s="187"/>
      <c r="JAL746" s="187"/>
      <c r="JAM746" s="187"/>
      <c r="JAN746" s="187"/>
      <c r="JAO746" s="187"/>
      <c r="JAP746" s="187"/>
      <c r="JAQ746" s="187"/>
      <c r="JAR746" s="187"/>
      <c r="JAS746" s="187"/>
      <c r="JAT746" s="187"/>
      <c r="JAU746" s="187"/>
      <c r="JAV746" s="187"/>
      <c r="JAW746" s="187"/>
      <c r="JAX746" s="187"/>
      <c r="JAY746" s="187"/>
      <c r="JAZ746" s="187"/>
      <c r="JBA746" s="187"/>
      <c r="JBB746" s="187"/>
      <c r="JBC746" s="187"/>
      <c r="JBD746" s="187"/>
      <c r="JBE746" s="187"/>
      <c r="JBF746" s="187"/>
      <c r="JBG746" s="187"/>
      <c r="JBH746" s="187"/>
      <c r="JBI746" s="187"/>
      <c r="JBJ746" s="187"/>
      <c r="JBK746" s="187"/>
      <c r="JBL746" s="187"/>
      <c r="JBM746" s="187"/>
      <c r="JBN746" s="187"/>
      <c r="JBO746" s="187"/>
      <c r="JBP746" s="187"/>
      <c r="JBQ746" s="187"/>
      <c r="JBR746" s="187"/>
      <c r="JBS746" s="187"/>
      <c r="JBT746" s="187"/>
      <c r="JBU746" s="187"/>
      <c r="JBV746" s="187"/>
      <c r="JBW746" s="187"/>
      <c r="JBX746" s="187"/>
      <c r="JBY746" s="187"/>
      <c r="JBZ746" s="187"/>
      <c r="JCA746" s="187"/>
      <c r="JCB746" s="187"/>
      <c r="JCC746" s="187"/>
      <c r="JCD746" s="187"/>
      <c r="JCE746" s="187"/>
      <c r="JCF746" s="187"/>
      <c r="JCG746" s="187"/>
      <c r="JCH746" s="187"/>
      <c r="JCI746" s="187"/>
      <c r="JCJ746" s="187"/>
      <c r="JCK746" s="187"/>
      <c r="JCL746" s="187"/>
      <c r="JCM746" s="187"/>
      <c r="JCN746" s="187"/>
      <c r="JCO746" s="187"/>
      <c r="JCP746" s="187"/>
      <c r="JCQ746" s="187"/>
      <c r="JCR746" s="187"/>
      <c r="JCS746" s="187"/>
      <c r="JCT746" s="187"/>
      <c r="JCU746" s="187"/>
      <c r="JCV746" s="187"/>
      <c r="JCW746" s="187"/>
      <c r="JCX746" s="187"/>
      <c r="JCY746" s="187"/>
      <c r="JCZ746" s="187"/>
      <c r="JDA746" s="187"/>
      <c r="JDB746" s="187"/>
      <c r="JDC746" s="187"/>
      <c r="JDD746" s="187"/>
      <c r="JDE746" s="187"/>
      <c r="JDF746" s="187"/>
      <c r="JDG746" s="187"/>
      <c r="JDH746" s="187"/>
      <c r="JDI746" s="187"/>
      <c r="JDJ746" s="187"/>
      <c r="JDK746" s="187"/>
      <c r="JDL746" s="187"/>
      <c r="JDM746" s="187"/>
      <c r="JDN746" s="187"/>
      <c r="JDO746" s="187"/>
      <c r="JDP746" s="187"/>
      <c r="JDQ746" s="187"/>
      <c r="JDR746" s="187"/>
      <c r="JDS746" s="187"/>
      <c r="JDT746" s="187"/>
      <c r="JDU746" s="187"/>
      <c r="JDV746" s="187"/>
      <c r="JDW746" s="187"/>
      <c r="JDX746" s="187"/>
      <c r="JDY746" s="187"/>
      <c r="JDZ746" s="187"/>
      <c r="JEA746" s="187"/>
      <c r="JEB746" s="187"/>
      <c r="JEC746" s="187"/>
      <c r="JED746" s="187"/>
      <c r="JEE746" s="187"/>
      <c r="JEF746" s="187"/>
      <c r="JEG746" s="187"/>
      <c r="JEH746" s="187"/>
      <c r="JEI746" s="187"/>
      <c r="JEJ746" s="187"/>
      <c r="JEK746" s="187"/>
      <c r="JEL746" s="187"/>
      <c r="JEM746" s="187"/>
      <c r="JEN746" s="187"/>
      <c r="JEO746" s="187"/>
      <c r="JEP746" s="187"/>
      <c r="JEQ746" s="187"/>
      <c r="JER746" s="187"/>
      <c r="JES746" s="187"/>
      <c r="JET746" s="187"/>
      <c r="JEU746" s="187"/>
      <c r="JEV746" s="187"/>
      <c r="JEW746" s="187"/>
      <c r="JEX746" s="187"/>
      <c r="JEY746" s="187"/>
      <c r="JEZ746" s="187"/>
      <c r="JFA746" s="187"/>
      <c r="JFB746" s="187"/>
      <c r="JFC746" s="187"/>
      <c r="JFD746" s="187"/>
      <c r="JFE746" s="187"/>
      <c r="JFF746" s="187"/>
      <c r="JFG746" s="187"/>
      <c r="JFH746" s="187"/>
      <c r="JFI746" s="187"/>
      <c r="JFJ746" s="187"/>
      <c r="JFK746" s="187"/>
      <c r="JFL746" s="187"/>
      <c r="JFM746" s="187"/>
      <c r="JFN746" s="187"/>
      <c r="JFO746" s="187"/>
      <c r="JFP746" s="187"/>
      <c r="JFQ746" s="187"/>
      <c r="JFR746" s="187"/>
      <c r="JFS746" s="187"/>
      <c r="JFT746" s="187"/>
      <c r="JFU746" s="187"/>
      <c r="JFV746" s="187"/>
      <c r="JFW746" s="187"/>
      <c r="JFX746" s="187"/>
      <c r="JFY746" s="187"/>
      <c r="JFZ746" s="187"/>
      <c r="JGA746" s="187"/>
      <c r="JGB746" s="187"/>
      <c r="JGC746" s="187"/>
      <c r="JGD746" s="187"/>
      <c r="JGE746" s="187"/>
      <c r="JGF746" s="187"/>
      <c r="JGG746" s="187"/>
      <c r="JGH746" s="187"/>
      <c r="JGI746" s="187"/>
      <c r="JGJ746" s="187"/>
      <c r="JGK746" s="187"/>
      <c r="JGL746" s="187"/>
      <c r="JGM746" s="187"/>
      <c r="JGN746" s="187"/>
      <c r="JGO746" s="187"/>
      <c r="JGP746" s="187"/>
      <c r="JGQ746" s="187"/>
      <c r="JGR746" s="187"/>
      <c r="JGS746" s="187"/>
      <c r="JGT746" s="187"/>
      <c r="JGU746" s="187"/>
      <c r="JGV746" s="187"/>
      <c r="JGW746" s="187"/>
      <c r="JGX746" s="187"/>
      <c r="JGY746" s="187"/>
      <c r="JGZ746" s="187"/>
      <c r="JHA746" s="187"/>
      <c r="JHB746" s="187"/>
      <c r="JHC746" s="187"/>
      <c r="JHD746" s="187"/>
      <c r="JHE746" s="187"/>
      <c r="JHF746" s="187"/>
      <c r="JHG746" s="187"/>
      <c r="JHH746" s="187"/>
      <c r="JHI746" s="187"/>
      <c r="JHJ746" s="187"/>
      <c r="JHK746" s="187"/>
      <c r="JHL746" s="187"/>
      <c r="JHM746" s="187"/>
      <c r="JHN746" s="187"/>
      <c r="JHO746" s="187"/>
      <c r="JHP746" s="187"/>
      <c r="JHQ746" s="187"/>
      <c r="JHR746" s="187"/>
      <c r="JHS746" s="187"/>
      <c r="JHT746" s="187"/>
      <c r="JHU746" s="187"/>
      <c r="JHV746" s="187"/>
      <c r="JHW746" s="187"/>
      <c r="JHX746" s="187"/>
      <c r="JHY746" s="187"/>
      <c r="JHZ746" s="187"/>
      <c r="JIA746" s="187"/>
      <c r="JIB746" s="187"/>
      <c r="JIC746" s="187"/>
      <c r="JID746" s="187"/>
      <c r="JIE746" s="187"/>
      <c r="JIF746" s="187"/>
      <c r="JIG746" s="187"/>
      <c r="JIH746" s="187"/>
      <c r="JII746" s="187"/>
      <c r="JIJ746" s="187"/>
      <c r="JIK746" s="187"/>
      <c r="JIL746" s="187"/>
      <c r="JIM746" s="187"/>
      <c r="JIN746" s="187"/>
      <c r="JIO746" s="187"/>
      <c r="JIP746" s="187"/>
      <c r="JIQ746" s="187"/>
      <c r="JIR746" s="187"/>
      <c r="JIS746" s="187"/>
      <c r="JIT746" s="187"/>
      <c r="JIU746" s="187"/>
      <c r="JIV746" s="187"/>
      <c r="JIW746" s="187"/>
      <c r="JIX746" s="187"/>
      <c r="JIY746" s="187"/>
      <c r="JIZ746" s="187"/>
      <c r="JJA746" s="187"/>
      <c r="JJB746" s="187"/>
      <c r="JJC746" s="187"/>
      <c r="JJD746" s="187"/>
      <c r="JJE746" s="187"/>
      <c r="JJF746" s="187"/>
      <c r="JJG746" s="187"/>
      <c r="JJH746" s="187"/>
      <c r="JJI746" s="187"/>
      <c r="JJJ746" s="187"/>
      <c r="JJK746" s="187"/>
      <c r="JJL746" s="187"/>
      <c r="JJM746" s="187"/>
      <c r="JJN746" s="187"/>
      <c r="JJO746" s="187"/>
      <c r="JJP746" s="187"/>
      <c r="JJQ746" s="187"/>
      <c r="JJR746" s="187"/>
      <c r="JJS746" s="187"/>
      <c r="JJT746" s="187"/>
      <c r="JJU746" s="187"/>
      <c r="JJV746" s="187"/>
      <c r="JJW746" s="187"/>
      <c r="JJX746" s="187"/>
      <c r="JJY746" s="187"/>
      <c r="JJZ746" s="187"/>
      <c r="JKA746" s="187"/>
      <c r="JKB746" s="187"/>
      <c r="JKC746" s="187"/>
      <c r="JKD746" s="187"/>
      <c r="JKE746" s="187"/>
      <c r="JKF746" s="187"/>
      <c r="JKG746" s="187"/>
      <c r="JKH746" s="187"/>
      <c r="JKI746" s="187"/>
      <c r="JKJ746" s="187"/>
      <c r="JKK746" s="187"/>
      <c r="JKL746" s="187"/>
      <c r="JKM746" s="187"/>
      <c r="JKN746" s="187"/>
      <c r="JKO746" s="187"/>
      <c r="JKP746" s="187"/>
      <c r="JKQ746" s="187"/>
      <c r="JKR746" s="187"/>
      <c r="JKS746" s="187"/>
      <c r="JKT746" s="187"/>
      <c r="JKU746" s="187"/>
      <c r="JKV746" s="187"/>
      <c r="JKW746" s="187"/>
      <c r="JKX746" s="187"/>
      <c r="JKY746" s="187"/>
      <c r="JKZ746" s="187"/>
      <c r="JLA746" s="187"/>
      <c r="JLB746" s="187"/>
      <c r="JLC746" s="187"/>
      <c r="JLD746" s="187"/>
      <c r="JLE746" s="187"/>
      <c r="JLF746" s="187"/>
      <c r="JLG746" s="187"/>
      <c r="JLH746" s="187"/>
      <c r="JLI746" s="187"/>
      <c r="JLJ746" s="187"/>
      <c r="JLK746" s="187"/>
      <c r="JLL746" s="187"/>
      <c r="JLM746" s="187"/>
      <c r="JLN746" s="187"/>
      <c r="JLO746" s="187"/>
      <c r="JLP746" s="187"/>
      <c r="JLQ746" s="187"/>
      <c r="JLR746" s="187"/>
      <c r="JLS746" s="187"/>
      <c r="JLT746" s="187"/>
      <c r="JLU746" s="187"/>
      <c r="JLV746" s="187"/>
      <c r="JLW746" s="187"/>
      <c r="JLX746" s="187"/>
      <c r="JLY746" s="187"/>
      <c r="JLZ746" s="187"/>
      <c r="JMA746" s="187"/>
      <c r="JMB746" s="187"/>
      <c r="JMC746" s="187"/>
      <c r="JMD746" s="187"/>
      <c r="JME746" s="187"/>
      <c r="JMF746" s="187"/>
      <c r="JMG746" s="187"/>
      <c r="JMH746" s="187"/>
      <c r="JMI746" s="187"/>
      <c r="JMJ746" s="187"/>
      <c r="JMK746" s="187"/>
      <c r="JML746" s="187"/>
      <c r="JMM746" s="187"/>
      <c r="JMN746" s="187"/>
      <c r="JMO746" s="187"/>
      <c r="JMP746" s="187"/>
      <c r="JMQ746" s="187"/>
      <c r="JMR746" s="187"/>
      <c r="JMS746" s="187"/>
      <c r="JMT746" s="187"/>
      <c r="JMU746" s="187"/>
      <c r="JMV746" s="187"/>
      <c r="JMW746" s="187"/>
      <c r="JMX746" s="187"/>
      <c r="JMY746" s="187"/>
      <c r="JMZ746" s="187"/>
      <c r="JNA746" s="187"/>
      <c r="JNB746" s="187"/>
      <c r="JNC746" s="187"/>
      <c r="JND746" s="187"/>
      <c r="JNE746" s="187"/>
      <c r="JNF746" s="187"/>
      <c r="JNG746" s="187"/>
      <c r="JNH746" s="187"/>
      <c r="JNI746" s="187"/>
      <c r="JNJ746" s="187"/>
      <c r="JNK746" s="187"/>
      <c r="JNL746" s="187"/>
      <c r="JNM746" s="187"/>
      <c r="JNN746" s="187"/>
      <c r="JNO746" s="187"/>
      <c r="JNP746" s="187"/>
      <c r="JNQ746" s="187"/>
      <c r="JNR746" s="187"/>
      <c r="JNS746" s="187"/>
      <c r="JNT746" s="187"/>
      <c r="JNU746" s="187"/>
      <c r="JNV746" s="187"/>
      <c r="JNW746" s="187"/>
      <c r="JNX746" s="187"/>
      <c r="JNY746" s="187"/>
      <c r="JNZ746" s="187"/>
      <c r="JOA746" s="187"/>
      <c r="JOB746" s="187"/>
      <c r="JOC746" s="187"/>
      <c r="JOD746" s="187"/>
      <c r="JOE746" s="187"/>
      <c r="JOF746" s="187"/>
      <c r="JOG746" s="187"/>
      <c r="JOH746" s="187"/>
      <c r="JOI746" s="187"/>
      <c r="JOJ746" s="187"/>
      <c r="JOK746" s="187"/>
      <c r="JOL746" s="187"/>
      <c r="JOM746" s="187"/>
      <c r="JON746" s="187"/>
      <c r="JOO746" s="187"/>
      <c r="JOP746" s="187"/>
      <c r="JOQ746" s="187"/>
      <c r="JOR746" s="187"/>
      <c r="JOS746" s="187"/>
      <c r="JOT746" s="187"/>
      <c r="JOU746" s="187"/>
      <c r="JOV746" s="187"/>
      <c r="JOW746" s="187"/>
      <c r="JOX746" s="187"/>
      <c r="JOY746" s="187"/>
      <c r="JOZ746" s="187"/>
      <c r="JPA746" s="187"/>
      <c r="JPB746" s="187"/>
      <c r="JPC746" s="187"/>
      <c r="JPD746" s="187"/>
      <c r="JPE746" s="187"/>
      <c r="JPF746" s="187"/>
      <c r="JPG746" s="187"/>
      <c r="JPH746" s="187"/>
      <c r="JPI746" s="187"/>
      <c r="JPJ746" s="187"/>
      <c r="JPK746" s="187"/>
      <c r="JPL746" s="187"/>
      <c r="JPM746" s="187"/>
      <c r="JPN746" s="187"/>
      <c r="JPO746" s="187"/>
      <c r="JPP746" s="187"/>
      <c r="JPQ746" s="187"/>
      <c r="JPR746" s="187"/>
      <c r="JPS746" s="187"/>
      <c r="JPT746" s="187"/>
      <c r="JPU746" s="187"/>
      <c r="JPV746" s="187"/>
      <c r="JPW746" s="187"/>
      <c r="JPX746" s="187"/>
      <c r="JPY746" s="187"/>
      <c r="JPZ746" s="187"/>
      <c r="JQA746" s="187"/>
      <c r="JQB746" s="187"/>
      <c r="JQC746" s="187"/>
      <c r="JQD746" s="187"/>
      <c r="JQE746" s="187"/>
      <c r="JQF746" s="187"/>
      <c r="JQG746" s="187"/>
      <c r="JQH746" s="187"/>
      <c r="JQI746" s="187"/>
      <c r="JQJ746" s="187"/>
      <c r="JQK746" s="187"/>
      <c r="JQL746" s="187"/>
      <c r="JQM746" s="187"/>
      <c r="JQN746" s="187"/>
      <c r="JQO746" s="187"/>
      <c r="JQP746" s="187"/>
      <c r="JQQ746" s="187"/>
      <c r="JQR746" s="187"/>
      <c r="JQS746" s="187"/>
      <c r="JQT746" s="187"/>
      <c r="JQU746" s="187"/>
      <c r="JQV746" s="187"/>
      <c r="JQW746" s="187"/>
      <c r="JQX746" s="187"/>
      <c r="JQY746" s="187"/>
      <c r="JQZ746" s="187"/>
      <c r="JRA746" s="187"/>
      <c r="JRB746" s="187"/>
      <c r="JRC746" s="187"/>
      <c r="JRD746" s="187"/>
      <c r="JRE746" s="187"/>
      <c r="JRF746" s="187"/>
      <c r="JRG746" s="187"/>
      <c r="JRH746" s="187"/>
      <c r="JRI746" s="187"/>
      <c r="JRJ746" s="187"/>
      <c r="JRK746" s="187"/>
      <c r="JRL746" s="187"/>
      <c r="JRM746" s="187"/>
      <c r="JRN746" s="187"/>
      <c r="JRO746" s="187"/>
      <c r="JRP746" s="187"/>
      <c r="JRQ746" s="187"/>
      <c r="JRR746" s="187"/>
      <c r="JRS746" s="187"/>
      <c r="JRT746" s="187"/>
      <c r="JRU746" s="187"/>
      <c r="JRV746" s="187"/>
      <c r="JRW746" s="187"/>
      <c r="JRX746" s="187"/>
      <c r="JRY746" s="187"/>
      <c r="JRZ746" s="187"/>
      <c r="JSA746" s="187"/>
      <c r="JSB746" s="187"/>
      <c r="JSC746" s="187"/>
      <c r="JSD746" s="187"/>
      <c r="JSE746" s="187"/>
      <c r="JSF746" s="187"/>
      <c r="JSG746" s="187"/>
      <c r="JSH746" s="187"/>
      <c r="JSI746" s="187"/>
      <c r="JSJ746" s="187"/>
      <c r="JSK746" s="187"/>
      <c r="JSL746" s="187"/>
      <c r="JSM746" s="187"/>
      <c r="JSN746" s="187"/>
      <c r="JSO746" s="187"/>
      <c r="JSP746" s="187"/>
      <c r="JSQ746" s="187"/>
      <c r="JSR746" s="187"/>
      <c r="JSS746" s="187"/>
      <c r="JST746" s="187"/>
      <c r="JSU746" s="187"/>
      <c r="JSV746" s="187"/>
      <c r="JSW746" s="187"/>
      <c r="JSX746" s="187"/>
      <c r="JSY746" s="187"/>
      <c r="JSZ746" s="187"/>
      <c r="JTA746" s="187"/>
      <c r="JTB746" s="187"/>
      <c r="JTC746" s="187"/>
      <c r="JTD746" s="187"/>
      <c r="JTE746" s="187"/>
      <c r="JTF746" s="187"/>
      <c r="JTG746" s="187"/>
      <c r="JTH746" s="187"/>
      <c r="JTI746" s="187"/>
      <c r="JTJ746" s="187"/>
      <c r="JTK746" s="187"/>
      <c r="JTL746" s="187"/>
      <c r="JTM746" s="187"/>
      <c r="JTN746" s="187"/>
      <c r="JTO746" s="187"/>
      <c r="JTP746" s="187"/>
      <c r="JTQ746" s="187"/>
      <c r="JTR746" s="187"/>
      <c r="JTS746" s="187"/>
      <c r="JTT746" s="187"/>
      <c r="JTU746" s="187"/>
      <c r="JTV746" s="187"/>
      <c r="JTW746" s="187"/>
      <c r="JTX746" s="187"/>
      <c r="JTY746" s="187"/>
      <c r="JTZ746" s="187"/>
      <c r="JUA746" s="187"/>
      <c r="JUB746" s="187"/>
      <c r="JUC746" s="187"/>
      <c r="JUD746" s="187"/>
      <c r="JUE746" s="187"/>
      <c r="JUF746" s="187"/>
      <c r="JUG746" s="187"/>
      <c r="JUH746" s="187"/>
      <c r="JUI746" s="187"/>
      <c r="JUJ746" s="187"/>
      <c r="JUK746" s="187"/>
      <c r="JUL746" s="187"/>
      <c r="JUM746" s="187"/>
      <c r="JUN746" s="187"/>
      <c r="JUO746" s="187"/>
      <c r="JUP746" s="187"/>
      <c r="JUQ746" s="187"/>
      <c r="JUR746" s="187"/>
      <c r="JUS746" s="187"/>
      <c r="JUT746" s="187"/>
      <c r="JUU746" s="187"/>
      <c r="JUV746" s="187"/>
      <c r="JUW746" s="187"/>
      <c r="JUX746" s="187"/>
      <c r="JUY746" s="187"/>
      <c r="JUZ746" s="187"/>
      <c r="JVA746" s="187"/>
      <c r="JVB746" s="187"/>
      <c r="JVC746" s="187"/>
      <c r="JVD746" s="187"/>
      <c r="JVE746" s="187"/>
      <c r="JVF746" s="187"/>
      <c r="JVG746" s="187"/>
      <c r="JVH746" s="187"/>
      <c r="JVI746" s="187"/>
      <c r="JVJ746" s="187"/>
      <c r="JVK746" s="187"/>
      <c r="JVL746" s="187"/>
      <c r="JVM746" s="187"/>
      <c r="JVN746" s="187"/>
      <c r="JVO746" s="187"/>
      <c r="JVP746" s="187"/>
      <c r="JVQ746" s="187"/>
      <c r="JVR746" s="187"/>
      <c r="JVS746" s="187"/>
      <c r="JVT746" s="187"/>
      <c r="JVU746" s="187"/>
      <c r="JVV746" s="187"/>
      <c r="JVW746" s="187"/>
      <c r="JVX746" s="187"/>
      <c r="JVY746" s="187"/>
      <c r="JVZ746" s="187"/>
      <c r="JWA746" s="187"/>
      <c r="JWB746" s="187"/>
      <c r="JWC746" s="187"/>
      <c r="JWD746" s="187"/>
      <c r="JWE746" s="187"/>
      <c r="JWF746" s="187"/>
      <c r="JWG746" s="187"/>
      <c r="JWH746" s="187"/>
      <c r="JWI746" s="187"/>
      <c r="JWJ746" s="187"/>
      <c r="JWK746" s="187"/>
      <c r="JWL746" s="187"/>
      <c r="JWM746" s="187"/>
      <c r="JWN746" s="187"/>
      <c r="JWO746" s="187"/>
      <c r="JWP746" s="187"/>
      <c r="JWQ746" s="187"/>
      <c r="JWR746" s="187"/>
      <c r="JWS746" s="187"/>
      <c r="JWT746" s="187"/>
      <c r="JWU746" s="187"/>
      <c r="JWV746" s="187"/>
      <c r="JWW746" s="187"/>
      <c r="JWX746" s="187"/>
      <c r="JWY746" s="187"/>
      <c r="JWZ746" s="187"/>
      <c r="JXA746" s="187"/>
      <c r="JXB746" s="187"/>
      <c r="JXC746" s="187"/>
      <c r="JXD746" s="187"/>
      <c r="JXE746" s="187"/>
      <c r="JXF746" s="187"/>
      <c r="JXG746" s="187"/>
      <c r="JXH746" s="187"/>
      <c r="JXI746" s="187"/>
      <c r="JXJ746" s="187"/>
      <c r="JXK746" s="187"/>
      <c r="JXL746" s="187"/>
      <c r="JXM746" s="187"/>
      <c r="JXN746" s="187"/>
      <c r="JXO746" s="187"/>
      <c r="JXP746" s="187"/>
      <c r="JXQ746" s="187"/>
      <c r="JXR746" s="187"/>
      <c r="JXS746" s="187"/>
      <c r="JXT746" s="187"/>
      <c r="JXU746" s="187"/>
      <c r="JXV746" s="187"/>
      <c r="JXW746" s="187"/>
      <c r="JXX746" s="187"/>
      <c r="JXY746" s="187"/>
      <c r="JXZ746" s="187"/>
      <c r="JYA746" s="187"/>
      <c r="JYB746" s="187"/>
      <c r="JYC746" s="187"/>
      <c r="JYD746" s="187"/>
      <c r="JYE746" s="187"/>
      <c r="JYF746" s="187"/>
      <c r="JYG746" s="187"/>
      <c r="JYH746" s="187"/>
      <c r="JYI746" s="187"/>
      <c r="JYJ746" s="187"/>
      <c r="JYK746" s="187"/>
      <c r="JYL746" s="187"/>
      <c r="JYM746" s="187"/>
      <c r="JYN746" s="187"/>
      <c r="JYO746" s="187"/>
      <c r="JYP746" s="187"/>
      <c r="JYQ746" s="187"/>
      <c r="JYR746" s="187"/>
      <c r="JYS746" s="187"/>
      <c r="JYT746" s="187"/>
      <c r="JYU746" s="187"/>
      <c r="JYV746" s="187"/>
      <c r="JYW746" s="187"/>
      <c r="JYX746" s="187"/>
      <c r="JYY746" s="187"/>
      <c r="JYZ746" s="187"/>
      <c r="JZA746" s="187"/>
      <c r="JZB746" s="187"/>
      <c r="JZC746" s="187"/>
      <c r="JZD746" s="187"/>
      <c r="JZE746" s="187"/>
      <c r="JZF746" s="187"/>
      <c r="JZG746" s="187"/>
      <c r="JZH746" s="187"/>
      <c r="JZI746" s="187"/>
      <c r="JZJ746" s="187"/>
      <c r="JZK746" s="187"/>
      <c r="JZL746" s="187"/>
      <c r="JZM746" s="187"/>
      <c r="JZN746" s="187"/>
      <c r="JZO746" s="187"/>
      <c r="JZP746" s="187"/>
      <c r="JZQ746" s="187"/>
      <c r="JZR746" s="187"/>
      <c r="JZS746" s="187"/>
      <c r="JZT746" s="187"/>
      <c r="JZU746" s="187"/>
      <c r="JZV746" s="187"/>
      <c r="JZW746" s="187"/>
      <c r="JZX746" s="187"/>
      <c r="JZY746" s="187"/>
      <c r="JZZ746" s="187"/>
      <c r="KAA746" s="187"/>
      <c r="KAB746" s="187"/>
      <c r="KAC746" s="187"/>
      <c r="KAD746" s="187"/>
      <c r="KAE746" s="187"/>
      <c r="KAF746" s="187"/>
      <c r="KAG746" s="187"/>
      <c r="KAH746" s="187"/>
      <c r="KAI746" s="187"/>
      <c r="KAJ746" s="187"/>
      <c r="KAK746" s="187"/>
      <c r="KAL746" s="187"/>
      <c r="KAM746" s="187"/>
      <c r="KAN746" s="187"/>
      <c r="KAO746" s="187"/>
      <c r="KAP746" s="187"/>
      <c r="KAQ746" s="187"/>
      <c r="KAR746" s="187"/>
      <c r="KAS746" s="187"/>
      <c r="KAT746" s="187"/>
      <c r="KAU746" s="187"/>
      <c r="KAV746" s="187"/>
      <c r="KAW746" s="187"/>
      <c r="KAX746" s="187"/>
      <c r="KAY746" s="187"/>
      <c r="KAZ746" s="187"/>
      <c r="KBA746" s="187"/>
      <c r="KBB746" s="187"/>
      <c r="KBC746" s="187"/>
      <c r="KBD746" s="187"/>
      <c r="KBE746" s="187"/>
      <c r="KBF746" s="187"/>
      <c r="KBG746" s="187"/>
      <c r="KBH746" s="187"/>
      <c r="KBI746" s="187"/>
      <c r="KBJ746" s="187"/>
      <c r="KBK746" s="187"/>
      <c r="KBL746" s="187"/>
      <c r="KBM746" s="187"/>
      <c r="KBN746" s="187"/>
      <c r="KBO746" s="187"/>
      <c r="KBP746" s="187"/>
      <c r="KBQ746" s="187"/>
      <c r="KBR746" s="187"/>
      <c r="KBS746" s="187"/>
      <c r="KBT746" s="187"/>
      <c r="KBU746" s="187"/>
      <c r="KBV746" s="187"/>
      <c r="KBW746" s="187"/>
      <c r="KBX746" s="187"/>
      <c r="KBY746" s="187"/>
      <c r="KBZ746" s="187"/>
      <c r="KCA746" s="187"/>
      <c r="KCB746" s="187"/>
      <c r="KCC746" s="187"/>
      <c r="KCD746" s="187"/>
      <c r="KCE746" s="187"/>
      <c r="KCF746" s="187"/>
      <c r="KCG746" s="187"/>
      <c r="KCH746" s="187"/>
      <c r="KCI746" s="187"/>
      <c r="KCJ746" s="187"/>
      <c r="KCK746" s="187"/>
      <c r="KCL746" s="187"/>
      <c r="KCM746" s="187"/>
      <c r="KCN746" s="187"/>
      <c r="KCO746" s="187"/>
      <c r="KCP746" s="187"/>
      <c r="KCQ746" s="187"/>
      <c r="KCR746" s="187"/>
      <c r="KCS746" s="187"/>
      <c r="KCT746" s="187"/>
      <c r="KCU746" s="187"/>
      <c r="KCV746" s="187"/>
      <c r="KCW746" s="187"/>
      <c r="KCX746" s="187"/>
      <c r="KCY746" s="187"/>
      <c r="KCZ746" s="187"/>
      <c r="KDA746" s="187"/>
      <c r="KDB746" s="187"/>
      <c r="KDC746" s="187"/>
      <c r="KDD746" s="187"/>
      <c r="KDE746" s="187"/>
      <c r="KDF746" s="187"/>
      <c r="KDG746" s="187"/>
      <c r="KDH746" s="187"/>
      <c r="KDI746" s="187"/>
      <c r="KDJ746" s="187"/>
      <c r="KDK746" s="187"/>
      <c r="KDL746" s="187"/>
      <c r="KDM746" s="187"/>
      <c r="KDN746" s="187"/>
      <c r="KDO746" s="187"/>
      <c r="KDP746" s="187"/>
      <c r="KDQ746" s="187"/>
      <c r="KDR746" s="187"/>
      <c r="KDS746" s="187"/>
      <c r="KDT746" s="187"/>
      <c r="KDU746" s="187"/>
      <c r="KDV746" s="187"/>
      <c r="KDW746" s="187"/>
      <c r="KDX746" s="187"/>
      <c r="KDY746" s="187"/>
      <c r="KDZ746" s="187"/>
      <c r="KEA746" s="187"/>
      <c r="KEB746" s="187"/>
      <c r="KEC746" s="187"/>
      <c r="KED746" s="187"/>
      <c r="KEE746" s="187"/>
      <c r="KEF746" s="187"/>
      <c r="KEG746" s="187"/>
      <c r="KEH746" s="187"/>
      <c r="KEI746" s="187"/>
      <c r="KEJ746" s="187"/>
      <c r="KEK746" s="187"/>
      <c r="KEL746" s="187"/>
      <c r="KEM746" s="187"/>
      <c r="KEN746" s="187"/>
      <c r="KEO746" s="187"/>
      <c r="KEP746" s="187"/>
      <c r="KEQ746" s="187"/>
      <c r="KER746" s="187"/>
      <c r="KES746" s="187"/>
      <c r="KET746" s="187"/>
      <c r="KEU746" s="187"/>
      <c r="KEV746" s="187"/>
      <c r="KEW746" s="187"/>
      <c r="KEX746" s="187"/>
      <c r="KEY746" s="187"/>
      <c r="KEZ746" s="187"/>
      <c r="KFA746" s="187"/>
      <c r="KFB746" s="187"/>
      <c r="KFC746" s="187"/>
      <c r="KFD746" s="187"/>
      <c r="KFE746" s="187"/>
      <c r="KFF746" s="187"/>
      <c r="KFG746" s="187"/>
      <c r="KFH746" s="187"/>
      <c r="KFI746" s="187"/>
      <c r="KFJ746" s="187"/>
      <c r="KFK746" s="187"/>
      <c r="KFL746" s="187"/>
      <c r="KFM746" s="187"/>
      <c r="KFN746" s="187"/>
      <c r="KFO746" s="187"/>
      <c r="KFP746" s="187"/>
      <c r="KFQ746" s="187"/>
      <c r="KFR746" s="187"/>
      <c r="KFS746" s="187"/>
      <c r="KFT746" s="187"/>
      <c r="KFU746" s="187"/>
      <c r="KFV746" s="187"/>
      <c r="KFW746" s="187"/>
      <c r="KFX746" s="187"/>
      <c r="KFY746" s="187"/>
      <c r="KFZ746" s="187"/>
      <c r="KGA746" s="187"/>
      <c r="KGB746" s="187"/>
      <c r="KGC746" s="187"/>
      <c r="KGD746" s="187"/>
      <c r="KGE746" s="187"/>
      <c r="KGF746" s="187"/>
      <c r="KGG746" s="187"/>
      <c r="KGH746" s="187"/>
      <c r="KGI746" s="187"/>
      <c r="KGJ746" s="187"/>
      <c r="KGK746" s="187"/>
      <c r="KGL746" s="187"/>
      <c r="KGM746" s="187"/>
      <c r="KGN746" s="187"/>
      <c r="KGO746" s="187"/>
      <c r="KGP746" s="187"/>
      <c r="KGQ746" s="187"/>
      <c r="KGR746" s="187"/>
      <c r="KGS746" s="187"/>
      <c r="KGT746" s="187"/>
      <c r="KGU746" s="187"/>
      <c r="KGV746" s="187"/>
      <c r="KGW746" s="187"/>
      <c r="KGX746" s="187"/>
      <c r="KGY746" s="187"/>
      <c r="KGZ746" s="187"/>
      <c r="KHA746" s="187"/>
      <c r="KHB746" s="187"/>
      <c r="KHC746" s="187"/>
      <c r="KHD746" s="187"/>
      <c r="KHE746" s="187"/>
      <c r="KHF746" s="187"/>
      <c r="KHG746" s="187"/>
      <c r="KHH746" s="187"/>
      <c r="KHI746" s="187"/>
      <c r="KHJ746" s="187"/>
      <c r="KHK746" s="187"/>
      <c r="KHL746" s="187"/>
      <c r="KHM746" s="187"/>
      <c r="KHN746" s="187"/>
      <c r="KHO746" s="187"/>
      <c r="KHP746" s="187"/>
      <c r="KHQ746" s="187"/>
      <c r="KHR746" s="187"/>
      <c r="KHS746" s="187"/>
      <c r="KHT746" s="187"/>
      <c r="KHU746" s="187"/>
      <c r="KHV746" s="187"/>
      <c r="KHW746" s="187"/>
      <c r="KHX746" s="187"/>
      <c r="KHY746" s="187"/>
      <c r="KHZ746" s="187"/>
      <c r="KIA746" s="187"/>
      <c r="KIB746" s="187"/>
      <c r="KIC746" s="187"/>
      <c r="KID746" s="187"/>
      <c r="KIE746" s="187"/>
      <c r="KIF746" s="187"/>
      <c r="KIG746" s="187"/>
      <c r="KIH746" s="187"/>
      <c r="KII746" s="187"/>
      <c r="KIJ746" s="187"/>
      <c r="KIK746" s="187"/>
      <c r="KIL746" s="187"/>
      <c r="KIM746" s="187"/>
      <c r="KIN746" s="187"/>
      <c r="KIO746" s="187"/>
      <c r="KIP746" s="187"/>
      <c r="KIQ746" s="187"/>
      <c r="KIR746" s="187"/>
      <c r="KIS746" s="187"/>
      <c r="KIT746" s="187"/>
      <c r="KIU746" s="187"/>
      <c r="KIV746" s="187"/>
      <c r="KIW746" s="187"/>
      <c r="KIX746" s="187"/>
      <c r="KIY746" s="187"/>
      <c r="KIZ746" s="187"/>
      <c r="KJA746" s="187"/>
      <c r="KJB746" s="187"/>
      <c r="KJC746" s="187"/>
      <c r="KJD746" s="187"/>
      <c r="KJE746" s="187"/>
      <c r="KJF746" s="187"/>
      <c r="KJG746" s="187"/>
      <c r="KJH746" s="187"/>
      <c r="KJI746" s="187"/>
      <c r="KJJ746" s="187"/>
      <c r="KJK746" s="187"/>
      <c r="KJL746" s="187"/>
      <c r="KJM746" s="187"/>
      <c r="KJN746" s="187"/>
      <c r="KJO746" s="187"/>
      <c r="KJP746" s="187"/>
      <c r="KJQ746" s="187"/>
      <c r="KJR746" s="187"/>
      <c r="KJS746" s="187"/>
      <c r="KJT746" s="187"/>
      <c r="KJU746" s="187"/>
      <c r="KJV746" s="187"/>
      <c r="KJW746" s="187"/>
      <c r="KJX746" s="187"/>
      <c r="KJY746" s="187"/>
      <c r="KJZ746" s="187"/>
      <c r="KKA746" s="187"/>
      <c r="KKB746" s="187"/>
      <c r="KKC746" s="187"/>
      <c r="KKD746" s="187"/>
      <c r="KKE746" s="187"/>
      <c r="KKF746" s="187"/>
      <c r="KKG746" s="187"/>
      <c r="KKH746" s="187"/>
      <c r="KKI746" s="187"/>
      <c r="KKJ746" s="187"/>
      <c r="KKK746" s="187"/>
      <c r="KKL746" s="187"/>
      <c r="KKM746" s="187"/>
      <c r="KKN746" s="187"/>
      <c r="KKO746" s="187"/>
      <c r="KKP746" s="187"/>
      <c r="KKQ746" s="187"/>
      <c r="KKR746" s="187"/>
      <c r="KKS746" s="187"/>
      <c r="KKT746" s="187"/>
      <c r="KKU746" s="187"/>
      <c r="KKV746" s="187"/>
      <c r="KKW746" s="187"/>
      <c r="KKX746" s="187"/>
      <c r="KKY746" s="187"/>
      <c r="KKZ746" s="187"/>
      <c r="KLA746" s="187"/>
      <c r="KLB746" s="187"/>
      <c r="KLC746" s="187"/>
      <c r="KLD746" s="187"/>
      <c r="KLE746" s="187"/>
      <c r="KLF746" s="187"/>
      <c r="KLG746" s="187"/>
      <c r="KLH746" s="187"/>
      <c r="KLI746" s="187"/>
      <c r="KLJ746" s="187"/>
      <c r="KLK746" s="187"/>
      <c r="KLL746" s="187"/>
      <c r="KLM746" s="187"/>
      <c r="KLN746" s="187"/>
      <c r="KLO746" s="187"/>
      <c r="KLP746" s="187"/>
      <c r="KLQ746" s="187"/>
      <c r="KLR746" s="187"/>
      <c r="KLS746" s="187"/>
      <c r="KLT746" s="187"/>
      <c r="KLU746" s="187"/>
      <c r="KLV746" s="187"/>
      <c r="KLW746" s="187"/>
      <c r="KLX746" s="187"/>
      <c r="KLY746" s="187"/>
      <c r="KLZ746" s="187"/>
      <c r="KMA746" s="187"/>
      <c r="KMB746" s="187"/>
      <c r="KMC746" s="187"/>
      <c r="KMD746" s="187"/>
      <c r="KME746" s="187"/>
      <c r="KMF746" s="187"/>
      <c r="KMG746" s="187"/>
      <c r="KMH746" s="187"/>
      <c r="KMI746" s="187"/>
      <c r="KMJ746" s="187"/>
      <c r="KMK746" s="187"/>
      <c r="KML746" s="187"/>
      <c r="KMM746" s="187"/>
      <c r="KMN746" s="187"/>
      <c r="KMO746" s="187"/>
      <c r="KMP746" s="187"/>
      <c r="KMQ746" s="187"/>
      <c r="KMR746" s="187"/>
      <c r="KMS746" s="187"/>
      <c r="KMT746" s="187"/>
      <c r="KMU746" s="187"/>
      <c r="KMV746" s="187"/>
      <c r="KMW746" s="187"/>
      <c r="KMX746" s="187"/>
      <c r="KMY746" s="187"/>
      <c r="KMZ746" s="187"/>
      <c r="KNA746" s="187"/>
      <c r="KNB746" s="187"/>
      <c r="KNC746" s="187"/>
      <c r="KND746" s="187"/>
      <c r="KNE746" s="187"/>
      <c r="KNF746" s="187"/>
      <c r="KNG746" s="187"/>
      <c r="KNH746" s="187"/>
      <c r="KNI746" s="187"/>
      <c r="KNJ746" s="187"/>
      <c r="KNK746" s="187"/>
      <c r="KNL746" s="187"/>
      <c r="KNM746" s="187"/>
      <c r="KNN746" s="187"/>
      <c r="KNO746" s="187"/>
      <c r="KNP746" s="187"/>
      <c r="KNQ746" s="187"/>
      <c r="KNR746" s="187"/>
      <c r="KNS746" s="187"/>
      <c r="KNT746" s="187"/>
      <c r="KNU746" s="187"/>
      <c r="KNV746" s="187"/>
      <c r="KNW746" s="187"/>
      <c r="KNX746" s="187"/>
      <c r="KNY746" s="187"/>
      <c r="KNZ746" s="187"/>
      <c r="KOA746" s="187"/>
      <c r="KOB746" s="187"/>
      <c r="KOC746" s="187"/>
      <c r="KOD746" s="187"/>
      <c r="KOE746" s="187"/>
      <c r="KOF746" s="187"/>
      <c r="KOG746" s="187"/>
      <c r="KOH746" s="187"/>
      <c r="KOI746" s="187"/>
      <c r="KOJ746" s="187"/>
      <c r="KOK746" s="187"/>
      <c r="KOL746" s="187"/>
      <c r="KOM746" s="187"/>
      <c r="KON746" s="187"/>
      <c r="KOO746" s="187"/>
      <c r="KOP746" s="187"/>
      <c r="KOQ746" s="187"/>
      <c r="KOR746" s="187"/>
      <c r="KOS746" s="187"/>
      <c r="KOT746" s="187"/>
      <c r="KOU746" s="187"/>
      <c r="KOV746" s="187"/>
      <c r="KOW746" s="187"/>
      <c r="KOX746" s="187"/>
      <c r="KOY746" s="187"/>
      <c r="KOZ746" s="187"/>
      <c r="KPA746" s="187"/>
      <c r="KPB746" s="187"/>
      <c r="KPC746" s="187"/>
      <c r="KPD746" s="187"/>
      <c r="KPE746" s="187"/>
      <c r="KPF746" s="187"/>
      <c r="KPG746" s="187"/>
      <c r="KPH746" s="187"/>
      <c r="KPI746" s="187"/>
      <c r="KPJ746" s="187"/>
      <c r="KPK746" s="187"/>
      <c r="KPL746" s="187"/>
      <c r="KPM746" s="187"/>
      <c r="KPN746" s="187"/>
      <c r="KPO746" s="187"/>
      <c r="KPP746" s="187"/>
      <c r="KPQ746" s="187"/>
      <c r="KPR746" s="187"/>
      <c r="KPS746" s="187"/>
      <c r="KPT746" s="187"/>
      <c r="KPU746" s="187"/>
      <c r="KPV746" s="187"/>
      <c r="KPW746" s="187"/>
      <c r="KPX746" s="187"/>
      <c r="KPY746" s="187"/>
      <c r="KPZ746" s="187"/>
      <c r="KQA746" s="187"/>
      <c r="KQB746" s="187"/>
      <c r="KQC746" s="187"/>
      <c r="KQD746" s="187"/>
      <c r="KQE746" s="187"/>
      <c r="KQF746" s="187"/>
      <c r="KQG746" s="187"/>
      <c r="KQH746" s="187"/>
      <c r="KQI746" s="187"/>
      <c r="KQJ746" s="187"/>
      <c r="KQK746" s="187"/>
      <c r="KQL746" s="187"/>
      <c r="KQM746" s="187"/>
      <c r="KQN746" s="187"/>
      <c r="KQO746" s="187"/>
      <c r="KQP746" s="187"/>
      <c r="KQQ746" s="187"/>
      <c r="KQR746" s="187"/>
      <c r="KQS746" s="187"/>
      <c r="KQT746" s="187"/>
      <c r="KQU746" s="187"/>
      <c r="KQV746" s="187"/>
      <c r="KQW746" s="187"/>
      <c r="KQX746" s="187"/>
      <c r="KQY746" s="187"/>
      <c r="KQZ746" s="187"/>
      <c r="KRA746" s="187"/>
      <c r="KRB746" s="187"/>
      <c r="KRC746" s="187"/>
      <c r="KRD746" s="187"/>
      <c r="KRE746" s="187"/>
      <c r="KRF746" s="187"/>
      <c r="KRG746" s="187"/>
      <c r="KRH746" s="187"/>
      <c r="KRI746" s="187"/>
      <c r="KRJ746" s="187"/>
      <c r="KRK746" s="187"/>
      <c r="KRL746" s="187"/>
      <c r="KRM746" s="187"/>
      <c r="KRN746" s="187"/>
      <c r="KRO746" s="187"/>
      <c r="KRP746" s="187"/>
      <c r="KRQ746" s="187"/>
      <c r="KRR746" s="187"/>
      <c r="KRS746" s="187"/>
      <c r="KRT746" s="187"/>
      <c r="KRU746" s="187"/>
      <c r="KRV746" s="187"/>
      <c r="KRW746" s="187"/>
      <c r="KRX746" s="187"/>
      <c r="KRY746" s="187"/>
      <c r="KRZ746" s="187"/>
      <c r="KSA746" s="187"/>
      <c r="KSB746" s="187"/>
      <c r="KSC746" s="187"/>
      <c r="KSD746" s="187"/>
      <c r="KSE746" s="187"/>
      <c r="KSF746" s="187"/>
      <c r="KSG746" s="187"/>
      <c r="KSH746" s="187"/>
      <c r="KSI746" s="187"/>
      <c r="KSJ746" s="187"/>
      <c r="KSK746" s="187"/>
      <c r="KSL746" s="187"/>
      <c r="KSM746" s="187"/>
      <c r="KSN746" s="187"/>
      <c r="KSO746" s="187"/>
      <c r="KSP746" s="187"/>
      <c r="KSQ746" s="187"/>
      <c r="KSR746" s="187"/>
      <c r="KSS746" s="187"/>
      <c r="KST746" s="187"/>
      <c r="KSU746" s="187"/>
      <c r="KSV746" s="187"/>
      <c r="KSW746" s="187"/>
      <c r="KSX746" s="187"/>
      <c r="KSY746" s="187"/>
      <c r="KSZ746" s="187"/>
      <c r="KTA746" s="187"/>
      <c r="KTB746" s="187"/>
      <c r="KTC746" s="187"/>
      <c r="KTD746" s="187"/>
      <c r="KTE746" s="187"/>
      <c r="KTF746" s="187"/>
      <c r="KTG746" s="187"/>
      <c r="KTH746" s="187"/>
      <c r="KTI746" s="187"/>
      <c r="KTJ746" s="187"/>
      <c r="KTK746" s="187"/>
      <c r="KTL746" s="187"/>
      <c r="KTM746" s="187"/>
      <c r="KTN746" s="187"/>
      <c r="KTO746" s="187"/>
      <c r="KTP746" s="187"/>
      <c r="KTQ746" s="187"/>
      <c r="KTR746" s="187"/>
      <c r="KTS746" s="187"/>
      <c r="KTT746" s="187"/>
      <c r="KTU746" s="187"/>
      <c r="KTV746" s="187"/>
      <c r="KTW746" s="187"/>
      <c r="KTX746" s="187"/>
      <c r="KTY746" s="187"/>
      <c r="KTZ746" s="187"/>
      <c r="KUA746" s="187"/>
      <c r="KUB746" s="187"/>
      <c r="KUC746" s="187"/>
      <c r="KUD746" s="187"/>
      <c r="KUE746" s="187"/>
      <c r="KUF746" s="187"/>
      <c r="KUG746" s="187"/>
      <c r="KUH746" s="187"/>
      <c r="KUI746" s="187"/>
      <c r="KUJ746" s="187"/>
      <c r="KUK746" s="187"/>
      <c r="KUL746" s="187"/>
      <c r="KUM746" s="187"/>
      <c r="KUN746" s="187"/>
      <c r="KUO746" s="187"/>
      <c r="KUP746" s="187"/>
      <c r="KUQ746" s="187"/>
      <c r="KUR746" s="187"/>
      <c r="KUS746" s="187"/>
      <c r="KUT746" s="187"/>
      <c r="KUU746" s="187"/>
      <c r="KUV746" s="187"/>
      <c r="KUW746" s="187"/>
      <c r="KUX746" s="187"/>
      <c r="KUY746" s="187"/>
      <c r="KUZ746" s="187"/>
      <c r="KVA746" s="187"/>
      <c r="KVB746" s="187"/>
      <c r="KVC746" s="187"/>
      <c r="KVD746" s="187"/>
      <c r="KVE746" s="187"/>
      <c r="KVF746" s="187"/>
      <c r="KVG746" s="187"/>
      <c r="KVH746" s="187"/>
      <c r="KVI746" s="187"/>
      <c r="KVJ746" s="187"/>
      <c r="KVK746" s="187"/>
      <c r="KVL746" s="187"/>
      <c r="KVM746" s="187"/>
      <c r="KVN746" s="187"/>
      <c r="KVO746" s="187"/>
      <c r="KVP746" s="187"/>
      <c r="KVQ746" s="187"/>
      <c r="KVR746" s="187"/>
      <c r="KVS746" s="187"/>
      <c r="KVT746" s="187"/>
      <c r="KVU746" s="187"/>
      <c r="KVV746" s="187"/>
      <c r="KVW746" s="187"/>
      <c r="KVX746" s="187"/>
      <c r="KVY746" s="187"/>
      <c r="KVZ746" s="187"/>
      <c r="KWA746" s="187"/>
      <c r="KWB746" s="187"/>
      <c r="KWC746" s="187"/>
      <c r="KWD746" s="187"/>
      <c r="KWE746" s="187"/>
      <c r="KWF746" s="187"/>
      <c r="KWG746" s="187"/>
      <c r="KWH746" s="187"/>
      <c r="KWI746" s="187"/>
      <c r="KWJ746" s="187"/>
      <c r="KWK746" s="187"/>
      <c r="KWL746" s="187"/>
      <c r="KWM746" s="187"/>
      <c r="KWN746" s="187"/>
      <c r="KWO746" s="187"/>
      <c r="KWP746" s="187"/>
      <c r="KWQ746" s="187"/>
      <c r="KWR746" s="187"/>
      <c r="KWS746" s="187"/>
      <c r="KWT746" s="187"/>
      <c r="KWU746" s="187"/>
      <c r="KWV746" s="187"/>
      <c r="KWW746" s="187"/>
      <c r="KWX746" s="187"/>
      <c r="KWY746" s="187"/>
      <c r="KWZ746" s="187"/>
      <c r="KXA746" s="187"/>
      <c r="KXB746" s="187"/>
      <c r="KXC746" s="187"/>
      <c r="KXD746" s="187"/>
      <c r="KXE746" s="187"/>
      <c r="KXF746" s="187"/>
      <c r="KXG746" s="187"/>
      <c r="KXH746" s="187"/>
      <c r="KXI746" s="187"/>
      <c r="KXJ746" s="187"/>
      <c r="KXK746" s="187"/>
      <c r="KXL746" s="187"/>
      <c r="KXM746" s="187"/>
      <c r="KXN746" s="187"/>
      <c r="KXO746" s="187"/>
      <c r="KXP746" s="187"/>
      <c r="KXQ746" s="187"/>
      <c r="KXR746" s="187"/>
      <c r="KXS746" s="187"/>
      <c r="KXT746" s="187"/>
      <c r="KXU746" s="187"/>
      <c r="KXV746" s="187"/>
      <c r="KXW746" s="187"/>
      <c r="KXX746" s="187"/>
      <c r="KXY746" s="187"/>
      <c r="KXZ746" s="187"/>
      <c r="KYA746" s="187"/>
      <c r="KYB746" s="187"/>
      <c r="KYC746" s="187"/>
      <c r="KYD746" s="187"/>
      <c r="KYE746" s="187"/>
      <c r="KYF746" s="187"/>
      <c r="KYG746" s="187"/>
      <c r="KYH746" s="187"/>
      <c r="KYI746" s="187"/>
      <c r="KYJ746" s="187"/>
      <c r="KYK746" s="187"/>
      <c r="KYL746" s="187"/>
      <c r="KYM746" s="187"/>
      <c r="KYN746" s="187"/>
      <c r="KYO746" s="187"/>
      <c r="KYP746" s="187"/>
      <c r="KYQ746" s="187"/>
      <c r="KYR746" s="187"/>
      <c r="KYS746" s="187"/>
      <c r="KYT746" s="187"/>
      <c r="KYU746" s="187"/>
      <c r="KYV746" s="187"/>
      <c r="KYW746" s="187"/>
      <c r="KYX746" s="187"/>
      <c r="KYY746" s="187"/>
      <c r="KYZ746" s="187"/>
      <c r="KZA746" s="187"/>
      <c r="KZB746" s="187"/>
      <c r="KZC746" s="187"/>
      <c r="KZD746" s="187"/>
      <c r="KZE746" s="187"/>
      <c r="KZF746" s="187"/>
      <c r="KZG746" s="187"/>
      <c r="KZH746" s="187"/>
      <c r="KZI746" s="187"/>
      <c r="KZJ746" s="187"/>
      <c r="KZK746" s="187"/>
      <c r="KZL746" s="187"/>
      <c r="KZM746" s="187"/>
      <c r="KZN746" s="187"/>
      <c r="KZO746" s="187"/>
      <c r="KZP746" s="187"/>
      <c r="KZQ746" s="187"/>
      <c r="KZR746" s="187"/>
      <c r="KZS746" s="187"/>
      <c r="KZT746" s="187"/>
      <c r="KZU746" s="187"/>
      <c r="KZV746" s="187"/>
      <c r="KZW746" s="187"/>
      <c r="KZX746" s="187"/>
      <c r="KZY746" s="187"/>
      <c r="KZZ746" s="187"/>
      <c r="LAA746" s="187"/>
      <c r="LAB746" s="187"/>
      <c r="LAC746" s="187"/>
      <c r="LAD746" s="187"/>
      <c r="LAE746" s="187"/>
      <c r="LAF746" s="187"/>
      <c r="LAG746" s="187"/>
      <c r="LAH746" s="187"/>
      <c r="LAI746" s="187"/>
      <c r="LAJ746" s="187"/>
      <c r="LAK746" s="187"/>
      <c r="LAL746" s="187"/>
      <c r="LAM746" s="187"/>
      <c r="LAN746" s="187"/>
      <c r="LAO746" s="187"/>
      <c r="LAP746" s="187"/>
      <c r="LAQ746" s="187"/>
      <c r="LAR746" s="187"/>
      <c r="LAS746" s="187"/>
      <c r="LAT746" s="187"/>
      <c r="LAU746" s="187"/>
      <c r="LAV746" s="187"/>
      <c r="LAW746" s="187"/>
      <c r="LAX746" s="187"/>
      <c r="LAY746" s="187"/>
      <c r="LAZ746" s="187"/>
      <c r="LBA746" s="187"/>
      <c r="LBB746" s="187"/>
      <c r="LBC746" s="187"/>
      <c r="LBD746" s="187"/>
      <c r="LBE746" s="187"/>
      <c r="LBF746" s="187"/>
      <c r="LBG746" s="187"/>
      <c r="LBH746" s="187"/>
      <c r="LBI746" s="187"/>
      <c r="LBJ746" s="187"/>
      <c r="LBK746" s="187"/>
      <c r="LBL746" s="187"/>
      <c r="LBM746" s="187"/>
      <c r="LBN746" s="187"/>
      <c r="LBO746" s="187"/>
      <c r="LBP746" s="187"/>
      <c r="LBQ746" s="187"/>
      <c r="LBR746" s="187"/>
      <c r="LBS746" s="187"/>
      <c r="LBT746" s="187"/>
      <c r="LBU746" s="187"/>
      <c r="LBV746" s="187"/>
      <c r="LBW746" s="187"/>
      <c r="LBX746" s="187"/>
      <c r="LBY746" s="187"/>
      <c r="LBZ746" s="187"/>
      <c r="LCA746" s="187"/>
      <c r="LCB746" s="187"/>
      <c r="LCC746" s="187"/>
      <c r="LCD746" s="187"/>
      <c r="LCE746" s="187"/>
      <c r="LCF746" s="187"/>
      <c r="LCG746" s="187"/>
      <c r="LCH746" s="187"/>
      <c r="LCI746" s="187"/>
      <c r="LCJ746" s="187"/>
      <c r="LCK746" s="187"/>
      <c r="LCL746" s="187"/>
      <c r="LCM746" s="187"/>
      <c r="LCN746" s="187"/>
      <c r="LCO746" s="187"/>
      <c r="LCP746" s="187"/>
      <c r="LCQ746" s="187"/>
      <c r="LCR746" s="187"/>
      <c r="LCS746" s="187"/>
      <c r="LCT746" s="187"/>
      <c r="LCU746" s="187"/>
      <c r="LCV746" s="187"/>
      <c r="LCW746" s="187"/>
      <c r="LCX746" s="187"/>
      <c r="LCY746" s="187"/>
      <c r="LCZ746" s="187"/>
      <c r="LDA746" s="187"/>
      <c r="LDB746" s="187"/>
      <c r="LDC746" s="187"/>
      <c r="LDD746" s="187"/>
      <c r="LDE746" s="187"/>
      <c r="LDF746" s="187"/>
      <c r="LDG746" s="187"/>
      <c r="LDH746" s="187"/>
      <c r="LDI746" s="187"/>
      <c r="LDJ746" s="187"/>
      <c r="LDK746" s="187"/>
      <c r="LDL746" s="187"/>
      <c r="LDM746" s="187"/>
      <c r="LDN746" s="187"/>
      <c r="LDO746" s="187"/>
      <c r="LDP746" s="187"/>
      <c r="LDQ746" s="187"/>
      <c r="LDR746" s="187"/>
      <c r="LDS746" s="187"/>
      <c r="LDT746" s="187"/>
      <c r="LDU746" s="187"/>
      <c r="LDV746" s="187"/>
      <c r="LDW746" s="187"/>
      <c r="LDX746" s="187"/>
      <c r="LDY746" s="187"/>
      <c r="LDZ746" s="187"/>
      <c r="LEA746" s="187"/>
      <c r="LEB746" s="187"/>
      <c r="LEC746" s="187"/>
      <c r="LED746" s="187"/>
      <c r="LEE746" s="187"/>
      <c r="LEF746" s="187"/>
      <c r="LEG746" s="187"/>
      <c r="LEH746" s="187"/>
      <c r="LEI746" s="187"/>
      <c r="LEJ746" s="187"/>
      <c r="LEK746" s="187"/>
      <c r="LEL746" s="187"/>
      <c r="LEM746" s="187"/>
      <c r="LEN746" s="187"/>
      <c r="LEO746" s="187"/>
      <c r="LEP746" s="187"/>
      <c r="LEQ746" s="187"/>
      <c r="LER746" s="187"/>
      <c r="LES746" s="187"/>
      <c r="LET746" s="187"/>
      <c r="LEU746" s="187"/>
      <c r="LEV746" s="187"/>
      <c r="LEW746" s="187"/>
      <c r="LEX746" s="187"/>
      <c r="LEY746" s="187"/>
      <c r="LEZ746" s="187"/>
      <c r="LFA746" s="187"/>
      <c r="LFB746" s="187"/>
      <c r="LFC746" s="187"/>
      <c r="LFD746" s="187"/>
      <c r="LFE746" s="187"/>
      <c r="LFF746" s="187"/>
      <c r="LFG746" s="187"/>
      <c r="LFH746" s="187"/>
      <c r="LFI746" s="187"/>
      <c r="LFJ746" s="187"/>
      <c r="LFK746" s="187"/>
      <c r="LFL746" s="187"/>
      <c r="LFM746" s="187"/>
      <c r="LFN746" s="187"/>
      <c r="LFO746" s="187"/>
      <c r="LFP746" s="187"/>
      <c r="LFQ746" s="187"/>
      <c r="LFR746" s="187"/>
      <c r="LFS746" s="187"/>
      <c r="LFT746" s="187"/>
      <c r="LFU746" s="187"/>
      <c r="LFV746" s="187"/>
      <c r="LFW746" s="187"/>
      <c r="LFX746" s="187"/>
      <c r="LFY746" s="187"/>
      <c r="LFZ746" s="187"/>
      <c r="LGA746" s="187"/>
      <c r="LGB746" s="187"/>
      <c r="LGC746" s="187"/>
      <c r="LGD746" s="187"/>
      <c r="LGE746" s="187"/>
      <c r="LGF746" s="187"/>
      <c r="LGG746" s="187"/>
      <c r="LGH746" s="187"/>
      <c r="LGI746" s="187"/>
      <c r="LGJ746" s="187"/>
      <c r="LGK746" s="187"/>
      <c r="LGL746" s="187"/>
      <c r="LGM746" s="187"/>
      <c r="LGN746" s="187"/>
      <c r="LGO746" s="187"/>
      <c r="LGP746" s="187"/>
      <c r="LGQ746" s="187"/>
      <c r="LGR746" s="187"/>
      <c r="LGS746" s="187"/>
      <c r="LGT746" s="187"/>
      <c r="LGU746" s="187"/>
      <c r="LGV746" s="187"/>
      <c r="LGW746" s="187"/>
      <c r="LGX746" s="187"/>
      <c r="LGY746" s="187"/>
      <c r="LGZ746" s="187"/>
      <c r="LHA746" s="187"/>
      <c r="LHB746" s="187"/>
      <c r="LHC746" s="187"/>
      <c r="LHD746" s="187"/>
      <c r="LHE746" s="187"/>
      <c r="LHF746" s="187"/>
      <c r="LHG746" s="187"/>
      <c r="LHH746" s="187"/>
      <c r="LHI746" s="187"/>
      <c r="LHJ746" s="187"/>
      <c r="LHK746" s="187"/>
      <c r="LHL746" s="187"/>
      <c r="LHM746" s="187"/>
      <c r="LHN746" s="187"/>
      <c r="LHO746" s="187"/>
      <c r="LHP746" s="187"/>
      <c r="LHQ746" s="187"/>
      <c r="LHR746" s="187"/>
      <c r="LHS746" s="187"/>
      <c r="LHT746" s="187"/>
      <c r="LHU746" s="187"/>
      <c r="LHV746" s="187"/>
      <c r="LHW746" s="187"/>
      <c r="LHX746" s="187"/>
      <c r="LHY746" s="187"/>
      <c r="LHZ746" s="187"/>
      <c r="LIA746" s="187"/>
      <c r="LIB746" s="187"/>
      <c r="LIC746" s="187"/>
      <c r="LID746" s="187"/>
      <c r="LIE746" s="187"/>
      <c r="LIF746" s="187"/>
      <c r="LIG746" s="187"/>
      <c r="LIH746" s="187"/>
      <c r="LII746" s="187"/>
      <c r="LIJ746" s="187"/>
      <c r="LIK746" s="187"/>
      <c r="LIL746" s="187"/>
      <c r="LIM746" s="187"/>
      <c r="LIN746" s="187"/>
      <c r="LIO746" s="187"/>
      <c r="LIP746" s="187"/>
      <c r="LIQ746" s="187"/>
      <c r="LIR746" s="187"/>
      <c r="LIS746" s="187"/>
      <c r="LIT746" s="187"/>
      <c r="LIU746" s="187"/>
      <c r="LIV746" s="187"/>
      <c r="LIW746" s="187"/>
      <c r="LIX746" s="187"/>
      <c r="LIY746" s="187"/>
      <c r="LIZ746" s="187"/>
      <c r="LJA746" s="187"/>
      <c r="LJB746" s="187"/>
      <c r="LJC746" s="187"/>
      <c r="LJD746" s="187"/>
      <c r="LJE746" s="187"/>
      <c r="LJF746" s="187"/>
      <c r="LJG746" s="187"/>
      <c r="LJH746" s="187"/>
      <c r="LJI746" s="187"/>
      <c r="LJJ746" s="187"/>
      <c r="LJK746" s="187"/>
      <c r="LJL746" s="187"/>
      <c r="LJM746" s="187"/>
      <c r="LJN746" s="187"/>
      <c r="LJO746" s="187"/>
      <c r="LJP746" s="187"/>
      <c r="LJQ746" s="187"/>
      <c r="LJR746" s="187"/>
      <c r="LJS746" s="187"/>
      <c r="LJT746" s="187"/>
      <c r="LJU746" s="187"/>
      <c r="LJV746" s="187"/>
      <c r="LJW746" s="187"/>
      <c r="LJX746" s="187"/>
      <c r="LJY746" s="187"/>
      <c r="LJZ746" s="187"/>
      <c r="LKA746" s="187"/>
      <c r="LKB746" s="187"/>
      <c r="LKC746" s="187"/>
      <c r="LKD746" s="187"/>
      <c r="LKE746" s="187"/>
      <c r="LKF746" s="187"/>
      <c r="LKG746" s="187"/>
      <c r="LKH746" s="187"/>
      <c r="LKI746" s="187"/>
      <c r="LKJ746" s="187"/>
      <c r="LKK746" s="187"/>
      <c r="LKL746" s="187"/>
      <c r="LKM746" s="187"/>
      <c r="LKN746" s="187"/>
      <c r="LKO746" s="187"/>
      <c r="LKP746" s="187"/>
      <c r="LKQ746" s="187"/>
      <c r="LKR746" s="187"/>
      <c r="LKS746" s="187"/>
      <c r="LKT746" s="187"/>
      <c r="LKU746" s="187"/>
      <c r="LKV746" s="187"/>
      <c r="LKW746" s="187"/>
      <c r="LKX746" s="187"/>
      <c r="LKY746" s="187"/>
      <c r="LKZ746" s="187"/>
      <c r="LLA746" s="187"/>
      <c r="LLB746" s="187"/>
      <c r="LLC746" s="187"/>
      <c r="LLD746" s="187"/>
      <c r="LLE746" s="187"/>
      <c r="LLF746" s="187"/>
      <c r="LLG746" s="187"/>
      <c r="LLH746" s="187"/>
      <c r="LLI746" s="187"/>
      <c r="LLJ746" s="187"/>
      <c r="LLK746" s="187"/>
      <c r="LLL746" s="187"/>
      <c r="LLM746" s="187"/>
      <c r="LLN746" s="187"/>
      <c r="LLO746" s="187"/>
      <c r="LLP746" s="187"/>
      <c r="LLQ746" s="187"/>
      <c r="LLR746" s="187"/>
      <c r="LLS746" s="187"/>
      <c r="LLT746" s="187"/>
      <c r="LLU746" s="187"/>
      <c r="LLV746" s="187"/>
      <c r="LLW746" s="187"/>
      <c r="LLX746" s="187"/>
      <c r="LLY746" s="187"/>
      <c r="LLZ746" s="187"/>
      <c r="LMA746" s="187"/>
      <c r="LMB746" s="187"/>
      <c r="LMC746" s="187"/>
      <c r="LMD746" s="187"/>
      <c r="LME746" s="187"/>
      <c r="LMF746" s="187"/>
      <c r="LMG746" s="187"/>
      <c r="LMH746" s="187"/>
      <c r="LMI746" s="187"/>
      <c r="LMJ746" s="187"/>
      <c r="LMK746" s="187"/>
      <c r="LML746" s="187"/>
      <c r="LMM746" s="187"/>
      <c r="LMN746" s="187"/>
      <c r="LMO746" s="187"/>
      <c r="LMP746" s="187"/>
      <c r="LMQ746" s="187"/>
      <c r="LMR746" s="187"/>
      <c r="LMS746" s="187"/>
      <c r="LMT746" s="187"/>
      <c r="LMU746" s="187"/>
      <c r="LMV746" s="187"/>
      <c r="LMW746" s="187"/>
      <c r="LMX746" s="187"/>
      <c r="LMY746" s="187"/>
      <c r="LMZ746" s="187"/>
      <c r="LNA746" s="187"/>
      <c r="LNB746" s="187"/>
      <c r="LNC746" s="187"/>
      <c r="LND746" s="187"/>
      <c r="LNE746" s="187"/>
      <c r="LNF746" s="187"/>
      <c r="LNG746" s="187"/>
      <c r="LNH746" s="187"/>
      <c r="LNI746" s="187"/>
      <c r="LNJ746" s="187"/>
      <c r="LNK746" s="187"/>
      <c r="LNL746" s="187"/>
      <c r="LNM746" s="187"/>
      <c r="LNN746" s="187"/>
      <c r="LNO746" s="187"/>
      <c r="LNP746" s="187"/>
      <c r="LNQ746" s="187"/>
      <c r="LNR746" s="187"/>
      <c r="LNS746" s="187"/>
      <c r="LNT746" s="187"/>
      <c r="LNU746" s="187"/>
      <c r="LNV746" s="187"/>
      <c r="LNW746" s="187"/>
      <c r="LNX746" s="187"/>
      <c r="LNY746" s="187"/>
      <c r="LNZ746" s="187"/>
      <c r="LOA746" s="187"/>
      <c r="LOB746" s="187"/>
      <c r="LOC746" s="187"/>
      <c r="LOD746" s="187"/>
      <c r="LOE746" s="187"/>
      <c r="LOF746" s="187"/>
      <c r="LOG746" s="187"/>
      <c r="LOH746" s="187"/>
      <c r="LOI746" s="187"/>
      <c r="LOJ746" s="187"/>
      <c r="LOK746" s="187"/>
      <c r="LOL746" s="187"/>
      <c r="LOM746" s="187"/>
      <c r="LON746" s="187"/>
      <c r="LOO746" s="187"/>
      <c r="LOP746" s="187"/>
      <c r="LOQ746" s="187"/>
      <c r="LOR746" s="187"/>
      <c r="LOS746" s="187"/>
      <c r="LOT746" s="187"/>
      <c r="LOU746" s="187"/>
      <c r="LOV746" s="187"/>
      <c r="LOW746" s="187"/>
      <c r="LOX746" s="187"/>
      <c r="LOY746" s="187"/>
      <c r="LOZ746" s="187"/>
      <c r="LPA746" s="187"/>
      <c r="LPB746" s="187"/>
      <c r="LPC746" s="187"/>
      <c r="LPD746" s="187"/>
      <c r="LPE746" s="187"/>
      <c r="LPF746" s="187"/>
      <c r="LPG746" s="187"/>
      <c r="LPH746" s="187"/>
      <c r="LPI746" s="187"/>
      <c r="LPJ746" s="187"/>
      <c r="LPK746" s="187"/>
      <c r="LPL746" s="187"/>
      <c r="LPM746" s="187"/>
      <c r="LPN746" s="187"/>
      <c r="LPO746" s="187"/>
      <c r="LPP746" s="187"/>
      <c r="LPQ746" s="187"/>
      <c r="LPR746" s="187"/>
      <c r="LPS746" s="187"/>
      <c r="LPT746" s="187"/>
      <c r="LPU746" s="187"/>
      <c r="LPV746" s="187"/>
      <c r="LPW746" s="187"/>
      <c r="LPX746" s="187"/>
      <c r="LPY746" s="187"/>
      <c r="LPZ746" s="187"/>
      <c r="LQA746" s="187"/>
      <c r="LQB746" s="187"/>
      <c r="LQC746" s="187"/>
      <c r="LQD746" s="187"/>
      <c r="LQE746" s="187"/>
      <c r="LQF746" s="187"/>
      <c r="LQG746" s="187"/>
      <c r="LQH746" s="187"/>
      <c r="LQI746" s="187"/>
      <c r="LQJ746" s="187"/>
      <c r="LQK746" s="187"/>
      <c r="LQL746" s="187"/>
      <c r="LQM746" s="187"/>
      <c r="LQN746" s="187"/>
      <c r="LQO746" s="187"/>
      <c r="LQP746" s="187"/>
      <c r="LQQ746" s="187"/>
      <c r="LQR746" s="187"/>
      <c r="LQS746" s="187"/>
      <c r="LQT746" s="187"/>
      <c r="LQU746" s="187"/>
      <c r="LQV746" s="187"/>
      <c r="LQW746" s="187"/>
      <c r="LQX746" s="187"/>
      <c r="LQY746" s="187"/>
      <c r="LQZ746" s="187"/>
      <c r="LRA746" s="187"/>
      <c r="LRB746" s="187"/>
      <c r="LRC746" s="187"/>
      <c r="LRD746" s="187"/>
      <c r="LRE746" s="187"/>
      <c r="LRF746" s="187"/>
      <c r="LRG746" s="187"/>
      <c r="LRH746" s="187"/>
      <c r="LRI746" s="187"/>
      <c r="LRJ746" s="187"/>
      <c r="LRK746" s="187"/>
      <c r="LRL746" s="187"/>
      <c r="LRM746" s="187"/>
      <c r="LRN746" s="187"/>
      <c r="LRO746" s="187"/>
      <c r="LRP746" s="187"/>
      <c r="LRQ746" s="187"/>
      <c r="LRR746" s="187"/>
      <c r="LRS746" s="187"/>
      <c r="LRT746" s="187"/>
      <c r="LRU746" s="187"/>
      <c r="LRV746" s="187"/>
      <c r="LRW746" s="187"/>
      <c r="LRX746" s="187"/>
      <c r="LRY746" s="187"/>
      <c r="LRZ746" s="187"/>
      <c r="LSA746" s="187"/>
      <c r="LSB746" s="187"/>
      <c r="LSC746" s="187"/>
      <c r="LSD746" s="187"/>
      <c r="LSE746" s="187"/>
      <c r="LSF746" s="187"/>
      <c r="LSG746" s="187"/>
      <c r="LSH746" s="187"/>
      <c r="LSI746" s="187"/>
      <c r="LSJ746" s="187"/>
      <c r="LSK746" s="187"/>
      <c r="LSL746" s="187"/>
      <c r="LSM746" s="187"/>
      <c r="LSN746" s="187"/>
      <c r="LSO746" s="187"/>
      <c r="LSP746" s="187"/>
      <c r="LSQ746" s="187"/>
      <c r="LSR746" s="187"/>
      <c r="LSS746" s="187"/>
      <c r="LST746" s="187"/>
      <c r="LSU746" s="187"/>
      <c r="LSV746" s="187"/>
      <c r="LSW746" s="187"/>
      <c r="LSX746" s="187"/>
      <c r="LSY746" s="187"/>
      <c r="LSZ746" s="187"/>
      <c r="LTA746" s="187"/>
      <c r="LTB746" s="187"/>
      <c r="LTC746" s="187"/>
      <c r="LTD746" s="187"/>
      <c r="LTE746" s="187"/>
      <c r="LTF746" s="187"/>
      <c r="LTG746" s="187"/>
      <c r="LTH746" s="187"/>
      <c r="LTI746" s="187"/>
      <c r="LTJ746" s="187"/>
      <c r="LTK746" s="187"/>
      <c r="LTL746" s="187"/>
      <c r="LTM746" s="187"/>
      <c r="LTN746" s="187"/>
      <c r="LTO746" s="187"/>
      <c r="LTP746" s="187"/>
      <c r="LTQ746" s="187"/>
      <c r="LTR746" s="187"/>
      <c r="LTS746" s="187"/>
      <c r="LTT746" s="187"/>
      <c r="LTU746" s="187"/>
      <c r="LTV746" s="187"/>
      <c r="LTW746" s="187"/>
      <c r="LTX746" s="187"/>
      <c r="LTY746" s="187"/>
      <c r="LTZ746" s="187"/>
      <c r="LUA746" s="187"/>
      <c r="LUB746" s="187"/>
      <c r="LUC746" s="187"/>
      <c r="LUD746" s="187"/>
      <c r="LUE746" s="187"/>
      <c r="LUF746" s="187"/>
      <c r="LUG746" s="187"/>
      <c r="LUH746" s="187"/>
      <c r="LUI746" s="187"/>
      <c r="LUJ746" s="187"/>
      <c r="LUK746" s="187"/>
      <c r="LUL746" s="187"/>
      <c r="LUM746" s="187"/>
      <c r="LUN746" s="187"/>
      <c r="LUO746" s="187"/>
      <c r="LUP746" s="187"/>
      <c r="LUQ746" s="187"/>
      <c r="LUR746" s="187"/>
      <c r="LUS746" s="187"/>
      <c r="LUT746" s="187"/>
      <c r="LUU746" s="187"/>
      <c r="LUV746" s="187"/>
      <c r="LUW746" s="187"/>
      <c r="LUX746" s="187"/>
      <c r="LUY746" s="187"/>
      <c r="LUZ746" s="187"/>
      <c r="LVA746" s="187"/>
      <c r="LVB746" s="187"/>
      <c r="LVC746" s="187"/>
      <c r="LVD746" s="187"/>
      <c r="LVE746" s="187"/>
      <c r="LVF746" s="187"/>
      <c r="LVG746" s="187"/>
      <c r="LVH746" s="187"/>
      <c r="LVI746" s="187"/>
      <c r="LVJ746" s="187"/>
      <c r="LVK746" s="187"/>
      <c r="LVL746" s="187"/>
      <c r="LVM746" s="187"/>
      <c r="LVN746" s="187"/>
      <c r="LVO746" s="187"/>
      <c r="LVP746" s="187"/>
      <c r="LVQ746" s="187"/>
      <c r="LVR746" s="187"/>
      <c r="LVS746" s="187"/>
      <c r="LVT746" s="187"/>
      <c r="LVU746" s="187"/>
      <c r="LVV746" s="187"/>
      <c r="LVW746" s="187"/>
      <c r="LVX746" s="187"/>
      <c r="LVY746" s="187"/>
      <c r="LVZ746" s="187"/>
      <c r="LWA746" s="187"/>
      <c r="LWB746" s="187"/>
      <c r="LWC746" s="187"/>
      <c r="LWD746" s="187"/>
      <c r="LWE746" s="187"/>
      <c r="LWF746" s="187"/>
      <c r="LWG746" s="187"/>
      <c r="LWH746" s="187"/>
      <c r="LWI746" s="187"/>
      <c r="LWJ746" s="187"/>
      <c r="LWK746" s="187"/>
      <c r="LWL746" s="187"/>
      <c r="LWM746" s="187"/>
      <c r="LWN746" s="187"/>
      <c r="LWO746" s="187"/>
      <c r="LWP746" s="187"/>
      <c r="LWQ746" s="187"/>
      <c r="LWR746" s="187"/>
      <c r="LWS746" s="187"/>
      <c r="LWT746" s="187"/>
      <c r="LWU746" s="187"/>
      <c r="LWV746" s="187"/>
      <c r="LWW746" s="187"/>
      <c r="LWX746" s="187"/>
      <c r="LWY746" s="187"/>
      <c r="LWZ746" s="187"/>
      <c r="LXA746" s="187"/>
      <c r="LXB746" s="187"/>
      <c r="LXC746" s="187"/>
      <c r="LXD746" s="187"/>
      <c r="LXE746" s="187"/>
      <c r="LXF746" s="187"/>
      <c r="LXG746" s="187"/>
      <c r="LXH746" s="187"/>
      <c r="LXI746" s="187"/>
      <c r="LXJ746" s="187"/>
      <c r="LXK746" s="187"/>
      <c r="LXL746" s="187"/>
      <c r="LXM746" s="187"/>
      <c r="LXN746" s="187"/>
      <c r="LXO746" s="187"/>
      <c r="LXP746" s="187"/>
      <c r="LXQ746" s="187"/>
      <c r="LXR746" s="187"/>
      <c r="LXS746" s="187"/>
      <c r="LXT746" s="187"/>
      <c r="LXU746" s="187"/>
      <c r="LXV746" s="187"/>
      <c r="LXW746" s="187"/>
      <c r="LXX746" s="187"/>
      <c r="LXY746" s="187"/>
      <c r="LXZ746" s="187"/>
      <c r="LYA746" s="187"/>
      <c r="LYB746" s="187"/>
      <c r="LYC746" s="187"/>
      <c r="LYD746" s="187"/>
      <c r="LYE746" s="187"/>
      <c r="LYF746" s="187"/>
      <c r="LYG746" s="187"/>
      <c r="LYH746" s="187"/>
      <c r="LYI746" s="187"/>
      <c r="LYJ746" s="187"/>
      <c r="LYK746" s="187"/>
      <c r="LYL746" s="187"/>
      <c r="LYM746" s="187"/>
      <c r="LYN746" s="187"/>
      <c r="LYO746" s="187"/>
      <c r="LYP746" s="187"/>
      <c r="LYQ746" s="187"/>
      <c r="LYR746" s="187"/>
      <c r="LYS746" s="187"/>
      <c r="LYT746" s="187"/>
      <c r="LYU746" s="187"/>
      <c r="LYV746" s="187"/>
      <c r="LYW746" s="187"/>
      <c r="LYX746" s="187"/>
      <c r="LYY746" s="187"/>
      <c r="LYZ746" s="187"/>
      <c r="LZA746" s="187"/>
      <c r="LZB746" s="187"/>
      <c r="LZC746" s="187"/>
      <c r="LZD746" s="187"/>
      <c r="LZE746" s="187"/>
      <c r="LZF746" s="187"/>
      <c r="LZG746" s="187"/>
      <c r="LZH746" s="187"/>
      <c r="LZI746" s="187"/>
      <c r="LZJ746" s="187"/>
      <c r="LZK746" s="187"/>
      <c r="LZL746" s="187"/>
      <c r="LZM746" s="187"/>
      <c r="LZN746" s="187"/>
      <c r="LZO746" s="187"/>
      <c r="LZP746" s="187"/>
      <c r="LZQ746" s="187"/>
      <c r="LZR746" s="187"/>
      <c r="LZS746" s="187"/>
      <c r="LZT746" s="187"/>
      <c r="LZU746" s="187"/>
      <c r="LZV746" s="187"/>
      <c r="LZW746" s="187"/>
      <c r="LZX746" s="187"/>
      <c r="LZY746" s="187"/>
      <c r="LZZ746" s="187"/>
      <c r="MAA746" s="187"/>
      <c r="MAB746" s="187"/>
      <c r="MAC746" s="187"/>
      <c r="MAD746" s="187"/>
      <c r="MAE746" s="187"/>
      <c r="MAF746" s="187"/>
      <c r="MAG746" s="187"/>
      <c r="MAH746" s="187"/>
      <c r="MAI746" s="187"/>
      <c r="MAJ746" s="187"/>
      <c r="MAK746" s="187"/>
      <c r="MAL746" s="187"/>
      <c r="MAM746" s="187"/>
      <c r="MAN746" s="187"/>
      <c r="MAO746" s="187"/>
      <c r="MAP746" s="187"/>
      <c r="MAQ746" s="187"/>
      <c r="MAR746" s="187"/>
      <c r="MAS746" s="187"/>
      <c r="MAT746" s="187"/>
      <c r="MAU746" s="187"/>
      <c r="MAV746" s="187"/>
      <c r="MAW746" s="187"/>
      <c r="MAX746" s="187"/>
      <c r="MAY746" s="187"/>
      <c r="MAZ746" s="187"/>
      <c r="MBA746" s="187"/>
      <c r="MBB746" s="187"/>
      <c r="MBC746" s="187"/>
      <c r="MBD746" s="187"/>
      <c r="MBE746" s="187"/>
      <c r="MBF746" s="187"/>
      <c r="MBG746" s="187"/>
      <c r="MBH746" s="187"/>
      <c r="MBI746" s="187"/>
      <c r="MBJ746" s="187"/>
      <c r="MBK746" s="187"/>
      <c r="MBL746" s="187"/>
      <c r="MBM746" s="187"/>
      <c r="MBN746" s="187"/>
      <c r="MBO746" s="187"/>
      <c r="MBP746" s="187"/>
      <c r="MBQ746" s="187"/>
      <c r="MBR746" s="187"/>
      <c r="MBS746" s="187"/>
      <c r="MBT746" s="187"/>
      <c r="MBU746" s="187"/>
      <c r="MBV746" s="187"/>
      <c r="MBW746" s="187"/>
      <c r="MBX746" s="187"/>
      <c r="MBY746" s="187"/>
      <c r="MBZ746" s="187"/>
      <c r="MCA746" s="187"/>
      <c r="MCB746" s="187"/>
      <c r="MCC746" s="187"/>
      <c r="MCD746" s="187"/>
      <c r="MCE746" s="187"/>
      <c r="MCF746" s="187"/>
      <c r="MCG746" s="187"/>
      <c r="MCH746" s="187"/>
      <c r="MCI746" s="187"/>
      <c r="MCJ746" s="187"/>
      <c r="MCK746" s="187"/>
      <c r="MCL746" s="187"/>
      <c r="MCM746" s="187"/>
      <c r="MCN746" s="187"/>
      <c r="MCO746" s="187"/>
      <c r="MCP746" s="187"/>
      <c r="MCQ746" s="187"/>
      <c r="MCR746" s="187"/>
      <c r="MCS746" s="187"/>
      <c r="MCT746" s="187"/>
      <c r="MCU746" s="187"/>
      <c r="MCV746" s="187"/>
      <c r="MCW746" s="187"/>
      <c r="MCX746" s="187"/>
      <c r="MCY746" s="187"/>
      <c r="MCZ746" s="187"/>
      <c r="MDA746" s="187"/>
      <c r="MDB746" s="187"/>
      <c r="MDC746" s="187"/>
      <c r="MDD746" s="187"/>
      <c r="MDE746" s="187"/>
      <c r="MDF746" s="187"/>
      <c r="MDG746" s="187"/>
      <c r="MDH746" s="187"/>
      <c r="MDI746" s="187"/>
      <c r="MDJ746" s="187"/>
      <c r="MDK746" s="187"/>
      <c r="MDL746" s="187"/>
      <c r="MDM746" s="187"/>
      <c r="MDN746" s="187"/>
      <c r="MDO746" s="187"/>
      <c r="MDP746" s="187"/>
      <c r="MDQ746" s="187"/>
      <c r="MDR746" s="187"/>
      <c r="MDS746" s="187"/>
      <c r="MDT746" s="187"/>
      <c r="MDU746" s="187"/>
      <c r="MDV746" s="187"/>
      <c r="MDW746" s="187"/>
      <c r="MDX746" s="187"/>
      <c r="MDY746" s="187"/>
      <c r="MDZ746" s="187"/>
      <c r="MEA746" s="187"/>
      <c r="MEB746" s="187"/>
      <c r="MEC746" s="187"/>
      <c r="MED746" s="187"/>
      <c r="MEE746" s="187"/>
      <c r="MEF746" s="187"/>
      <c r="MEG746" s="187"/>
      <c r="MEH746" s="187"/>
      <c r="MEI746" s="187"/>
      <c r="MEJ746" s="187"/>
      <c r="MEK746" s="187"/>
      <c r="MEL746" s="187"/>
      <c r="MEM746" s="187"/>
      <c r="MEN746" s="187"/>
      <c r="MEO746" s="187"/>
      <c r="MEP746" s="187"/>
      <c r="MEQ746" s="187"/>
      <c r="MER746" s="187"/>
      <c r="MES746" s="187"/>
      <c r="MET746" s="187"/>
      <c r="MEU746" s="187"/>
      <c r="MEV746" s="187"/>
      <c r="MEW746" s="187"/>
      <c r="MEX746" s="187"/>
      <c r="MEY746" s="187"/>
      <c r="MEZ746" s="187"/>
      <c r="MFA746" s="187"/>
      <c r="MFB746" s="187"/>
      <c r="MFC746" s="187"/>
      <c r="MFD746" s="187"/>
      <c r="MFE746" s="187"/>
      <c r="MFF746" s="187"/>
      <c r="MFG746" s="187"/>
      <c r="MFH746" s="187"/>
      <c r="MFI746" s="187"/>
      <c r="MFJ746" s="187"/>
      <c r="MFK746" s="187"/>
      <c r="MFL746" s="187"/>
      <c r="MFM746" s="187"/>
      <c r="MFN746" s="187"/>
      <c r="MFO746" s="187"/>
      <c r="MFP746" s="187"/>
      <c r="MFQ746" s="187"/>
      <c r="MFR746" s="187"/>
      <c r="MFS746" s="187"/>
      <c r="MFT746" s="187"/>
      <c r="MFU746" s="187"/>
      <c r="MFV746" s="187"/>
      <c r="MFW746" s="187"/>
      <c r="MFX746" s="187"/>
      <c r="MFY746" s="187"/>
      <c r="MFZ746" s="187"/>
      <c r="MGA746" s="187"/>
      <c r="MGB746" s="187"/>
      <c r="MGC746" s="187"/>
      <c r="MGD746" s="187"/>
      <c r="MGE746" s="187"/>
      <c r="MGF746" s="187"/>
      <c r="MGG746" s="187"/>
      <c r="MGH746" s="187"/>
      <c r="MGI746" s="187"/>
      <c r="MGJ746" s="187"/>
      <c r="MGK746" s="187"/>
      <c r="MGL746" s="187"/>
      <c r="MGM746" s="187"/>
      <c r="MGN746" s="187"/>
      <c r="MGO746" s="187"/>
      <c r="MGP746" s="187"/>
      <c r="MGQ746" s="187"/>
      <c r="MGR746" s="187"/>
      <c r="MGS746" s="187"/>
      <c r="MGT746" s="187"/>
      <c r="MGU746" s="187"/>
      <c r="MGV746" s="187"/>
      <c r="MGW746" s="187"/>
      <c r="MGX746" s="187"/>
      <c r="MGY746" s="187"/>
      <c r="MGZ746" s="187"/>
      <c r="MHA746" s="187"/>
      <c r="MHB746" s="187"/>
      <c r="MHC746" s="187"/>
      <c r="MHD746" s="187"/>
      <c r="MHE746" s="187"/>
      <c r="MHF746" s="187"/>
      <c r="MHG746" s="187"/>
      <c r="MHH746" s="187"/>
      <c r="MHI746" s="187"/>
      <c r="MHJ746" s="187"/>
      <c r="MHK746" s="187"/>
      <c r="MHL746" s="187"/>
      <c r="MHM746" s="187"/>
      <c r="MHN746" s="187"/>
      <c r="MHO746" s="187"/>
      <c r="MHP746" s="187"/>
      <c r="MHQ746" s="187"/>
      <c r="MHR746" s="187"/>
      <c r="MHS746" s="187"/>
      <c r="MHT746" s="187"/>
      <c r="MHU746" s="187"/>
      <c r="MHV746" s="187"/>
      <c r="MHW746" s="187"/>
      <c r="MHX746" s="187"/>
      <c r="MHY746" s="187"/>
      <c r="MHZ746" s="187"/>
      <c r="MIA746" s="187"/>
      <c r="MIB746" s="187"/>
      <c r="MIC746" s="187"/>
      <c r="MID746" s="187"/>
      <c r="MIE746" s="187"/>
      <c r="MIF746" s="187"/>
      <c r="MIG746" s="187"/>
      <c r="MIH746" s="187"/>
      <c r="MII746" s="187"/>
      <c r="MIJ746" s="187"/>
      <c r="MIK746" s="187"/>
      <c r="MIL746" s="187"/>
      <c r="MIM746" s="187"/>
      <c r="MIN746" s="187"/>
      <c r="MIO746" s="187"/>
      <c r="MIP746" s="187"/>
      <c r="MIQ746" s="187"/>
      <c r="MIR746" s="187"/>
      <c r="MIS746" s="187"/>
      <c r="MIT746" s="187"/>
      <c r="MIU746" s="187"/>
      <c r="MIV746" s="187"/>
      <c r="MIW746" s="187"/>
      <c r="MIX746" s="187"/>
      <c r="MIY746" s="187"/>
      <c r="MIZ746" s="187"/>
      <c r="MJA746" s="187"/>
      <c r="MJB746" s="187"/>
      <c r="MJC746" s="187"/>
      <c r="MJD746" s="187"/>
      <c r="MJE746" s="187"/>
      <c r="MJF746" s="187"/>
      <c r="MJG746" s="187"/>
      <c r="MJH746" s="187"/>
      <c r="MJI746" s="187"/>
      <c r="MJJ746" s="187"/>
      <c r="MJK746" s="187"/>
      <c r="MJL746" s="187"/>
      <c r="MJM746" s="187"/>
      <c r="MJN746" s="187"/>
      <c r="MJO746" s="187"/>
      <c r="MJP746" s="187"/>
      <c r="MJQ746" s="187"/>
      <c r="MJR746" s="187"/>
      <c r="MJS746" s="187"/>
      <c r="MJT746" s="187"/>
      <c r="MJU746" s="187"/>
      <c r="MJV746" s="187"/>
      <c r="MJW746" s="187"/>
      <c r="MJX746" s="187"/>
      <c r="MJY746" s="187"/>
      <c r="MJZ746" s="187"/>
      <c r="MKA746" s="187"/>
      <c r="MKB746" s="187"/>
      <c r="MKC746" s="187"/>
      <c r="MKD746" s="187"/>
      <c r="MKE746" s="187"/>
      <c r="MKF746" s="187"/>
      <c r="MKG746" s="187"/>
      <c r="MKH746" s="187"/>
      <c r="MKI746" s="187"/>
      <c r="MKJ746" s="187"/>
      <c r="MKK746" s="187"/>
      <c r="MKL746" s="187"/>
      <c r="MKM746" s="187"/>
      <c r="MKN746" s="187"/>
      <c r="MKO746" s="187"/>
      <c r="MKP746" s="187"/>
      <c r="MKQ746" s="187"/>
      <c r="MKR746" s="187"/>
      <c r="MKS746" s="187"/>
      <c r="MKT746" s="187"/>
      <c r="MKU746" s="187"/>
      <c r="MKV746" s="187"/>
      <c r="MKW746" s="187"/>
      <c r="MKX746" s="187"/>
      <c r="MKY746" s="187"/>
      <c r="MKZ746" s="187"/>
      <c r="MLA746" s="187"/>
      <c r="MLB746" s="187"/>
      <c r="MLC746" s="187"/>
      <c r="MLD746" s="187"/>
      <c r="MLE746" s="187"/>
      <c r="MLF746" s="187"/>
      <c r="MLG746" s="187"/>
      <c r="MLH746" s="187"/>
      <c r="MLI746" s="187"/>
      <c r="MLJ746" s="187"/>
      <c r="MLK746" s="187"/>
      <c r="MLL746" s="187"/>
      <c r="MLM746" s="187"/>
      <c r="MLN746" s="187"/>
      <c r="MLO746" s="187"/>
      <c r="MLP746" s="187"/>
      <c r="MLQ746" s="187"/>
      <c r="MLR746" s="187"/>
      <c r="MLS746" s="187"/>
      <c r="MLT746" s="187"/>
      <c r="MLU746" s="187"/>
      <c r="MLV746" s="187"/>
      <c r="MLW746" s="187"/>
      <c r="MLX746" s="187"/>
      <c r="MLY746" s="187"/>
      <c r="MLZ746" s="187"/>
      <c r="MMA746" s="187"/>
      <c r="MMB746" s="187"/>
      <c r="MMC746" s="187"/>
      <c r="MMD746" s="187"/>
      <c r="MME746" s="187"/>
      <c r="MMF746" s="187"/>
      <c r="MMG746" s="187"/>
      <c r="MMH746" s="187"/>
      <c r="MMI746" s="187"/>
      <c r="MMJ746" s="187"/>
      <c r="MMK746" s="187"/>
      <c r="MML746" s="187"/>
      <c r="MMM746" s="187"/>
      <c r="MMN746" s="187"/>
      <c r="MMO746" s="187"/>
      <c r="MMP746" s="187"/>
      <c r="MMQ746" s="187"/>
      <c r="MMR746" s="187"/>
      <c r="MMS746" s="187"/>
      <c r="MMT746" s="187"/>
      <c r="MMU746" s="187"/>
      <c r="MMV746" s="187"/>
      <c r="MMW746" s="187"/>
      <c r="MMX746" s="187"/>
      <c r="MMY746" s="187"/>
      <c r="MMZ746" s="187"/>
      <c r="MNA746" s="187"/>
      <c r="MNB746" s="187"/>
      <c r="MNC746" s="187"/>
      <c r="MND746" s="187"/>
      <c r="MNE746" s="187"/>
      <c r="MNF746" s="187"/>
      <c r="MNG746" s="187"/>
      <c r="MNH746" s="187"/>
      <c r="MNI746" s="187"/>
      <c r="MNJ746" s="187"/>
      <c r="MNK746" s="187"/>
      <c r="MNL746" s="187"/>
      <c r="MNM746" s="187"/>
      <c r="MNN746" s="187"/>
      <c r="MNO746" s="187"/>
      <c r="MNP746" s="187"/>
      <c r="MNQ746" s="187"/>
      <c r="MNR746" s="187"/>
      <c r="MNS746" s="187"/>
      <c r="MNT746" s="187"/>
      <c r="MNU746" s="187"/>
      <c r="MNV746" s="187"/>
      <c r="MNW746" s="187"/>
      <c r="MNX746" s="187"/>
      <c r="MNY746" s="187"/>
      <c r="MNZ746" s="187"/>
      <c r="MOA746" s="187"/>
      <c r="MOB746" s="187"/>
      <c r="MOC746" s="187"/>
      <c r="MOD746" s="187"/>
      <c r="MOE746" s="187"/>
      <c r="MOF746" s="187"/>
      <c r="MOG746" s="187"/>
      <c r="MOH746" s="187"/>
      <c r="MOI746" s="187"/>
      <c r="MOJ746" s="187"/>
      <c r="MOK746" s="187"/>
      <c r="MOL746" s="187"/>
      <c r="MOM746" s="187"/>
      <c r="MON746" s="187"/>
      <c r="MOO746" s="187"/>
      <c r="MOP746" s="187"/>
      <c r="MOQ746" s="187"/>
      <c r="MOR746" s="187"/>
      <c r="MOS746" s="187"/>
      <c r="MOT746" s="187"/>
      <c r="MOU746" s="187"/>
      <c r="MOV746" s="187"/>
      <c r="MOW746" s="187"/>
      <c r="MOX746" s="187"/>
      <c r="MOY746" s="187"/>
      <c r="MOZ746" s="187"/>
      <c r="MPA746" s="187"/>
      <c r="MPB746" s="187"/>
      <c r="MPC746" s="187"/>
      <c r="MPD746" s="187"/>
      <c r="MPE746" s="187"/>
      <c r="MPF746" s="187"/>
      <c r="MPG746" s="187"/>
      <c r="MPH746" s="187"/>
      <c r="MPI746" s="187"/>
      <c r="MPJ746" s="187"/>
      <c r="MPK746" s="187"/>
      <c r="MPL746" s="187"/>
      <c r="MPM746" s="187"/>
      <c r="MPN746" s="187"/>
      <c r="MPO746" s="187"/>
      <c r="MPP746" s="187"/>
      <c r="MPQ746" s="187"/>
      <c r="MPR746" s="187"/>
      <c r="MPS746" s="187"/>
      <c r="MPT746" s="187"/>
      <c r="MPU746" s="187"/>
      <c r="MPV746" s="187"/>
      <c r="MPW746" s="187"/>
      <c r="MPX746" s="187"/>
      <c r="MPY746" s="187"/>
      <c r="MPZ746" s="187"/>
      <c r="MQA746" s="187"/>
      <c r="MQB746" s="187"/>
      <c r="MQC746" s="187"/>
      <c r="MQD746" s="187"/>
      <c r="MQE746" s="187"/>
      <c r="MQF746" s="187"/>
      <c r="MQG746" s="187"/>
      <c r="MQH746" s="187"/>
      <c r="MQI746" s="187"/>
      <c r="MQJ746" s="187"/>
      <c r="MQK746" s="187"/>
      <c r="MQL746" s="187"/>
      <c r="MQM746" s="187"/>
      <c r="MQN746" s="187"/>
      <c r="MQO746" s="187"/>
      <c r="MQP746" s="187"/>
      <c r="MQQ746" s="187"/>
      <c r="MQR746" s="187"/>
      <c r="MQS746" s="187"/>
      <c r="MQT746" s="187"/>
      <c r="MQU746" s="187"/>
      <c r="MQV746" s="187"/>
      <c r="MQW746" s="187"/>
      <c r="MQX746" s="187"/>
      <c r="MQY746" s="187"/>
      <c r="MQZ746" s="187"/>
      <c r="MRA746" s="187"/>
      <c r="MRB746" s="187"/>
      <c r="MRC746" s="187"/>
      <c r="MRD746" s="187"/>
      <c r="MRE746" s="187"/>
      <c r="MRF746" s="187"/>
      <c r="MRG746" s="187"/>
      <c r="MRH746" s="187"/>
      <c r="MRI746" s="187"/>
      <c r="MRJ746" s="187"/>
      <c r="MRK746" s="187"/>
      <c r="MRL746" s="187"/>
      <c r="MRM746" s="187"/>
      <c r="MRN746" s="187"/>
      <c r="MRO746" s="187"/>
      <c r="MRP746" s="187"/>
      <c r="MRQ746" s="187"/>
      <c r="MRR746" s="187"/>
      <c r="MRS746" s="187"/>
      <c r="MRT746" s="187"/>
      <c r="MRU746" s="187"/>
      <c r="MRV746" s="187"/>
      <c r="MRW746" s="187"/>
      <c r="MRX746" s="187"/>
      <c r="MRY746" s="187"/>
      <c r="MRZ746" s="187"/>
      <c r="MSA746" s="187"/>
      <c r="MSB746" s="187"/>
      <c r="MSC746" s="187"/>
      <c r="MSD746" s="187"/>
      <c r="MSE746" s="187"/>
      <c r="MSF746" s="187"/>
      <c r="MSG746" s="187"/>
      <c r="MSH746" s="187"/>
      <c r="MSI746" s="187"/>
      <c r="MSJ746" s="187"/>
      <c r="MSK746" s="187"/>
      <c r="MSL746" s="187"/>
      <c r="MSM746" s="187"/>
      <c r="MSN746" s="187"/>
      <c r="MSO746" s="187"/>
      <c r="MSP746" s="187"/>
      <c r="MSQ746" s="187"/>
      <c r="MSR746" s="187"/>
      <c r="MSS746" s="187"/>
      <c r="MST746" s="187"/>
      <c r="MSU746" s="187"/>
      <c r="MSV746" s="187"/>
      <c r="MSW746" s="187"/>
      <c r="MSX746" s="187"/>
      <c r="MSY746" s="187"/>
      <c r="MSZ746" s="187"/>
      <c r="MTA746" s="187"/>
      <c r="MTB746" s="187"/>
      <c r="MTC746" s="187"/>
      <c r="MTD746" s="187"/>
      <c r="MTE746" s="187"/>
      <c r="MTF746" s="187"/>
      <c r="MTG746" s="187"/>
      <c r="MTH746" s="187"/>
      <c r="MTI746" s="187"/>
      <c r="MTJ746" s="187"/>
      <c r="MTK746" s="187"/>
      <c r="MTL746" s="187"/>
      <c r="MTM746" s="187"/>
      <c r="MTN746" s="187"/>
      <c r="MTO746" s="187"/>
      <c r="MTP746" s="187"/>
      <c r="MTQ746" s="187"/>
      <c r="MTR746" s="187"/>
      <c r="MTS746" s="187"/>
      <c r="MTT746" s="187"/>
      <c r="MTU746" s="187"/>
      <c r="MTV746" s="187"/>
      <c r="MTW746" s="187"/>
      <c r="MTX746" s="187"/>
      <c r="MTY746" s="187"/>
      <c r="MTZ746" s="187"/>
      <c r="MUA746" s="187"/>
      <c r="MUB746" s="187"/>
      <c r="MUC746" s="187"/>
      <c r="MUD746" s="187"/>
      <c r="MUE746" s="187"/>
      <c r="MUF746" s="187"/>
      <c r="MUG746" s="187"/>
      <c r="MUH746" s="187"/>
      <c r="MUI746" s="187"/>
      <c r="MUJ746" s="187"/>
      <c r="MUK746" s="187"/>
      <c r="MUL746" s="187"/>
      <c r="MUM746" s="187"/>
      <c r="MUN746" s="187"/>
      <c r="MUO746" s="187"/>
      <c r="MUP746" s="187"/>
      <c r="MUQ746" s="187"/>
      <c r="MUR746" s="187"/>
      <c r="MUS746" s="187"/>
      <c r="MUT746" s="187"/>
      <c r="MUU746" s="187"/>
      <c r="MUV746" s="187"/>
      <c r="MUW746" s="187"/>
      <c r="MUX746" s="187"/>
      <c r="MUY746" s="187"/>
      <c r="MUZ746" s="187"/>
      <c r="MVA746" s="187"/>
      <c r="MVB746" s="187"/>
      <c r="MVC746" s="187"/>
      <c r="MVD746" s="187"/>
      <c r="MVE746" s="187"/>
      <c r="MVF746" s="187"/>
      <c r="MVG746" s="187"/>
      <c r="MVH746" s="187"/>
      <c r="MVI746" s="187"/>
      <c r="MVJ746" s="187"/>
      <c r="MVK746" s="187"/>
      <c r="MVL746" s="187"/>
      <c r="MVM746" s="187"/>
      <c r="MVN746" s="187"/>
      <c r="MVO746" s="187"/>
      <c r="MVP746" s="187"/>
      <c r="MVQ746" s="187"/>
      <c r="MVR746" s="187"/>
      <c r="MVS746" s="187"/>
      <c r="MVT746" s="187"/>
      <c r="MVU746" s="187"/>
      <c r="MVV746" s="187"/>
      <c r="MVW746" s="187"/>
      <c r="MVX746" s="187"/>
      <c r="MVY746" s="187"/>
      <c r="MVZ746" s="187"/>
      <c r="MWA746" s="187"/>
      <c r="MWB746" s="187"/>
      <c r="MWC746" s="187"/>
      <c r="MWD746" s="187"/>
      <c r="MWE746" s="187"/>
      <c r="MWF746" s="187"/>
      <c r="MWG746" s="187"/>
      <c r="MWH746" s="187"/>
      <c r="MWI746" s="187"/>
      <c r="MWJ746" s="187"/>
      <c r="MWK746" s="187"/>
      <c r="MWL746" s="187"/>
      <c r="MWM746" s="187"/>
      <c r="MWN746" s="187"/>
      <c r="MWO746" s="187"/>
      <c r="MWP746" s="187"/>
      <c r="MWQ746" s="187"/>
      <c r="MWR746" s="187"/>
      <c r="MWS746" s="187"/>
      <c r="MWT746" s="187"/>
      <c r="MWU746" s="187"/>
      <c r="MWV746" s="187"/>
      <c r="MWW746" s="187"/>
      <c r="MWX746" s="187"/>
      <c r="MWY746" s="187"/>
      <c r="MWZ746" s="187"/>
      <c r="MXA746" s="187"/>
      <c r="MXB746" s="187"/>
      <c r="MXC746" s="187"/>
      <c r="MXD746" s="187"/>
      <c r="MXE746" s="187"/>
      <c r="MXF746" s="187"/>
      <c r="MXG746" s="187"/>
      <c r="MXH746" s="187"/>
      <c r="MXI746" s="187"/>
      <c r="MXJ746" s="187"/>
      <c r="MXK746" s="187"/>
      <c r="MXL746" s="187"/>
      <c r="MXM746" s="187"/>
      <c r="MXN746" s="187"/>
      <c r="MXO746" s="187"/>
      <c r="MXP746" s="187"/>
      <c r="MXQ746" s="187"/>
      <c r="MXR746" s="187"/>
      <c r="MXS746" s="187"/>
      <c r="MXT746" s="187"/>
      <c r="MXU746" s="187"/>
      <c r="MXV746" s="187"/>
      <c r="MXW746" s="187"/>
      <c r="MXX746" s="187"/>
      <c r="MXY746" s="187"/>
      <c r="MXZ746" s="187"/>
      <c r="MYA746" s="187"/>
      <c r="MYB746" s="187"/>
      <c r="MYC746" s="187"/>
      <c r="MYD746" s="187"/>
      <c r="MYE746" s="187"/>
      <c r="MYF746" s="187"/>
      <c r="MYG746" s="187"/>
      <c r="MYH746" s="187"/>
      <c r="MYI746" s="187"/>
      <c r="MYJ746" s="187"/>
      <c r="MYK746" s="187"/>
      <c r="MYL746" s="187"/>
      <c r="MYM746" s="187"/>
      <c r="MYN746" s="187"/>
      <c r="MYO746" s="187"/>
      <c r="MYP746" s="187"/>
      <c r="MYQ746" s="187"/>
      <c r="MYR746" s="187"/>
      <c r="MYS746" s="187"/>
      <c r="MYT746" s="187"/>
      <c r="MYU746" s="187"/>
      <c r="MYV746" s="187"/>
      <c r="MYW746" s="187"/>
      <c r="MYX746" s="187"/>
      <c r="MYY746" s="187"/>
      <c r="MYZ746" s="187"/>
      <c r="MZA746" s="187"/>
      <c r="MZB746" s="187"/>
      <c r="MZC746" s="187"/>
      <c r="MZD746" s="187"/>
      <c r="MZE746" s="187"/>
      <c r="MZF746" s="187"/>
      <c r="MZG746" s="187"/>
      <c r="MZH746" s="187"/>
      <c r="MZI746" s="187"/>
      <c r="MZJ746" s="187"/>
      <c r="MZK746" s="187"/>
      <c r="MZL746" s="187"/>
      <c r="MZM746" s="187"/>
      <c r="MZN746" s="187"/>
      <c r="MZO746" s="187"/>
      <c r="MZP746" s="187"/>
      <c r="MZQ746" s="187"/>
      <c r="MZR746" s="187"/>
      <c r="MZS746" s="187"/>
      <c r="MZT746" s="187"/>
      <c r="MZU746" s="187"/>
      <c r="MZV746" s="187"/>
      <c r="MZW746" s="187"/>
      <c r="MZX746" s="187"/>
      <c r="MZY746" s="187"/>
      <c r="MZZ746" s="187"/>
      <c r="NAA746" s="187"/>
      <c r="NAB746" s="187"/>
      <c r="NAC746" s="187"/>
      <c r="NAD746" s="187"/>
      <c r="NAE746" s="187"/>
      <c r="NAF746" s="187"/>
      <c r="NAG746" s="187"/>
      <c r="NAH746" s="187"/>
      <c r="NAI746" s="187"/>
      <c r="NAJ746" s="187"/>
      <c r="NAK746" s="187"/>
      <c r="NAL746" s="187"/>
      <c r="NAM746" s="187"/>
      <c r="NAN746" s="187"/>
      <c r="NAO746" s="187"/>
      <c r="NAP746" s="187"/>
      <c r="NAQ746" s="187"/>
      <c r="NAR746" s="187"/>
      <c r="NAS746" s="187"/>
      <c r="NAT746" s="187"/>
      <c r="NAU746" s="187"/>
      <c r="NAV746" s="187"/>
      <c r="NAW746" s="187"/>
      <c r="NAX746" s="187"/>
      <c r="NAY746" s="187"/>
      <c r="NAZ746" s="187"/>
      <c r="NBA746" s="187"/>
      <c r="NBB746" s="187"/>
      <c r="NBC746" s="187"/>
      <c r="NBD746" s="187"/>
      <c r="NBE746" s="187"/>
      <c r="NBF746" s="187"/>
      <c r="NBG746" s="187"/>
      <c r="NBH746" s="187"/>
      <c r="NBI746" s="187"/>
      <c r="NBJ746" s="187"/>
      <c r="NBK746" s="187"/>
      <c r="NBL746" s="187"/>
      <c r="NBM746" s="187"/>
      <c r="NBN746" s="187"/>
      <c r="NBO746" s="187"/>
      <c r="NBP746" s="187"/>
      <c r="NBQ746" s="187"/>
      <c r="NBR746" s="187"/>
      <c r="NBS746" s="187"/>
      <c r="NBT746" s="187"/>
      <c r="NBU746" s="187"/>
      <c r="NBV746" s="187"/>
      <c r="NBW746" s="187"/>
      <c r="NBX746" s="187"/>
      <c r="NBY746" s="187"/>
      <c r="NBZ746" s="187"/>
      <c r="NCA746" s="187"/>
      <c r="NCB746" s="187"/>
      <c r="NCC746" s="187"/>
      <c r="NCD746" s="187"/>
      <c r="NCE746" s="187"/>
      <c r="NCF746" s="187"/>
      <c r="NCG746" s="187"/>
      <c r="NCH746" s="187"/>
      <c r="NCI746" s="187"/>
      <c r="NCJ746" s="187"/>
      <c r="NCK746" s="187"/>
      <c r="NCL746" s="187"/>
      <c r="NCM746" s="187"/>
      <c r="NCN746" s="187"/>
      <c r="NCO746" s="187"/>
      <c r="NCP746" s="187"/>
      <c r="NCQ746" s="187"/>
      <c r="NCR746" s="187"/>
      <c r="NCS746" s="187"/>
      <c r="NCT746" s="187"/>
      <c r="NCU746" s="187"/>
      <c r="NCV746" s="187"/>
      <c r="NCW746" s="187"/>
      <c r="NCX746" s="187"/>
      <c r="NCY746" s="187"/>
      <c r="NCZ746" s="187"/>
      <c r="NDA746" s="187"/>
      <c r="NDB746" s="187"/>
      <c r="NDC746" s="187"/>
      <c r="NDD746" s="187"/>
      <c r="NDE746" s="187"/>
      <c r="NDF746" s="187"/>
      <c r="NDG746" s="187"/>
      <c r="NDH746" s="187"/>
      <c r="NDI746" s="187"/>
      <c r="NDJ746" s="187"/>
      <c r="NDK746" s="187"/>
      <c r="NDL746" s="187"/>
      <c r="NDM746" s="187"/>
      <c r="NDN746" s="187"/>
      <c r="NDO746" s="187"/>
      <c r="NDP746" s="187"/>
      <c r="NDQ746" s="187"/>
      <c r="NDR746" s="187"/>
      <c r="NDS746" s="187"/>
      <c r="NDT746" s="187"/>
      <c r="NDU746" s="187"/>
      <c r="NDV746" s="187"/>
      <c r="NDW746" s="187"/>
      <c r="NDX746" s="187"/>
      <c r="NDY746" s="187"/>
      <c r="NDZ746" s="187"/>
      <c r="NEA746" s="187"/>
      <c r="NEB746" s="187"/>
      <c r="NEC746" s="187"/>
      <c r="NED746" s="187"/>
      <c r="NEE746" s="187"/>
      <c r="NEF746" s="187"/>
      <c r="NEG746" s="187"/>
      <c r="NEH746" s="187"/>
      <c r="NEI746" s="187"/>
      <c r="NEJ746" s="187"/>
      <c r="NEK746" s="187"/>
      <c r="NEL746" s="187"/>
      <c r="NEM746" s="187"/>
      <c r="NEN746" s="187"/>
      <c r="NEO746" s="187"/>
      <c r="NEP746" s="187"/>
      <c r="NEQ746" s="187"/>
      <c r="NER746" s="187"/>
      <c r="NES746" s="187"/>
      <c r="NET746" s="187"/>
      <c r="NEU746" s="187"/>
      <c r="NEV746" s="187"/>
      <c r="NEW746" s="187"/>
      <c r="NEX746" s="187"/>
      <c r="NEY746" s="187"/>
      <c r="NEZ746" s="187"/>
      <c r="NFA746" s="187"/>
      <c r="NFB746" s="187"/>
      <c r="NFC746" s="187"/>
      <c r="NFD746" s="187"/>
      <c r="NFE746" s="187"/>
      <c r="NFF746" s="187"/>
      <c r="NFG746" s="187"/>
      <c r="NFH746" s="187"/>
      <c r="NFI746" s="187"/>
      <c r="NFJ746" s="187"/>
      <c r="NFK746" s="187"/>
      <c r="NFL746" s="187"/>
      <c r="NFM746" s="187"/>
      <c r="NFN746" s="187"/>
      <c r="NFO746" s="187"/>
      <c r="NFP746" s="187"/>
      <c r="NFQ746" s="187"/>
      <c r="NFR746" s="187"/>
      <c r="NFS746" s="187"/>
      <c r="NFT746" s="187"/>
      <c r="NFU746" s="187"/>
      <c r="NFV746" s="187"/>
      <c r="NFW746" s="187"/>
      <c r="NFX746" s="187"/>
      <c r="NFY746" s="187"/>
      <c r="NFZ746" s="187"/>
      <c r="NGA746" s="187"/>
      <c r="NGB746" s="187"/>
      <c r="NGC746" s="187"/>
      <c r="NGD746" s="187"/>
      <c r="NGE746" s="187"/>
      <c r="NGF746" s="187"/>
      <c r="NGG746" s="187"/>
      <c r="NGH746" s="187"/>
      <c r="NGI746" s="187"/>
      <c r="NGJ746" s="187"/>
      <c r="NGK746" s="187"/>
      <c r="NGL746" s="187"/>
      <c r="NGM746" s="187"/>
      <c r="NGN746" s="187"/>
      <c r="NGO746" s="187"/>
      <c r="NGP746" s="187"/>
      <c r="NGQ746" s="187"/>
      <c r="NGR746" s="187"/>
      <c r="NGS746" s="187"/>
      <c r="NGT746" s="187"/>
      <c r="NGU746" s="187"/>
      <c r="NGV746" s="187"/>
      <c r="NGW746" s="187"/>
      <c r="NGX746" s="187"/>
      <c r="NGY746" s="187"/>
      <c r="NGZ746" s="187"/>
      <c r="NHA746" s="187"/>
      <c r="NHB746" s="187"/>
      <c r="NHC746" s="187"/>
      <c r="NHD746" s="187"/>
      <c r="NHE746" s="187"/>
      <c r="NHF746" s="187"/>
      <c r="NHG746" s="187"/>
      <c r="NHH746" s="187"/>
      <c r="NHI746" s="187"/>
      <c r="NHJ746" s="187"/>
      <c r="NHK746" s="187"/>
      <c r="NHL746" s="187"/>
      <c r="NHM746" s="187"/>
      <c r="NHN746" s="187"/>
      <c r="NHO746" s="187"/>
      <c r="NHP746" s="187"/>
      <c r="NHQ746" s="187"/>
      <c r="NHR746" s="187"/>
      <c r="NHS746" s="187"/>
      <c r="NHT746" s="187"/>
      <c r="NHU746" s="187"/>
      <c r="NHV746" s="187"/>
      <c r="NHW746" s="187"/>
      <c r="NHX746" s="187"/>
      <c r="NHY746" s="187"/>
      <c r="NHZ746" s="187"/>
      <c r="NIA746" s="187"/>
      <c r="NIB746" s="187"/>
      <c r="NIC746" s="187"/>
      <c r="NID746" s="187"/>
      <c r="NIE746" s="187"/>
      <c r="NIF746" s="187"/>
      <c r="NIG746" s="187"/>
      <c r="NIH746" s="187"/>
      <c r="NII746" s="187"/>
      <c r="NIJ746" s="187"/>
      <c r="NIK746" s="187"/>
      <c r="NIL746" s="187"/>
      <c r="NIM746" s="187"/>
      <c r="NIN746" s="187"/>
      <c r="NIO746" s="187"/>
      <c r="NIP746" s="187"/>
      <c r="NIQ746" s="187"/>
      <c r="NIR746" s="187"/>
      <c r="NIS746" s="187"/>
      <c r="NIT746" s="187"/>
      <c r="NIU746" s="187"/>
      <c r="NIV746" s="187"/>
      <c r="NIW746" s="187"/>
      <c r="NIX746" s="187"/>
      <c r="NIY746" s="187"/>
      <c r="NIZ746" s="187"/>
      <c r="NJA746" s="187"/>
      <c r="NJB746" s="187"/>
      <c r="NJC746" s="187"/>
      <c r="NJD746" s="187"/>
      <c r="NJE746" s="187"/>
      <c r="NJF746" s="187"/>
      <c r="NJG746" s="187"/>
      <c r="NJH746" s="187"/>
      <c r="NJI746" s="187"/>
      <c r="NJJ746" s="187"/>
      <c r="NJK746" s="187"/>
      <c r="NJL746" s="187"/>
      <c r="NJM746" s="187"/>
      <c r="NJN746" s="187"/>
      <c r="NJO746" s="187"/>
      <c r="NJP746" s="187"/>
      <c r="NJQ746" s="187"/>
      <c r="NJR746" s="187"/>
      <c r="NJS746" s="187"/>
      <c r="NJT746" s="187"/>
      <c r="NJU746" s="187"/>
      <c r="NJV746" s="187"/>
      <c r="NJW746" s="187"/>
      <c r="NJX746" s="187"/>
      <c r="NJY746" s="187"/>
      <c r="NJZ746" s="187"/>
      <c r="NKA746" s="187"/>
      <c r="NKB746" s="187"/>
      <c r="NKC746" s="187"/>
      <c r="NKD746" s="187"/>
      <c r="NKE746" s="187"/>
      <c r="NKF746" s="187"/>
      <c r="NKG746" s="187"/>
      <c r="NKH746" s="187"/>
      <c r="NKI746" s="187"/>
      <c r="NKJ746" s="187"/>
      <c r="NKK746" s="187"/>
      <c r="NKL746" s="187"/>
      <c r="NKM746" s="187"/>
      <c r="NKN746" s="187"/>
      <c r="NKO746" s="187"/>
      <c r="NKP746" s="187"/>
      <c r="NKQ746" s="187"/>
      <c r="NKR746" s="187"/>
      <c r="NKS746" s="187"/>
      <c r="NKT746" s="187"/>
      <c r="NKU746" s="187"/>
      <c r="NKV746" s="187"/>
      <c r="NKW746" s="187"/>
      <c r="NKX746" s="187"/>
      <c r="NKY746" s="187"/>
      <c r="NKZ746" s="187"/>
      <c r="NLA746" s="187"/>
      <c r="NLB746" s="187"/>
      <c r="NLC746" s="187"/>
      <c r="NLD746" s="187"/>
      <c r="NLE746" s="187"/>
      <c r="NLF746" s="187"/>
      <c r="NLG746" s="187"/>
      <c r="NLH746" s="187"/>
      <c r="NLI746" s="187"/>
      <c r="NLJ746" s="187"/>
      <c r="NLK746" s="187"/>
      <c r="NLL746" s="187"/>
      <c r="NLM746" s="187"/>
      <c r="NLN746" s="187"/>
      <c r="NLO746" s="187"/>
      <c r="NLP746" s="187"/>
      <c r="NLQ746" s="187"/>
      <c r="NLR746" s="187"/>
      <c r="NLS746" s="187"/>
      <c r="NLT746" s="187"/>
      <c r="NLU746" s="187"/>
      <c r="NLV746" s="187"/>
      <c r="NLW746" s="187"/>
      <c r="NLX746" s="187"/>
      <c r="NLY746" s="187"/>
      <c r="NLZ746" s="187"/>
      <c r="NMA746" s="187"/>
      <c r="NMB746" s="187"/>
      <c r="NMC746" s="187"/>
      <c r="NMD746" s="187"/>
      <c r="NME746" s="187"/>
      <c r="NMF746" s="187"/>
      <c r="NMG746" s="187"/>
      <c r="NMH746" s="187"/>
      <c r="NMI746" s="187"/>
      <c r="NMJ746" s="187"/>
      <c r="NMK746" s="187"/>
      <c r="NML746" s="187"/>
      <c r="NMM746" s="187"/>
      <c r="NMN746" s="187"/>
      <c r="NMO746" s="187"/>
      <c r="NMP746" s="187"/>
      <c r="NMQ746" s="187"/>
      <c r="NMR746" s="187"/>
      <c r="NMS746" s="187"/>
      <c r="NMT746" s="187"/>
      <c r="NMU746" s="187"/>
      <c r="NMV746" s="187"/>
      <c r="NMW746" s="187"/>
      <c r="NMX746" s="187"/>
      <c r="NMY746" s="187"/>
      <c r="NMZ746" s="187"/>
      <c r="NNA746" s="187"/>
      <c r="NNB746" s="187"/>
      <c r="NNC746" s="187"/>
      <c r="NND746" s="187"/>
      <c r="NNE746" s="187"/>
      <c r="NNF746" s="187"/>
      <c r="NNG746" s="187"/>
      <c r="NNH746" s="187"/>
      <c r="NNI746" s="187"/>
      <c r="NNJ746" s="187"/>
      <c r="NNK746" s="187"/>
      <c r="NNL746" s="187"/>
      <c r="NNM746" s="187"/>
      <c r="NNN746" s="187"/>
      <c r="NNO746" s="187"/>
      <c r="NNP746" s="187"/>
      <c r="NNQ746" s="187"/>
      <c r="NNR746" s="187"/>
      <c r="NNS746" s="187"/>
      <c r="NNT746" s="187"/>
      <c r="NNU746" s="187"/>
      <c r="NNV746" s="187"/>
      <c r="NNW746" s="187"/>
      <c r="NNX746" s="187"/>
      <c r="NNY746" s="187"/>
      <c r="NNZ746" s="187"/>
      <c r="NOA746" s="187"/>
      <c r="NOB746" s="187"/>
      <c r="NOC746" s="187"/>
      <c r="NOD746" s="187"/>
      <c r="NOE746" s="187"/>
      <c r="NOF746" s="187"/>
      <c r="NOG746" s="187"/>
      <c r="NOH746" s="187"/>
      <c r="NOI746" s="187"/>
      <c r="NOJ746" s="187"/>
      <c r="NOK746" s="187"/>
      <c r="NOL746" s="187"/>
      <c r="NOM746" s="187"/>
      <c r="NON746" s="187"/>
      <c r="NOO746" s="187"/>
      <c r="NOP746" s="187"/>
      <c r="NOQ746" s="187"/>
      <c r="NOR746" s="187"/>
      <c r="NOS746" s="187"/>
      <c r="NOT746" s="187"/>
      <c r="NOU746" s="187"/>
      <c r="NOV746" s="187"/>
      <c r="NOW746" s="187"/>
      <c r="NOX746" s="187"/>
      <c r="NOY746" s="187"/>
      <c r="NOZ746" s="187"/>
      <c r="NPA746" s="187"/>
      <c r="NPB746" s="187"/>
      <c r="NPC746" s="187"/>
      <c r="NPD746" s="187"/>
      <c r="NPE746" s="187"/>
      <c r="NPF746" s="187"/>
      <c r="NPG746" s="187"/>
      <c r="NPH746" s="187"/>
      <c r="NPI746" s="187"/>
      <c r="NPJ746" s="187"/>
      <c r="NPK746" s="187"/>
      <c r="NPL746" s="187"/>
      <c r="NPM746" s="187"/>
      <c r="NPN746" s="187"/>
      <c r="NPO746" s="187"/>
      <c r="NPP746" s="187"/>
      <c r="NPQ746" s="187"/>
      <c r="NPR746" s="187"/>
      <c r="NPS746" s="187"/>
      <c r="NPT746" s="187"/>
      <c r="NPU746" s="187"/>
      <c r="NPV746" s="187"/>
      <c r="NPW746" s="187"/>
      <c r="NPX746" s="187"/>
      <c r="NPY746" s="187"/>
      <c r="NPZ746" s="187"/>
      <c r="NQA746" s="187"/>
      <c r="NQB746" s="187"/>
      <c r="NQC746" s="187"/>
      <c r="NQD746" s="187"/>
      <c r="NQE746" s="187"/>
      <c r="NQF746" s="187"/>
      <c r="NQG746" s="187"/>
      <c r="NQH746" s="187"/>
      <c r="NQI746" s="187"/>
      <c r="NQJ746" s="187"/>
      <c r="NQK746" s="187"/>
      <c r="NQL746" s="187"/>
      <c r="NQM746" s="187"/>
      <c r="NQN746" s="187"/>
      <c r="NQO746" s="187"/>
      <c r="NQP746" s="187"/>
      <c r="NQQ746" s="187"/>
      <c r="NQR746" s="187"/>
      <c r="NQS746" s="187"/>
      <c r="NQT746" s="187"/>
      <c r="NQU746" s="187"/>
      <c r="NQV746" s="187"/>
      <c r="NQW746" s="187"/>
      <c r="NQX746" s="187"/>
      <c r="NQY746" s="187"/>
      <c r="NQZ746" s="187"/>
      <c r="NRA746" s="187"/>
      <c r="NRB746" s="187"/>
      <c r="NRC746" s="187"/>
      <c r="NRD746" s="187"/>
      <c r="NRE746" s="187"/>
      <c r="NRF746" s="187"/>
      <c r="NRG746" s="187"/>
      <c r="NRH746" s="187"/>
      <c r="NRI746" s="187"/>
      <c r="NRJ746" s="187"/>
      <c r="NRK746" s="187"/>
      <c r="NRL746" s="187"/>
      <c r="NRM746" s="187"/>
      <c r="NRN746" s="187"/>
      <c r="NRO746" s="187"/>
      <c r="NRP746" s="187"/>
      <c r="NRQ746" s="187"/>
      <c r="NRR746" s="187"/>
      <c r="NRS746" s="187"/>
      <c r="NRT746" s="187"/>
      <c r="NRU746" s="187"/>
      <c r="NRV746" s="187"/>
      <c r="NRW746" s="187"/>
      <c r="NRX746" s="187"/>
      <c r="NRY746" s="187"/>
      <c r="NRZ746" s="187"/>
      <c r="NSA746" s="187"/>
      <c r="NSB746" s="187"/>
      <c r="NSC746" s="187"/>
      <c r="NSD746" s="187"/>
      <c r="NSE746" s="187"/>
      <c r="NSF746" s="187"/>
      <c r="NSG746" s="187"/>
      <c r="NSH746" s="187"/>
      <c r="NSI746" s="187"/>
      <c r="NSJ746" s="187"/>
      <c r="NSK746" s="187"/>
      <c r="NSL746" s="187"/>
      <c r="NSM746" s="187"/>
      <c r="NSN746" s="187"/>
      <c r="NSO746" s="187"/>
      <c r="NSP746" s="187"/>
      <c r="NSQ746" s="187"/>
      <c r="NSR746" s="187"/>
      <c r="NSS746" s="187"/>
      <c r="NST746" s="187"/>
      <c r="NSU746" s="187"/>
      <c r="NSV746" s="187"/>
      <c r="NSW746" s="187"/>
      <c r="NSX746" s="187"/>
      <c r="NSY746" s="187"/>
      <c r="NSZ746" s="187"/>
      <c r="NTA746" s="187"/>
      <c r="NTB746" s="187"/>
      <c r="NTC746" s="187"/>
      <c r="NTD746" s="187"/>
      <c r="NTE746" s="187"/>
      <c r="NTF746" s="187"/>
      <c r="NTG746" s="187"/>
      <c r="NTH746" s="187"/>
      <c r="NTI746" s="187"/>
      <c r="NTJ746" s="187"/>
      <c r="NTK746" s="187"/>
      <c r="NTL746" s="187"/>
      <c r="NTM746" s="187"/>
      <c r="NTN746" s="187"/>
      <c r="NTO746" s="187"/>
      <c r="NTP746" s="187"/>
      <c r="NTQ746" s="187"/>
      <c r="NTR746" s="187"/>
      <c r="NTS746" s="187"/>
      <c r="NTT746" s="187"/>
      <c r="NTU746" s="187"/>
      <c r="NTV746" s="187"/>
      <c r="NTW746" s="187"/>
      <c r="NTX746" s="187"/>
      <c r="NTY746" s="187"/>
      <c r="NTZ746" s="187"/>
      <c r="NUA746" s="187"/>
      <c r="NUB746" s="187"/>
      <c r="NUC746" s="187"/>
      <c r="NUD746" s="187"/>
      <c r="NUE746" s="187"/>
      <c r="NUF746" s="187"/>
      <c r="NUG746" s="187"/>
      <c r="NUH746" s="187"/>
      <c r="NUI746" s="187"/>
      <c r="NUJ746" s="187"/>
      <c r="NUK746" s="187"/>
      <c r="NUL746" s="187"/>
      <c r="NUM746" s="187"/>
      <c r="NUN746" s="187"/>
      <c r="NUO746" s="187"/>
      <c r="NUP746" s="187"/>
      <c r="NUQ746" s="187"/>
      <c r="NUR746" s="187"/>
      <c r="NUS746" s="187"/>
      <c r="NUT746" s="187"/>
      <c r="NUU746" s="187"/>
      <c r="NUV746" s="187"/>
      <c r="NUW746" s="187"/>
      <c r="NUX746" s="187"/>
      <c r="NUY746" s="187"/>
      <c r="NUZ746" s="187"/>
      <c r="NVA746" s="187"/>
      <c r="NVB746" s="187"/>
      <c r="NVC746" s="187"/>
      <c r="NVD746" s="187"/>
      <c r="NVE746" s="187"/>
      <c r="NVF746" s="187"/>
      <c r="NVG746" s="187"/>
      <c r="NVH746" s="187"/>
      <c r="NVI746" s="187"/>
      <c r="NVJ746" s="187"/>
      <c r="NVK746" s="187"/>
      <c r="NVL746" s="187"/>
      <c r="NVM746" s="187"/>
      <c r="NVN746" s="187"/>
      <c r="NVO746" s="187"/>
      <c r="NVP746" s="187"/>
      <c r="NVQ746" s="187"/>
      <c r="NVR746" s="187"/>
      <c r="NVS746" s="187"/>
      <c r="NVT746" s="187"/>
      <c r="NVU746" s="187"/>
      <c r="NVV746" s="187"/>
      <c r="NVW746" s="187"/>
      <c r="NVX746" s="187"/>
      <c r="NVY746" s="187"/>
      <c r="NVZ746" s="187"/>
      <c r="NWA746" s="187"/>
      <c r="NWB746" s="187"/>
      <c r="NWC746" s="187"/>
      <c r="NWD746" s="187"/>
      <c r="NWE746" s="187"/>
      <c r="NWF746" s="187"/>
      <c r="NWG746" s="187"/>
      <c r="NWH746" s="187"/>
      <c r="NWI746" s="187"/>
      <c r="NWJ746" s="187"/>
      <c r="NWK746" s="187"/>
      <c r="NWL746" s="187"/>
      <c r="NWM746" s="187"/>
      <c r="NWN746" s="187"/>
      <c r="NWO746" s="187"/>
      <c r="NWP746" s="187"/>
      <c r="NWQ746" s="187"/>
      <c r="NWR746" s="187"/>
      <c r="NWS746" s="187"/>
      <c r="NWT746" s="187"/>
      <c r="NWU746" s="187"/>
      <c r="NWV746" s="187"/>
      <c r="NWW746" s="187"/>
      <c r="NWX746" s="187"/>
      <c r="NWY746" s="187"/>
      <c r="NWZ746" s="187"/>
      <c r="NXA746" s="187"/>
      <c r="NXB746" s="187"/>
      <c r="NXC746" s="187"/>
      <c r="NXD746" s="187"/>
      <c r="NXE746" s="187"/>
      <c r="NXF746" s="187"/>
      <c r="NXG746" s="187"/>
      <c r="NXH746" s="187"/>
      <c r="NXI746" s="187"/>
      <c r="NXJ746" s="187"/>
      <c r="NXK746" s="187"/>
      <c r="NXL746" s="187"/>
      <c r="NXM746" s="187"/>
      <c r="NXN746" s="187"/>
      <c r="NXO746" s="187"/>
      <c r="NXP746" s="187"/>
      <c r="NXQ746" s="187"/>
      <c r="NXR746" s="187"/>
      <c r="NXS746" s="187"/>
      <c r="NXT746" s="187"/>
      <c r="NXU746" s="187"/>
      <c r="NXV746" s="187"/>
      <c r="NXW746" s="187"/>
      <c r="NXX746" s="187"/>
      <c r="NXY746" s="187"/>
      <c r="NXZ746" s="187"/>
      <c r="NYA746" s="187"/>
      <c r="NYB746" s="187"/>
      <c r="NYC746" s="187"/>
      <c r="NYD746" s="187"/>
      <c r="NYE746" s="187"/>
      <c r="NYF746" s="187"/>
      <c r="NYG746" s="187"/>
      <c r="NYH746" s="187"/>
      <c r="NYI746" s="187"/>
      <c r="NYJ746" s="187"/>
      <c r="NYK746" s="187"/>
      <c r="NYL746" s="187"/>
      <c r="NYM746" s="187"/>
      <c r="NYN746" s="187"/>
      <c r="NYO746" s="187"/>
      <c r="NYP746" s="187"/>
      <c r="NYQ746" s="187"/>
      <c r="NYR746" s="187"/>
      <c r="NYS746" s="187"/>
      <c r="NYT746" s="187"/>
      <c r="NYU746" s="187"/>
      <c r="NYV746" s="187"/>
      <c r="NYW746" s="187"/>
      <c r="NYX746" s="187"/>
      <c r="NYY746" s="187"/>
      <c r="NYZ746" s="187"/>
      <c r="NZA746" s="187"/>
      <c r="NZB746" s="187"/>
      <c r="NZC746" s="187"/>
      <c r="NZD746" s="187"/>
      <c r="NZE746" s="187"/>
      <c r="NZF746" s="187"/>
      <c r="NZG746" s="187"/>
      <c r="NZH746" s="187"/>
      <c r="NZI746" s="187"/>
      <c r="NZJ746" s="187"/>
      <c r="NZK746" s="187"/>
      <c r="NZL746" s="187"/>
      <c r="NZM746" s="187"/>
      <c r="NZN746" s="187"/>
      <c r="NZO746" s="187"/>
      <c r="NZP746" s="187"/>
      <c r="NZQ746" s="187"/>
      <c r="NZR746" s="187"/>
      <c r="NZS746" s="187"/>
      <c r="NZT746" s="187"/>
      <c r="NZU746" s="187"/>
      <c r="NZV746" s="187"/>
      <c r="NZW746" s="187"/>
      <c r="NZX746" s="187"/>
      <c r="NZY746" s="187"/>
      <c r="NZZ746" s="187"/>
      <c r="OAA746" s="187"/>
      <c r="OAB746" s="187"/>
      <c r="OAC746" s="187"/>
      <c r="OAD746" s="187"/>
      <c r="OAE746" s="187"/>
      <c r="OAF746" s="187"/>
      <c r="OAG746" s="187"/>
      <c r="OAH746" s="187"/>
      <c r="OAI746" s="187"/>
      <c r="OAJ746" s="187"/>
      <c r="OAK746" s="187"/>
      <c r="OAL746" s="187"/>
      <c r="OAM746" s="187"/>
      <c r="OAN746" s="187"/>
      <c r="OAO746" s="187"/>
      <c r="OAP746" s="187"/>
      <c r="OAQ746" s="187"/>
      <c r="OAR746" s="187"/>
      <c r="OAS746" s="187"/>
      <c r="OAT746" s="187"/>
      <c r="OAU746" s="187"/>
      <c r="OAV746" s="187"/>
      <c r="OAW746" s="187"/>
      <c r="OAX746" s="187"/>
      <c r="OAY746" s="187"/>
      <c r="OAZ746" s="187"/>
      <c r="OBA746" s="187"/>
      <c r="OBB746" s="187"/>
      <c r="OBC746" s="187"/>
      <c r="OBD746" s="187"/>
      <c r="OBE746" s="187"/>
      <c r="OBF746" s="187"/>
      <c r="OBG746" s="187"/>
      <c r="OBH746" s="187"/>
      <c r="OBI746" s="187"/>
      <c r="OBJ746" s="187"/>
      <c r="OBK746" s="187"/>
      <c r="OBL746" s="187"/>
      <c r="OBM746" s="187"/>
      <c r="OBN746" s="187"/>
      <c r="OBO746" s="187"/>
      <c r="OBP746" s="187"/>
      <c r="OBQ746" s="187"/>
      <c r="OBR746" s="187"/>
      <c r="OBS746" s="187"/>
      <c r="OBT746" s="187"/>
      <c r="OBU746" s="187"/>
      <c r="OBV746" s="187"/>
      <c r="OBW746" s="187"/>
      <c r="OBX746" s="187"/>
      <c r="OBY746" s="187"/>
      <c r="OBZ746" s="187"/>
      <c r="OCA746" s="187"/>
      <c r="OCB746" s="187"/>
      <c r="OCC746" s="187"/>
      <c r="OCD746" s="187"/>
      <c r="OCE746" s="187"/>
      <c r="OCF746" s="187"/>
      <c r="OCG746" s="187"/>
      <c r="OCH746" s="187"/>
      <c r="OCI746" s="187"/>
      <c r="OCJ746" s="187"/>
      <c r="OCK746" s="187"/>
      <c r="OCL746" s="187"/>
      <c r="OCM746" s="187"/>
      <c r="OCN746" s="187"/>
      <c r="OCO746" s="187"/>
      <c r="OCP746" s="187"/>
      <c r="OCQ746" s="187"/>
      <c r="OCR746" s="187"/>
      <c r="OCS746" s="187"/>
      <c r="OCT746" s="187"/>
      <c r="OCU746" s="187"/>
      <c r="OCV746" s="187"/>
      <c r="OCW746" s="187"/>
      <c r="OCX746" s="187"/>
      <c r="OCY746" s="187"/>
      <c r="OCZ746" s="187"/>
      <c r="ODA746" s="187"/>
      <c r="ODB746" s="187"/>
      <c r="ODC746" s="187"/>
      <c r="ODD746" s="187"/>
      <c r="ODE746" s="187"/>
      <c r="ODF746" s="187"/>
      <c r="ODG746" s="187"/>
      <c r="ODH746" s="187"/>
      <c r="ODI746" s="187"/>
      <c r="ODJ746" s="187"/>
      <c r="ODK746" s="187"/>
      <c r="ODL746" s="187"/>
      <c r="ODM746" s="187"/>
      <c r="ODN746" s="187"/>
      <c r="ODO746" s="187"/>
      <c r="ODP746" s="187"/>
      <c r="ODQ746" s="187"/>
      <c r="ODR746" s="187"/>
      <c r="ODS746" s="187"/>
      <c r="ODT746" s="187"/>
      <c r="ODU746" s="187"/>
      <c r="ODV746" s="187"/>
      <c r="ODW746" s="187"/>
      <c r="ODX746" s="187"/>
      <c r="ODY746" s="187"/>
      <c r="ODZ746" s="187"/>
      <c r="OEA746" s="187"/>
      <c r="OEB746" s="187"/>
      <c r="OEC746" s="187"/>
      <c r="OED746" s="187"/>
      <c r="OEE746" s="187"/>
      <c r="OEF746" s="187"/>
      <c r="OEG746" s="187"/>
      <c r="OEH746" s="187"/>
      <c r="OEI746" s="187"/>
      <c r="OEJ746" s="187"/>
      <c r="OEK746" s="187"/>
      <c r="OEL746" s="187"/>
      <c r="OEM746" s="187"/>
      <c r="OEN746" s="187"/>
      <c r="OEO746" s="187"/>
      <c r="OEP746" s="187"/>
      <c r="OEQ746" s="187"/>
      <c r="OER746" s="187"/>
      <c r="OES746" s="187"/>
      <c r="OET746" s="187"/>
      <c r="OEU746" s="187"/>
      <c r="OEV746" s="187"/>
      <c r="OEW746" s="187"/>
      <c r="OEX746" s="187"/>
      <c r="OEY746" s="187"/>
      <c r="OEZ746" s="187"/>
      <c r="OFA746" s="187"/>
      <c r="OFB746" s="187"/>
      <c r="OFC746" s="187"/>
      <c r="OFD746" s="187"/>
      <c r="OFE746" s="187"/>
      <c r="OFF746" s="187"/>
      <c r="OFG746" s="187"/>
      <c r="OFH746" s="187"/>
      <c r="OFI746" s="187"/>
      <c r="OFJ746" s="187"/>
      <c r="OFK746" s="187"/>
      <c r="OFL746" s="187"/>
      <c r="OFM746" s="187"/>
      <c r="OFN746" s="187"/>
      <c r="OFO746" s="187"/>
      <c r="OFP746" s="187"/>
      <c r="OFQ746" s="187"/>
      <c r="OFR746" s="187"/>
      <c r="OFS746" s="187"/>
      <c r="OFT746" s="187"/>
      <c r="OFU746" s="187"/>
      <c r="OFV746" s="187"/>
      <c r="OFW746" s="187"/>
      <c r="OFX746" s="187"/>
      <c r="OFY746" s="187"/>
      <c r="OFZ746" s="187"/>
      <c r="OGA746" s="187"/>
      <c r="OGB746" s="187"/>
      <c r="OGC746" s="187"/>
      <c r="OGD746" s="187"/>
      <c r="OGE746" s="187"/>
      <c r="OGF746" s="187"/>
      <c r="OGG746" s="187"/>
      <c r="OGH746" s="187"/>
      <c r="OGI746" s="187"/>
      <c r="OGJ746" s="187"/>
      <c r="OGK746" s="187"/>
      <c r="OGL746" s="187"/>
      <c r="OGM746" s="187"/>
      <c r="OGN746" s="187"/>
      <c r="OGO746" s="187"/>
      <c r="OGP746" s="187"/>
      <c r="OGQ746" s="187"/>
      <c r="OGR746" s="187"/>
      <c r="OGS746" s="187"/>
      <c r="OGT746" s="187"/>
      <c r="OGU746" s="187"/>
      <c r="OGV746" s="187"/>
      <c r="OGW746" s="187"/>
      <c r="OGX746" s="187"/>
      <c r="OGY746" s="187"/>
      <c r="OGZ746" s="187"/>
      <c r="OHA746" s="187"/>
      <c r="OHB746" s="187"/>
      <c r="OHC746" s="187"/>
      <c r="OHD746" s="187"/>
      <c r="OHE746" s="187"/>
      <c r="OHF746" s="187"/>
      <c r="OHG746" s="187"/>
      <c r="OHH746" s="187"/>
      <c r="OHI746" s="187"/>
      <c r="OHJ746" s="187"/>
      <c r="OHK746" s="187"/>
      <c r="OHL746" s="187"/>
      <c r="OHM746" s="187"/>
      <c r="OHN746" s="187"/>
      <c r="OHO746" s="187"/>
      <c r="OHP746" s="187"/>
      <c r="OHQ746" s="187"/>
      <c r="OHR746" s="187"/>
      <c r="OHS746" s="187"/>
      <c r="OHT746" s="187"/>
      <c r="OHU746" s="187"/>
      <c r="OHV746" s="187"/>
      <c r="OHW746" s="187"/>
      <c r="OHX746" s="187"/>
      <c r="OHY746" s="187"/>
      <c r="OHZ746" s="187"/>
      <c r="OIA746" s="187"/>
      <c r="OIB746" s="187"/>
      <c r="OIC746" s="187"/>
      <c r="OID746" s="187"/>
      <c r="OIE746" s="187"/>
      <c r="OIF746" s="187"/>
      <c r="OIG746" s="187"/>
      <c r="OIH746" s="187"/>
      <c r="OII746" s="187"/>
      <c r="OIJ746" s="187"/>
      <c r="OIK746" s="187"/>
      <c r="OIL746" s="187"/>
      <c r="OIM746" s="187"/>
      <c r="OIN746" s="187"/>
      <c r="OIO746" s="187"/>
      <c r="OIP746" s="187"/>
      <c r="OIQ746" s="187"/>
      <c r="OIR746" s="187"/>
      <c r="OIS746" s="187"/>
      <c r="OIT746" s="187"/>
      <c r="OIU746" s="187"/>
      <c r="OIV746" s="187"/>
      <c r="OIW746" s="187"/>
      <c r="OIX746" s="187"/>
      <c r="OIY746" s="187"/>
      <c r="OIZ746" s="187"/>
      <c r="OJA746" s="187"/>
      <c r="OJB746" s="187"/>
      <c r="OJC746" s="187"/>
      <c r="OJD746" s="187"/>
      <c r="OJE746" s="187"/>
      <c r="OJF746" s="187"/>
      <c r="OJG746" s="187"/>
      <c r="OJH746" s="187"/>
      <c r="OJI746" s="187"/>
      <c r="OJJ746" s="187"/>
      <c r="OJK746" s="187"/>
      <c r="OJL746" s="187"/>
      <c r="OJM746" s="187"/>
      <c r="OJN746" s="187"/>
      <c r="OJO746" s="187"/>
      <c r="OJP746" s="187"/>
      <c r="OJQ746" s="187"/>
      <c r="OJR746" s="187"/>
      <c r="OJS746" s="187"/>
      <c r="OJT746" s="187"/>
      <c r="OJU746" s="187"/>
      <c r="OJV746" s="187"/>
      <c r="OJW746" s="187"/>
      <c r="OJX746" s="187"/>
      <c r="OJY746" s="187"/>
      <c r="OJZ746" s="187"/>
      <c r="OKA746" s="187"/>
      <c r="OKB746" s="187"/>
      <c r="OKC746" s="187"/>
      <c r="OKD746" s="187"/>
      <c r="OKE746" s="187"/>
      <c r="OKF746" s="187"/>
      <c r="OKG746" s="187"/>
      <c r="OKH746" s="187"/>
      <c r="OKI746" s="187"/>
      <c r="OKJ746" s="187"/>
      <c r="OKK746" s="187"/>
      <c r="OKL746" s="187"/>
      <c r="OKM746" s="187"/>
      <c r="OKN746" s="187"/>
      <c r="OKO746" s="187"/>
      <c r="OKP746" s="187"/>
      <c r="OKQ746" s="187"/>
      <c r="OKR746" s="187"/>
      <c r="OKS746" s="187"/>
      <c r="OKT746" s="187"/>
      <c r="OKU746" s="187"/>
      <c r="OKV746" s="187"/>
      <c r="OKW746" s="187"/>
      <c r="OKX746" s="187"/>
      <c r="OKY746" s="187"/>
      <c r="OKZ746" s="187"/>
      <c r="OLA746" s="187"/>
      <c r="OLB746" s="187"/>
      <c r="OLC746" s="187"/>
      <c r="OLD746" s="187"/>
      <c r="OLE746" s="187"/>
      <c r="OLF746" s="187"/>
      <c r="OLG746" s="187"/>
      <c r="OLH746" s="187"/>
      <c r="OLI746" s="187"/>
      <c r="OLJ746" s="187"/>
      <c r="OLK746" s="187"/>
      <c r="OLL746" s="187"/>
      <c r="OLM746" s="187"/>
      <c r="OLN746" s="187"/>
      <c r="OLO746" s="187"/>
      <c r="OLP746" s="187"/>
      <c r="OLQ746" s="187"/>
      <c r="OLR746" s="187"/>
      <c r="OLS746" s="187"/>
      <c r="OLT746" s="187"/>
      <c r="OLU746" s="187"/>
      <c r="OLV746" s="187"/>
      <c r="OLW746" s="187"/>
      <c r="OLX746" s="187"/>
      <c r="OLY746" s="187"/>
      <c r="OLZ746" s="187"/>
      <c r="OMA746" s="187"/>
      <c r="OMB746" s="187"/>
      <c r="OMC746" s="187"/>
      <c r="OMD746" s="187"/>
      <c r="OME746" s="187"/>
      <c r="OMF746" s="187"/>
      <c r="OMG746" s="187"/>
      <c r="OMH746" s="187"/>
      <c r="OMI746" s="187"/>
      <c r="OMJ746" s="187"/>
      <c r="OMK746" s="187"/>
      <c r="OML746" s="187"/>
      <c r="OMM746" s="187"/>
      <c r="OMN746" s="187"/>
      <c r="OMO746" s="187"/>
      <c r="OMP746" s="187"/>
      <c r="OMQ746" s="187"/>
      <c r="OMR746" s="187"/>
      <c r="OMS746" s="187"/>
      <c r="OMT746" s="187"/>
      <c r="OMU746" s="187"/>
      <c r="OMV746" s="187"/>
      <c r="OMW746" s="187"/>
      <c r="OMX746" s="187"/>
      <c r="OMY746" s="187"/>
      <c r="OMZ746" s="187"/>
      <c r="ONA746" s="187"/>
      <c r="ONB746" s="187"/>
      <c r="ONC746" s="187"/>
      <c r="OND746" s="187"/>
      <c r="ONE746" s="187"/>
      <c r="ONF746" s="187"/>
      <c r="ONG746" s="187"/>
      <c r="ONH746" s="187"/>
      <c r="ONI746" s="187"/>
      <c r="ONJ746" s="187"/>
      <c r="ONK746" s="187"/>
      <c r="ONL746" s="187"/>
      <c r="ONM746" s="187"/>
      <c r="ONN746" s="187"/>
      <c r="ONO746" s="187"/>
      <c r="ONP746" s="187"/>
      <c r="ONQ746" s="187"/>
      <c r="ONR746" s="187"/>
      <c r="ONS746" s="187"/>
      <c r="ONT746" s="187"/>
      <c r="ONU746" s="187"/>
      <c r="ONV746" s="187"/>
      <c r="ONW746" s="187"/>
      <c r="ONX746" s="187"/>
      <c r="ONY746" s="187"/>
      <c r="ONZ746" s="187"/>
      <c r="OOA746" s="187"/>
      <c r="OOB746" s="187"/>
      <c r="OOC746" s="187"/>
      <c r="OOD746" s="187"/>
      <c r="OOE746" s="187"/>
      <c r="OOF746" s="187"/>
      <c r="OOG746" s="187"/>
      <c r="OOH746" s="187"/>
      <c r="OOI746" s="187"/>
      <c r="OOJ746" s="187"/>
      <c r="OOK746" s="187"/>
      <c r="OOL746" s="187"/>
      <c r="OOM746" s="187"/>
      <c r="OON746" s="187"/>
      <c r="OOO746" s="187"/>
      <c r="OOP746" s="187"/>
      <c r="OOQ746" s="187"/>
      <c r="OOR746" s="187"/>
      <c r="OOS746" s="187"/>
      <c r="OOT746" s="187"/>
      <c r="OOU746" s="187"/>
      <c r="OOV746" s="187"/>
      <c r="OOW746" s="187"/>
      <c r="OOX746" s="187"/>
      <c r="OOY746" s="187"/>
      <c r="OOZ746" s="187"/>
      <c r="OPA746" s="187"/>
      <c r="OPB746" s="187"/>
      <c r="OPC746" s="187"/>
      <c r="OPD746" s="187"/>
      <c r="OPE746" s="187"/>
      <c r="OPF746" s="187"/>
      <c r="OPG746" s="187"/>
      <c r="OPH746" s="187"/>
      <c r="OPI746" s="187"/>
      <c r="OPJ746" s="187"/>
      <c r="OPK746" s="187"/>
      <c r="OPL746" s="187"/>
      <c r="OPM746" s="187"/>
      <c r="OPN746" s="187"/>
      <c r="OPO746" s="187"/>
      <c r="OPP746" s="187"/>
      <c r="OPQ746" s="187"/>
      <c r="OPR746" s="187"/>
      <c r="OPS746" s="187"/>
      <c r="OPT746" s="187"/>
      <c r="OPU746" s="187"/>
      <c r="OPV746" s="187"/>
      <c r="OPW746" s="187"/>
      <c r="OPX746" s="187"/>
      <c r="OPY746" s="187"/>
      <c r="OPZ746" s="187"/>
      <c r="OQA746" s="187"/>
      <c r="OQB746" s="187"/>
      <c r="OQC746" s="187"/>
      <c r="OQD746" s="187"/>
      <c r="OQE746" s="187"/>
      <c r="OQF746" s="187"/>
      <c r="OQG746" s="187"/>
      <c r="OQH746" s="187"/>
      <c r="OQI746" s="187"/>
      <c r="OQJ746" s="187"/>
      <c r="OQK746" s="187"/>
      <c r="OQL746" s="187"/>
      <c r="OQM746" s="187"/>
      <c r="OQN746" s="187"/>
      <c r="OQO746" s="187"/>
      <c r="OQP746" s="187"/>
      <c r="OQQ746" s="187"/>
      <c r="OQR746" s="187"/>
      <c r="OQS746" s="187"/>
      <c r="OQT746" s="187"/>
      <c r="OQU746" s="187"/>
      <c r="OQV746" s="187"/>
      <c r="OQW746" s="187"/>
      <c r="OQX746" s="187"/>
      <c r="OQY746" s="187"/>
      <c r="OQZ746" s="187"/>
      <c r="ORA746" s="187"/>
      <c r="ORB746" s="187"/>
      <c r="ORC746" s="187"/>
      <c r="ORD746" s="187"/>
      <c r="ORE746" s="187"/>
      <c r="ORF746" s="187"/>
      <c r="ORG746" s="187"/>
      <c r="ORH746" s="187"/>
      <c r="ORI746" s="187"/>
      <c r="ORJ746" s="187"/>
      <c r="ORK746" s="187"/>
      <c r="ORL746" s="187"/>
      <c r="ORM746" s="187"/>
      <c r="ORN746" s="187"/>
      <c r="ORO746" s="187"/>
      <c r="ORP746" s="187"/>
      <c r="ORQ746" s="187"/>
      <c r="ORR746" s="187"/>
      <c r="ORS746" s="187"/>
      <c r="ORT746" s="187"/>
      <c r="ORU746" s="187"/>
      <c r="ORV746" s="187"/>
      <c r="ORW746" s="187"/>
      <c r="ORX746" s="187"/>
      <c r="ORY746" s="187"/>
      <c r="ORZ746" s="187"/>
      <c r="OSA746" s="187"/>
      <c r="OSB746" s="187"/>
      <c r="OSC746" s="187"/>
      <c r="OSD746" s="187"/>
      <c r="OSE746" s="187"/>
      <c r="OSF746" s="187"/>
      <c r="OSG746" s="187"/>
      <c r="OSH746" s="187"/>
      <c r="OSI746" s="187"/>
      <c r="OSJ746" s="187"/>
      <c r="OSK746" s="187"/>
      <c r="OSL746" s="187"/>
      <c r="OSM746" s="187"/>
      <c r="OSN746" s="187"/>
      <c r="OSO746" s="187"/>
      <c r="OSP746" s="187"/>
      <c r="OSQ746" s="187"/>
      <c r="OSR746" s="187"/>
      <c r="OSS746" s="187"/>
      <c r="OST746" s="187"/>
      <c r="OSU746" s="187"/>
      <c r="OSV746" s="187"/>
      <c r="OSW746" s="187"/>
      <c r="OSX746" s="187"/>
      <c r="OSY746" s="187"/>
      <c r="OSZ746" s="187"/>
      <c r="OTA746" s="187"/>
      <c r="OTB746" s="187"/>
      <c r="OTC746" s="187"/>
      <c r="OTD746" s="187"/>
      <c r="OTE746" s="187"/>
      <c r="OTF746" s="187"/>
      <c r="OTG746" s="187"/>
      <c r="OTH746" s="187"/>
      <c r="OTI746" s="187"/>
      <c r="OTJ746" s="187"/>
      <c r="OTK746" s="187"/>
      <c r="OTL746" s="187"/>
      <c r="OTM746" s="187"/>
      <c r="OTN746" s="187"/>
      <c r="OTO746" s="187"/>
      <c r="OTP746" s="187"/>
      <c r="OTQ746" s="187"/>
      <c r="OTR746" s="187"/>
      <c r="OTS746" s="187"/>
      <c r="OTT746" s="187"/>
      <c r="OTU746" s="187"/>
      <c r="OTV746" s="187"/>
      <c r="OTW746" s="187"/>
      <c r="OTX746" s="187"/>
      <c r="OTY746" s="187"/>
      <c r="OTZ746" s="187"/>
      <c r="OUA746" s="187"/>
      <c r="OUB746" s="187"/>
      <c r="OUC746" s="187"/>
      <c r="OUD746" s="187"/>
      <c r="OUE746" s="187"/>
      <c r="OUF746" s="187"/>
      <c r="OUG746" s="187"/>
      <c r="OUH746" s="187"/>
      <c r="OUI746" s="187"/>
      <c r="OUJ746" s="187"/>
      <c r="OUK746" s="187"/>
      <c r="OUL746" s="187"/>
      <c r="OUM746" s="187"/>
      <c r="OUN746" s="187"/>
      <c r="OUO746" s="187"/>
      <c r="OUP746" s="187"/>
      <c r="OUQ746" s="187"/>
      <c r="OUR746" s="187"/>
      <c r="OUS746" s="187"/>
      <c r="OUT746" s="187"/>
      <c r="OUU746" s="187"/>
      <c r="OUV746" s="187"/>
      <c r="OUW746" s="187"/>
      <c r="OUX746" s="187"/>
      <c r="OUY746" s="187"/>
      <c r="OUZ746" s="187"/>
      <c r="OVA746" s="187"/>
      <c r="OVB746" s="187"/>
      <c r="OVC746" s="187"/>
      <c r="OVD746" s="187"/>
      <c r="OVE746" s="187"/>
      <c r="OVF746" s="187"/>
      <c r="OVG746" s="187"/>
      <c r="OVH746" s="187"/>
      <c r="OVI746" s="187"/>
      <c r="OVJ746" s="187"/>
      <c r="OVK746" s="187"/>
      <c r="OVL746" s="187"/>
      <c r="OVM746" s="187"/>
      <c r="OVN746" s="187"/>
      <c r="OVO746" s="187"/>
      <c r="OVP746" s="187"/>
      <c r="OVQ746" s="187"/>
      <c r="OVR746" s="187"/>
      <c r="OVS746" s="187"/>
      <c r="OVT746" s="187"/>
      <c r="OVU746" s="187"/>
      <c r="OVV746" s="187"/>
      <c r="OVW746" s="187"/>
      <c r="OVX746" s="187"/>
      <c r="OVY746" s="187"/>
      <c r="OVZ746" s="187"/>
      <c r="OWA746" s="187"/>
      <c r="OWB746" s="187"/>
      <c r="OWC746" s="187"/>
      <c r="OWD746" s="187"/>
      <c r="OWE746" s="187"/>
      <c r="OWF746" s="187"/>
      <c r="OWG746" s="187"/>
      <c r="OWH746" s="187"/>
      <c r="OWI746" s="187"/>
      <c r="OWJ746" s="187"/>
      <c r="OWK746" s="187"/>
      <c r="OWL746" s="187"/>
      <c r="OWM746" s="187"/>
      <c r="OWN746" s="187"/>
      <c r="OWO746" s="187"/>
      <c r="OWP746" s="187"/>
      <c r="OWQ746" s="187"/>
      <c r="OWR746" s="187"/>
      <c r="OWS746" s="187"/>
      <c r="OWT746" s="187"/>
      <c r="OWU746" s="187"/>
      <c r="OWV746" s="187"/>
      <c r="OWW746" s="187"/>
      <c r="OWX746" s="187"/>
      <c r="OWY746" s="187"/>
      <c r="OWZ746" s="187"/>
      <c r="OXA746" s="187"/>
      <c r="OXB746" s="187"/>
      <c r="OXC746" s="187"/>
      <c r="OXD746" s="187"/>
      <c r="OXE746" s="187"/>
      <c r="OXF746" s="187"/>
      <c r="OXG746" s="187"/>
      <c r="OXH746" s="187"/>
      <c r="OXI746" s="187"/>
      <c r="OXJ746" s="187"/>
      <c r="OXK746" s="187"/>
      <c r="OXL746" s="187"/>
      <c r="OXM746" s="187"/>
      <c r="OXN746" s="187"/>
      <c r="OXO746" s="187"/>
      <c r="OXP746" s="187"/>
      <c r="OXQ746" s="187"/>
      <c r="OXR746" s="187"/>
      <c r="OXS746" s="187"/>
      <c r="OXT746" s="187"/>
      <c r="OXU746" s="187"/>
      <c r="OXV746" s="187"/>
      <c r="OXW746" s="187"/>
      <c r="OXX746" s="187"/>
      <c r="OXY746" s="187"/>
      <c r="OXZ746" s="187"/>
      <c r="OYA746" s="187"/>
      <c r="OYB746" s="187"/>
      <c r="OYC746" s="187"/>
      <c r="OYD746" s="187"/>
      <c r="OYE746" s="187"/>
      <c r="OYF746" s="187"/>
      <c r="OYG746" s="187"/>
      <c r="OYH746" s="187"/>
      <c r="OYI746" s="187"/>
      <c r="OYJ746" s="187"/>
      <c r="OYK746" s="187"/>
      <c r="OYL746" s="187"/>
      <c r="OYM746" s="187"/>
      <c r="OYN746" s="187"/>
      <c r="OYO746" s="187"/>
      <c r="OYP746" s="187"/>
      <c r="OYQ746" s="187"/>
      <c r="OYR746" s="187"/>
      <c r="OYS746" s="187"/>
      <c r="OYT746" s="187"/>
      <c r="OYU746" s="187"/>
      <c r="OYV746" s="187"/>
      <c r="OYW746" s="187"/>
      <c r="OYX746" s="187"/>
      <c r="OYY746" s="187"/>
      <c r="OYZ746" s="187"/>
      <c r="OZA746" s="187"/>
      <c r="OZB746" s="187"/>
      <c r="OZC746" s="187"/>
      <c r="OZD746" s="187"/>
      <c r="OZE746" s="187"/>
      <c r="OZF746" s="187"/>
      <c r="OZG746" s="187"/>
      <c r="OZH746" s="187"/>
      <c r="OZI746" s="187"/>
      <c r="OZJ746" s="187"/>
      <c r="OZK746" s="187"/>
      <c r="OZL746" s="187"/>
      <c r="OZM746" s="187"/>
      <c r="OZN746" s="187"/>
      <c r="OZO746" s="187"/>
      <c r="OZP746" s="187"/>
      <c r="OZQ746" s="187"/>
      <c r="OZR746" s="187"/>
      <c r="OZS746" s="187"/>
      <c r="OZT746" s="187"/>
      <c r="OZU746" s="187"/>
      <c r="OZV746" s="187"/>
      <c r="OZW746" s="187"/>
      <c r="OZX746" s="187"/>
      <c r="OZY746" s="187"/>
      <c r="OZZ746" s="187"/>
      <c r="PAA746" s="187"/>
      <c r="PAB746" s="187"/>
      <c r="PAC746" s="187"/>
      <c r="PAD746" s="187"/>
      <c r="PAE746" s="187"/>
      <c r="PAF746" s="187"/>
      <c r="PAG746" s="187"/>
      <c r="PAH746" s="187"/>
      <c r="PAI746" s="187"/>
      <c r="PAJ746" s="187"/>
      <c r="PAK746" s="187"/>
      <c r="PAL746" s="187"/>
      <c r="PAM746" s="187"/>
      <c r="PAN746" s="187"/>
      <c r="PAO746" s="187"/>
      <c r="PAP746" s="187"/>
      <c r="PAQ746" s="187"/>
      <c r="PAR746" s="187"/>
      <c r="PAS746" s="187"/>
      <c r="PAT746" s="187"/>
      <c r="PAU746" s="187"/>
      <c r="PAV746" s="187"/>
      <c r="PAW746" s="187"/>
      <c r="PAX746" s="187"/>
      <c r="PAY746" s="187"/>
      <c r="PAZ746" s="187"/>
      <c r="PBA746" s="187"/>
      <c r="PBB746" s="187"/>
      <c r="PBC746" s="187"/>
      <c r="PBD746" s="187"/>
      <c r="PBE746" s="187"/>
      <c r="PBF746" s="187"/>
      <c r="PBG746" s="187"/>
      <c r="PBH746" s="187"/>
      <c r="PBI746" s="187"/>
      <c r="PBJ746" s="187"/>
      <c r="PBK746" s="187"/>
      <c r="PBL746" s="187"/>
      <c r="PBM746" s="187"/>
      <c r="PBN746" s="187"/>
      <c r="PBO746" s="187"/>
      <c r="PBP746" s="187"/>
      <c r="PBQ746" s="187"/>
      <c r="PBR746" s="187"/>
      <c r="PBS746" s="187"/>
      <c r="PBT746" s="187"/>
      <c r="PBU746" s="187"/>
      <c r="PBV746" s="187"/>
      <c r="PBW746" s="187"/>
      <c r="PBX746" s="187"/>
      <c r="PBY746" s="187"/>
      <c r="PBZ746" s="187"/>
      <c r="PCA746" s="187"/>
      <c r="PCB746" s="187"/>
      <c r="PCC746" s="187"/>
      <c r="PCD746" s="187"/>
      <c r="PCE746" s="187"/>
      <c r="PCF746" s="187"/>
      <c r="PCG746" s="187"/>
      <c r="PCH746" s="187"/>
      <c r="PCI746" s="187"/>
      <c r="PCJ746" s="187"/>
      <c r="PCK746" s="187"/>
      <c r="PCL746" s="187"/>
      <c r="PCM746" s="187"/>
      <c r="PCN746" s="187"/>
      <c r="PCO746" s="187"/>
      <c r="PCP746" s="187"/>
      <c r="PCQ746" s="187"/>
      <c r="PCR746" s="187"/>
      <c r="PCS746" s="187"/>
      <c r="PCT746" s="187"/>
      <c r="PCU746" s="187"/>
      <c r="PCV746" s="187"/>
      <c r="PCW746" s="187"/>
      <c r="PCX746" s="187"/>
      <c r="PCY746" s="187"/>
      <c r="PCZ746" s="187"/>
      <c r="PDA746" s="187"/>
      <c r="PDB746" s="187"/>
      <c r="PDC746" s="187"/>
      <c r="PDD746" s="187"/>
      <c r="PDE746" s="187"/>
      <c r="PDF746" s="187"/>
      <c r="PDG746" s="187"/>
      <c r="PDH746" s="187"/>
      <c r="PDI746" s="187"/>
      <c r="PDJ746" s="187"/>
      <c r="PDK746" s="187"/>
      <c r="PDL746" s="187"/>
      <c r="PDM746" s="187"/>
      <c r="PDN746" s="187"/>
      <c r="PDO746" s="187"/>
      <c r="PDP746" s="187"/>
      <c r="PDQ746" s="187"/>
      <c r="PDR746" s="187"/>
      <c r="PDS746" s="187"/>
      <c r="PDT746" s="187"/>
      <c r="PDU746" s="187"/>
      <c r="PDV746" s="187"/>
      <c r="PDW746" s="187"/>
      <c r="PDX746" s="187"/>
      <c r="PDY746" s="187"/>
      <c r="PDZ746" s="187"/>
      <c r="PEA746" s="187"/>
      <c r="PEB746" s="187"/>
      <c r="PEC746" s="187"/>
      <c r="PED746" s="187"/>
      <c r="PEE746" s="187"/>
      <c r="PEF746" s="187"/>
      <c r="PEG746" s="187"/>
      <c r="PEH746" s="187"/>
      <c r="PEI746" s="187"/>
      <c r="PEJ746" s="187"/>
      <c r="PEK746" s="187"/>
      <c r="PEL746" s="187"/>
      <c r="PEM746" s="187"/>
      <c r="PEN746" s="187"/>
      <c r="PEO746" s="187"/>
      <c r="PEP746" s="187"/>
      <c r="PEQ746" s="187"/>
      <c r="PER746" s="187"/>
      <c r="PES746" s="187"/>
      <c r="PET746" s="187"/>
      <c r="PEU746" s="187"/>
      <c r="PEV746" s="187"/>
      <c r="PEW746" s="187"/>
      <c r="PEX746" s="187"/>
      <c r="PEY746" s="187"/>
      <c r="PEZ746" s="187"/>
      <c r="PFA746" s="187"/>
      <c r="PFB746" s="187"/>
      <c r="PFC746" s="187"/>
      <c r="PFD746" s="187"/>
      <c r="PFE746" s="187"/>
      <c r="PFF746" s="187"/>
      <c r="PFG746" s="187"/>
      <c r="PFH746" s="187"/>
      <c r="PFI746" s="187"/>
      <c r="PFJ746" s="187"/>
      <c r="PFK746" s="187"/>
      <c r="PFL746" s="187"/>
      <c r="PFM746" s="187"/>
      <c r="PFN746" s="187"/>
      <c r="PFO746" s="187"/>
      <c r="PFP746" s="187"/>
      <c r="PFQ746" s="187"/>
      <c r="PFR746" s="187"/>
      <c r="PFS746" s="187"/>
      <c r="PFT746" s="187"/>
      <c r="PFU746" s="187"/>
      <c r="PFV746" s="187"/>
      <c r="PFW746" s="187"/>
      <c r="PFX746" s="187"/>
      <c r="PFY746" s="187"/>
      <c r="PFZ746" s="187"/>
      <c r="PGA746" s="187"/>
      <c r="PGB746" s="187"/>
      <c r="PGC746" s="187"/>
      <c r="PGD746" s="187"/>
      <c r="PGE746" s="187"/>
      <c r="PGF746" s="187"/>
      <c r="PGG746" s="187"/>
      <c r="PGH746" s="187"/>
      <c r="PGI746" s="187"/>
      <c r="PGJ746" s="187"/>
      <c r="PGK746" s="187"/>
      <c r="PGL746" s="187"/>
      <c r="PGM746" s="187"/>
      <c r="PGN746" s="187"/>
      <c r="PGO746" s="187"/>
      <c r="PGP746" s="187"/>
      <c r="PGQ746" s="187"/>
      <c r="PGR746" s="187"/>
      <c r="PGS746" s="187"/>
      <c r="PGT746" s="187"/>
      <c r="PGU746" s="187"/>
      <c r="PGV746" s="187"/>
      <c r="PGW746" s="187"/>
      <c r="PGX746" s="187"/>
      <c r="PGY746" s="187"/>
      <c r="PGZ746" s="187"/>
      <c r="PHA746" s="187"/>
      <c r="PHB746" s="187"/>
      <c r="PHC746" s="187"/>
      <c r="PHD746" s="187"/>
      <c r="PHE746" s="187"/>
      <c r="PHF746" s="187"/>
      <c r="PHG746" s="187"/>
      <c r="PHH746" s="187"/>
      <c r="PHI746" s="187"/>
      <c r="PHJ746" s="187"/>
      <c r="PHK746" s="187"/>
      <c r="PHL746" s="187"/>
      <c r="PHM746" s="187"/>
      <c r="PHN746" s="187"/>
      <c r="PHO746" s="187"/>
      <c r="PHP746" s="187"/>
      <c r="PHQ746" s="187"/>
      <c r="PHR746" s="187"/>
      <c r="PHS746" s="187"/>
      <c r="PHT746" s="187"/>
      <c r="PHU746" s="187"/>
      <c r="PHV746" s="187"/>
      <c r="PHW746" s="187"/>
      <c r="PHX746" s="187"/>
      <c r="PHY746" s="187"/>
      <c r="PHZ746" s="187"/>
      <c r="PIA746" s="187"/>
      <c r="PIB746" s="187"/>
      <c r="PIC746" s="187"/>
      <c r="PID746" s="187"/>
      <c r="PIE746" s="187"/>
      <c r="PIF746" s="187"/>
      <c r="PIG746" s="187"/>
      <c r="PIH746" s="187"/>
      <c r="PII746" s="187"/>
      <c r="PIJ746" s="187"/>
      <c r="PIK746" s="187"/>
      <c r="PIL746" s="187"/>
      <c r="PIM746" s="187"/>
      <c r="PIN746" s="187"/>
      <c r="PIO746" s="187"/>
      <c r="PIP746" s="187"/>
      <c r="PIQ746" s="187"/>
      <c r="PIR746" s="187"/>
      <c r="PIS746" s="187"/>
      <c r="PIT746" s="187"/>
      <c r="PIU746" s="187"/>
      <c r="PIV746" s="187"/>
      <c r="PIW746" s="187"/>
      <c r="PIX746" s="187"/>
      <c r="PIY746" s="187"/>
      <c r="PIZ746" s="187"/>
      <c r="PJA746" s="187"/>
      <c r="PJB746" s="187"/>
      <c r="PJC746" s="187"/>
      <c r="PJD746" s="187"/>
      <c r="PJE746" s="187"/>
      <c r="PJF746" s="187"/>
      <c r="PJG746" s="187"/>
      <c r="PJH746" s="187"/>
      <c r="PJI746" s="187"/>
      <c r="PJJ746" s="187"/>
      <c r="PJK746" s="187"/>
      <c r="PJL746" s="187"/>
      <c r="PJM746" s="187"/>
      <c r="PJN746" s="187"/>
      <c r="PJO746" s="187"/>
      <c r="PJP746" s="187"/>
      <c r="PJQ746" s="187"/>
      <c r="PJR746" s="187"/>
      <c r="PJS746" s="187"/>
      <c r="PJT746" s="187"/>
      <c r="PJU746" s="187"/>
      <c r="PJV746" s="187"/>
      <c r="PJW746" s="187"/>
      <c r="PJX746" s="187"/>
      <c r="PJY746" s="187"/>
      <c r="PJZ746" s="187"/>
      <c r="PKA746" s="187"/>
      <c r="PKB746" s="187"/>
      <c r="PKC746" s="187"/>
      <c r="PKD746" s="187"/>
      <c r="PKE746" s="187"/>
      <c r="PKF746" s="187"/>
      <c r="PKG746" s="187"/>
      <c r="PKH746" s="187"/>
      <c r="PKI746" s="187"/>
      <c r="PKJ746" s="187"/>
      <c r="PKK746" s="187"/>
      <c r="PKL746" s="187"/>
      <c r="PKM746" s="187"/>
      <c r="PKN746" s="187"/>
      <c r="PKO746" s="187"/>
      <c r="PKP746" s="187"/>
      <c r="PKQ746" s="187"/>
      <c r="PKR746" s="187"/>
      <c r="PKS746" s="187"/>
      <c r="PKT746" s="187"/>
      <c r="PKU746" s="187"/>
      <c r="PKV746" s="187"/>
      <c r="PKW746" s="187"/>
      <c r="PKX746" s="187"/>
      <c r="PKY746" s="187"/>
      <c r="PKZ746" s="187"/>
      <c r="PLA746" s="187"/>
      <c r="PLB746" s="187"/>
      <c r="PLC746" s="187"/>
      <c r="PLD746" s="187"/>
      <c r="PLE746" s="187"/>
      <c r="PLF746" s="187"/>
      <c r="PLG746" s="187"/>
      <c r="PLH746" s="187"/>
      <c r="PLI746" s="187"/>
      <c r="PLJ746" s="187"/>
      <c r="PLK746" s="187"/>
      <c r="PLL746" s="187"/>
      <c r="PLM746" s="187"/>
      <c r="PLN746" s="187"/>
      <c r="PLO746" s="187"/>
      <c r="PLP746" s="187"/>
      <c r="PLQ746" s="187"/>
      <c r="PLR746" s="187"/>
      <c r="PLS746" s="187"/>
      <c r="PLT746" s="187"/>
      <c r="PLU746" s="187"/>
      <c r="PLV746" s="187"/>
      <c r="PLW746" s="187"/>
      <c r="PLX746" s="187"/>
      <c r="PLY746" s="187"/>
      <c r="PLZ746" s="187"/>
      <c r="PMA746" s="187"/>
      <c r="PMB746" s="187"/>
      <c r="PMC746" s="187"/>
      <c r="PMD746" s="187"/>
      <c r="PME746" s="187"/>
      <c r="PMF746" s="187"/>
      <c r="PMG746" s="187"/>
      <c r="PMH746" s="187"/>
      <c r="PMI746" s="187"/>
      <c r="PMJ746" s="187"/>
      <c r="PMK746" s="187"/>
      <c r="PML746" s="187"/>
      <c r="PMM746" s="187"/>
      <c r="PMN746" s="187"/>
      <c r="PMO746" s="187"/>
      <c r="PMP746" s="187"/>
      <c r="PMQ746" s="187"/>
      <c r="PMR746" s="187"/>
      <c r="PMS746" s="187"/>
      <c r="PMT746" s="187"/>
      <c r="PMU746" s="187"/>
      <c r="PMV746" s="187"/>
      <c r="PMW746" s="187"/>
      <c r="PMX746" s="187"/>
      <c r="PMY746" s="187"/>
      <c r="PMZ746" s="187"/>
      <c r="PNA746" s="187"/>
      <c r="PNB746" s="187"/>
      <c r="PNC746" s="187"/>
      <c r="PND746" s="187"/>
      <c r="PNE746" s="187"/>
      <c r="PNF746" s="187"/>
      <c r="PNG746" s="187"/>
      <c r="PNH746" s="187"/>
      <c r="PNI746" s="187"/>
      <c r="PNJ746" s="187"/>
      <c r="PNK746" s="187"/>
      <c r="PNL746" s="187"/>
      <c r="PNM746" s="187"/>
      <c r="PNN746" s="187"/>
      <c r="PNO746" s="187"/>
      <c r="PNP746" s="187"/>
      <c r="PNQ746" s="187"/>
      <c r="PNR746" s="187"/>
      <c r="PNS746" s="187"/>
      <c r="PNT746" s="187"/>
      <c r="PNU746" s="187"/>
      <c r="PNV746" s="187"/>
      <c r="PNW746" s="187"/>
      <c r="PNX746" s="187"/>
      <c r="PNY746" s="187"/>
      <c r="PNZ746" s="187"/>
      <c r="POA746" s="187"/>
      <c r="POB746" s="187"/>
      <c r="POC746" s="187"/>
      <c r="POD746" s="187"/>
      <c r="POE746" s="187"/>
      <c r="POF746" s="187"/>
      <c r="POG746" s="187"/>
      <c r="POH746" s="187"/>
      <c r="POI746" s="187"/>
      <c r="POJ746" s="187"/>
      <c r="POK746" s="187"/>
      <c r="POL746" s="187"/>
      <c r="POM746" s="187"/>
      <c r="PON746" s="187"/>
      <c r="POO746" s="187"/>
      <c r="POP746" s="187"/>
      <c r="POQ746" s="187"/>
      <c r="POR746" s="187"/>
      <c r="POS746" s="187"/>
      <c r="POT746" s="187"/>
      <c r="POU746" s="187"/>
      <c r="POV746" s="187"/>
      <c r="POW746" s="187"/>
      <c r="POX746" s="187"/>
      <c r="POY746" s="187"/>
      <c r="POZ746" s="187"/>
      <c r="PPA746" s="187"/>
      <c r="PPB746" s="187"/>
      <c r="PPC746" s="187"/>
      <c r="PPD746" s="187"/>
      <c r="PPE746" s="187"/>
      <c r="PPF746" s="187"/>
      <c r="PPG746" s="187"/>
      <c r="PPH746" s="187"/>
      <c r="PPI746" s="187"/>
      <c r="PPJ746" s="187"/>
      <c r="PPK746" s="187"/>
      <c r="PPL746" s="187"/>
      <c r="PPM746" s="187"/>
      <c r="PPN746" s="187"/>
      <c r="PPO746" s="187"/>
      <c r="PPP746" s="187"/>
      <c r="PPQ746" s="187"/>
      <c r="PPR746" s="187"/>
      <c r="PPS746" s="187"/>
      <c r="PPT746" s="187"/>
      <c r="PPU746" s="187"/>
      <c r="PPV746" s="187"/>
      <c r="PPW746" s="187"/>
      <c r="PPX746" s="187"/>
      <c r="PPY746" s="187"/>
      <c r="PPZ746" s="187"/>
      <c r="PQA746" s="187"/>
      <c r="PQB746" s="187"/>
      <c r="PQC746" s="187"/>
      <c r="PQD746" s="187"/>
      <c r="PQE746" s="187"/>
      <c r="PQF746" s="187"/>
      <c r="PQG746" s="187"/>
      <c r="PQH746" s="187"/>
      <c r="PQI746" s="187"/>
      <c r="PQJ746" s="187"/>
      <c r="PQK746" s="187"/>
      <c r="PQL746" s="187"/>
      <c r="PQM746" s="187"/>
      <c r="PQN746" s="187"/>
      <c r="PQO746" s="187"/>
      <c r="PQP746" s="187"/>
      <c r="PQQ746" s="187"/>
      <c r="PQR746" s="187"/>
      <c r="PQS746" s="187"/>
      <c r="PQT746" s="187"/>
      <c r="PQU746" s="187"/>
      <c r="PQV746" s="187"/>
      <c r="PQW746" s="187"/>
      <c r="PQX746" s="187"/>
      <c r="PQY746" s="187"/>
      <c r="PQZ746" s="187"/>
      <c r="PRA746" s="187"/>
      <c r="PRB746" s="187"/>
      <c r="PRC746" s="187"/>
      <c r="PRD746" s="187"/>
      <c r="PRE746" s="187"/>
      <c r="PRF746" s="187"/>
      <c r="PRG746" s="187"/>
      <c r="PRH746" s="187"/>
      <c r="PRI746" s="187"/>
      <c r="PRJ746" s="187"/>
      <c r="PRK746" s="187"/>
      <c r="PRL746" s="187"/>
      <c r="PRM746" s="187"/>
      <c r="PRN746" s="187"/>
      <c r="PRO746" s="187"/>
      <c r="PRP746" s="187"/>
      <c r="PRQ746" s="187"/>
      <c r="PRR746" s="187"/>
      <c r="PRS746" s="187"/>
      <c r="PRT746" s="187"/>
      <c r="PRU746" s="187"/>
      <c r="PRV746" s="187"/>
      <c r="PRW746" s="187"/>
      <c r="PRX746" s="187"/>
      <c r="PRY746" s="187"/>
      <c r="PRZ746" s="187"/>
      <c r="PSA746" s="187"/>
      <c r="PSB746" s="187"/>
      <c r="PSC746" s="187"/>
      <c r="PSD746" s="187"/>
      <c r="PSE746" s="187"/>
      <c r="PSF746" s="187"/>
      <c r="PSG746" s="187"/>
      <c r="PSH746" s="187"/>
      <c r="PSI746" s="187"/>
      <c r="PSJ746" s="187"/>
      <c r="PSK746" s="187"/>
      <c r="PSL746" s="187"/>
      <c r="PSM746" s="187"/>
      <c r="PSN746" s="187"/>
      <c r="PSO746" s="187"/>
      <c r="PSP746" s="187"/>
      <c r="PSQ746" s="187"/>
      <c r="PSR746" s="187"/>
      <c r="PSS746" s="187"/>
      <c r="PST746" s="187"/>
      <c r="PSU746" s="187"/>
      <c r="PSV746" s="187"/>
      <c r="PSW746" s="187"/>
      <c r="PSX746" s="187"/>
      <c r="PSY746" s="187"/>
      <c r="PSZ746" s="187"/>
      <c r="PTA746" s="187"/>
      <c r="PTB746" s="187"/>
      <c r="PTC746" s="187"/>
      <c r="PTD746" s="187"/>
      <c r="PTE746" s="187"/>
      <c r="PTF746" s="187"/>
      <c r="PTG746" s="187"/>
      <c r="PTH746" s="187"/>
      <c r="PTI746" s="187"/>
      <c r="PTJ746" s="187"/>
      <c r="PTK746" s="187"/>
      <c r="PTL746" s="187"/>
      <c r="PTM746" s="187"/>
      <c r="PTN746" s="187"/>
      <c r="PTO746" s="187"/>
      <c r="PTP746" s="187"/>
      <c r="PTQ746" s="187"/>
      <c r="PTR746" s="187"/>
      <c r="PTS746" s="187"/>
      <c r="PTT746" s="187"/>
      <c r="PTU746" s="187"/>
      <c r="PTV746" s="187"/>
      <c r="PTW746" s="187"/>
      <c r="PTX746" s="187"/>
      <c r="PTY746" s="187"/>
      <c r="PTZ746" s="187"/>
      <c r="PUA746" s="187"/>
      <c r="PUB746" s="187"/>
      <c r="PUC746" s="187"/>
      <c r="PUD746" s="187"/>
      <c r="PUE746" s="187"/>
      <c r="PUF746" s="187"/>
      <c r="PUG746" s="187"/>
      <c r="PUH746" s="187"/>
      <c r="PUI746" s="187"/>
      <c r="PUJ746" s="187"/>
      <c r="PUK746" s="187"/>
      <c r="PUL746" s="187"/>
      <c r="PUM746" s="187"/>
      <c r="PUN746" s="187"/>
      <c r="PUO746" s="187"/>
      <c r="PUP746" s="187"/>
      <c r="PUQ746" s="187"/>
      <c r="PUR746" s="187"/>
      <c r="PUS746" s="187"/>
      <c r="PUT746" s="187"/>
      <c r="PUU746" s="187"/>
      <c r="PUV746" s="187"/>
      <c r="PUW746" s="187"/>
      <c r="PUX746" s="187"/>
      <c r="PUY746" s="187"/>
      <c r="PUZ746" s="187"/>
      <c r="PVA746" s="187"/>
      <c r="PVB746" s="187"/>
      <c r="PVC746" s="187"/>
      <c r="PVD746" s="187"/>
      <c r="PVE746" s="187"/>
      <c r="PVF746" s="187"/>
      <c r="PVG746" s="187"/>
      <c r="PVH746" s="187"/>
      <c r="PVI746" s="187"/>
      <c r="PVJ746" s="187"/>
      <c r="PVK746" s="187"/>
      <c r="PVL746" s="187"/>
      <c r="PVM746" s="187"/>
      <c r="PVN746" s="187"/>
      <c r="PVO746" s="187"/>
      <c r="PVP746" s="187"/>
      <c r="PVQ746" s="187"/>
      <c r="PVR746" s="187"/>
      <c r="PVS746" s="187"/>
      <c r="PVT746" s="187"/>
      <c r="PVU746" s="187"/>
      <c r="PVV746" s="187"/>
      <c r="PVW746" s="187"/>
      <c r="PVX746" s="187"/>
      <c r="PVY746" s="187"/>
      <c r="PVZ746" s="187"/>
      <c r="PWA746" s="187"/>
      <c r="PWB746" s="187"/>
      <c r="PWC746" s="187"/>
      <c r="PWD746" s="187"/>
      <c r="PWE746" s="187"/>
      <c r="PWF746" s="187"/>
      <c r="PWG746" s="187"/>
      <c r="PWH746" s="187"/>
      <c r="PWI746" s="187"/>
      <c r="PWJ746" s="187"/>
      <c r="PWK746" s="187"/>
      <c r="PWL746" s="187"/>
      <c r="PWM746" s="187"/>
      <c r="PWN746" s="187"/>
      <c r="PWO746" s="187"/>
      <c r="PWP746" s="187"/>
      <c r="PWQ746" s="187"/>
      <c r="PWR746" s="187"/>
      <c r="PWS746" s="187"/>
      <c r="PWT746" s="187"/>
      <c r="PWU746" s="187"/>
      <c r="PWV746" s="187"/>
      <c r="PWW746" s="187"/>
      <c r="PWX746" s="187"/>
      <c r="PWY746" s="187"/>
      <c r="PWZ746" s="187"/>
      <c r="PXA746" s="187"/>
      <c r="PXB746" s="187"/>
      <c r="PXC746" s="187"/>
      <c r="PXD746" s="187"/>
      <c r="PXE746" s="187"/>
      <c r="PXF746" s="187"/>
      <c r="PXG746" s="187"/>
      <c r="PXH746" s="187"/>
      <c r="PXI746" s="187"/>
      <c r="PXJ746" s="187"/>
      <c r="PXK746" s="187"/>
      <c r="PXL746" s="187"/>
      <c r="PXM746" s="187"/>
      <c r="PXN746" s="187"/>
      <c r="PXO746" s="187"/>
      <c r="PXP746" s="187"/>
      <c r="PXQ746" s="187"/>
      <c r="PXR746" s="187"/>
      <c r="PXS746" s="187"/>
      <c r="PXT746" s="187"/>
      <c r="PXU746" s="187"/>
      <c r="PXV746" s="187"/>
      <c r="PXW746" s="187"/>
      <c r="PXX746" s="187"/>
      <c r="PXY746" s="187"/>
      <c r="PXZ746" s="187"/>
      <c r="PYA746" s="187"/>
      <c r="PYB746" s="187"/>
      <c r="PYC746" s="187"/>
      <c r="PYD746" s="187"/>
      <c r="PYE746" s="187"/>
      <c r="PYF746" s="187"/>
      <c r="PYG746" s="187"/>
      <c r="PYH746" s="187"/>
      <c r="PYI746" s="187"/>
      <c r="PYJ746" s="187"/>
      <c r="PYK746" s="187"/>
      <c r="PYL746" s="187"/>
      <c r="PYM746" s="187"/>
      <c r="PYN746" s="187"/>
      <c r="PYO746" s="187"/>
      <c r="PYP746" s="187"/>
      <c r="PYQ746" s="187"/>
      <c r="PYR746" s="187"/>
      <c r="PYS746" s="187"/>
      <c r="PYT746" s="187"/>
      <c r="PYU746" s="187"/>
      <c r="PYV746" s="187"/>
      <c r="PYW746" s="187"/>
      <c r="PYX746" s="187"/>
      <c r="PYY746" s="187"/>
      <c r="PYZ746" s="187"/>
      <c r="PZA746" s="187"/>
      <c r="PZB746" s="187"/>
      <c r="PZC746" s="187"/>
      <c r="PZD746" s="187"/>
      <c r="PZE746" s="187"/>
      <c r="PZF746" s="187"/>
      <c r="PZG746" s="187"/>
      <c r="PZH746" s="187"/>
      <c r="PZI746" s="187"/>
      <c r="PZJ746" s="187"/>
      <c r="PZK746" s="187"/>
      <c r="PZL746" s="187"/>
      <c r="PZM746" s="187"/>
      <c r="PZN746" s="187"/>
      <c r="PZO746" s="187"/>
      <c r="PZP746" s="187"/>
      <c r="PZQ746" s="187"/>
      <c r="PZR746" s="187"/>
      <c r="PZS746" s="187"/>
      <c r="PZT746" s="187"/>
      <c r="PZU746" s="187"/>
      <c r="PZV746" s="187"/>
      <c r="PZW746" s="187"/>
      <c r="PZX746" s="187"/>
      <c r="PZY746" s="187"/>
      <c r="PZZ746" s="187"/>
      <c r="QAA746" s="187"/>
      <c r="QAB746" s="187"/>
      <c r="QAC746" s="187"/>
      <c r="QAD746" s="187"/>
      <c r="QAE746" s="187"/>
      <c r="QAF746" s="187"/>
      <c r="QAG746" s="187"/>
      <c r="QAH746" s="187"/>
      <c r="QAI746" s="187"/>
      <c r="QAJ746" s="187"/>
      <c r="QAK746" s="187"/>
      <c r="QAL746" s="187"/>
      <c r="QAM746" s="187"/>
      <c r="QAN746" s="187"/>
      <c r="QAO746" s="187"/>
      <c r="QAP746" s="187"/>
      <c r="QAQ746" s="187"/>
      <c r="QAR746" s="187"/>
      <c r="QAS746" s="187"/>
      <c r="QAT746" s="187"/>
      <c r="QAU746" s="187"/>
      <c r="QAV746" s="187"/>
      <c r="QAW746" s="187"/>
      <c r="QAX746" s="187"/>
      <c r="QAY746" s="187"/>
      <c r="QAZ746" s="187"/>
      <c r="QBA746" s="187"/>
      <c r="QBB746" s="187"/>
      <c r="QBC746" s="187"/>
      <c r="QBD746" s="187"/>
      <c r="QBE746" s="187"/>
      <c r="QBF746" s="187"/>
      <c r="QBG746" s="187"/>
      <c r="QBH746" s="187"/>
      <c r="QBI746" s="187"/>
      <c r="QBJ746" s="187"/>
      <c r="QBK746" s="187"/>
      <c r="QBL746" s="187"/>
      <c r="QBM746" s="187"/>
      <c r="QBN746" s="187"/>
      <c r="QBO746" s="187"/>
      <c r="QBP746" s="187"/>
      <c r="QBQ746" s="187"/>
      <c r="QBR746" s="187"/>
      <c r="QBS746" s="187"/>
      <c r="QBT746" s="187"/>
      <c r="QBU746" s="187"/>
      <c r="QBV746" s="187"/>
      <c r="QBW746" s="187"/>
      <c r="QBX746" s="187"/>
      <c r="QBY746" s="187"/>
      <c r="QBZ746" s="187"/>
      <c r="QCA746" s="187"/>
      <c r="QCB746" s="187"/>
      <c r="QCC746" s="187"/>
      <c r="QCD746" s="187"/>
      <c r="QCE746" s="187"/>
      <c r="QCF746" s="187"/>
      <c r="QCG746" s="187"/>
      <c r="QCH746" s="187"/>
      <c r="QCI746" s="187"/>
      <c r="QCJ746" s="187"/>
      <c r="QCK746" s="187"/>
      <c r="QCL746" s="187"/>
      <c r="QCM746" s="187"/>
      <c r="QCN746" s="187"/>
      <c r="QCO746" s="187"/>
      <c r="QCP746" s="187"/>
      <c r="QCQ746" s="187"/>
      <c r="QCR746" s="187"/>
      <c r="QCS746" s="187"/>
      <c r="QCT746" s="187"/>
      <c r="QCU746" s="187"/>
      <c r="QCV746" s="187"/>
      <c r="QCW746" s="187"/>
      <c r="QCX746" s="187"/>
      <c r="QCY746" s="187"/>
      <c r="QCZ746" s="187"/>
      <c r="QDA746" s="187"/>
      <c r="QDB746" s="187"/>
      <c r="QDC746" s="187"/>
      <c r="QDD746" s="187"/>
      <c r="QDE746" s="187"/>
      <c r="QDF746" s="187"/>
      <c r="QDG746" s="187"/>
      <c r="QDH746" s="187"/>
      <c r="QDI746" s="187"/>
      <c r="QDJ746" s="187"/>
      <c r="QDK746" s="187"/>
      <c r="QDL746" s="187"/>
      <c r="QDM746" s="187"/>
      <c r="QDN746" s="187"/>
      <c r="QDO746" s="187"/>
      <c r="QDP746" s="187"/>
      <c r="QDQ746" s="187"/>
      <c r="QDR746" s="187"/>
      <c r="QDS746" s="187"/>
      <c r="QDT746" s="187"/>
      <c r="QDU746" s="187"/>
      <c r="QDV746" s="187"/>
      <c r="QDW746" s="187"/>
      <c r="QDX746" s="187"/>
      <c r="QDY746" s="187"/>
      <c r="QDZ746" s="187"/>
      <c r="QEA746" s="187"/>
      <c r="QEB746" s="187"/>
      <c r="QEC746" s="187"/>
      <c r="QED746" s="187"/>
      <c r="QEE746" s="187"/>
      <c r="QEF746" s="187"/>
      <c r="QEG746" s="187"/>
      <c r="QEH746" s="187"/>
      <c r="QEI746" s="187"/>
      <c r="QEJ746" s="187"/>
      <c r="QEK746" s="187"/>
      <c r="QEL746" s="187"/>
      <c r="QEM746" s="187"/>
      <c r="QEN746" s="187"/>
      <c r="QEO746" s="187"/>
      <c r="QEP746" s="187"/>
      <c r="QEQ746" s="187"/>
      <c r="QER746" s="187"/>
      <c r="QES746" s="187"/>
      <c r="QET746" s="187"/>
      <c r="QEU746" s="187"/>
      <c r="QEV746" s="187"/>
      <c r="QEW746" s="187"/>
      <c r="QEX746" s="187"/>
      <c r="QEY746" s="187"/>
      <c r="QEZ746" s="187"/>
      <c r="QFA746" s="187"/>
      <c r="QFB746" s="187"/>
      <c r="QFC746" s="187"/>
      <c r="QFD746" s="187"/>
      <c r="QFE746" s="187"/>
      <c r="QFF746" s="187"/>
      <c r="QFG746" s="187"/>
      <c r="QFH746" s="187"/>
      <c r="QFI746" s="187"/>
      <c r="QFJ746" s="187"/>
      <c r="QFK746" s="187"/>
      <c r="QFL746" s="187"/>
      <c r="QFM746" s="187"/>
      <c r="QFN746" s="187"/>
      <c r="QFO746" s="187"/>
      <c r="QFP746" s="187"/>
      <c r="QFQ746" s="187"/>
      <c r="QFR746" s="187"/>
      <c r="QFS746" s="187"/>
      <c r="QFT746" s="187"/>
      <c r="QFU746" s="187"/>
      <c r="QFV746" s="187"/>
      <c r="QFW746" s="187"/>
      <c r="QFX746" s="187"/>
      <c r="QFY746" s="187"/>
      <c r="QFZ746" s="187"/>
      <c r="QGA746" s="187"/>
      <c r="QGB746" s="187"/>
      <c r="QGC746" s="187"/>
      <c r="QGD746" s="187"/>
      <c r="QGE746" s="187"/>
      <c r="QGF746" s="187"/>
      <c r="QGG746" s="187"/>
      <c r="QGH746" s="187"/>
      <c r="QGI746" s="187"/>
      <c r="QGJ746" s="187"/>
      <c r="QGK746" s="187"/>
      <c r="QGL746" s="187"/>
      <c r="QGM746" s="187"/>
      <c r="QGN746" s="187"/>
      <c r="QGO746" s="187"/>
      <c r="QGP746" s="187"/>
      <c r="QGQ746" s="187"/>
      <c r="QGR746" s="187"/>
      <c r="QGS746" s="187"/>
      <c r="QGT746" s="187"/>
      <c r="QGU746" s="187"/>
      <c r="QGV746" s="187"/>
      <c r="QGW746" s="187"/>
      <c r="QGX746" s="187"/>
      <c r="QGY746" s="187"/>
      <c r="QGZ746" s="187"/>
      <c r="QHA746" s="187"/>
      <c r="QHB746" s="187"/>
      <c r="QHC746" s="187"/>
      <c r="QHD746" s="187"/>
      <c r="QHE746" s="187"/>
      <c r="QHF746" s="187"/>
      <c r="QHG746" s="187"/>
      <c r="QHH746" s="187"/>
      <c r="QHI746" s="187"/>
      <c r="QHJ746" s="187"/>
      <c r="QHK746" s="187"/>
      <c r="QHL746" s="187"/>
      <c r="QHM746" s="187"/>
      <c r="QHN746" s="187"/>
      <c r="QHO746" s="187"/>
      <c r="QHP746" s="187"/>
      <c r="QHQ746" s="187"/>
      <c r="QHR746" s="187"/>
      <c r="QHS746" s="187"/>
      <c r="QHT746" s="187"/>
      <c r="QHU746" s="187"/>
      <c r="QHV746" s="187"/>
      <c r="QHW746" s="187"/>
      <c r="QHX746" s="187"/>
      <c r="QHY746" s="187"/>
      <c r="QHZ746" s="187"/>
      <c r="QIA746" s="187"/>
      <c r="QIB746" s="187"/>
      <c r="QIC746" s="187"/>
      <c r="QID746" s="187"/>
      <c r="QIE746" s="187"/>
      <c r="QIF746" s="187"/>
      <c r="QIG746" s="187"/>
      <c r="QIH746" s="187"/>
      <c r="QII746" s="187"/>
      <c r="QIJ746" s="187"/>
      <c r="QIK746" s="187"/>
      <c r="QIL746" s="187"/>
      <c r="QIM746" s="187"/>
      <c r="QIN746" s="187"/>
      <c r="QIO746" s="187"/>
      <c r="QIP746" s="187"/>
      <c r="QIQ746" s="187"/>
      <c r="QIR746" s="187"/>
      <c r="QIS746" s="187"/>
      <c r="QIT746" s="187"/>
      <c r="QIU746" s="187"/>
      <c r="QIV746" s="187"/>
      <c r="QIW746" s="187"/>
      <c r="QIX746" s="187"/>
      <c r="QIY746" s="187"/>
      <c r="QIZ746" s="187"/>
      <c r="QJA746" s="187"/>
      <c r="QJB746" s="187"/>
      <c r="QJC746" s="187"/>
      <c r="QJD746" s="187"/>
      <c r="QJE746" s="187"/>
      <c r="QJF746" s="187"/>
      <c r="QJG746" s="187"/>
      <c r="QJH746" s="187"/>
      <c r="QJI746" s="187"/>
      <c r="QJJ746" s="187"/>
      <c r="QJK746" s="187"/>
      <c r="QJL746" s="187"/>
      <c r="QJM746" s="187"/>
      <c r="QJN746" s="187"/>
      <c r="QJO746" s="187"/>
      <c r="QJP746" s="187"/>
      <c r="QJQ746" s="187"/>
      <c r="QJR746" s="187"/>
      <c r="QJS746" s="187"/>
      <c r="QJT746" s="187"/>
      <c r="QJU746" s="187"/>
      <c r="QJV746" s="187"/>
      <c r="QJW746" s="187"/>
      <c r="QJX746" s="187"/>
      <c r="QJY746" s="187"/>
      <c r="QJZ746" s="187"/>
      <c r="QKA746" s="187"/>
      <c r="QKB746" s="187"/>
      <c r="QKC746" s="187"/>
      <c r="QKD746" s="187"/>
      <c r="QKE746" s="187"/>
      <c r="QKF746" s="187"/>
      <c r="QKG746" s="187"/>
      <c r="QKH746" s="187"/>
      <c r="QKI746" s="187"/>
      <c r="QKJ746" s="187"/>
      <c r="QKK746" s="187"/>
      <c r="QKL746" s="187"/>
      <c r="QKM746" s="187"/>
      <c r="QKN746" s="187"/>
      <c r="QKO746" s="187"/>
      <c r="QKP746" s="187"/>
      <c r="QKQ746" s="187"/>
      <c r="QKR746" s="187"/>
      <c r="QKS746" s="187"/>
      <c r="QKT746" s="187"/>
      <c r="QKU746" s="187"/>
      <c r="QKV746" s="187"/>
      <c r="QKW746" s="187"/>
      <c r="QKX746" s="187"/>
      <c r="QKY746" s="187"/>
      <c r="QKZ746" s="187"/>
      <c r="QLA746" s="187"/>
      <c r="QLB746" s="187"/>
      <c r="QLC746" s="187"/>
      <c r="QLD746" s="187"/>
      <c r="QLE746" s="187"/>
      <c r="QLF746" s="187"/>
      <c r="QLG746" s="187"/>
      <c r="QLH746" s="187"/>
      <c r="QLI746" s="187"/>
      <c r="QLJ746" s="187"/>
      <c r="QLK746" s="187"/>
      <c r="QLL746" s="187"/>
      <c r="QLM746" s="187"/>
      <c r="QLN746" s="187"/>
      <c r="QLO746" s="187"/>
      <c r="QLP746" s="187"/>
      <c r="QLQ746" s="187"/>
      <c r="QLR746" s="187"/>
      <c r="QLS746" s="187"/>
      <c r="QLT746" s="187"/>
      <c r="QLU746" s="187"/>
      <c r="QLV746" s="187"/>
      <c r="QLW746" s="187"/>
      <c r="QLX746" s="187"/>
      <c r="QLY746" s="187"/>
      <c r="QLZ746" s="187"/>
      <c r="QMA746" s="187"/>
      <c r="QMB746" s="187"/>
      <c r="QMC746" s="187"/>
      <c r="QMD746" s="187"/>
      <c r="QME746" s="187"/>
      <c r="QMF746" s="187"/>
      <c r="QMG746" s="187"/>
      <c r="QMH746" s="187"/>
      <c r="QMI746" s="187"/>
      <c r="QMJ746" s="187"/>
      <c r="QMK746" s="187"/>
      <c r="QML746" s="187"/>
      <c r="QMM746" s="187"/>
      <c r="QMN746" s="187"/>
      <c r="QMO746" s="187"/>
      <c r="QMP746" s="187"/>
      <c r="QMQ746" s="187"/>
      <c r="QMR746" s="187"/>
      <c r="QMS746" s="187"/>
      <c r="QMT746" s="187"/>
      <c r="QMU746" s="187"/>
      <c r="QMV746" s="187"/>
      <c r="QMW746" s="187"/>
      <c r="QMX746" s="187"/>
      <c r="QMY746" s="187"/>
      <c r="QMZ746" s="187"/>
      <c r="QNA746" s="187"/>
      <c r="QNB746" s="187"/>
      <c r="QNC746" s="187"/>
      <c r="QND746" s="187"/>
      <c r="QNE746" s="187"/>
      <c r="QNF746" s="187"/>
      <c r="QNG746" s="187"/>
      <c r="QNH746" s="187"/>
      <c r="QNI746" s="187"/>
      <c r="QNJ746" s="187"/>
      <c r="QNK746" s="187"/>
      <c r="QNL746" s="187"/>
      <c r="QNM746" s="187"/>
      <c r="QNN746" s="187"/>
      <c r="QNO746" s="187"/>
      <c r="QNP746" s="187"/>
      <c r="QNQ746" s="187"/>
      <c r="QNR746" s="187"/>
      <c r="QNS746" s="187"/>
      <c r="QNT746" s="187"/>
      <c r="QNU746" s="187"/>
      <c r="QNV746" s="187"/>
      <c r="QNW746" s="187"/>
      <c r="QNX746" s="187"/>
      <c r="QNY746" s="187"/>
      <c r="QNZ746" s="187"/>
      <c r="QOA746" s="187"/>
      <c r="QOB746" s="187"/>
      <c r="QOC746" s="187"/>
      <c r="QOD746" s="187"/>
      <c r="QOE746" s="187"/>
      <c r="QOF746" s="187"/>
      <c r="QOG746" s="187"/>
      <c r="QOH746" s="187"/>
      <c r="QOI746" s="187"/>
      <c r="QOJ746" s="187"/>
      <c r="QOK746" s="187"/>
      <c r="QOL746" s="187"/>
      <c r="QOM746" s="187"/>
      <c r="QON746" s="187"/>
      <c r="QOO746" s="187"/>
      <c r="QOP746" s="187"/>
      <c r="QOQ746" s="187"/>
      <c r="QOR746" s="187"/>
      <c r="QOS746" s="187"/>
      <c r="QOT746" s="187"/>
      <c r="QOU746" s="187"/>
      <c r="QOV746" s="187"/>
      <c r="QOW746" s="187"/>
      <c r="QOX746" s="187"/>
      <c r="QOY746" s="187"/>
      <c r="QOZ746" s="187"/>
      <c r="QPA746" s="187"/>
      <c r="QPB746" s="187"/>
      <c r="QPC746" s="187"/>
      <c r="QPD746" s="187"/>
      <c r="QPE746" s="187"/>
      <c r="QPF746" s="187"/>
      <c r="QPG746" s="187"/>
      <c r="QPH746" s="187"/>
      <c r="QPI746" s="187"/>
      <c r="QPJ746" s="187"/>
      <c r="QPK746" s="187"/>
      <c r="QPL746" s="187"/>
      <c r="QPM746" s="187"/>
      <c r="QPN746" s="187"/>
      <c r="QPO746" s="187"/>
      <c r="QPP746" s="187"/>
      <c r="QPQ746" s="187"/>
      <c r="QPR746" s="187"/>
      <c r="QPS746" s="187"/>
      <c r="QPT746" s="187"/>
      <c r="QPU746" s="187"/>
      <c r="QPV746" s="187"/>
      <c r="QPW746" s="187"/>
      <c r="QPX746" s="187"/>
      <c r="QPY746" s="187"/>
      <c r="QPZ746" s="187"/>
      <c r="QQA746" s="187"/>
      <c r="QQB746" s="187"/>
      <c r="QQC746" s="187"/>
      <c r="QQD746" s="187"/>
      <c r="QQE746" s="187"/>
      <c r="QQF746" s="187"/>
      <c r="QQG746" s="187"/>
      <c r="QQH746" s="187"/>
      <c r="QQI746" s="187"/>
      <c r="QQJ746" s="187"/>
      <c r="QQK746" s="187"/>
      <c r="QQL746" s="187"/>
      <c r="QQM746" s="187"/>
      <c r="QQN746" s="187"/>
      <c r="QQO746" s="187"/>
      <c r="QQP746" s="187"/>
      <c r="QQQ746" s="187"/>
      <c r="QQR746" s="187"/>
      <c r="QQS746" s="187"/>
      <c r="QQT746" s="187"/>
      <c r="QQU746" s="187"/>
      <c r="QQV746" s="187"/>
      <c r="QQW746" s="187"/>
      <c r="QQX746" s="187"/>
      <c r="QQY746" s="187"/>
      <c r="QQZ746" s="187"/>
      <c r="QRA746" s="187"/>
      <c r="QRB746" s="187"/>
      <c r="QRC746" s="187"/>
      <c r="QRD746" s="187"/>
      <c r="QRE746" s="187"/>
      <c r="QRF746" s="187"/>
      <c r="QRG746" s="187"/>
      <c r="QRH746" s="187"/>
      <c r="QRI746" s="187"/>
      <c r="QRJ746" s="187"/>
      <c r="QRK746" s="187"/>
      <c r="QRL746" s="187"/>
      <c r="QRM746" s="187"/>
      <c r="QRN746" s="187"/>
      <c r="QRO746" s="187"/>
      <c r="QRP746" s="187"/>
      <c r="QRQ746" s="187"/>
      <c r="QRR746" s="187"/>
      <c r="QRS746" s="187"/>
      <c r="QRT746" s="187"/>
      <c r="QRU746" s="187"/>
      <c r="QRV746" s="187"/>
      <c r="QRW746" s="187"/>
      <c r="QRX746" s="187"/>
      <c r="QRY746" s="187"/>
      <c r="QRZ746" s="187"/>
      <c r="QSA746" s="187"/>
      <c r="QSB746" s="187"/>
      <c r="QSC746" s="187"/>
      <c r="QSD746" s="187"/>
      <c r="QSE746" s="187"/>
      <c r="QSF746" s="187"/>
      <c r="QSG746" s="187"/>
      <c r="QSH746" s="187"/>
      <c r="QSI746" s="187"/>
      <c r="QSJ746" s="187"/>
      <c r="QSK746" s="187"/>
      <c r="QSL746" s="187"/>
      <c r="QSM746" s="187"/>
      <c r="QSN746" s="187"/>
      <c r="QSO746" s="187"/>
      <c r="QSP746" s="187"/>
      <c r="QSQ746" s="187"/>
      <c r="QSR746" s="187"/>
      <c r="QSS746" s="187"/>
      <c r="QST746" s="187"/>
      <c r="QSU746" s="187"/>
      <c r="QSV746" s="187"/>
      <c r="QSW746" s="187"/>
      <c r="QSX746" s="187"/>
      <c r="QSY746" s="187"/>
      <c r="QSZ746" s="187"/>
      <c r="QTA746" s="187"/>
      <c r="QTB746" s="187"/>
      <c r="QTC746" s="187"/>
      <c r="QTD746" s="187"/>
      <c r="QTE746" s="187"/>
      <c r="QTF746" s="187"/>
      <c r="QTG746" s="187"/>
      <c r="QTH746" s="187"/>
      <c r="QTI746" s="187"/>
      <c r="QTJ746" s="187"/>
      <c r="QTK746" s="187"/>
      <c r="QTL746" s="187"/>
      <c r="QTM746" s="187"/>
      <c r="QTN746" s="187"/>
      <c r="QTO746" s="187"/>
      <c r="QTP746" s="187"/>
      <c r="QTQ746" s="187"/>
      <c r="QTR746" s="187"/>
      <c r="QTS746" s="187"/>
      <c r="QTT746" s="187"/>
      <c r="QTU746" s="187"/>
      <c r="QTV746" s="187"/>
      <c r="QTW746" s="187"/>
      <c r="QTX746" s="187"/>
      <c r="QTY746" s="187"/>
      <c r="QTZ746" s="187"/>
      <c r="QUA746" s="187"/>
      <c r="QUB746" s="187"/>
      <c r="QUC746" s="187"/>
      <c r="QUD746" s="187"/>
      <c r="QUE746" s="187"/>
      <c r="QUF746" s="187"/>
      <c r="QUG746" s="187"/>
      <c r="QUH746" s="187"/>
      <c r="QUI746" s="187"/>
      <c r="QUJ746" s="187"/>
      <c r="QUK746" s="187"/>
      <c r="QUL746" s="187"/>
      <c r="QUM746" s="187"/>
      <c r="QUN746" s="187"/>
      <c r="QUO746" s="187"/>
      <c r="QUP746" s="187"/>
      <c r="QUQ746" s="187"/>
      <c r="QUR746" s="187"/>
      <c r="QUS746" s="187"/>
      <c r="QUT746" s="187"/>
      <c r="QUU746" s="187"/>
      <c r="QUV746" s="187"/>
      <c r="QUW746" s="187"/>
      <c r="QUX746" s="187"/>
      <c r="QUY746" s="187"/>
      <c r="QUZ746" s="187"/>
      <c r="QVA746" s="187"/>
      <c r="QVB746" s="187"/>
      <c r="QVC746" s="187"/>
      <c r="QVD746" s="187"/>
      <c r="QVE746" s="187"/>
      <c r="QVF746" s="187"/>
      <c r="QVG746" s="187"/>
      <c r="QVH746" s="187"/>
      <c r="QVI746" s="187"/>
      <c r="QVJ746" s="187"/>
      <c r="QVK746" s="187"/>
      <c r="QVL746" s="187"/>
      <c r="QVM746" s="187"/>
      <c r="QVN746" s="187"/>
      <c r="QVO746" s="187"/>
      <c r="QVP746" s="187"/>
      <c r="QVQ746" s="187"/>
      <c r="QVR746" s="187"/>
      <c r="QVS746" s="187"/>
      <c r="QVT746" s="187"/>
      <c r="QVU746" s="187"/>
      <c r="QVV746" s="187"/>
      <c r="QVW746" s="187"/>
      <c r="QVX746" s="187"/>
      <c r="QVY746" s="187"/>
      <c r="QVZ746" s="187"/>
      <c r="QWA746" s="187"/>
      <c r="QWB746" s="187"/>
      <c r="QWC746" s="187"/>
      <c r="QWD746" s="187"/>
      <c r="QWE746" s="187"/>
      <c r="QWF746" s="187"/>
      <c r="QWG746" s="187"/>
      <c r="QWH746" s="187"/>
      <c r="QWI746" s="187"/>
      <c r="QWJ746" s="187"/>
      <c r="QWK746" s="187"/>
      <c r="QWL746" s="187"/>
      <c r="QWM746" s="187"/>
      <c r="QWN746" s="187"/>
      <c r="QWO746" s="187"/>
      <c r="QWP746" s="187"/>
      <c r="QWQ746" s="187"/>
      <c r="QWR746" s="187"/>
      <c r="QWS746" s="187"/>
      <c r="QWT746" s="187"/>
      <c r="QWU746" s="187"/>
      <c r="QWV746" s="187"/>
      <c r="QWW746" s="187"/>
      <c r="QWX746" s="187"/>
      <c r="QWY746" s="187"/>
      <c r="QWZ746" s="187"/>
      <c r="QXA746" s="187"/>
      <c r="QXB746" s="187"/>
      <c r="QXC746" s="187"/>
      <c r="QXD746" s="187"/>
      <c r="QXE746" s="187"/>
      <c r="QXF746" s="187"/>
      <c r="QXG746" s="187"/>
      <c r="QXH746" s="187"/>
      <c r="QXI746" s="187"/>
      <c r="QXJ746" s="187"/>
      <c r="QXK746" s="187"/>
      <c r="QXL746" s="187"/>
      <c r="QXM746" s="187"/>
      <c r="QXN746" s="187"/>
      <c r="QXO746" s="187"/>
      <c r="QXP746" s="187"/>
      <c r="QXQ746" s="187"/>
      <c r="QXR746" s="187"/>
      <c r="QXS746" s="187"/>
      <c r="QXT746" s="187"/>
      <c r="QXU746" s="187"/>
      <c r="QXV746" s="187"/>
      <c r="QXW746" s="187"/>
      <c r="QXX746" s="187"/>
      <c r="QXY746" s="187"/>
      <c r="QXZ746" s="187"/>
      <c r="QYA746" s="187"/>
      <c r="QYB746" s="187"/>
      <c r="QYC746" s="187"/>
      <c r="QYD746" s="187"/>
      <c r="QYE746" s="187"/>
      <c r="QYF746" s="187"/>
      <c r="QYG746" s="187"/>
      <c r="QYH746" s="187"/>
      <c r="QYI746" s="187"/>
      <c r="QYJ746" s="187"/>
      <c r="QYK746" s="187"/>
      <c r="QYL746" s="187"/>
      <c r="QYM746" s="187"/>
      <c r="QYN746" s="187"/>
      <c r="QYO746" s="187"/>
      <c r="QYP746" s="187"/>
      <c r="QYQ746" s="187"/>
      <c r="QYR746" s="187"/>
      <c r="QYS746" s="187"/>
      <c r="QYT746" s="187"/>
      <c r="QYU746" s="187"/>
      <c r="QYV746" s="187"/>
      <c r="QYW746" s="187"/>
      <c r="QYX746" s="187"/>
      <c r="QYY746" s="187"/>
      <c r="QYZ746" s="187"/>
      <c r="QZA746" s="187"/>
      <c r="QZB746" s="187"/>
      <c r="QZC746" s="187"/>
      <c r="QZD746" s="187"/>
      <c r="QZE746" s="187"/>
      <c r="QZF746" s="187"/>
      <c r="QZG746" s="187"/>
      <c r="QZH746" s="187"/>
      <c r="QZI746" s="187"/>
      <c r="QZJ746" s="187"/>
      <c r="QZK746" s="187"/>
      <c r="QZL746" s="187"/>
      <c r="QZM746" s="187"/>
      <c r="QZN746" s="187"/>
      <c r="QZO746" s="187"/>
      <c r="QZP746" s="187"/>
      <c r="QZQ746" s="187"/>
      <c r="QZR746" s="187"/>
      <c r="QZS746" s="187"/>
      <c r="QZT746" s="187"/>
      <c r="QZU746" s="187"/>
      <c r="QZV746" s="187"/>
      <c r="QZW746" s="187"/>
      <c r="QZX746" s="187"/>
      <c r="QZY746" s="187"/>
      <c r="QZZ746" s="187"/>
      <c r="RAA746" s="187"/>
      <c r="RAB746" s="187"/>
      <c r="RAC746" s="187"/>
      <c r="RAD746" s="187"/>
      <c r="RAE746" s="187"/>
      <c r="RAF746" s="187"/>
      <c r="RAG746" s="187"/>
      <c r="RAH746" s="187"/>
      <c r="RAI746" s="187"/>
      <c r="RAJ746" s="187"/>
      <c r="RAK746" s="187"/>
      <c r="RAL746" s="187"/>
      <c r="RAM746" s="187"/>
      <c r="RAN746" s="187"/>
      <c r="RAO746" s="187"/>
      <c r="RAP746" s="187"/>
      <c r="RAQ746" s="187"/>
      <c r="RAR746" s="187"/>
      <c r="RAS746" s="187"/>
      <c r="RAT746" s="187"/>
      <c r="RAU746" s="187"/>
      <c r="RAV746" s="187"/>
      <c r="RAW746" s="187"/>
      <c r="RAX746" s="187"/>
      <c r="RAY746" s="187"/>
      <c r="RAZ746" s="187"/>
      <c r="RBA746" s="187"/>
      <c r="RBB746" s="187"/>
      <c r="RBC746" s="187"/>
      <c r="RBD746" s="187"/>
      <c r="RBE746" s="187"/>
      <c r="RBF746" s="187"/>
      <c r="RBG746" s="187"/>
      <c r="RBH746" s="187"/>
      <c r="RBI746" s="187"/>
      <c r="RBJ746" s="187"/>
      <c r="RBK746" s="187"/>
      <c r="RBL746" s="187"/>
      <c r="RBM746" s="187"/>
      <c r="RBN746" s="187"/>
      <c r="RBO746" s="187"/>
      <c r="RBP746" s="187"/>
      <c r="RBQ746" s="187"/>
      <c r="RBR746" s="187"/>
      <c r="RBS746" s="187"/>
      <c r="RBT746" s="187"/>
      <c r="RBU746" s="187"/>
      <c r="RBV746" s="187"/>
      <c r="RBW746" s="187"/>
      <c r="RBX746" s="187"/>
      <c r="RBY746" s="187"/>
      <c r="RBZ746" s="187"/>
      <c r="RCA746" s="187"/>
      <c r="RCB746" s="187"/>
      <c r="RCC746" s="187"/>
      <c r="RCD746" s="187"/>
      <c r="RCE746" s="187"/>
      <c r="RCF746" s="187"/>
      <c r="RCG746" s="187"/>
      <c r="RCH746" s="187"/>
      <c r="RCI746" s="187"/>
      <c r="RCJ746" s="187"/>
      <c r="RCK746" s="187"/>
      <c r="RCL746" s="187"/>
      <c r="RCM746" s="187"/>
      <c r="RCN746" s="187"/>
      <c r="RCO746" s="187"/>
      <c r="RCP746" s="187"/>
      <c r="RCQ746" s="187"/>
      <c r="RCR746" s="187"/>
      <c r="RCS746" s="187"/>
      <c r="RCT746" s="187"/>
      <c r="RCU746" s="187"/>
      <c r="RCV746" s="187"/>
      <c r="RCW746" s="187"/>
      <c r="RCX746" s="187"/>
      <c r="RCY746" s="187"/>
      <c r="RCZ746" s="187"/>
      <c r="RDA746" s="187"/>
      <c r="RDB746" s="187"/>
      <c r="RDC746" s="187"/>
      <c r="RDD746" s="187"/>
      <c r="RDE746" s="187"/>
      <c r="RDF746" s="187"/>
      <c r="RDG746" s="187"/>
      <c r="RDH746" s="187"/>
      <c r="RDI746" s="187"/>
      <c r="RDJ746" s="187"/>
      <c r="RDK746" s="187"/>
      <c r="RDL746" s="187"/>
      <c r="RDM746" s="187"/>
      <c r="RDN746" s="187"/>
      <c r="RDO746" s="187"/>
      <c r="RDP746" s="187"/>
      <c r="RDQ746" s="187"/>
      <c r="RDR746" s="187"/>
      <c r="RDS746" s="187"/>
      <c r="RDT746" s="187"/>
      <c r="RDU746" s="187"/>
      <c r="RDV746" s="187"/>
      <c r="RDW746" s="187"/>
      <c r="RDX746" s="187"/>
      <c r="RDY746" s="187"/>
      <c r="RDZ746" s="187"/>
      <c r="REA746" s="187"/>
      <c r="REB746" s="187"/>
      <c r="REC746" s="187"/>
      <c r="RED746" s="187"/>
      <c r="REE746" s="187"/>
      <c r="REF746" s="187"/>
      <c r="REG746" s="187"/>
      <c r="REH746" s="187"/>
      <c r="REI746" s="187"/>
      <c r="REJ746" s="187"/>
      <c r="REK746" s="187"/>
      <c r="REL746" s="187"/>
      <c r="REM746" s="187"/>
      <c r="REN746" s="187"/>
      <c r="REO746" s="187"/>
      <c r="REP746" s="187"/>
      <c r="REQ746" s="187"/>
      <c r="RER746" s="187"/>
      <c r="RES746" s="187"/>
      <c r="RET746" s="187"/>
      <c r="REU746" s="187"/>
      <c r="REV746" s="187"/>
      <c r="REW746" s="187"/>
      <c r="REX746" s="187"/>
      <c r="REY746" s="187"/>
      <c r="REZ746" s="187"/>
      <c r="RFA746" s="187"/>
      <c r="RFB746" s="187"/>
      <c r="RFC746" s="187"/>
      <c r="RFD746" s="187"/>
      <c r="RFE746" s="187"/>
      <c r="RFF746" s="187"/>
      <c r="RFG746" s="187"/>
      <c r="RFH746" s="187"/>
      <c r="RFI746" s="187"/>
      <c r="RFJ746" s="187"/>
      <c r="RFK746" s="187"/>
      <c r="RFL746" s="187"/>
      <c r="RFM746" s="187"/>
      <c r="RFN746" s="187"/>
      <c r="RFO746" s="187"/>
      <c r="RFP746" s="187"/>
      <c r="RFQ746" s="187"/>
      <c r="RFR746" s="187"/>
      <c r="RFS746" s="187"/>
      <c r="RFT746" s="187"/>
      <c r="RFU746" s="187"/>
      <c r="RFV746" s="187"/>
      <c r="RFW746" s="187"/>
      <c r="RFX746" s="187"/>
      <c r="RFY746" s="187"/>
      <c r="RFZ746" s="187"/>
      <c r="RGA746" s="187"/>
      <c r="RGB746" s="187"/>
      <c r="RGC746" s="187"/>
      <c r="RGD746" s="187"/>
      <c r="RGE746" s="187"/>
      <c r="RGF746" s="187"/>
      <c r="RGG746" s="187"/>
      <c r="RGH746" s="187"/>
      <c r="RGI746" s="187"/>
      <c r="RGJ746" s="187"/>
      <c r="RGK746" s="187"/>
      <c r="RGL746" s="187"/>
      <c r="RGM746" s="187"/>
      <c r="RGN746" s="187"/>
      <c r="RGO746" s="187"/>
      <c r="RGP746" s="187"/>
      <c r="RGQ746" s="187"/>
      <c r="RGR746" s="187"/>
      <c r="RGS746" s="187"/>
      <c r="RGT746" s="187"/>
      <c r="RGU746" s="187"/>
      <c r="RGV746" s="187"/>
      <c r="RGW746" s="187"/>
      <c r="RGX746" s="187"/>
      <c r="RGY746" s="187"/>
      <c r="RGZ746" s="187"/>
      <c r="RHA746" s="187"/>
      <c r="RHB746" s="187"/>
      <c r="RHC746" s="187"/>
      <c r="RHD746" s="187"/>
      <c r="RHE746" s="187"/>
      <c r="RHF746" s="187"/>
      <c r="RHG746" s="187"/>
      <c r="RHH746" s="187"/>
      <c r="RHI746" s="187"/>
      <c r="RHJ746" s="187"/>
      <c r="RHK746" s="187"/>
      <c r="RHL746" s="187"/>
      <c r="RHM746" s="187"/>
      <c r="RHN746" s="187"/>
      <c r="RHO746" s="187"/>
      <c r="RHP746" s="187"/>
      <c r="RHQ746" s="187"/>
      <c r="RHR746" s="187"/>
      <c r="RHS746" s="187"/>
      <c r="RHT746" s="187"/>
      <c r="RHU746" s="187"/>
      <c r="RHV746" s="187"/>
      <c r="RHW746" s="187"/>
      <c r="RHX746" s="187"/>
      <c r="RHY746" s="187"/>
      <c r="RHZ746" s="187"/>
      <c r="RIA746" s="187"/>
      <c r="RIB746" s="187"/>
      <c r="RIC746" s="187"/>
      <c r="RID746" s="187"/>
      <c r="RIE746" s="187"/>
      <c r="RIF746" s="187"/>
      <c r="RIG746" s="187"/>
      <c r="RIH746" s="187"/>
      <c r="RII746" s="187"/>
      <c r="RIJ746" s="187"/>
      <c r="RIK746" s="187"/>
      <c r="RIL746" s="187"/>
      <c r="RIM746" s="187"/>
      <c r="RIN746" s="187"/>
      <c r="RIO746" s="187"/>
      <c r="RIP746" s="187"/>
      <c r="RIQ746" s="187"/>
      <c r="RIR746" s="187"/>
      <c r="RIS746" s="187"/>
      <c r="RIT746" s="187"/>
      <c r="RIU746" s="187"/>
      <c r="RIV746" s="187"/>
      <c r="RIW746" s="187"/>
      <c r="RIX746" s="187"/>
      <c r="RIY746" s="187"/>
      <c r="RIZ746" s="187"/>
      <c r="RJA746" s="187"/>
      <c r="RJB746" s="187"/>
      <c r="RJC746" s="187"/>
      <c r="RJD746" s="187"/>
      <c r="RJE746" s="187"/>
      <c r="RJF746" s="187"/>
      <c r="RJG746" s="187"/>
      <c r="RJH746" s="187"/>
      <c r="RJI746" s="187"/>
      <c r="RJJ746" s="187"/>
      <c r="RJK746" s="187"/>
      <c r="RJL746" s="187"/>
      <c r="RJM746" s="187"/>
      <c r="RJN746" s="187"/>
      <c r="RJO746" s="187"/>
      <c r="RJP746" s="187"/>
      <c r="RJQ746" s="187"/>
      <c r="RJR746" s="187"/>
      <c r="RJS746" s="187"/>
      <c r="RJT746" s="187"/>
      <c r="RJU746" s="187"/>
      <c r="RJV746" s="187"/>
      <c r="RJW746" s="187"/>
      <c r="RJX746" s="187"/>
      <c r="RJY746" s="187"/>
      <c r="RJZ746" s="187"/>
      <c r="RKA746" s="187"/>
      <c r="RKB746" s="187"/>
      <c r="RKC746" s="187"/>
      <c r="RKD746" s="187"/>
      <c r="RKE746" s="187"/>
      <c r="RKF746" s="187"/>
      <c r="RKG746" s="187"/>
      <c r="RKH746" s="187"/>
      <c r="RKI746" s="187"/>
      <c r="RKJ746" s="187"/>
      <c r="RKK746" s="187"/>
      <c r="RKL746" s="187"/>
      <c r="RKM746" s="187"/>
      <c r="RKN746" s="187"/>
      <c r="RKO746" s="187"/>
      <c r="RKP746" s="187"/>
      <c r="RKQ746" s="187"/>
      <c r="RKR746" s="187"/>
      <c r="RKS746" s="187"/>
      <c r="RKT746" s="187"/>
      <c r="RKU746" s="187"/>
      <c r="RKV746" s="187"/>
      <c r="RKW746" s="187"/>
      <c r="RKX746" s="187"/>
      <c r="RKY746" s="187"/>
      <c r="RKZ746" s="187"/>
      <c r="RLA746" s="187"/>
      <c r="RLB746" s="187"/>
      <c r="RLC746" s="187"/>
      <c r="RLD746" s="187"/>
      <c r="RLE746" s="187"/>
      <c r="RLF746" s="187"/>
      <c r="RLG746" s="187"/>
      <c r="RLH746" s="187"/>
      <c r="RLI746" s="187"/>
      <c r="RLJ746" s="187"/>
      <c r="RLK746" s="187"/>
      <c r="RLL746" s="187"/>
      <c r="RLM746" s="187"/>
      <c r="RLN746" s="187"/>
      <c r="RLO746" s="187"/>
      <c r="RLP746" s="187"/>
      <c r="RLQ746" s="187"/>
      <c r="RLR746" s="187"/>
      <c r="RLS746" s="187"/>
      <c r="RLT746" s="187"/>
      <c r="RLU746" s="187"/>
      <c r="RLV746" s="187"/>
      <c r="RLW746" s="187"/>
      <c r="RLX746" s="187"/>
      <c r="RLY746" s="187"/>
      <c r="RLZ746" s="187"/>
      <c r="RMA746" s="187"/>
      <c r="RMB746" s="187"/>
      <c r="RMC746" s="187"/>
      <c r="RMD746" s="187"/>
      <c r="RME746" s="187"/>
      <c r="RMF746" s="187"/>
      <c r="RMG746" s="187"/>
      <c r="RMH746" s="187"/>
      <c r="RMI746" s="187"/>
      <c r="RMJ746" s="187"/>
      <c r="RMK746" s="187"/>
      <c r="RML746" s="187"/>
      <c r="RMM746" s="187"/>
      <c r="RMN746" s="187"/>
      <c r="RMO746" s="187"/>
      <c r="RMP746" s="187"/>
      <c r="RMQ746" s="187"/>
      <c r="RMR746" s="187"/>
      <c r="RMS746" s="187"/>
      <c r="RMT746" s="187"/>
      <c r="RMU746" s="187"/>
      <c r="RMV746" s="187"/>
      <c r="RMW746" s="187"/>
      <c r="RMX746" s="187"/>
      <c r="RMY746" s="187"/>
      <c r="RMZ746" s="187"/>
      <c r="RNA746" s="187"/>
      <c r="RNB746" s="187"/>
      <c r="RNC746" s="187"/>
      <c r="RND746" s="187"/>
      <c r="RNE746" s="187"/>
      <c r="RNF746" s="187"/>
      <c r="RNG746" s="187"/>
      <c r="RNH746" s="187"/>
      <c r="RNI746" s="187"/>
      <c r="RNJ746" s="187"/>
      <c r="RNK746" s="187"/>
      <c r="RNL746" s="187"/>
      <c r="RNM746" s="187"/>
      <c r="RNN746" s="187"/>
      <c r="RNO746" s="187"/>
      <c r="RNP746" s="187"/>
      <c r="RNQ746" s="187"/>
      <c r="RNR746" s="187"/>
      <c r="RNS746" s="187"/>
      <c r="RNT746" s="187"/>
      <c r="RNU746" s="187"/>
      <c r="RNV746" s="187"/>
      <c r="RNW746" s="187"/>
      <c r="RNX746" s="187"/>
      <c r="RNY746" s="187"/>
      <c r="RNZ746" s="187"/>
      <c r="ROA746" s="187"/>
      <c r="ROB746" s="187"/>
      <c r="ROC746" s="187"/>
      <c r="ROD746" s="187"/>
      <c r="ROE746" s="187"/>
      <c r="ROF746" s="187"/>
      <c r="ROG746" s="187"/>
      <c r="ROH746" s="187"/>
      <c r="ROI746" s="187"/>
      <c r="ROJ746" s="187"/>
      <c r="ROK746" s="187"/>
      <c r="ROL746" s="187"/>
      <c r="ROM746" s="187"/>
      <c r="RON746" s="187"/>
      <c r="ROO746" s="187"/>
      <c r="ROP746" s="187"/>
      <c r="ROQ746" s="187"/>
      <c r="ROR746" s="187"/>
      <c r="ROS746" s="187"/>
      <c r="ROT746" s="187"/>
      <c r="ROU746" s="187"/>
      <c r="ROV746" s="187"/>
      <c r="ROW746" s="187"/>
      <c r="ROX746" s="187"/>
      <c r="ROY746" s="187"/>
      <c r="ROZ746" s="187"/>
      <c r="RPA746" s="187"/>
      <c r="RPB746" s="187"/>
      <c r="RPC746" s="187"/>
      <c r="RPD746" s="187"/>
      <c r="RPE746" s="187"/>
      <c r="RPF746" s="187"/>
      <c r="RPG746" s="187"/>
      <c r="RPH746" s="187"/>
      <c r="RPI746" s="187"/>
      <c r="RPJ746" s="187"/>
      <c r="RPK746" s="187"/>
      <c r="RPL746" s="187"/>
      <c r="RPM746" s="187"/>
      <c r="RPN746" s="187"/>
      <c r="RPO746" s="187"/>
      <c r="RPP746" s="187"/>
      <c r="RPQ746" s="187"/>
      <c r="RPR746" s="187"/>
      <c r="RPS746" s="187"/>
      <c r="RPT746" s="187"/>
      <c r="RPU746" s="187"/>
      <c r="RPV746" s="187"/>
      <c r="RPW746" s="187"/>
      <c r="RPX746" s="187"/>
      <c r="RPY746" s="187"/>
      <c r="RPZ746" s="187"/>
      <c r="RQA746" s="187"/>
      <c r="RQB746" s="187"/>
      <c r="RQC746" s="187"/>
      <c r="RQD746" s="187"/>
      <c r="RQE746" s="187"/>
      <c r="RQF746" s="187"/>
      <c r="RQG746" s="187"/>
      <c r="RQH746" s="187"/>
      <c r="RQI746" s="187"/>
      <c r="RQJ746" s="187"/>
      <c r="RQK746" s="187"/>
      <c r="RQL746" s="187"/>
      <c r="RQM746" s="187"/>
      <c r="RQN746" s="187"/>
      <c r="RQO746" s="187"/>
      <c r="RQP746" s="187"/>
      <c r="RQQ746" s="187"/>
      <c r="RQR746" s="187"/>
      <c r="RQS746" s="187"/>
      <c r="RQT746" s="187"/>
      <c r="RQU746" s="187"/>
      <c r="RQV746" s="187"/>
      <c r="RQW746" s="187"/>
      <c r="RQX746" s="187"/>
      <c r="RQY746" s="187"/>
      <c r="RQZ746" s="187"/>
      <c r="RRA746" s="187"/>
      <c r="RRB746" s="187"/>
      <c r="RRC746" s="187"/>
      <c r="RRD746" s="187"/>
      <c r="RRE746" s="187"/>
      <c r="RRF746" s="187"/>
      <c r="RRG746" s="187"/>
      <c r="RRH746" s="187"/>
      <c r="RRI746" s="187"/>
      <c r="RRJ746" s="187"/>
      <c r="RRK746" s="187"/>
      <c r="RRL746" s="187"/>
      <c r="RRM746" s="187"/>
      <c r="RRN746" s="187"/>
      <c r="RRO746" s="187"/>
      <c r="RRP746" s="187"/>
      <c r="RRQ746" s="187"/>
      <c r="RRR746" s="187"/>
      <c r="RRS746" s="187"/>
      <c r="RRT746" s="187"/>
      <c r="RRU746" s="187"/>
      <c r="RRV746" s="187"/>
      <c r="RRW746" s="187"/>
      <c r="RRX746" s="187"/>
      <c r="RRY746" s="187"/>
      <c r="RRZ746" s="187"/>
      <c r="RSA746" s="187"/>
      <c r="RSB746" s="187"/>
      <c r="RSC746" s="187"/>
      <c r="RSD746" s="187"/>
      <c r="RSE746" s="187"/>
      <c r="RSF746" s="187"/>
      <c r="RSG746" s="187"/>
      <c r="RSH746" s="187"/>
      <c r="RSI746" s="187"/>
      <c r="RSJ746" s="187"/>
      <c r="RSK746" s="187"/>
      <c r="RSL746" s="187"/>
      <c r="RSM746" s="187"/>
      <c r="RSN746" s="187"/>
      <c r="RSO746" s="187"/>
      <c r="RSP746" s="187"/>
      <c r="RSQ746" s="187"/>
      <c r="RSR746" s="187"/>
      <c r="RSS746" s="187"/>
      <c r="RST746" s="187"/>
      <c r="RSU746" s="187"/>
      <c r="RSV746" s="187"/>
      <c r="RSW746" s="187"/>
      <c r="RSX746" s="187"/>
      <c r="RSY746" s="187"/>
      <c r="RSZ746" s="187"/>
      <c r="RTA746" s="187"/>
      <c r="RTB746" s="187"/>
      <c r="RTC746" s="187"/>
      <c r="RTD746" s="187"/>
      <c r="RTE746" s="187"/>
      <c r="RTF746" s="187"/>
      <c r="RTG746" s="187"/>
      <c r="RTH746" s="187"/>
      <c r="RTI746" s="187"/>
      <c r="RTJ746" s="187"/>
      <c r="RTK746" s="187"/>
      <c r="RTL746" s="187"/>
      <c r="RTM746" s="187"/>
      <c r="RTN746" s="187"/>
      <c r="RTO746" s="187"/>
      <c r="RTP746" s="187"/>
      <c r="RTQ746" s="187"/>
      <c r="RTR746" s="187"/>
      <c r="RTS746" s="187"/>
      <c r="RTT746" s="187"/>
      <c r="RTU746" s="187"/>
      <c r="RTV746" s="187"/>
      <c r="RTW746" s="187"/>
      <c r="RTX746" s="187"/>
      <c r="RTY746" s="187"/>
      <c r="RTZ746" s="187"/>
      <c r="RUA746" s="187"/>
      <c r="RUB746" s="187"/>
      <c r="RUC746" s="187"/>
      <c r="RUD746" s="187"/>
      <c r="RUE746" s="187"/>
      <c r="RUF746" s="187"/>
      <c r="RUG746" s="187"/>
      <c r="RUH746" s="187"/>
      <c r="RUI746" s="187"/>
      <c r="RUJ746" s="187"/>
      <c r="RUK746" s="187"/>
      <c r="RUL746" s="187"/>
      <c r="RUM746" s="187"/>
      <c r="RUN746" s="187"/>
      <c r="RUO746" s="187"/>
      <c r="RUP746" s="187"/>
      <c r="RUQ746" s="187"/>
      <c r="RUR746" s="187"/>
      <c r="RUS746" s="187"/>
      <c r="RUT746" s="187"/>
      <c r="RUU746" s="187"/>
      <c r="RUV746" s="187"/>
      <c r="RUW746" s="187"/>
      <c r="RUX746" s="187"/>
      <c r="RUY746" s="187"/>
      <c r="RUZ746" s="187"/>
      <c r="RVA746" s="187"/>
      <c r="RVB746" s="187"/>
      <c r="RVC746" s="187"/>
      <c r="RVD746" s="187"/>
      <c r="RVE746" s="187"/>
      <c r="RVF746" s="187"/>
      <c r="RVG746" s="187"/>
      <c r="RVH746" s="187"/>
      <c r="RVI746" s="187"/>
      <c r="RVJ746" s="187"/>
      <c r="RVK746" s="187"/>
      <c r="RVL746" s="187"/>
      <c r="RVM746" s="187"/>
      <c r="RVN746" s="187"/>
      <c r="RVO746" s="187"/>
      <c r="RVP746" s="187"/>
      <c r="RVQ746" s="187"/>
      <c r="RVR746" s="187"/>
      <c r="RVS746" s="187"/>
      <c r="RVT746" s="187"/>
      <c r="RVU746" s="187"/>
      <c r="RVV746" s="187"/>
      <c r="RVW746" s="187"/>
      <c r="RVX746" s="187"/>
      <c r="RVY746" s="187"/>
      <c r="RVZ746" s="187"/>
      <c r="RWA746" s="187"/>
      <c r="RWB746" s="187"/>
      <c r="RWC746" s="187"/>
      <c r="RWD746" s="187"/>
      <c r="RWE746" s="187"/>
      <c r="RWF746" s="187"/>
      <c r="RWG746" s="187"/>
      <c r="RWH746" s="187"/>
      <c r="RWI746" s="187"/>
      <c r="RWJ746" s="187"/>
      <c r="RWK746" s="187"/>
      <c r="RWL746" s="187"/>
      <c r="RWM746" s="187"/>
      <c r="RWN746" s="187"/>
      <c r="RWO746" s="187"/>
      <c r="RWP746" s="187"/>
      <c r="RWQ746" s="187"/>
      <c r="RWR746" s="187"/>
      <c r="RWS746" s="187"/>
      <c r="RWT746" s="187"/>
      <c r="RWU746" s="187"/>
      <c r="RWV746" s="187"/>
      <c r="RWW746" s="187"/>
      <c r="RWX746" s="187"/>
      <c r="RWY746" s="187"/>
      <c r="RWZ746" s="187"/>
      <c r="RXA746" s="187"/>
      <c r="RXB746" s="187"/>
      <c r="RXC746" s="187"/>
      <c r="RXD746" s="187"/>
      <c r="RXE746" s="187"/>
      <c r="RXF746" s="187"/>
      <c r="RXG746" s="187"/>
      <c r="RXH746" s="187"/>
      <c r="RXI746" s="187"/>
      <c r="RXJ746" s="187"/>
      <c r="RXK746" s="187"/>
      <c r="RXL746" s="187"/>
      <c r="RXM746" s="187"/>
      <c r="RXN746" s="187"/>
      <c r="RXO746" s="187"/>
      <c r="RXP746" s="187"/>
      <c r="RXQ746" s="187"/>
      <c r="RXR746" s="187"/>
      <c r="RXS746" s="187"/>
      <c r="RXT746" s="187"/>
      <c r="RXU746" s="187"/>
      <c r="RXV746" s="187"/>
      <c r="RXW746" s="187"/>
      <c r="RXX746" s="187"/>
      <c r="RXY746" s="187"/>
      <c r="RXZ746" s="187"/>
      <c r="RYA746" s="187"/>
      <c r="RYB746" s="187"/>
      <c r="RYC746" s="187"/>
      <c r="RYD746" s="187"/>
      <c r="RYE746" s="187"/>
      <c r="RYF746" s="187"/>
      <c r="RYG746" s="187"/>
      <c r="RYH746" s="187"/>
      <c r="RYI746" s="187"/>
      <c r="RYJ746" s="187"/>
      <c r="RYK746" s="187"/>
      <c r="RYL746" s="187"/>
      <c r="RYM746" s="187"/>
      <c r="RYN746" s="187"/>
      <c r="RYO746" s="187"/>
      <c r="RYP746" s="187"/>
      <c r="RYQ746" s="187"/>
      <c r="RYR746" s="187"/>
      <c r="RYS746" s="187"/>
      <c r="RYT746" s="187"/>
      <c r="RYU746" s="187"/>
      <c r="RYV746" s="187"/>
      <c r="RYW746" s="187"/>
      <c r="RYX746" s="187"/>
      <c r="RYY746" s="187"/>
      <c r="RYZ746" s="187"/>
      <c r="RZA746" s="187"/>
      <c r="RZB746" s="187"/>
      <c r="RZC746" s="187"/>
      <c r="RZD746" s="187"/>
      <c r="RZE746" s="187"/>
      <c r="RZF746" s="187"/>
      <c r="RZG746" s="187"/>
      <c r="RZH746" s="187"/>
      <c r="RZI746" s="187"/>
      <c r="RZJ746" s="187"/>
      <c r="RZK746" s="187"/>
      <c r="RZL746" s="187"/>
      <c r="RZM746" s="187"/>
      <c r="RZN746" s="187"/>
      <c r="RZO746" s="187"/>
      <c r="RZP746" s="187"/>
      <c r="RZQ746" s="187"/>
      <c r="RZR746" s="187"/>
      <c r="RZS746" s="187"/>
      <c r="RZT746" s="187"/>
      <c r="RZU746" s="187"/>
      <c r="RZV746" s="187"/>
      <c r="RZW746" s="187"/>
      <c r="RZX746" s="187"/>
      <c r="RZY746" s="187"/>
      <c r="RZZ746" s="187"/>
      <c r="SAA746" s="187"/>
      <c r="SAB746" s="187"/>
      <c r="SAC746" s="187"/>
      <c r="SAD746" s="187"/>
      <c r="SAE746" s="187"/>
      <c r="SAF746" s="187"/>
      <c r="SAG746" s="187"/>
      <c r="SAH746" s="187"/>
      <c r="SAI746" s="187"/>
      <c r="SAJ746" s="187"/>
      <c r="SAK746" s="187"/>
      <c r="SAL746" s="187"/>
      <c r="SAM746" s="187"/>
      <c r="SAN746" s="187"/>
      <c r="SAO746" s="187"/>
      <c r="SAP746" s="187"/>
      <c r="SAQ746" s="187"/>
      <c r="SAR746" s="187"/>
      <c r="SAS746" s="187"/>
      <c r="SAT746" s="187"/>
      <c r="SAU746" s="187"/>
      <c r="SAV746" s="187"/>
      <c r="SAW746" s="187"/>
      <c r="SAX746" s="187"/>
      <c r="SAY746" s="187"/>
      <c r="SAZ746" s="187"/>
      <c r="SBA746" s="187"/>
      <c r="SBB746" s="187"/>
      <c r="SBC746" s="187"/>
      <c r="SBD746" s="187"/>
      <c r="SBE746" s="187"/>
      <c r="SBF746" s="187"/>
      <c r="SBG746" s="187"/>
      <c r="SBH746" s="187"/>
      <c r="SBI746" s="187"/>
      <c r="SBJ746" s="187"/>
      <c r="SBK746" s="187"/>
      <c r="SBL746" s="187"/>
      <c r="SBM746" s="187"/>
      <c r="SBN746" s="187"/>
      <c r="SBO746" s="187"/>
      <c r="SBP746" s="187"/>
      <c r="SBQ746" s="187"/>
      <c r="SBR746" s="187"/>
      <c r="SBS746" s="187"/>
      <c r="SBT746" s="187"/>
      <c r="SBU746" s="187"/>
      <c r="SBV746" s="187"/>
      <c r="SBW746" s="187"/>
      <c r="SBX746" s="187"/>
      <c r="SBY746" s="187"/>
      <c r="SBZ746" s="187"/>
      <c r="SCA746" s="187"/>
      <c r="SCB746" s="187"/>
      <c r="SCC746" s="187"/>
      <c r="SCD746" s="187"/>
      <c r="SCE746" s="187"/>
      <c r="SCF746" s="187"/>
      <c r="SCG746" s="187"/>
      <c r="SCH746" s="187"/>
      <c r="SCI746" s="187"/>
      <c r="SCJ746" s="187"/>
      <c r="SCK746" s="187"/>
      <c r="SCL746" s="187"/>
      <c r="SCM746" s="187"/>
      <c r="SCN746" s="187"/>
      <c r="SCO746" s="187"/>
      <c r="SCP746" s="187"/>
      <c r="SCQ746" s="187"/>
      <c r="SCR746" s="187"/>
      <c r="SCS746" s="187"/>
      <c r="SCT746" s="187"/>
      <c r="SCU746" s="187"/>
      <c r="SCV746" s="187"/>
      <c r="SCW746" s="187"/>
      <c r="SCX746" s="187"/>
      <c r="SCY746" s="187"/>
      <c r="SCZ746" s="187"/>
      <c r="SDA746" s="187"/>
      <c r="SDB746" s="187"/>
      <c r="SDC746" s="187"/>
      <c r="SDD746" s="187"/>
      <c r="SDE746" s="187"/>
      <c r="SDF746" s="187"/>
      <c r="SDG746" s="187"/>
      <c r="SDH746" s="187"/>
      <c r="SDI746" s="187"/>
      <c r="SDJ746" s="187"/>
      <c r="SDK746" s="187"/>
      <c r="SDL746" s="187"/>
      <c r="SDM746" s="187"/>
      <c r="SDN746" s="187"/>
      <c r="SDO746" s="187"/>
      <c r="SDP746" s="187"/>
      <c r="SDQ746" s="187"/>
      <c r="SDR746" s="187"/>
      <c r="SDS746" s="187"/>
      <c r="SDT746" s="187"/>
      <c r="SDU746" s="187"/>
      <c r="SDV746" s="187"/>
      <c r="SDW746" s="187"/>
      <c r="SDX746" s="187"/>
      <c r="SDY746" s="187"/>
      <c r="SDZ746" s="187"/>
      <c r="SEA746" s="187"/>
      <c r="SEB746" s="187"/>
      <c r="SEC746" s="187"/>
      <c r="SED746" s="187"/>
      <c r="SEE746" s="187"/>
      <c r="SEF746" s="187"/>
      <c r="SEG746" s="187"/>
      <c r="SEH746" s="187"/>
      <c r="SEI746" s="187"/>
      <c r="SEJ746" s="187"/>
      <c r="SEK746" s="187"/>
      <c r="SEL746" s="187"/>
      <c r="SEM746" s="187"/>
      <c r="SEN746" s="187"/>
      <c r="SEO746" s="187"/>
      <c r="SEP746" s="187"/>
      <c r="SEQ746" s="187"/>
      <c r="SER746" s="187"/>
      <c r="SES746" s="187"/>
      <c r="SET746" s="187"/>
      <c r="SEU746" s="187"/>
      <c r="SEV746" s="187"/>
      <c r="SEW746" s="187"/>
      <c r="SEX746" s="187"/>
      <c r="SEY746" s="187"/>
      <c r="SEZ746" s="187"/>
      <c r="SFA746" s="187"/>
      <c r="SFB746" s="187"/>
      <c r="SFC746" s="187"/>
      <c r="SFD746" s="187"/>
      <c r="SFE746" s="187"/>
      <c r="SFF746" s="187"/>
      <c r="SFG746" s="187"/>
      <c r="SFH746" s="187"/>
      <c r="SFI746" s="187"/>
      <c r="SFJ746" s="187"/>
      <c r="SFK746" s="187"/>
      <c r="SFL746" s="187"/>
      <c r="SFM746" s="187"/>
      <c r="SFN746" s="187"/>
      <c r="SFO746" s="187"/>
      <c r="SFP746" s="187"/>
      <c r="SFQ746" s="187"/>
      <c r="SFR746" s="187"/>
      <c r="SFS746" s="187"/>
      <c r="SFT746" s="187"/>
      <c r="SFU746" s="187"/>
      <c r="SFV746" s="187"/>
      <c r="SFW746" s="187"/>
      <c r="SFX746" s="187"/>
      <c r="SFY746" s="187"/>
      <c r="SFZ746" s="187"/>
      <c r="SGA746" s="187"/>
      <c r="SGB746" s="187"/>
      <c r="SGC746" s="187"/>
      <c r="SGD746" s="187"/>
      <c r="SGE746" s="187"/>
      <c r="SGF746" s="187"/>
      <c r="SGG746" s="187"/>
      <c r="SGH746" s="187"/>
      <c r="SGI746" s="187"/>
      <c r="SGJ746" s="187"/>
      <c r="SGK746" s="187"/>
      <c r="SGL746" s="187"/>
      <c r="SGM746" s="187"/>
      <c r="SGN746" s="187"/>
      <c r="SGO746" s="187"/>
      <c r="SGP746" s="187"/>
      <c r="SGQ746" s="187"/>
      <c r="SGR746" s="187"/>
      <c r="SGS746" s="187"/>
      <c r="SGT746" s="187"/>
      <c r="SGU746" s="187"/>
      <c r="SGV746" s="187"/>
      <c r="SGW746" s="187"/>
      <c r="SGX746" s="187"/>
      <c r="SGY746" s="187"/>
      <c r="SGZ746" s="187"/>
      <c r="SHA746" s="187"/>
      <c r="SHB746" s="187"/>
      <c r="SHC746" s="187"/>
      <c r="SHD746" s="187"/>
      <c r="SHE746" s="187"/>
      <c r="SHF746" s="187"/>
      <c r="SHG746" s="187"/>
      <c r="SHH746" s="187"/>
      <c r="SHI746" s="187"/>
      <c r="SHJ746" s="187"/>
      <c r="SHK746" s="187"/>
      <c r="SHL746" s="187"/>
      <c r="SHM746" s="187"/>
      <c r="SHN746" s="187"/>
      <c r="SHO746" s="187"/>
      <c r="SHP746" s="187"/>
      <c r="SHQ746" s="187"/>
      <c r="SHR746" s="187"/>
      <c r="SHS746" s="187"/>
      <c r="SHT746" s="187"/>
      <c r="SHU746" s="187"/>
      <c r="SHV746" s="187"/>
      <c r="SHW746" s="187"/>
      <c r="SHX746" s="187"/>
      <c r="SHY746" s="187"/>
      <c r="SHZ746" s="187"/>
      <c r="SIA746" s="187"/>
      <c r="SIB746" s="187"/>
      <c r="SIC746" s="187"/>
      <c r="SID746" s="187"/>
      <c r="SIE746" s="187"/>
      <c r="SIF746" s="187"/>
      <c r="SIG746" s="187"/>
      <c r="SIH746" s="187"/>
      <c r="SII746" s="187"/>
      <c r="SIJ746" s="187"/>
      <c r="SIK746" s="187"/>
      <c r="SIL746" s="187"/>
      <c r="SIM746" s="187"/>
      <c r="SIN746" s="187"/>
      <c r="SIO746" s="187"/>
      <c r="SIP746" s="187"/>
      <c r="SIQ746" s="187"/>
      <c r="SIR746" s="187"/>
      <c r="SIS746" s="187"/>
      <c r="SIT746" s="187"/>
      <c r="SIU746" s="187"/>
      <c r="SIV746" s="187"/>
      <c r="SIW746" s="187"/>
      <c r="SIX746" s="187"/>
      <c r="SIY746" s="187"/>
      <c r="SIZ746" s="187"/>
      <c r="SJA746" s="187"/>
      <c r="SJB746" s="187"/>
      <c r="SJC746" s="187"/>
      <c r="SJD746" s="187"/>
      <c r="SJE746" s="187"/>
      <c r="SJF746" s="187"/>
      <c r="SJG746" s="187"/>
      <c r="SJH746" s="187"/>
      <c r="SJI746" s="187"/>
      <c r="SJJ746" s="187"/>
      <c r="SJK746" s="187"/>
      <c r="SJL746" s="187"/>
      <c r="SJM746" s="187"/>
      <c r="SJN746" s="187"/>
      <c r="SJO746" s="187"/>
      <c r="SJP746" s="187"/>
      <c r="SJQ746" s="187"/>
      <c r="SJR746" s="187"/>
      <c r="SJS746" s="187"/>
      <c r="SJT746" s="187"/>
      <c r="SJU746" s="187"/>
      <c r="SJV746" s="187"/>
      <c r="SJW746" s="187"/>
      <c r="SJX746" s="187"/>
      <c r="SJY746" s="187"/>
      <c r="SJZ746" s="187"/>
      <c r="SKA746" s="187"/>
      <c r="SKB746" s="187"/>
      <c r="SKC746" s="187"/>
      <c r="SKD746" s="187"/>
      <c r="SKE746" s="187"/>
      <c r="SKF746" s="187"/>
      <c r="SKG746" s="187"/>
      <c r="SKH746" s="187"/>
      <c r="SKI746" s="187"/>
      <c r="SKJ746" s="187"/>
      <c r="SKK746" s="187"/>
      <c r="SKL746" s="187"/>
      <c r="SKM746" s="187"/>
      <c r="SKN746" s="187"/>
      <c r="SKO746" s="187"/>
      <c r="SKP746" s="187"/>
      <c r="SKQ746" s="187"/>
      <c r="SKR746" s="187"/>
      <c r="SKS746" s="187"/>
      <c r="SKT746" s="187"/>
      <c r="SKU746" s="187"/>
      <c r="SKV746" s="187"/>
      <c r="SKW746" s="187"/>
      <c r="SKX746" s="187"/>
      <c r="SKY746" s="187"/>
      <c r="SKZ746" s="187"/>
      <c r="SLA746" s="187"/>
      <c r="SLB746" s="187"/>
      <c r="SLC746" s="187"/>
      <c r="SLD746" s="187"/>
      <c r="SLE746" s="187"/>
      <c r="SLF746" s="187"/>
      <c r="SLG746" s="187"/>
      <c r="SLH746" s="187"/>
      <c r="SLI746" s="187"/>
      <c r="SLJ746" s="187"/>
      <c r="SLK746" s="187"/>
      <c r="SLL746" s="187"/>
      <c r="SLM746" s="187"/>
      <c r="SLN746" s="187"/>
      <c r="SLO746" s="187"/>
      <c r="SLP746" s="187"/>
      <c r="SLQ746" s="187"/>
      <c r="SLR746" s="187"/>
      <c r="SLS746" s="187"/>
      <c r="SLT746" s="187"/>
      <c r="SLU746" s="187"/>
      <c r="SLV746" s="187"/>
      <c r="SLW746" s="187"/>
      <c r="SLX746" s="187"/>
      <c r="SLY746" s="187"/>
      <c r="SLZ746" s="187"/>
      <c r="SMA746" s="187"/>
      <c r="SMB746" s="187"/>
      <c r="SMC746" s="187"/>
      <c r="SMD746" s="187"/>
      <c r="SME746" s="187"/>
      <c r="SMF746" s="187"/>
      <c r="SMG746" s="187"/>
      <c r="SMH746" s="187"/>
      <c r="SMI746" s="187"/>
      <c r="SMJ746" s="187"/>
      <c r="SMK746" s="187"/>
      <c r="SML746" s="187"/>
      <c r="SMM746" s="187"/>
      <c r="SMN746" s="187"/>
      <c r="SMO746" s="187"/>
      <c r="SMP746" s="187"/>
      <c r="SMQ746" s="187"/>
      <c r="SMR746" s="187"/>
      <c r="SMS746" s="187"/>
      <c r="SMT746" s="187"/>
      <c r="SMU746" s="187"/>
      <c r="SMV746" s="187"/>
      <c r="SMW746" s="187"/>
      <c r="SMX746" s="187"/>
      <c r="SMY746" s="187"/>
      <c r="SMZ746" s="187"/>
      <c r="SNA746" s="187"/>
      <c r="SNB746" s="187"/>
      <c r="SNC746" s="187"/>
      <c r="SND746" s="187"/>
      <c r="SNE746" s="187"/>
      <c r="SNF746" s="187"/>
      <c r="SNG746" s="187"/>
      <c r="SNH746" s="187"/>
      <c r="SNI746" s="187"/>
      <c r="SNJ746" s="187"/>
      <c r="SNK746" s="187"/>
      <c r="SNL746" s="187"/>
      <c r="SNM746" s="187"/>
      <c r="SNN746" s="187"/>
      <c r="SNO746" s="187"/>
      <c r="SNP746" s="187"/>
      <c r="SNQ746" s="187"/>
      <c r="SNR746" s="187"/>
      <c r="SNS746" s="187"/>
      <c r="SNT746" s="187"/>
      <c r="SNU746" s="187"/>
      <c r="SNV746" s="187"/>
      <c r="SNW746" s="187"/>
      <c r="SNX746" s="187"/>
      <c r="SNY746" s="187"/>
      <c r="SNZ746" s="187"/>
      <c r="SOA746" s="187"/>
      <c r="SOB746" s="187"/>
      <c r="SOC746" s="187"/>
      <c r="SOD746" s="187"/>
      <c r="SOE746" s="187"/>
      <c r="SOF746" s="187"/>
      <c r="SOG746" s="187"/>
      <c r="SOH746" s="187"/>
      <c r="SOI746" s="187"/>
      <c r="SOJ746" s="187"/>
      <c r="SOK746" s="187"/>
      <c r="SOL746" s="187"/>
      <c r="SOM746" s="187"/>
      <c r="SON746" s="187"/>
      <c r="SOO746" s="187"/>
      <c r="SOP746" s="187"/>
      <c r="SOQ746" s="187"/>
      <c r="SOR746" s="187"/>
      <c r="SOS746" s="187"/>
      <c r="SOT746" s="187"/>
      <c r="SOU746" s="187"/>
      <c r="SOV746" s="187"/>
      <c r="SOW746" s="187"/>
      <c r="SOX746" s="187"/>
      <c r="SOY746" s="187"/>
      <c r="SOZ746" s="187"/>
      <c r="SPA746" s="187"/>
      <c r="SPB746" s="187"/>
      <c r="SPC746" s="187"/>
      <c r="SPD746" s="187"/>
      <c r="SPE746" s="187"/>
      <c r="SPF746" s="187"/>
      <c r="SPG746" s="187"/>
      <c r="SPH746" s="187"/>
      <c r="SPI746" s="187"/>
      <c r="SPJ746" s="187"/>
      <c r="SPK746" s="187"/>
      <c r="SPL746" s="187"/>
      <c r="SPM746" s="187"/>
      <c r="SPN746" s="187"/>
      <c r="SPO746" s="187"/>
      <c r="SPP746" s="187"/>
      <c r="SPQ746" s="187"/>
      <c r="SPR746" s="187"/>
      <c r="SPS746" s="187"/>
      <c r="SPT746" s="187"/>
      <c r="SPU746" s="187"/>
      <c r="SPV746" s="187"/>
      <c r="SPW746" s="187"/>
      <c r="SPX746" s="187"/>
      <c r="SPY746" s="187"/>
      <c r="SPZ746" s="187"/>
      <c r="SQA746" s="187"/>
      <c r="SQB746" s="187"/>
      <c r="SQC746" s="187"/>
      <c r="SQD746" s="187"/>
      <c r="SQE746" s="187"/>
      <c r="SQF746" s="187"/>
      <c r="SQG746" s="187"/>
      <c r="SQH746" s="187"/>
      <c r="SQI746" s="187"/>
      <c r="SQJ746" s="187"/>
      <c r="SQK746" s="187"/>
      <c r="SQL746" s="187"/>
      <c r="SQM746" s="187"/>
      <c r="SQN746" s="187"/>
      <c r="SQO746" s="187"/>
      <c r="SQP746" s="187"/>
      <c r="SQQ746" s="187"/>
      <c r="SQR746" s="187"/>
      <c r="SQS746" s="187"/>
      <c r="SQT746" s="187"/>
      <c r="SQU746" s="187"/>
      <c r="SQV746" s="187"/>
      <c r="SQW746" s="187"/>
      <c r="SQX746" s="187"/>
      <c r="SQY746" s="187"/>
      <c r="SQZ746" s="187"/>
      <c r="SRA746" s="187"/>
      <c r="SRB746" s="187"/>
      <c r="SRC746" s="187"/>
      <c r="SRD746" s="187"/>
      <c r="SRE746" s="187"/>
      <c r="SRF746" s="187"/>
      <c r="SRG746" s="187"/>
      <c r="SRH746" s="187"/>
      <c r="SRI746" s="187"/>
      <c r="SRJ746" s="187"/>
      <c r="SRK746" s="187"/>
      <c r="SRL746" s="187"/>
      <c r="SRM746" s="187"/>
      <c r="SRN746" s="187"/>
      <c r="SRO746" s="187"/>
      <c r="SRP746" s="187"/>
      <c r="SRQ746" s="187"/>
      <c r="SRR746" s="187"/>
      <c r="SRS746" s="187"/>
      <c r="SRT746" s="187"/>
      <c r="SRU746" s="187"/>
      <c r="SRV746" s="187"/>
      <c r="SRW746" s="187"/>
      <c r="SRX746" s="187"/>
      <c r="SRY746" s="187"/>
      <c r="SRZ746" s="187"/>
      <c r="SSA746" s="187"/>
      <c r="SSB746" s="187"/>
      <c r="SSC746" s="187"/>
      <c r="SSD746" s="187"/>
      <c r="SSE746" s="187"/>
      <c r="SSF746" s="187"/>
      <c r="SSG746" s="187"/>
      <c r="SSH746" s="187"/>
      <c r="SSI746" s="187"/>
      <c r="SSJ746" s="187"/>
      <c r="SSK746" s="187"/>
      <c r="SSL746" s="187"/>
      <c r="SSM746" s="187"/>
      <c r="SSN746" s="187"/>
      <c r="SSO746" s="187"/>
      <c r="SSP746" s="187"/>
      <c r="SSQ746" s="187"/>
      <c r="SSR746" s="187"/>
      <c r="SSS746" s="187"/>
      <c r="SST746" s="187"/>
      <c r="SSU746" s="187"/>
      <c r="SSV746" s="187"/>
      <c r="SSW746" s="187"/>
      <c r="SSX746" s="187"/>
      <c r="SSY746" s="187"/>
      <c r="SSZ746" s="187"/>
      <c r="STA746" s="187"/>
      <c r="STB746" s="187"/>
      <c r="STC746" s="187"/>
      <c r="STD746" s="187"/>
      <c r="STE746" s="187"/>
      <c r="STF746" s="187"/>
      <c r="STG746" s="187"/>
      <c r="STH746" s="187"/>
      <c r="STI746" s="187"/>
      <c r="STJ746" s="187"/>
      <c r="STK746" s="187"/>
      <c r="STL746" s="187"/>
      <c r="STM746" s="187"/>
      <c r="STN746" s="187"/>
      <c r="STO746" s="187"/>
      <c r="STP746" s="187"/>
      <c r="STQ746" s="187"/>
      <c r="STR746" s="187"/>
      <c r="STS746" s="187"/>
      <c r="STT746" s="187"/>
      <c r="STU746" s="187"/>
      <c r="STV746" s="187"/>
      <c r="STW746" s="187"/>
      <c r="STX746" s="187"/>
      <c r="STY746" s="187"/>
      <c r="STZ746" s="187"/>
      <c r="SUA746" s="187"/>
      <c r="SUB746" s="187"/>
      <c r="SUC746" s="187"/>
      <c r="SUD746" s="187"/>
      <c r="SUE746" s="187"/>
      <c r="SUF746" s="187"/>
      <c r="SUG746" s="187"/>
      <c r="SUH746" s="187"/>
      <c r="SUI746" s="187"/>
      <c r="SUJ746" s="187"/>
      <c r="SUK746" s="187"/>
      <c r="SUL746" s="187"/>
      <c r="SUM746" s="187"/>
      <c r="SUN746" s="187"/>
      <c r="SUO746" s="187"/>
      <c r="SUP746" s="187"/>
      <c r="SUQ746" s="187"/>
      <c r="SUR746" s="187"/>
      <c r="SUS746" s="187"/>
      <c r="SUT746" s="187"/>
      <c r="SUU746" s="187"/>
      <c r="SUV746" s="187"/>
      <c r="SUW746" s="187"/>
      <c r="SUX746" s="187"/>
      <c r="SUY746" s="187"/>
      <c r="SUZ746" s="187"/>
      <c r="SVA746" s="187"/>
      <c r="SVB746" s="187"/>
      <c r="SVC746" s="187"/>
      <c r="SVD746" s="187"/>
      <c r="SVE746" s="187"/>
      <c r="SVF746" s="187"/>
      <c r="SVG746" s="187"/>
      <c r="SVH746" s="187"/>
      <c r="SVI746" s="187"/>
      <c r="SVJ746" s="187"/>
      <c r="SVK746" s="187"/>
      <c r="SVL746" s="187"/>
      <c r="SVM746" s="187"/>
      <c r="SVN746" s="187"/>
      <c r="SVO746" s="187"/>
      <c r="SVP746" s="187"/>
      <c r="SVQ746" s="187"/>
      <c r="SVR746" s="187"/>
      <c r="SVS746" s="187"/>
      <c r="SVT746" s="187"/>
      <c r="SVU746" s="187"/>
      <c r="SVV746" s="187"/>
      <c r="SVW746" s="187"/>
      <c r="SVX746" s="187"/>
      <c r="SVY746" s="187"/>
      <c r="SVZ746" s="187"/>
      <c r="SWA746" s="187"/>
      <c r="SWB746" s="187"/>
      <c r="SWC746" s="187"/>
      <c r="SWD746" s="187"/>
      <c r="SWE746" s="187"/>
      <c r="SWF746" s="187"/>
      <c r="SWG746" s="187"/>
      <c r="SWH746" s="187"/>
      <c r="SWI746" s="187"/>
      <c r="SWJ746" s="187"/>
      <c r="SWK746" s="187"/>
      <c r="SWL746" s="187"/>
      <c r="SWM746" s="187"/>
      <c r="SWN746" s="187"/>
      <c r="SWO746" s="187"/>
      <c r="SWP746" s="187"/>
      <c r="SWQ746" s="187"/>
      <c r="SWR746" s="187"/>
      <c r="SWS746" s="187"/>
      <c r="SWT746" s="187"/>
      <c r="SWU746" s="187"/>
      <c r="SWV746" s="187"/>
      <c r="SWW746" s="187"/>
      <c r="SWX746" s="187"/>
      <c r="SWY746" s="187"/>
      <c r="SWZ746" s="187"/>
      <c r="SXA746" s="187"/>
      <c r="SXB746" s="187"/>
      <c r="SXC746" s="187"/>
      <c r="SXD746" s="187"/>
      <c r="SXE746" s="187"/>
      <c r="SXF746" s="187"/>
      <c r="SXG746" s="187"/>
      <c r="SXH746" s="187"/>
      <c r="SXI746" s="187"/>
      <c r="SXJ746" s="187"/>
      <c r="SXK746" s="187"/>
      <c r="SXL746" s="187"/>
      <c r="SXM746" s="187"/>
      <c r="SXN746" s="187"/>
      <c r="SXO746" s="187"/>
      <c r="SXP746" s="187"/>
      <c r="SXQ746" s="187"/>
      <c r="SXR746" s="187"/>
      <c r="SXS746" s="187"/>
      <c r="SXT746" s="187"/>
      <c r="SXU746" s="187"/>
      <c r="SXV746" s="187"/>
      <c r="SXW746" s="187"/>
      <c r="SXX746" s="187"/>
      <c r="SXY746" s="187"/>
      <c r="SXZ746" s="187"/>
      <c r="SYA746" s="187"/>
      <c r="SYB746" s="187"/>
      <c r="SYC746" s="187"/>
      <c r="SYD746" s="187"/>
      <c r="SYE746" s="187"/>
      <c r="SYF746" s="187"/>
      <c r="SYG746" s="187"/>
      <c r="SYH746" s="187"/>
      <c r="SYI746" s="187"/>
      <c r="SYJ746" s="187"/>
      <c r="SYK746" s="187"/>
      <c r="SYL746" s="187"/>
      <c r="SYM746" s="187"/>
      <c r="SYN746" s="187"/>
      <c r="SYO746" s="187"/>
      <c r="SYP746" s="187"/>
      <c r="SYQ746" s="187"/>
      <c r="SYR746" s="187"/>
      <c r="SYS746" s="187"/>
      <c r="SYT746" s="187"/>
      <c r="SYU746" s="187"/>
      <c r="SYV746" s="187"/>
      <c r="SYW746" s="187"/>
      <c r="SYX746" s="187"/>
      <c r="SYY746" s="187"/>
      <c r="SYZ746" s="187"/>
      <c r="SZA746" s="187"/>
      <c r="SZB746" s="187"/>
      <c r="SZC746" s="187"/>
      <c r="SZD746" s="187"/>
      <c r="SZE746" s="187"/>
      <c r="SZF746" s="187"/>
      <c r="SZG746" s="187"/>
      <c r="SZH746" s="187"/>
      <c r="SZI746" s="187"/>
      <c r="SZJ746" s="187"/>
      <c r="SZK746" s="187"/>
      <c r="SZL746" s="187"/>
      <c r="SZM746" s="187"/>
      <c r="SZN746" s="187"/>
      <c r="SZO746" s="187"/>
      <c r="SZP746" s="187"/>
      <c r="SZQ746" s="187"/>
      <c r="SZR746" s="187"/>
      <c r="SZS746" s="187"/>
      <c r="SZT746" s="187"/>
      <c r="SZU746" s="187"/>
      <c r="SZV746" s="187"/>
      <c r="SZW746" s="187"/>
      <c r="SZX746" s="187"/>
      <c r="SZY746" s="187"/>
      <c r="SZZ746" s="187"/>
      <c r="TAA746" s="187"/>
      <c r="TAB746" s="187"/>
      <c r="TAC746" s="187"/>
      <c r="TAD746" s="187"/>
      <c r="TAE746" s="187"/>
      <c r="TAF746" s="187"/>
      <c r="TAG746" s="187"/>
      <c r="TAH746" s="187"/>
      <c r="TAI746" s="187"/>
      <c r="TAJ746" s="187"/>
      <c r="TAK746" s="187"/>
      <c r="TAL746" s="187"/>
      <c r="TAM746" s="187"/>
      <c r="TAN746" s="187"/>
      <c r="TAO746" s="187"/>
      <c r="TAP746" s="187"/>
      <c r="TAQ746" s="187"/>
      <c r="TAR746" s="187"/>
      <c r="TAS746" s="187"/>
      <c r="TAT746" s="187"/>
      <c r="TAU746" s="187"/>
      <c r="TAV746" s="187"/>
      <c r="TAW746" s="187"/>
      <c r="TAX746" s="187"/>
      <c r="TAY746" s="187"/>
      <c r="TAZ746" s="187"/>
      <c r="TBA746" s="187"/>
      <c r="TBB746" s="187"/>
      <c r="TBC746" s="187"/>
      <c r="TBD746" s="187"/>
      <c r="TBE746" s="187"/>
      <c r="TBF746" s="187"/>
      <c r="TBG746" s="187"/>
      <c r="TBH746" s="187"/>
      <c r="TBI746" s="187"/>
      <c r="TBJ746" s="187"/>
      <c r="TBK746" s="187"/>
      <c r="TBL746" s="187"/>
      <c r="TBM746" s="187"/>
      <c r="TBN746" s="187"/>
      <c r="TBO746" s="187"/>
      <c r="TBP746" s="187"/>
      <c r="TBQ746" s="187"/>
      <c r="TBR746" s="187"/>
      <c r="TBS746" s="187"/>
      <c r="TBT746" s="187"/>
      <c r="TBU746" s="187"/>
      <c r="TBV746" s="187"/>
      <c r="TBW746" s="187"/>
      <c r="TBX746" s="187"/>
      <c r="TBY746" s="187"/>
      <c r="TBZ746" s="187"/>
      <c r="TCA746" s="187"/>
      <c r="TCB746" s="187"/>
      <c r="TCC746" s="187"/>
      <c r="TCD746" s="187"/>
      <c r="TCE746" s="187"/>
      <c r="TCF746" s="187"/>
      <c r="TCG746" s="187"/>
      <c r="TCH746" s="187"/>
      <c r="TCI746" s="187"/>
      <c r="TCJ746" s="187"/>
      <c r="TCK746" s="187"/>
      <c r="TCL746" s="187"/>
      <c r="TCM746" s="187"/>
      <c r="TCN746" s="187"/>
      <c r="TCO746" s="187"/>
      <c r="TCP746" s="187"/>
      <c r="TCQ746" s="187"/>
      <c r="TCR746" s="187"/>
      <c r="TCS746" s="187"/>
      <c r="TCT746" s="187"/>
      <c r="TCU746" s="187"/>
      <c r="TCV746" s="187"/>
      <c r="TCW746" s="187"/>
      <c r="TCX746" s="187"/>
      <c r="TCY746" s="187"/>
      <c r="TCZ746" s="187"/>
      <c r="TDA746" s="187"/>
      <c r="TDB746" s="187"/>
      <c r="TDC746" s="187"/>
      <c r="TDD746" s="187"/>
      <c r="TDE746" s="187"/>
      <c r="TDF746" s="187"/>
      <c r="TDG746" s="187"/>
      <c r="TDH746" s="187"/>
      <c r="TDI746" s="187"/>
      <c r="TDJ746" s="187"/>
      <c r="TDK746" s="187"/>
      <c r="TDL746" s="187"/>
      <c r="TDM746" s="187"/>
      <c r="TDN746" s="187"/>
      <c r="TDO746" s="187"/>
      <c r="TDP746" s="187"/>
      <c r="TDQ746" s="187"/>
      <c r="TDR746" s="187"/>
      <c r="TDS746" s="187"/>
      <c r="TDT746" s="187"/>
      <c r="TDU746" s="187"/>
      <c r="TDV746" s="187"/>
      <c r="TDW746" s="187"/>
      <c r="TDX746" s="187"/>
      <c r="TDY746" s="187"/>
      <c r="TDZ746" s="187"/>
      <c r="TEA746" s="187"/>
      <c r="TEB746" s="187"/>
      <c r="TEC746" s="187"/>
      <c r="TED746" s="187"/>
      <c r="TEE746" s="187"/>
      <c r="TEF746" s="187"/>
      <c r="TEG746" s="187"/>
      <c r="TEH746" s="187"/>
      <c r="TEI746" s="187"/>
      <c r="TEJ746" s="187"/>
      <c r="TEK746" s="187"/>
      <c r="TEL746" s="187"/>
      <c r="TEM746" s="187"/>
      <c r="TEN746" s="187"/>
      <c r="TEO746" s="187"/>
      <c r="TEP746" s="187"/>
      <c r="TEQ746" s="187"/>
      <c r="TER746" s="187"/>
      <c r="TES746" s="187"/>
      <c r="TET746" s="187"/>
      <c r="TEU746" s="187"/>
      <c r="TEV746" s="187"/>
      <c r="TEW746" s="187"/>
      <c r="TEX746" s="187"/>
      <c r="TEY746" s="187"/>
      <c r="TEZ746" s="187"/>
      <c r="TFA746" s="187"/>
      <c r="TFB746" s="187"/>
      <c r="TFC746" s="187"/>
      <c r="TFD746" s="187"/>
      <c r="TFE746" s="187"/>
      <c r="TFF746" s="187"/>
      <c r="TFG746" s="187"/>
      <c r="TFH746" s="187"/>
      <c r="TFI746" s="187"/>
      <c r="TFJ746" s="187"/>
      <c r="TFK746" s="187"/>
      <c r="TFL746" s="187"/>
      <c r="TFM746" s="187"/>
      <c r="TFN746" s="187"/>
      <c r="TFO746" s="187"/>
      <c r="TFP746" s="187"/>
      <c r="TFQ746" s="187"/>
      <c r="TFR746" s="187"/>
      <c r="TFS746" s="187"/>
      <c r="TFT746" s="187"/>
      <c r="TFU746" s="187"/>
      <c r="TFV746" s="187"/>
      <c r="TFW746" s="187"/>
      <c r="TFX746" s="187"/>
      <c r="TFY746" s="187"/>
      <c r="TFZ746" s="187"/>
      <c r="TGA746" s="187"/>
      <c r="TGB746" s="187"/>
      <c r="TGC746" s="187"/>
      <c r="TGD746" s="187"/>
      <c r="TGE746" s="187"/>
      <c r="TGF746" s="187"/>
      <c r="TGG746" s="187"/>
      <c r="TGH746" s="187"/>
      <c r="TGI746" s="187"/>
      <c r="TGJ746" s="187"/>
      <c r="TGK746" s="187"/>
      <c r="TGL746" s="187"/>
      <c r="TGM746" s="187"/>
      <c r="TGN746" s="187"/>
      <c r="TGO746" s="187"/>
      <c r="TGP746" s="187"/>
      <c r="TGQ746" s="187"/>
      <c r="TGR746" s="187"/>
      <c r="TGS746" s="187"/>
      <c r="TGT746" s="187"/>
      <c r="TGU746" s="187"/>
      <c r="TGV746" s="187"/>
      <c r="TGW746" s="187"/>
      <c r="TGX746" s="187"/>
      <c r="TGY746" s="187"/>
      <c r="TGZ746" s="187"/>
      <c r="THA746" s="187"/>
      <c r="THB746" s="187"/>
      <c r="THC746" s="187"/>
      <c r="THD746" s="187"/>
      <c r="THE746" s="187"/>
      <c r="THF746" s="187"/>
      <c r="THG746" s="187"/>
      <c r="THH746" s="187"/>
      <c r="THI746" s="187"/>
      <c r="THJ746" s="187"/>
      <c r="THK746" s="187"/>
      <c r="THL746" s="187"/>
      <c r="THM746" s="187"/>
      <c r="THN746" s="187"/>
      <c r="THO746" s="187"/>
      <c r="THP746" s="187"/>
      <c r="THQ746" s="187"/>
      <c r="THR746" s="187"/>
      <c r="THS746" s="187"/>
      <c r="THT746" s="187"/>
      <c r="THU746" s="187"/>
      <c r="THV746" s="187"/>
      <c r="THW746" s="187"/>
      <c r="THX746" s="187"/>
      <c r="THY746" s="187"/>
      <c r="THZ746" s="187"/>
      <c r="TIA746" s="187"/>
      <c r="TIB746" s="187"/>
      <c r="TIC746" s="187"/>
      <c r="TID746" s="187"/>
      <c r="TIE746" s="187"/>
      <c r="TIF746" s="187"/>
      <c r="TIG746" s="187"/>
      <c r="TIH746" s="187"/>
      <c r="TII746" s="187"/>
      <c r="TIJ746" s="187"/>
      <c r="TIK746" s="187"/>
      <c r="TIL746" s="187"/>
      <c r="TIM746" s="187"/>
      <c r="TIN746" s="187"/>
      <c r="TIO746" s="187"/>
      <c r="TIP746" s="187"/>
      <c r="TIQ746" s="187"/>
      <c r="TIR746" s="187"/>
      <c r="TIS746" s="187"/>
      <c r="TIT746" s="187"/>
      <c r="TIU746" s="187"/>
      <c r="TIV746" s="187"/>
      <c r="TIW746" s="187"/>
      <c r="TIX746" s="187"/>
      <c r="TIY746" s="187"/>
      <c r="TIZ746" s="187"/>
      <c r="TJA746" s="187"/>
      <c r="TJB746" s="187"/>
      <c r="TJC746" s="187"/>
      <c r="TJD746" s="187"/>
      <c r="TJE746" s="187"/>
      <c r="TJF746" s="187"/>
      <c r="TJG746" s="187"/>
      <c r="TJH746" s="187"/>
      <c r="TJI746" s="187"/>
      <c r="TJJ746" s="187"/>
      <c r="TJK746" s="187"/>
      <c r="TJL746" s="187"/>
      <c r="TJM746" s="187"/>
      <c r="TJN746" s="187"/>
      <c r="TJO746" s="187"/>
      <c r="TJP746" s="187"/>
      <c r="TJQ746" s="187"/>
      <c r="TJR746" s="187"/>
      <c r="TJS746" s="187"/>
      <c r="TJT746" s="187"/>
      <c r="TJU746" s="187"/>
      <c r="TJV746" s="187"/>
      <c r="TJW746" s="187"/>
      <c r="TJX746" s="187"/>
      <c r="TJY746" s="187"/>
      <c r="TJZ746" s="187"/>
      <c r="TKA746" s="187"/>
      <c r="TKB746" s="187"/>
      <c r="TKC746" s="187"/>
      <c r="TKD746" s="187"/>
      <c r="TKE746" s="187"/>
      <c r="TKF746" s="187"/>
      <c r="TKG746" s="187"/>
      <c r="TKH746" s="187"/>
      <c r="TKI746" s="187"/>
      <c r="TKJ746" s="187"/>
      <c r="TKK746" s="187"/>
      <c r="TKL746" s="187"/>
      <c r="TKM746" s="187"/>
      <c r="TKN746" s="187"/>
      <c r="TKO746" s="187"/>
      <c r="TKP746" s="187"/>
      <c r="TKQ746" s="187"/>
      <c r="TKR746" s="187"/>
      <c r="TKS746" s="187"/>
      <c r="TKT746" s="187"/>
      <c r="TKU746" s="187"/>
      <c r="TKV746" s="187"/>
      <c r="TKW746" s="187"/>
      <c r="TKX746" s="187"/>
      <c r="TKY746" s="187"/>
      <c r="TKZ746" s="187"/>
      <c r="TLA746" s="187"/>
      <c r="TLB746" s="187"/>
      <c r="TLC746" s="187"/>
      <c r="TLD746" s="187"/>
      <c r="TLE746" s="187"/>
      <c r="TLF746" s="187"/>
      <c r="TLG746" s="187"/>
      <c r="TLH746" s="187"/>
      <c r="TLI746" s="187"/>
      <c r="TLJ746" s="187"/>
      <c r="TLK746" s="187"/>
      <c r="TLL746" s="187"/>
      <c r="TLM746" s="187"/>
      <c r="TLN746" s="187"/>
      <c r="TLO746" s="187"/>
      <c r="TLP746" s="187"/>
      <c r="TLQ746" s="187"/>
      <c r="TLR746" s="187"/>
      <c r="TLS746" s="187"/>
      <c r="TLT746" s="187"/>
      <c r="TLU746" s="187"/>
      <c r="TLV746" s="187"/>
      <c r="TLW746" s="187"/>
      <c r="TLX746" s="187"/>
      <c r="TLY746" s="187"/>
      <c r="TLZ746" s="187"/>
      <c r="TMA746" s="187"/>
      <c r="TMB746" s="187"/>
      <c r="TMC746" s="187"/>
      <c r="TMD746" s="187"/>
      <c r="TME746" s="187"/>
      <c r="TMF746" s="187"/>
      <c r="TMG746" s="187"/>
      <c r="TMH746" s="187"/>
      <c r="TMI746" s="187"/>
      <c r="TMJ746" s="187"/>
      <c r="TMK746" s="187"/>
      <c r="TML746" s="187"/>
      <c r="TMM746" s="187"/>
      <c r="TMN746" s="187"/>
      <c r="TMO746" s="187"/>
      <c r="TMP746" s="187"/>
      <c r="TMQ746" s="187"/>
      <c r="TMR746" s="187"/>
      <c r="TMS746" s="187"/>
      <c r="TMT746" s="187"/>
      <c r="TMU746" s="187"/>
      <c r="TMV746" s="187"/>
      <c r="TMW746" s="187"/>
      <c r="TMX746" s="187"/>
      <c r="TMY746" s="187"/>
      <c r="TMZ746" s="187"/>
      <c r="TNA746" s="187"/>
      <c r="TNB746" s="187"/>
      <c r="TNC746" s="187"/>
      <c r="TND746" s="187"/>
      <c r="TNE746" s="187"/>
      <c r="TNF746" s="187"/>
      <c r="TNG746" s="187"/>
      <c r="TNH746" s="187"/>
      <c r="TNI746" s="187"/>
      <c r="TNJ746" s="187"/>
      <c r="TNK746" s="187"/>
      <c r="TNL746" s="187"/>
      <c r="TNM746" s="187"/>
      <c r="TNN746" s="187"/>
      <c r="TNO746" s="187"/>
      <c r="TNP746" s="187"/>
      <c r="TNQ746" s="187"/>
      <c r="TNR746" s="187"/>
      <c r="TNS746" s="187"/>
      <c r="TNT746" s="187"/>
      <c r="TNU746" s="187"/>
      <c r="TNV746" s="187"/>
      <c r="TNW746" s="187"/>
      <c r="TNX746" s="187"/>
      <c r="TNY746" s="187"/>
      <c r="TNZ746" s="187"/>
      <c r="TOA746" s="187"/>
      <c r="TOB746" s="187"/>
      <c r="TOC746" s="187"/>
      <c r="TOD746" s="187"/>
      <c r="TOE746" s="187"/>
      <c r="TOF746" s="187"/>
      <c r="TOG746" s="187"/>
      <c r="TOH746" s="187"/>
      <c r="TOI746" s="187"/>
      <c r="TOJ746" s="187"/>
      <c r="TOK746" s="187"/>
      <c r="TOL746" s="187"/>
      <c r="TOM746" s="187"/>
      <c r="TON746" s="187"/>
      <c r="TOO746" s="187"/>
      <c r="TOP746" s="187"/>
      <c r="TOQ746" s="187"/>
      <c r="TOR746" s="187"/>
      <c r="TOS746" s="187"/>
      <c r="TOT746" s="187"/>
      <c r="TOU746" s="187"/>
      <c r="TOV746" s="187"/>
      <c r="TOW746" s="187"/>
      <c r="TOX746" s="187"/>
      <c r="TOY746" s="187"/>
      <c r="TOZ746" s="187"/>
      <c r="TPA746" s="187"/>
      <c r="TPB746" s="187"/>
      <c r="TPC746" s="187"/>
      <c r="TPD746" s="187"/>
      <c r="TPE746" s="187"/>
      <c r="TPF746" s="187"/>
      <c r="TPG746" s="187"/>
      <c r="TPH746" s="187"/>
      <c r="TPI746" s="187"/>
      <c r="TPJ746" s="187"/>
      <c r="TPK746" s="187"/>
      <c r="TPL746" s="187"/>
      <c r="TPM746" s="187"/>
      <c r="TPN746" s="187"/>
      <c r="TPO746" s="187"/>
      <c r="TPP746" s="187"/>
      <c r="TPQ746" s="187"/>
      <c r="TPR746" s="187"/>
      <c r="TPS746" s="187"/>
      <c r="TPT746" s="187"/>
      <c r="TPU746" s="187"/>
      <c r="TPV746" s="187"/>
      <c r="TPW746" s="187"/>
      <c r="TPX746" s="187"/>
      <c r="TPY746" s="187"/>
      <c r="TPZ746" s="187"/>
      <c r="TQA746" s="187"/>
      <c r="TQB746" s="187"/>
      <c r="TQC746" s="187"/>
      <c r="TQD746" s="187"/>
      <c r="TQE746" s="187"/>
      <c r="TQF746" s="187"/>
      <c r="TQG746" s="187"/>
      <c r="TQH746" s="187"/>
      <c r="TQI746" s="187"/>
      <c r="TQJ746" s="187"/>
      <c r="TQK746" s="187"/>
      <c r="TQL746" s="187"/>
      <c r="TQM746" s="187"/>
      <c r="TQN746" s="187"/>
      <c r="TQO746" s="187"/>
      <c r="TQP746" s="187"/>
      <c r="TQQ746" s="187"/>
      <c r="TQR746" s="187"/>
      <c r="TQS746" s="187"/>
      <c r="TQT746" s="187"/>
      <c r="TQU746" s="187"/>
      <c r="TQV746" s="187"/>
      <c r="TQW746" s="187"/>
      <c r="TQX746" s="187"/>
      <c r="TQY746" s="187"/>
      <c r="TQZ746" s="187"/>
      <c r="TRA746" s="187"/>
      <c r="TRB746" s="187"/>
      <c r="TRC746" s="187"/>
      <c r="TRD746" s="187"/>
      <c r="TRE746" s="187"/>
      <c r="TRF746" s="187"/>
      <c r="TRG746" s="187"/>
      <c r="TRH746" s="187"/>
      <c r="TRI746" s="187"/>
      <c r="TRJ746" s="187"/>
      <c r="TRK746" s="187"/>
      <c r="TRL746" s="187"/>
      <c r="TRM746" s="187"/>
      <c r="TRN746" s="187"/>
      <c r="TRO746" s="187"/>
      <c r="TRP746" s="187"/>
      <c r="TRQ746" s="187"/>
      <c r="TRR746" s="187"/>
      <c r="TRS746" s="187"/>
      <c r="TRT746" s="187"/>
      <c r="TRU746" s="187"/>
      <c r="TRV746" s="187"/>
      <c r="TRW746" s="187"/>
      <c r="TRX746" s="187"/>
      <c r="TRY746" s="187"/>
      <c r="TRZ746" s="187"/>
      <c r="TSA746" s="187"/>
      <c r="TSB746" s="187"/>
      <c r="TSC746" s="187"/>
      <c r="TSD746" s="187"/>
      <c r="TSE746" s="187"/>
      <c r="TSF746" s="187"/>
      <c r="TSG746" s="187"/>
      <c r="TSH746" s="187"/>
      <c r="TSI746" s="187"/>
      <c r="TSJ746" s="187"/>
      <c r="TSK746" s="187"/>
      <c r="TSL746" s="187"/>
      <c r="TSM746" s="187"/>
      <c r="TSN746" s="187"/>
      <c r="TSO746" s="187"/>
      <c r="TSP746" s="187"/>
      <c r="TSQ746" s="187"/>
      <c r="TSR746" s="187"/>
      <c r="TSS746" s="187"/>
      <c r="TST746" s="187"/>
      <c r="TSU746" s="187"/>
      <c r="TSV746" s="187"/>
      <c r="TSW746" s="187"/>
      <c r="TSX746" s="187"/>
      <c r="TSY746" s="187"/>
      <c r="TSZ746" s="187"/>
      <c r="TTA746" s="187"/>
      <c r="TTB746" s="187"/>
      <c r="TTC746" s="187"/>
      <c r="TTD746" s="187"/>
      <c r="TTE746" s="187"/>
      <c r="TTF746" s="187"/>
      <c r="TTG746" s="187"/>
      <c r="TTH746" s="187"/>
      <c r="TTI746" s="187"/>
      <c r="TTJ746" s="187"/>
      <c r="TTK746" s="187"/>
      <c r="TTL746" s="187"/>
      <c r="TTM746" s="187"/>
      <c r="TTN746" s="187"/>
      <c r="TTO746" s="187"/>
      <c r="TTP746" s="187"/>
      <c r="TTQ746" s="187"/>
      <c r="TTR746" s="187"/>
      <c r="TTS746" s="187"/>
      <c r="TTT746" s="187"/>
      <c r="TTU746" s="187"/>
      <c r="TTV746" s="187"/>
      <c r="TTW746" s="187"/>
      <c r="TTX746" s="187"/>
      <c r="TTY746" s="187"/>
      <c r="TTZ746" s="187"/>
      <c r="TUA746" s="187"/>
      <c r="TUB746" s="187"/>
      <c r="TUC746" s="187"/>
      <c r="TUD746" s="187"/>
      <c r="TUE746" s="187"/>
      <c r="TUF746" s="187"/>
      <c r="TUG746" s="187"/>
      <c r="TUH746" s="187"/>
      <c r="TUI746" s="187"/>
      <c r="TUJ746" s="187"/>
      <c r="TUK746" s="187"/>
      <c r="TUL746" s="187"/>
      <c r="TUM746" s="187"/>
      <c r="TUN746" s="187"/>
      <c r="TUO746" s="187"/>
      <c r="TUP746" s="187"/>
      <c r="TUQ746" s="187"/>
      <c r="TUR746" s="187"/>
      <c r="TUS746" s="187"/>
      <c r="TUT746" s="187"/>
      <c r="TUU746" s="187"/>
      <c r="TUV746" s="187"/>
      <c r="TUW746" s="187"/>
      <c r="TUX746" s="187"/>
      <c r="TUY746" s="187"/>
      <c r="TUZ746" s="187"/>
      <c r="TVA746" s="187"/>
      <c r="TVB746" s="187"/>
      <c r="TVC746" s="187"/>
      <c r="TVD746" s="187"/>
      <c r="TVE746" s="187"/>
      <c r="TVF746" s="187"/>
      <c r="TVG746" s="187"/>
      <c r="TVH746" s="187"/>
      <c r="TVI746" s="187"/>
      <c r="TVJ746" s="187"/>
      <c r="TVK746" s="187"/>
      <c r="TVL746" s="187"/>
      <c r="TVM746" s="187"/>
      <c r="TVN746" s="187"/>
      <c r="TVO746" s="187"/>
      <c r="TVP746" s="187"/>
      <c r="TVQ746" s="187"/>
      <c r="TVR746" s="187"/>
      <c r="TVS746" s="187"/>
      <c r="TVT746" s="187"/>
      <c r="TVU746" s="187"/>
      <c r="TVV746" s="187"/>
      <c r="TVW746" s="187"/>
      <c r="TVX746" s="187"/>
      <c r="TVY746" s="187"/>
      <c r="TVZ746" s="187"/>
      <c r="TWA746" s="187"/>
      <c r="TWB746" s="187"/>
      <c r="TWC746" s="187"/>
      <c r="TWD746" s="187"/>
      <c r="TWE746" s="187"/>
      <c r="TWF746" s="187"/>
      <c r="TWG746" s="187"/>
      <c r="TWH746" s="187"/>
      <c r="TWI746" s="187"/>
      <c r="TWJ746" s="187"/>
      <c r="TWK746" s="187"/>
      <c r="TWL746" s="187"/>
      <c r="TWM746" s="187"/>
      <c r="TWN746" s="187"/>
      <c r="TWO746" s="187"/>
      <c r="TWP746" s="187"/>
      <c r="TWQ746" s="187"/>
      <c r="TWR746" s="187"/>
      <c r="TWS746" s="187"/>
      <c r="TWT746" s="187"/>
      <c r="TWU746" s="187"/>
      <c r="TWV746" s="187"/>
      <c r="TWW746" s="187"/>
      <c r="TWX746" s="187"/>
      <c r="TWY746" s="187"/>
      <c r="TWZ746" s="187"/>
      <c r="TXA746" s="187"/>
      <c r="TXB746" s="187"/>
      <c r="TXC746" s="187"/>
      <c r="TXD746" s="187"/>
      <c r="TXE746" s="187"/>
      <c r="TXF746" s="187"/>
      <c r="TXG746" s="187"/>
      <c r="TXH746" s="187"/>
      <c r="TXI746" s="187"/>
      <c r="TXJ746" s="187"/>
      <c r="TXK746" s="187"/>
      <c r="TXL746" s="187"/>
      <c r="TXM746" s="187"/>
      <c r="TXN746" s="187"/>
      <c r="TXO746" s="187"/>
      <c r="TXP746" s="187"/>
      <c r="TXQ746" s="187"/>
      <c r="TXR746" s="187"/>
      <c r="TXS746" s="187"/>
      <c r="TXT746" s="187"/>
      <c r="TXU746" s="187"/>
      <c r="TXV746" s="187"/>
      <c r="TXW746" s="187"/>
      <c r="TXX746" s="187"/>
      <c r="TXY746" s="187"/>
      <c r="TXZ746" s="187"/>
      <c r="TYA746" s="187"/>
      <c r="TYB746" s="187"/>
      <c r="TYC746" s="187"/>
      <c r="TYD746" s="187"/>
      <c r="TYE746" s="187"/>
      <c r="TYF746" s="187"/>
      <c r="TYG746" s="187"/>
      <c r="TYH746" s="187"/>
      <c r="TYI746" s="187"/>
      <c r="TYJ746" s="187"/>
      <c r="TYK746" s="187"/>
      <c r="TYL746" s="187"/>
      <c r="TYM746" s="187"/>
      <c r="TYN746" s="187"/>
      <c r="TYO746" s="187"/>
      <c r="TYP746" s="187"/>
      <c r="TYQ746" s="187"/>
      <c r="TYR746" s="187"/>
      <c r="TYS746" s="187"/>
      <c r="TYT746" s="187"/>
      <c r="TYU746" s="187"/>
      <c r="TYV746" s="187"/>
      <c r="TYW746" s="187"/>
      <c r="TYX746" s="187"/>
      <c r="TYY746" s="187"/>
      <c r="TYZ746" s="187"/>
      <c r="TZA746" s="187"/>
      <c r="TZB746" s="187"/>
      <c r="TZC746" s="187"/>
      <c r="TZD746" s="187"/>
      <c r="TZE746" s="187"/>
      <c r="TZF746" s="187"/>
      <c r="TZG746" s="187"/>
      <c r="TZH746" s="187"/>
      <c r="TZI746" s="187"/>
      <c r="TZJ746" s="187"/>
      <c r="TZK746" s="187"/>
      <c r="TZL746" s="187"/>
      <c r="TZM746" s="187"/>
      <c r="TZN746" s="187"/>
      <c r="TZO746" s="187"/>
      <c r="TZP746" s="187"/>
      <c r="TZQ746" s="187"/>
      <c r="TZR746" s="187"/>
      <c r="TZS746" s="187"/>
      <c r="TZT746" s="187"/>
      <c r="TZU746" s="187"/>
      <c r="TZV746" s="187"/>
      <c r="TZW746" s="187"/>
      <c r="TZX746" s="187"/>
      <c r="TZY746" s="187"/>
      <c r="TZZ746" s="187"/>
      <c r="UAA746" s="187"/>
      <c r="UAB746" s="187"/>
      <c r="UAC746" s="187"/>
      <c r="UAD746" s="187"/>
      <c r="UAE746" s="187"/>
      <c r="UAF746" s="187"/>
      <c r="UAG746" s="187"/>
      <c r="UAH746" s="187"/>
      <c r="UAI746" s="187"/>
      <c r="UAJ746" s="187"/>
      <c r="UAK746" s="187"/>
      <c r="UAL746" s="187"/>
      <c r="UAM746" s="187"/>
      <c r="UAN746" s="187"/>
      <c r="UAO746" s="187"/>
      <c r="UAP746" s="187"/>
      <c r="UAQ746" s="187"/>
      <c r="UAR746" s="187"/>
      <c r="UAS746" s="187"/>
      <c r="UAT746" s="187"/>
      <c r="UAU746" s="187"/>
      <c r="UAV746" s="187"/>
      <c r="UAW746" s="187"/>
      <c r="UAX746" s="187"/>
      <c r="UAY746" s="187"/>
      <c r="UAZ746" s="187"/>
      <c r="UBA746" s="187"/>
      <c r="UBB746" s="187"/>
      <c r="UBC746" s="187"/>
      <c r="UBD746" s="187"/>
      <c r="UBE746" s="187"/>
      <c r="UBF746" s="187"/>
      <c r="UBG746" s="187"/>
      <c r="UBH746" s="187"/>
      <c r="UBI746" s="187"/>
      <c r="UBJ746" s="187"/>
      <c r="UBK746" s="187"/>
      <c r="UBL746" s="187"/>
      <c r="UBM746" s="187"/>
      <c r="UBN746" s="187"/>
      <c r="UBO746" s="187"/>
      <c r="UBP746" s="187"/>
      <c r="UBQ746" s="187"/>
      <c r="UBR746" s="187"/>
      <c r="UBS746" s="187"/>
      <c r="UBT746" s="187"/>
      <c r="UBU746" s="187"/>
      <c r="UBV746" s="187"/>
      <c r="UBW746" s="187"/>
      <c r="UBX746" s="187"/>
      <c r="UBY746" s="187"/>
      <c r="UBZ746" s="187"/>
      <c r="UCA746" s="187"/>
      <c r="UCB746" s="187"/>
      <c r="UCC746" s="187"/>
      <c r="UCD746" s="187"/>
      <c r="UCE746" s="187"/>
      <c r="UCF746" s="187"/>
      <c r="UCG746" s="187"/>
      <c r="UCH746" s="187"/>
      <c r="UCI746" s="187"/>
      <c r="UCJ746" s="187"/>
      <c r="UCK746" s="187"/>
      <c r="UCL746" s="187"/>
      <c r="UCM746" s="187"/>
      <c r="UCN746" s="187"/>
      <c r="UCO746" s="187"/>
      <c r="UCP746" s="187"/>
      <c r="UCQ746" s="187"/>
      <c r="UCR746" s="187"/>
      <c r="UCS746" s="187"/>
      <c r="UCT746" s="187"/>
      <c r="UCU746" s="187"/>
      <c r="UCV746" s="187"/>
      <c r="UCW746" s="187"/>
      <c r="UCX746" s="187"/>
      <c r="UCY746" s="187"/>
      <c r="UCZ746" s="187"/>
      <c r="UDA746" s="187"/>
      <c r="UDB746" s="187"/>
      <c r="UDC746" s="187"/>
      <c r="UDD746" s="187"/>
      <c r="UDE746" s="187"/>
      <c r="UDF746" s="187"/>
      <c r="UDG746" s="187"/>
      <c r="UDH746" s="187"/>
      <c r="UDI746" s="187"/>
      <c r="UDJ746" s="187"/>
      <c r="UDK746" s="187"/>
      <c r="UDL746" s="187"/>
      <c r="UDM746" s="187"/>
      <c r="UDN746" s="187"/>
      <c r="UDO746" s="187"/>
      <c r="UDP746" s="187"/>
      <c r="UDQ746" s="187"/>
      <c r="UDR746" s="187"/>
      <c r="UDS746" s="187"/>
      <c r="UDT746" s="187"/>
      <c r="UDU746" s="187"/>
      <c r="UDV746" s="187"/>
      <c r="UDW746" s="187"/>
      <c r="UDX746" s="187"/>
      <c r="UDY746" s="187"/>
      <c r="UDZ746" s="187"/>
      <c r="UEA746" s="187"/>
      <c r="UEB746" s="187"/>
      <c r="UEC746" s="187"/>
      <c r="UED746" s="187"/>
      <c r="UEE746" s="187"/>
      <c r="UEF746" s="187"/>
      <c r="UEG746" s="187"/>
      <c r="UEH746" s="187"/>
      <c r="UEI746" s="187"/>
      <c r="UEJ746" s="187"/>
      <c r="UEK746" s="187"/>
      <c r="UEL746" s="187"/>
      <c r="UEM746" s="187"/>
      <c r="UEN746" s="187"/>
      <c r="UEO746" s="187"/>
      <c r="UEP746" s="187"/>
      <c r="UEQ746" s="187"/>
      <c r="UER746" s="187"/>
      <c r="UES746" s="187"/>
      <c r="UET746" s="187"/>
      <c r="UEU746" s="187"/>
      <c r="UEV746" s="187"/>
      <c r="UEW746" s="187"/>
      <c r="UEX746" s="187"/>
      <c r="UEY746" s="187"/>
      <c r="UEZ746" s="187"/>
      <c r="UFA746" s="187"/>
      <c r="UFB746" s="187"/>
      <c r="UFC746" s="187"/>
      <c r="UFD746" s="187"/>
      <c r="UFE746" s="187"/>
      <c r="UFF746" s="187"/>
      <c r="UFG746" s="187"/>
      <c r="UFH746" s="187"/>
      <c r="UFI746" s="187"/>
      <c r="UFJ746" s="187"/>
      <c r="UFK746" s="187"/>
      <c r="UFL746" s="187"/>
      <c r="UFM746" s="187"/>
      <c r="UFN746" s="187"/>
      <c r="UFO746" s="187"/>
      <c r="UFP746" s="187"/>
      <c r="UFQ746" s="187"/>
      <c r="UFR746" s="187"/>
      <c r="UFS746" s="187"/>
      <c r="UFT746" s="187"/>
      <c r="UFU746" s="187"/>
      <c r="UFV746" s="187"/>
      <c r="UFW746" s="187"/>
      <c r="UFX746" s="187"/>
      <c r="UFY746" s="187"/>
      <c r="UFZ746" s="187"/>
      <c r="UGA746" s="187"/>
      <c r="UGB746" s="187"/>
      <c r="UGC746" s="187"/>
      <c r="UGD746" s="187"/>
      <c r="UGE746" s="187"/>
      <c r="UGF746" s="187"/>
      <c r="UGG746" s="187"/>
      <c r="UGH746" s="187"/>
      <c r="UGI746" s="187"/>
      <c r="UGJ746" s="187"/>
      <c r="UGK746" s="187"/>
      <c r="UGL746" s="187"/>
      <c r="UGM746" s="187"/>
      <c r="UGN746" s="187"/>
      <c r="UGO746" s="187"/>
      <c r="UGP746" s="187"/>
      <c r="UGQ746" s="187"/>
      <c r="UGR746" s="187"/>
      <c r="UGS746" s="187"/>
      <c r="UGT746" s="187"/>
      <c r="UGU746" s="187"/>
      <c r="UGV746" s="187"/>
      <c r="UGW746" s="187"/>
      <c r="UGX746" s="187"/>
      <c r="UGY746" s="187"/>
      <c r="UGZ746" s="187"/>
      <c r="UHA746" s="187"/>
      <c r="UHB746" s="187"/>
      <c r="UHC746" s="187"/>
      <c r="UHD746" s="187"/>
      <c r="UHE746" s="187"/>
      <c r="UHF746" s="187"/>
      <c r="UHG746" s="187"/>
      <c r="UHH746" s="187"/>
      <c r="UHI746" s="187"/>
      <c r="UHJ746" s="187"/>
      <c r="UHK746" s="187"/>
      <c r="UHL746" s="187"/>
      <c r="UHM746" s="187"/>
      <c r="UHN746" s="187"/>
      <c r="UHO746" s="187"/>
      <c r="UHP746" s="187"/>
      <c r="UHQ746" s="187"/>
      <c r="UHR746" s="187"/>
      <c r="UHS746" s="187"/>
      <c r="UHT746" s="187"/>
      <c r="UHU746" s="187"/>
      <c r="UHV746" s="187"/>
      <c r="UHW746" s="187"/>
      <c r="UHX746" s="187"/>
      <c r="UHY746" s="187"/>
      <c r="UHZ746" s="187"/>
      <c r="UIA746" s="187"/>
      <c r="UIB746" s="187"/>
      <c r="UIC746" s="187"/>
      <c r="UID746" s="187"/>
      <c r="UIE746" s="187"/>
      <c r="UIF746" s="187"/>
      <c r="UIG746" s="187"/>
      <c r="UIH746" s="187"/>
      <c r="UII746" s="187"/>
      <c r="UIJ746" s="187"/>
      <c r="UIK746" s="187"/>
      <c r="UIL746" s="187"/>
      <c r="UIM746" s="187"/>
      <c r="UIN746" s="187"/>
      <c r="UIO746" s="187"/>
      <c r="UIP746" s="187"/>
      <c r="UIQ746" s="187"/>
      <c r="UIR746" s="187"/>
      <c r="UIS746" s="187"/>
      <c r="UIT746" s="187"/>
      <c r="UIU746" s="187"/>
      <c r="UIV746" s="187"/>
      <c r="UIW746" s="187"/>
      <c r="UIX746" s="187"/>
      <c r="UIY746" s="187"/>
      <c r="UIZ746" s="187"/>
      <c r="UJA746" s="187"/>
      <c r="UJB746" s="187"/>
      <c r="UJC746" s="187"/>
      <c r="UJD746" s="187"/>
      <c r="UJE746" s="187"/>
      <c r="UJF746" s="187"/>
      <c r="UJG746" s="187"/>
      <c r="UJH746" s="187"/>
      <c r="UJI746" s="187"/>
      <c r="UJJ746" s="187"/>
      <c r="UJK746" s="187"/>
      <c r="UJL746" s="187"/>
      <c r="UJM746" s="187"/>
      <c r="UJN746" s="187"/>
      <c r="UJO746" s="187"/>
      <c r="UJP746" s="187"/>
      <c r="UJQ746" s="187"/>
      <c r="UJR746" s="187"/>
      <c r="UJS746" s="187"/>
      <c r="UJT746" s="187"/>
      <c r="UJU746" s="187"/>
      <c r="UJV746" s="187"/>
      <c r="UJW746" s="187"/>
      <c r="UJX746" s="187"/>
      <c r="UJY746" s="187"/>
      <c r="UJZ746" s="187"/>
      <c r="UKA746" s="187"/>
      <c r="UKB746" s="187"/>
      <c r="UKC746" s="187"/>
      <c r="UKD746" s="187"/>
      <c r="UKE746" s="187"/>
      <c r="UKF746" s="187"/>
      <c r="UKG746" s="187"/>
      <c r="UKH746" s="187"/>
      <c r="UKI746" s="187"/>
      <c r="UKJ746" s="187"/>
      <c r="UKK746" s="187"/>
      <c r="UKL746" s="187"/>
      <c r="UKM746" s="187"/>
      <c r="UKN746" s="187"/>
      <c r="UKO746" s="187"/>
      <c r="UKP746" s="187"/>
      <c r="UKQ746" s="187"/>
      <c r="UKR746" s="187"/>
      <c r="UKS746" s="187"/>
      <c r="UKT746" s="187"/>
      <c r="UKU746" s="187"/>
      <c r="UKV746" s="187"/>
      <c r="UKW746" s="187"/>
      <c r="UKX746" s="187"/>
      <c r="UKY746" s="187"/>
      <c r="UKZ746" s="187"/>
      <c r="ULA746" s="187"/>
      <c r="ULB746" s="187"/>
      <c r="ULC746" s="187"/>
      <c r="ULD746" s="187"/>
      <c r="ULE746" s="187"/>
      <c r="ULF746" s="187"/>
      <c r="ULG746" s="187"/>
      <c r="ULH746" s="187"/>
      <c r="ULI746" s="187"/>
      <c r="ULJ746" s="187"/>
      <c r="ULK746" s="187"/>
      <c r="ULL746" s="187"/>
      <c r="ULM746" s="187"/>
      <c r="ULN746" s="187"/>
      <c r="ULO746" s="187"/>
      <c r="ULP746" s="187"/>
      <c r="ULQ746" s="187"/>
      <c r="ULR746" s="187"/>
      <c r="ULS746" s="187"/>
      <c r="ULT746" s="187"/>
      <c r="ULU746" s="187"/>
      <c r="ULV746" s="187"/>
      <c r="ULW746" s="187"/>
      <c r="ULX746" s="187"/>
      <c r="ULY746" s="187"/>
      <c r="ULZ746" s="187"/>
      <c r="UMA746" s="187"/>
      <c r="UMB746" s="187"/>
      <c r="UMC746" s="187"/>
      <c r="UMD746" s="187"/>
      <c r="UME746" s="187"/>
      <c r="UMF746" s="187"/>
      <c r="UMG746" s="187"/>
      <c r="UMH746" s="187"/>
      <c r="UMI746" s="187"/>
      <c r="UMJ746" s="187"/>
      <c r="UMK746" s="187"/>
      <c r="UML746" s="187"/>
      <c r="UMM746" s="187"/>
      <c r="UMN746" s="187"/>
      <c r="UMO746" s="187"/>
      <c r="UMP746" s="187"/>
      <c r="UMQ746" s="187"/>
      <c r="UMR746" s="187"/>
      <c r="UMS746" s="187"/>
      <c r="UMT746" s="187"/>
      <c r="UMU746" s="187"/>
      <c r="UMV746" s="187"/>
      <c r="UMW746" s="187"/>
      <c r="UMX746" s="187"/>
      <c r="UMY746" s="187"/>
      <c r="UMZ746" s="187"/>
      <c r="UNA746" s="187"/>
      <c r="UNB746" s="187"/>
      <c r="UNC746" s="187"/>
      <c r="UND746" s="187"/>
      <c r="UNE746" s="187"/>
      <c r="UNF746" s="187"/>
      <c r="UNG746" s="187"/>
      <c r="UNH746" s="187"/>
      <c r="UNI746" s="187"/>
      <c r="UNJ746" s="187"/>
      <c r="UNK746" s="187"/>
      <c r="UNL746" s="187"/>
      <c r="UNM746" s="187"/>
      <c r="UNN746" s="187"/>
      <c r="UNO746" s="187"/>
      <c r="UNP746" s="187"/>
      <c r="UNQ746" s="187"/>
      <c r="UNR746" s="187"/>
      <c r="UNS746" s="187"/>
      <c r="UNT746" s="187"/>
      <c r="UNU746" s="187"/>
      <c r="UNV746" s="187"/>
      <c r="UNW746" s="187"/>
      <c r="UNX746" s="187"/>
      <c r="UNY746" s="187"/>
      <c r="UNZ746" s="187"/>
      <c r="UOA746" s="187"/>
      <c r="UOB746" s="187"/>
      <c r="UOC746" s="187"/>
      <c r="UOD746" s="187"/>
      <c r="UOE746" s="187"/>
      <c r="UOF746" s="187"/>
      <c r="UOG746" s="187"/>
      <c r="UOH746" s="187"/>
      <c r="UOI746" s="187"/>
      <c r="UOJ746" s="187"/>
      <c r="UOK746" s="187"/>
      <c r="UOL746" s="187"/>
      <c r="UOM746" s="187"/>
      <c r="UON746" s="187"/>
      <c r="UOO746" s="187"/>
      <c r="UOP746" s="187"/>
      <c r="UOQ746" s="187"/>
      <c r="UOR746" s="187"/>
      <c r="UOS746" s="187"/>
      <c r="UOT746" s="187"/>
      <c r="UOU746" s="187"/>
      <c r="UOV746" s="187"/>
      <c r="UOW746" s="187"/>
      <c r="UOX746" s="187"/>
      <c r="UOY746" s="187"/>
      <c r="UOZ746" s="187"/>
      <c r="UPA746" s="187"/>
      <c r="UPB746" s="187"/>
      <c r="UPC746" s="187"/>
      <c r="UPD746" s="187"/>
      <c r="UPE746" s="187"/>
      <c r="UPF746" s="187"/>
      <c r="UPG746" s="187"/>
      <c r="UPH746" s="187"/>
      <c r="UPI746" s="187"/>
      <c r="UPJ746" s="187"/>
      <c r="UPK746" s="187"/>
      <c r="UPL746" s="187"/>
      <c r="UPM746" s="187"/>
      <c r="UPN746" s="187"/>
      <c r="UPO746" s="187"/>
      <c r="UPP746" s="187"/>
      <c r="UPQ746" s="187"/>
      <c r="UPR746" s="187"/>
      <c r="UPS746" s="187"/>
      <c r="UPT746" s="187"/>
      <c r="UPU746" s="187"/>
      <c r="UPV746" s="187"/>
      <c r="UPW746" s="187"/>
      <c r="UPX746" s="187"/>
      <c r="UPY746" s="187"/>
      <c r="UPZ746" s="187"/>
      <c r="UQA746" s="187"/>
      <c r="UQB746" s="187"/>
      <c r="UQC746" s="187"/>
      <c r="UQD746" s="187"/>
      <c r="UQE746" s="187"/>
      <c r="UQF746" s="187"/>
      <c r="UQG746" s="187"/>
      <c r="UQH746" s="187"/>
      <c r="UQI746" s="187"/>
      <c r="UQJ746" s="187"/>
      <c r="UQK746" s="187"/>
      <c r="UQL746" s="187"/>
      <c r="UQM746" s="187"/>
      <c r="UQN746" s="187"/>
      <c r="UQO746" s="187"/>
      <c r="UQP746" s="187"/>
      <c r="UQQ746" s="187"/>
      <c r="UQR746" s="187"/>
      <c r="UQS746" s="187"/>
      <c r="UQT746" s="187"/>
      <c r="UQU746" s="187"/>
      <c r="UQV746" s="187"/>
      <c r="UQW746" s="187"/>
      <c r="UQX746" s="187"/>
      <c r="UQY746" s="187"/>
      <c r="UQZ746" s="187"/>
      <c r="URA746" s="187"/>
      <c r="URB746" s="187"/>
      <c r="URC746" s="187"/>
      <c r="URD746" s="187"/>
      <c r="URE746" s="187"/>
      <c r="URF746" s="187"/>
      <c r="URG746" s="187"/>
      <c r="URH746" s="187"/>
      <c r="URI746" s="187"/>
      <c r="URJ746" s="187"/>
      <c r="URK746" s="187"/>
      <c r="URL746" s="187"/>
      <c r="URM746" s="187"/>
      <c r="URN746" s="187"/>
      <c r="URO746" s="187"/>
      <c r="URP746" s="187"/>
      <c r="URQ746" s="187"/>
      <c r="URR746" s="187"/>
      <c r="URS746" s="187"/>
      <c r="URT746" s="187"/>
      <c r="URU746" s="187"/>
      <c r="URV746" s="187"/>
      <c r="URW746" s="187"/>
      <c r="URX746" s="187"/>
      <c r="URY746" s="187"/>
      <c r="URZ746" s="187"/>
      <c r="USA746" s="187"/>
      <c r="USB746" s="187"/>
      <c r="USC746" s="187"/>
      <c r="USD746" s="187"/>
      <c r="USE746" s="187"/>
      <c r="USF746" s="187"/>
      <c r="USG746" s="187"/>
      <c r="USH746" s="187"/>
      <c r="USI746" s="187"/>
      <c r="USJ746" s="187"/>
      <c r="USK746" s="187"/>
      <c r="USL746" s="187"/>
      <c r="USM746" s="187"/>
      <c r="USN746" s="187"/>
      <c r="USO746" s="187"/>
      <c r="USP746" s="187"/>
      <c r="USQ746" s="187"/>
      <c r="USR746" s="187"/>
      <c r="USS746" s="187"/>
      <c r="UST746" s="187"/>
      <c r="USU746" s="187"/>
      <c r="USV746" s="187"/>
      <c r="USW746" s="187"/>
      <c r="USX746" s="187"/>
      <c r="USY746" s="187"/>
      <c r="USZ746" s="187"/>
      <c r="UTA746" s="187"/>
      <c r="UTB746" s="187"/>
      <c r="UTC746" s="187"/>
      <c r="UTD746" s="187"/>
      <c r="UTE746" s="187"/>
      <c r="UTF746" s="187"/>
      <c r="UTG746" s="187"/>
      <c r="UTH746" s="187"/>
      <c r="UTI746" s="187"/>
      <c r="UTJ746" s="187"/>
      <c r="UTK746" s="187"/>
      <c r="UTL746" s="187"/>
      <c r="UTM746" s="187"/>
      <c r="UTN746" s="187"/>
      <c r="UTO746" s="187"/>
      <c r="UTP746" s="187"/>
      <c r="UTQ746" s="187"/>
      <c r="UTR746" s="187"/>
      <c r="UTS746" s="187"/>
      <c r="UTT746" s="187"/>
      <c r="UTU746" s="187"/>
      <c r="UTV746" s="187"/>
      <c r="UTW746" s="187"/>
      <c r="UTX746" s="187"/>
      <c r="UTY746" s="187"/>
      <c r="UTZ746" s="187"/>
      <c r="UUA746" s="187"/>
      <c r="UUB746" s="187"/>
      <c r="UUC746" s="187"/>
      <c r="UUD746" s="187"/>
      <c r="UUE746" s="187"/>
      <c r="UUF746" s="187"/>
      <c r="UUG746" s="187"/>
      <c r="UUH746" s="187"/>
      <c r="UUI746" s="187"/>
      <c r="UUJ746" s="187"/>
      <c r="UUK746" s="187"/>
      <c r="UUL746" s="187"/>
      <c r="UUM746" s="187"/>
      <c r="UUN746" s="187"/>
      <c r="UUO746" s="187"/>
      <c r="UUP746" s="187"/>
      <c r="UUQ746" s="187"/>
      <c r="UUR746" s="187"/>
      <c r="UUS746" s="187"/>
      <c r="UUT746" s="187"/>
      <c r="UUU746" s="187"/>
      <c r="UUV746" s="187"/>
      <c r="UUW746" s="187"/>
      <c r="UUX746" s="187"/>
      <c r="UUY746" s="187"/>
      <c r="UUZ746" s="187"/>
      <c r="UVA746" s="187"/>
      <c r="UVB746" s="187"/>
      <c r="UVC746" s="187"/>
      <c r="UVD746" s="187"/>
      <c r="UVE746" s="187"/>
      <c r="UVF746" s="187"/>
      <c r="UVG746" s="187"/>
      <c r="UVH746" s="187"/>
      <c r="UVI746" s="187"/>
      <c r="UVJ746" s="187"/>
      <c r="UVK746" s="187"/>
      <c r="UVL746" s="187"/>
      <c r="UVM746" s="187"/>
      <c r="UVN746" s="187"/>
      <c r="UVO746" s="187"/>
      <c r="UVP746" s="187"/>
      <c r="UVQ746" s="187"/>
      <c r="UVR746" s="187"/>
      <c r="UVS746" s="187"/>
      <c r="UVT746" s="187"/>
      <c r="UVU746" s="187"/>
      <c r="UVV746" s="187"/>
      <c r="UVW746" s="187"/>
      <c r="UVX746" s="187"/>
      <c r="UVY746" s="187"/>
      <c r="UVZ746" s="187"/>
      <c r="UWA746" s="187"/>
      <c r="UWB746" s="187"/>
      <c r="UWC746" s="187"/>
      <c r="UWD746" s="187"/>
      <c r="UWE746" s="187"/>
      <c r="UWF746" s="187"/>
      <c r="UWG746" s="187"/>
      <c r="UWH746" s="187"/>
      <c r="UWI746" s="187"/>
      <c r="UWJ746" s="187"/>
      <c r="UWK746" s="187"/>
      <c r="UWL746" s="187"/>
      <c r="UWM746" s="187"/>
      <c r="UWN746" s="187"/>
      <c r="UWO746" s="187"/>
      <c r="UWP746" s="187"/>
      <c r="UWQ746" s="187"/>
      <c r="UWR746" s="187"/>
      <c r="UWS746" s="187"/>
      <c r="UWT746" s="187"/>
      <c r="UWU746" s="187"/>
      <c r="UWV746" s="187"/>
      <c r="UWW746" s="187"/>
      <c r="UWX746" s="187"/>
      <c r="UWY746" s="187"/>
      <c r="UWZ746" s="187"/>
      <c r="UXA746" s="187"/>
      <c r="UXB746" s="187"/>
      <c r="UXC746" s="187"/>
      <c r="UXD746" s="187"/>
      <c r="UXE746" s="187"/>
      <c r="UXF746" s="187"/>
      <c r="UXG746" s="187"/>
      <c r="UXH746" s="187"/>
      <c r="UXI746" s="187"/>
      <c r="UXJ746" s="187"/>
      <c r="UXK746" s="187"/>
      <c r="UXL746" s="187"/>
      <c r="UXM746" s="187"/>
      <c r="UXN746" s="187"/>
      <c r="UXO746" s="187"/>
      <c r="UXP746" s="187"/>
      <c r="UXQ746" s="187"/>
      <c r="UXR746" s="187"/>
      <c r="UXS746" s="187"/>
      <c r="UXT746" s="187"/>
      <c r="UXU746" s="187"/>
      <c r="UXV746" s="187"/>
      <c r="UXW746" s="187"/>
      <c r="UXX746" s="187"/>
      <c r="UXY746" s="187"/>
      <c r="UXZ746" s="187"/>
      <c r="UYA746" s="187"/>
      <c r="UYB746" s="187"/>
      <c r="UYC746" s="187"/>
      <c r="UYD746" s="187"/>
      <c r="UYE746" s="187"/>
      <c r="UYF746" s="187"/>
      <c r="UYG746" s="187"/>
      <c r="UYH746" s="187"/>
      <c r="UYI746" s="187"/>
      <c r="UYJ746" s="187"/>
      <c r="UYK746" s="187"/>
      <c r="UYL746" s="187"/>
      <c r="UYM746" s="187"/>
      <c r="UYN746" s="187"/>
      <c r="UYO746" s="187"/>
      <c r="UYP746" s="187"/>
      <c r="UYQ746" s="187"/>
      <c r="UYR746" s="187"/>
      <c r="UYS746" s="187"/>
      <c r="UYT746" s="187"/>
      <c r="UYU746" s="187"/>
      <c r="UYV746" s="187"/>
      <c r="UYW746" s="187"/>
      <c r="UYX746" s="187"/>
      <c r="UYY746" s="187"/>
      <c r="UYZ746" s="187"/>
      <c r="UZA746" s="187"/>
      <c r="UZB746" s="187"/>
      <c r="UZC746" s="187"/>
      <c r="UZD746" s="187"/>
      <c r="UZE746" s="187"/>
      <c r="UZF746" s="187"/>
      <c r="UZG746" s="187"/>
      <c r="UZH746" s="187"/>
      <c r="UZI746" s="187"/>
      <c r="UZJ746" s="187"/>
      <c r="UZK746" s="187"/>
      <c r="UZL746" s="187"/>
      <c r="UZM746" s="187"/>
      <c r="UZN746" s="187"/>
      <c r="UZO746" s="187"/>
      <c r="UZP746" s="187"/>
      <c r="UZQ746" s="187"/>
      <c r="UZR746" s="187"/>
      <c r="UZS746" s="187"/>
      <c r="UZT746" s="187"/>
      <c r="UZU746" s="187"/>
      <c r="UZV746" s="187"/>
      <c r="UZW746" s="187"/>
      <c r="UZX746" s="187"/>
      <c r="UZY746" s="187"/>
      <c r="UZZ746" s="187"/>
      <c r="VAA746" s="187"/>
      <c r="VAB746" s="187"/>
      <c r="VAC746" s="187"/>
      <c r="VAD746" s="187"/>
      <c r="VAE746" s="187"/>
      <c r="VAF746" s="187"/>
      <c r="VAG746" s="187"/>
      <c r="VAH746" s="187"/>
      <c r="VAI746" s="187"/>
      <c r="VAJ746" s="187"/>
      <c r="VAK746" s="187"/>
      <c r="VAL746" s="187"/>
      <c r="VAM746" s="187"/>
      <c r="VAN746" s="187"/>
      <c r="VAO746" s="187"/>
      <c r="VAP746" s="187"/>
      <c r="VAQ746" s="187"/>
      <c r="VAR746" s="187"/>
      <c r="VAS746" s="187"/>
      <c r="VAT746" s="187"/>
      <c r="VAU746" s="187"/>
      <c r="VAV746" s="187"/>
      <c r="VAW746" s="187"/>
      <c r="VAX746" s="187"/>
      <c r="VAY746" s="187"/>
      <c r="VAZ746" s="187"/>
      <c r="VBA746" s="187"/>
      <c r="VBB746" s="187"/>
      <c r="VBC746" s="187"/>
      <c r="VBD746" s="187"/>
      <c r="VBE746" s="187"/>
      <c r="VBF746" s="187"/>
      <c r="VBG746" s="187"/>
      <c r="VBH746" s="187"/>
      <c r="VBI746" s="187"/>
      <c r="VBJ746" s="187"/>
      <c r="VBK746" s="187"/>
      <c r="VBL746" s="187"/>
      <c r="VBM746" s="187"/>
      <c r="VBN746" s="187"/>
      <c r="VBO746" s="187"/>
      <c r="VBP746" s="187"/>
      <c r="VBQ746" s="187"/>
      <c r="VBR746" s="187"/>
      <c r="VBS746" s="187"/>
      <c r="VBT746" s="187"/>
      <c r="VBU746" s="187"/>
      <c r="VBV746" s="187"/>
      <c r="VBW746" s="187"/>
      <c r="VBX746" s="187"/>
      <c r="VBY746" s="187"/>
      <c r="VBZ746" s="187"/>
      <c r="VCA746" s="187"/>
      <c r="VCB746" s="187"/>
      <c r="VCC746" s="187"/>
      <c r="VCD746" s="187"/>
      <c r="VCE746" s="187"/>
      <c r="VCF746" s="187"/>
      <c r="VCG746" s="187"/>
      <c r="VCH746" s="187"/>
      <c r="VCI746" s="187"/>
      <c r="VCJ746" s="187"/>
      <c r="VCK746" s="187"/>
      <c r="VCL746" s="187"/>
      <c r="VCM746" s="187"/>
      <c r="VCN746" s="187"/>
      <c r="VCO746" s="187"/>
      <c r="VCP746" s="187"/>
      <c r="VCQ746" s="187"/>
      <c r="VCR746" s="187"/>
      <c r="VCS746" s="187"/>
      <c r="VCT746" s="187"/>
      <c r="VCU746" s="187"/>
      <c r="VCV746" s="187"/>
      <c r="VCW746" s="187"/>
      <c r="VCX746" s="187"/>
      <c r="VCY746" s="187"/>
      <c r="VCZ746" s="187"/>
      <c r="VDA746" s="187"/>
      <c r="VDB746" s="187"/>
      <c r="VDC746" s="187"/>
      <c r="VDD746" s="187"/>
      <c r="VDE746" s="187"/>
      <c r="VDF746" s="187"/>
      <c r="VDG746" s="187"/>
      <c r="VDH746" s="187"/>
      <c r="VDI746" s="187"/>
      <c r="VDJ746" s="187"/>
      <c r="VDK746" s="187"/>
      <c r="VDL746" s="187"/>
      <c r="VDM746" s="187"/>
      <c r="VDN746" s="187"/>
      <c r="VDO746" s="187"/>
      <c r="VDP746" s="187"/>
      <c r="VDQ746" s="187"/>
      <c r="VDR746" s="187"/>
      <c r="VDS746" s="187"/>
      <c r="VDT746" s="187"/>
      <c r="VDU746" s="187"/>
      <c r="VDV746" s="187"/>
      <c r="VDW746" s="187"/>
      <c r="VDX746" s="187"/>
      <c r="VDY746" s="187"/>
      <c r="VDZ746" s="187"/>
      <c r="VEA746" s="187"/>
      <c r="VEB746" s="187"/>
      <c r="VEC746" s="187"/>
      <c r="VED746" s="187"/>
      <c r="VEE746" s="187"/>
      <c r="VEF746" s="187"/>
      <c r="VEG746" s="187"/>
      <c r="VEH746" s="187"/>
      <c r="VEI746" s="187"/>
      <c r="VEJ746" s="187"/>
      <c r="VEK746" s="187"/>
      <c r="VEL746" s="187"/>
      <c r="VEM746" s="187"/>
      <c r="VEN746" s="187"/>
      <c r="VEO746" s="187"/>
      <c r="VEP746" s="187"/>
      <c r="VEQ746" s="187"/>
      <c r="VER746" s="187"/>
      <c r="VES746" s="187"/>
      <c r="VET746" s="187"/>
      <c r="VEU746" s="187"/>
      <c r="VEV746" s="187"/>
      <c r="VEW746" s="187"/>
      <c r="VEX746" s="187"/>
      <c r="VEY746" s="187"/>
      <c r="VEZ746" s="187"/>
      <c r="VFA746" s="187"/>
      <c r="VFB746" s="187"/>
      <c r="VFC746" s="187"/>
      <c r="VFD746" s="187"/>
      <c r="VFE746" s="187"/>
      <c r="VFF746" s="187"/>
      <c r="VFG746" s="187"/>
      <c r="VFH746" s="187"/>
      <c r="VFI746" s="187"/>
      <c r="VFJ746" s="187"/>
      <c r="VFK746" s="187"/>
      <c r="VFL746" s="187"/>
      <c r="VFM746" s="187"/>
      <c r="VFN746" s="187"/>
      <c r="VFO746" s="187"/>
      <c r="VFP746" s="187"/>
      <c r="VFQ746" s="187"/>
      <c r="VFR746" s="187"/>
      <c r="VFS746" s="187"/>
      <c r="VFT746" s="187"/>
      <c r="VFU746" s="187"/>
      <c r="VFV746" s="187"/>
      <c r="VFW746" s="187"/>
      <c r="VFX746" s="187"/>
      <c r="VFY746" s="187"/>
      <c r="VFZ746" s="187"/>
      <c r="VGA746" s="187"/>
      <c r="VGB746" s="187"/>
      <c r="VGC746" s="187"/>
      <c r="VGD746" s="187"/>
      <c r="VGE746" s="187"/>
      <c r="VGF746" s="187"/>
      <c r="VGG746" s="187"/>
      <c r="VGH746" s="187"/>
      <c r="VGI746" s="187"/>
      <c r="VGJ746" s="187"/>
      <c r="VGK746" s="187"/>
      <c r="VGL746" s="187"/>
      <c r="VGM746" s="187"/>
      <c r="VGN746" s="187"/>
      <c r="VGO746" s="187"/>
      <c r="VGP746" s="187"/>
      <c r="VGQ746" s="187"/>
      <c r="VGR746" s="187"/>
      <c r="VGS746" s="187"/>
      <c r="VGT746" s="187"/>
      <c r="VGU746" s="187"/>
      <c r="VGV746" s="187"/>
      <c r="VGW746" s="187"/>
      <c r="VGX746" s="187"/>
      <c r="VGY746" s="187"/>
      <c r="VGZ746" s="187"/>
      <c r="VHA746" s="187"/>
      <c r="VHB746" s="187"/>
      <c r="VHC746" s="187"/>
      <c r="VHD746" s="187"/>
      <c r="VHE746" s="187"/>
      <c r="VHF746" s="187"/>
      <c r="VHG746" s="187"/>
      <c r="VHH746" s="187"/>
      <c r="VHI746" s="187"/>
      <c r="VHJ746" s="187"/>
      <c r="VHK746" s="187"/>
      <c r="VHL746" s="187"/>
      <c r="VHM746" s="187"/>
      <c r="VHN746" s="187"/>
      <c r="VHO746" s="187"/>
      <c r="VHP746" s="187"/>
      <c r="VHQ746" s="187"/>
      <c r="VHR746" s="187"/>
      <c r="VHS746" s="187"/>
      <c r="VHT746" s="187"/>
      <c r="VHU746" s="187"/>
      <c r="VHV746" s="187"/>
      <c r="VHW746" s="187"/>
      <c r="VHX746" s="187"/>
      <c r="VHY746" s="187"/>
      <c r="VHZ746" s="187"/>
      <c r="VIA746" s="187"/>
      <c r="VIB746" s="187"/>
      <c r="VIC746" s="187"/>
      <c r="VID746" s="187"/>
      <c r="VIE746" s="187"/>
      <c r="VIF746" s="187"/>
      <c r="VIG746" s="187"/>
      <c r="VIH746" s="187"/>
      <c r="VII746" s="187"/>
      <c r="VIJ746" s="187"/>
      <c r="VIK746" s="187"/>
      <c r="VIL746" s="187"/>
      <c r="VIM746" s="187"/>
      <c r="VIN746" s="187"/>
      <c r="VIO746" s="187"/>
      <c r="VIP746" s="187"/>
      <c r="VIQ746" s="187"/>
      <c r="VIR746" s="187"/>
      <c r="VIS746" s="187"/>
      <c r="VIT746" s="187"/>
      <c r="VIU746" s="187"/>
      <c r="VIV746" s="187"/>
      <c r="VIW746" s="187"/>
      <c r="VIX746" s="187"/>
      <c r="VIY746" s="187"/>
      <c r="VIZ746" s="187"/>
      <c r="VJA746" s="187"/>
      <c r="VJB746" s="187"/>
      <c r="VJC746" s="187"/>
      <c r="VJD746" s="187"/>
      <c r="VJE746" s="187"/>
      <c r="VJF746" s="187"/>
      <c r="VJG746" s="187"/>
      <c r="VJH746" s="187"/>
      <c r="VJI746" s="187"/>
      <c r="VJJ746" s="187"/>
      <c r="VJK746" s="187"/>
      <c r="VJL746" s="187"/>
      <c r="VJM746" s="187"/>
      <c r="VJN746" s="187"/>
      <c r="VJO746" s="187"/>
      <c r="VJP746" s="187"/>
      <c r="VJQ746" s="187"/>
      <c r="VJR746" s="187"/>
      <c r="VJS746" s="187"/>
      <c r="VJT746" s="187"/>
      <c r="VJU746" s="187"/>
      <c r="VJV746" s="187"/>
      <c r="VJW746" s="187"/>
      <c r="VJX746" s="187"/>
      <c r="VJY746" s="187"/>
      <c r="VJZ746" s="187"/>
      <c r="VKA746" s="187"/>
      <c r="VKB746" s="187"/>
      <c r="VKC746" s="187"/>
      <c r="VKD746" s="187"/>
      <c r="VKE746" s="187"/>
      <c r="VKF746" s="187"/>
      <c r="VKG746" s="187"/>
      <c r="VKH746" s="187"/>
      <c r="VKI746" s="187"/>
      <c r="VKJ746" s="187"/>
      <c r="VKK746" s="187"/>
      <c r="VKL746" s="187"/>
      <c r="VKM746" s="187"/>
      <c r="VKN746" s="187"/>
      <c r="VKO746" s="187"/>
      <c r="VKP746" s="187"/>
      <c r="VKQ746" s="187"/>
      <c r="VKR746" s="187"/>
      <c r="VKS746" s="187"/>
      <c r="VKT746" s="187"/>
      <c r="VKU746" s="187"/>
      <c r="VKV746" s="187"/>
      <c r="VKW746" s="187"/>
      <c r="VKX746" s="187"/>
      <c r="VKY746" s="187"/>
      <c r="VKZ746" s="187"/>
      <c r="VLA746" s="187"/>
      <c r="VLB746" s="187"/>
      <c r="VLC746" s="187"/>
      <c r="VLD746" s="187"/>
      <c r="VLE746" s="187"/>
      <c r="VLF746" s="187"/>
      <c r="VLG746" s="187"/>
      <c r="VLH746" s="187"/>
      <c r="VLI746" s="187"/>
      <c r="VLJ746" s="187"/>
      <c r="VLK746" s="187"/>
      <c r="VLL746" s="187"/>
      <c r="VLM746" s="187"/>
      <c r="VLN746" s="187"/>
      <c r="VLO746" s="187"/>
      <c r="VLP746" s="187"/>
      <c r="VLQ746" s="187"/>
      <c r="VLR746" s="187"/>
      <c r="VLS746" s="187"/>
      <c r="VLT746" s="187"/>
      <c r="VLU746" s="187"/>
      <c r="VLV746" s="187"/>
      <c r="VLW746" s="187"/>
      <c r="VLX746" s="187"/>
      <c r="VLY746" s="187"/>
      <c r="VLZ746" s="187"/>
      <c r="VMA746" s="187"/>
      <c r="VMB746" s="187"/>
      <c r="VMC746" s="187"/>
      <c r="VMD746" s="187"/>
      <c r="VME746" s="187"/>
      <c r="VMF746" s="187"/>
      <c r="VMG746" s="187"/>
      <c r="VMH746" s="187"/>
      <c r="VMI746" s="187"/>
      <c r="VMJ746" s="187"/>
      <c r="VMK746" s="187"/>
      <c r="VML746" s="187"/>
      <c r="VMM746" s="187"/>
      <c r="VMN746" s="187"/>
      <c r="VMO746" s="187"/>
      <c r="VMP746" s="187"/>
      <c r="VMQ746" s="187"/>
      <c r="VMR746" s="187"/>
      <c r="VMS746" s="187"/>
      <c r="VMT746" s="187"/>
      <c r="VMU746" s="187"/>
      <c r="VMV746" s="187"/>
      <c r="VMW746" s="187"/>
      <c r="VMX746" s="187"/>
      <c r="VMY746" s="187"/>
      <c r="VMZ746" s="187"/>
      <c r="VNA746" s="187"/>
      <c r="VNB746" s="187"/>
      <c r="VNC746" s="187"/>
      <c r="VND746" s="187"/>
      <c r="VNE746" s="187"/>
      <c r="VNF746" s="187"/>
      <c r="VNG746" s="187"/>
      <c r="VNH746" s="187"/>
      <c r="VNI746" s="187"/>
      <c r="VNJ746" s="187"/>
      <c r="VNK746" s="187"/>
      <c r="VNL746" s="187"/>
      <c r="VNM746" s="187"/>
      <c r="VNN746" s="187"/>
      <c r="VNO746" s="187"/>
      <c r="VNP746" s="187"/>
      <c r="VNQ746" s="187"/>
      <c r="VNR746" s="187"/>
      <c r="VNS746" s="187"/>
      <c r="VNT746" s="187"/>
      <c r="VNU746" s="187"/>
      <c r="VNV746" s="187"/>
      <c r="VNW746" s="187"/>
      <c r="VNX746" s="187"/>
      <c r="VNY746" s="187"/>
      <c r="VNZ746" s="187"/>
      <c r="VOA746" s="187"/>
      <c r="VOB746" s="187"/>
      <c r="VOC746" s="187"/>
      <c r="VOD746" s="187"/>
      <c r="VOE746" s="187"/>
      <c r="VOF746" s="187"/>
      <c r="VOG746" s="187"/>
      <c r="VOH746" s="187"/>
      <c r="VOI746" s="187"/>
      <c r="VOJ746" s="187"/>
      <c r="VOK746" s="187"/>
      <c r="VOL746" s="187"/>
      <c r="VOM746" s="187"/>
      <c r="VON746" s="187"/>
      <c r="VOO746" s="187"/>
      <c r="VOP746" s="187"/>
      <c r="VOQ746" s="187"/>
      <c r="VOR746" s="187"/>
      <c r="VOS746" s="187"/>
      <c r="VOT746" s="187"/>
      <c r="VOU746" s="187"/>
      <c r="VOV746" s="187"/>
      <c r="VOW746" s="187"/>
      <c r="VOX746" s="187"/>
      <c r="VOY746" s="187"/>
      <c r="VOZ746" s="187"/>
      <c r="VPA746" s="187"/>
      <c r="VPB746" s="187"/>
      <c r="VPC746" s="187"/>
      <c r="VPD746" s="187"/>
      <c r="VPE746" s="187"/>
      <c r="VPF746" s="187"/>
      <c r="VPG746" s="187"/>
      <c r="VPH746" s="187"/>
      <c r="VPI746" s="187"/>
      <c r="VPJ746" s="187"/>
      <c r="VPK746" s="187"/>
      <c r="VPL746" s="187"/>
      <c r="VPM746" s="187"/>
      <c r="VPN746" s="187"/>
      <c r="VPO746" s="187"/>
      <c r="VPP746" s="187"/>
      <c r="VPQ746" s="187"/>
      <c r="VPR746" s="187"/>
      <c r="VPS746" s="187"/>
      <c r="VPT746" s="187"/>
      <c r="VPU746" s="187"/>
      <c r="VPV746" s="187"/>
      <c r="VPW746" s="187"/>
      <c r="VPX746" s="187"/>
      <c r="VPY746" s="187"/>
      <c r="VPZ746" s="187"/>
      <c r="VQA746" s="187"/>
      <c r="VQB746" s="187"/>
      <c r="VQC746" s="187"/>
      <c r="VQD746" s="187"/>
      <c r="VQE746" s="187"/>
      <c r="VQF746" s="187"/>
      <c r="VQG746" s="187"/>
      <c r="VQH746" s="187"/>
      <c r="VQI746" s="187"/>
      <c r="VQJ746" s="187"/>
      <c r="VQK746" s="187"/>
      <c r="VQL746" s="187"/>
      <c r="VQM746" s="187"/>
      <c r="VQN746" s="187"/>
      <c r="VQO746" s="187"/>
      <c r="VQP746" s="187"/>
      <c r="VQQ746" s="187"/>
      <c r="VQR746" s="187"/>
      <c r="VQS746" s="187"/>
      <c r="VQT746" s="187"/>
      <c r="VQU746" s="187"/>
      <c r="VQV746" s="187"/>
      <c r="VQW746" s="187"/>
      <c r="VQX746" s="187"/>
      <c r="VQY746" s="187"/>
      <c r="VQZ746" s="187"/>
      <c r="VRA746" s="187"/>
      <c r="VRB746" s="187"/>
      <c r="VRC746" s="187"/>
      <c r="VRD746" s="187"/>
      <c r="VRE746" s="187"/>
      <c r="VRF746" s="187"/>
      <c r="VRG746" s="187"/>
      <c r="VRH746" s="187"/>
      <c r="VRI746" s="187"/>
      <c r="VRJ746" s="187"/>
      <c r="VRK746" s="187"/>
      <c r="VRL746" s="187"/>
      <c r="VRM746" s="187"/>
      <c r="VRN746" s="187"/>
      <c r="VRO746" s="187"/>
      <c r="VRP746" s="187"/>
      <c r="VRQ746" s="187"/>
      <c r="VRR746" s="187"/>
      <c r="VRS746" s="187"/>
      <c r="VRT746" s="187"/>
      <c r="VRU746" s="187"/>
      <c r="VRV746" s="187"/>
      <c r="VRW746" s="187"/>
      <c r="VRX746" s="187"/>
      <c r="VRY746" s="187"/>
      <c r="VRZ746" s="187"/>
      <c r="VSA746" s="187"/>
      <c r="VSB746" s="187"/>
      <c r="VSC746" s="187"/>
      <c r="VSD746" s="187"/>
      <c r="VSE746" s="187"/>
      <c r="VSF746" s="187"/>
      <c r="VSG746" s="187"/>
      <c r="VSH746" s="187"/>
      <c r="VSI746" s="187"/>
      <c r="VSJ746" s="187"/>
      <c r="VSK746" s="187"/>
      <c r="VSL746" s="187"/>
      <c r="VSM746" s="187"/>
      <c r="VSN746" s="187"/>
      <c r="VSO746" s="187"/>
      <c r="VSP746" s="187"/>
      <c r="VSQ746" s="187"/>
      <c r="VSR746" s="187"/>
      <c r="VSS746" s="187"/>
      <c r="VST746" s="187"/>
      <c r="VSU746" s="187"/>
      <c r="VSV746" s="187"/>
      <c r="VSW746" s="187"/>
      <c r="VSX746" s="187"/>
      <c r="VSY746" s="187"/>
      <c r="VSZ746" s="187"/>
      <c r="VTA746" s="187"/>
      <c r="VTB746" s="187"/>
      <c r="VTC746" s="187"/>
      <c r="VTD746" s="187"/>
      <c r="VTE746" s="187"/>
      <c r="VTF746" s="187"/>
      <c r="VTG746" s="187"/>
      <c r="VTH746" s="187"/>
      <c r="VTI746" s="187"/>
      <c r="VTJ746" s="187"/>
      <c r="VTK746" s="187"/>
      <c r="VTL746" s="187"/>
      <c r="VTM746" s="187"/>
      <c r="VTN746" s="187"/>
      <c r="VTO746" s="187"/>
      <c r="VTP746" s="187"/>
      <c r="VTQ746" s="187"/>
      <c r="VTR746" s="187"/>
      <c r="VTS746" s="187"/>
      <c r="VTT746" s="187"/>
      <c r="VTU746" s="187"/>
      <c r="VTV746" s="187"/>
      <c r="VTW746" s="187"/>
      <c r="VTX746" s="187"/>
      <c r="VTY746" s="187"/>
      <c r="VTZ746" s="187"/>
      <c r="VUA746" s="187"/>
      <c r="VUB746" s="187"/>
      <c r="VUC746" s="187"/>
      <c r="VUD746" s="187"/>
      <c r="VUE746" s="187"/>
      <c r="VUF746" s="187"/>
      <c r="VUG746" s="187"/>
      <c r="VUH746" s="187"/>
      <c r="VUI746" s="187"/>
      <c r="VUJ746" s="187"/>
      <c r="VUK746" s="187"/>
      <c r="VUL746" s="187"/>
      <c r="VUM746" s="187"/>
      <c r="VUN746" s="187"/>
      <c r="VUO746" s="187"/>
      <c r="VUP746" s="187"/>
      <c r="VUQ746" s="187"/>
      <c r="VUR746" s="187"/>
      <c r="VUS746" s="187"/>
      <c r="VUT746" s="187"/>
      <c r="VUU746" s="187"/>
      <c r="VUV746" s="187"/>
      <c r="VUW746" s="187"/>
      <c r="VUX746" s="187"/>
      <c r="VUY746" s="187"/>
      <c r="VUZ746" s="187"/>
      <c r="VVA746" s="187"/>
      <c r="VVB746" s="187"/>
      <c r="VVC746" s="187"/>
      <c r="VVD746" s="187"/>
      <c r="VVE746" s="187"/>
      <c r="VVF746" s="187"/>
      <c r="VVG746" s="187"/>
      <c r="VVH746" s="187"/>
      <c r="VVI746" s="187"/>
      <c r="VVJ746" s="187"/>
      <c r="VVK746" s="187"/>
      <c r="VVL746" s="187"/>
      <c r="VVM746" s="187"/>
      <c r="VVN746" s="187"/>
      <c r="VVO746" s="187"/>
      <c r="VVP746" s="187"/>
      <c r="VVQ746" s="187"/>
      <c r="VVR746" s="187"/>
      <c r="VVS746" s="187"/>
      <c r="VVT746" s="187"/>
      <c r="VVU746" s="187"/>
      <c r="VVV746" s="187"/>
      <c r="VVW746" s="187"/>
      <c r="VVX746" s="187"/>
      <c r="VVY746" s="187"/>
      <c r="VVZ746" s="187"/>
      <c r="VWA746" s="187"/>
      <c r="VWB746" s="187"/>
      <c r="VWC746" s="187"/>
      <c r="VWD746" s="187"/>
      <c r="VWE746" s="187"/>
      <c r="VWF746" s="187"/>
      <c r="VWG746" s="187"/>
      <c r="VWH746" s="187"/>
      <c r="VWI746" s="187"/>
      <c r="VWJ746" s="187"/>
      <c r="VWK746" s="187"/>
      <c r="VWL746" s="187"/>
      <c r="VWM746" s="187"/>
      <c r="VWN746" s="187"/>
      <c r="VWO746" s="187"/>
      <c r="VWP746" s="187"/>
      <c r="VWQ746" s="187"/>
      <c r="VWR746" s="187"/>
      <c r="VWS746" s="187"/>
      <c r="VWT746" s="187"/>
      <c r="VWU746" s="187"/>
      <c r="VWV746" s="187"/>
      <c r="VWW746" s="187"/>
      <c r="VWX746" s="187"/>
      <c r="VWY746" s="187"/>
      <c r="VWZ746" s="187"/>
      <c r="VXA746" s="187"/>
      <c r="VXB746" s="187"/>
      <c r="VXC746" s="187"/>
      <c r="VXD746" s="187"/>
      <c r="VXE746" s="187"/>
      <c r="VXF746" s="187"/>
      <c r="VXG746" s="187"/>
      <c r="VXH746" s="187"/>
      <c r="VXI746" s="187"/>
      <c r="VXJ746" s="187"/>
      <c r="VXK746" s="187"/>
      <c r="VXL746" s="187"/>
      <c r="VXM746" s="187"/>
      <c r="VXN746" s="187"/>
      <c r="VXO746" s="187"/>
      <c r="VXP746" s="187"/>
      <c r="VXQ746" s="187"/>
      <c r="VXR746" s="187"/>
      <c r="VXS746" s="187"/>
      <c r="VXT746" s="187"/>
      <c r="VXU746" s="187"/>
      <c r="VXV746" s="187"/>
      <c r="VXW746" s="187"/>
      <c r="VXX746" s="187"/>
      <c r="VXY746" s="187"/>
      <c r="VXZ746" s="187"/>
      <c r="VYA746" s="187"/>
      <c r="VYB746" s="187"/>
      <c r="VYC746" s="187"/>
      <c r="VYD746" s="187"/>
      <c r="VYE746" s="187"/>
      <c r="VYF746" s="187"/>
      <c r="VYG746" s="187"/>
      <c r="VYH746" s="187"/>
      <c r="VYI746" s="187"/>
      <c r="VYJ746" s="187"/>
      <c r="VYK746" s="187"/>
      <c r="VYL746" s="187"/>
      <c r="VYM746" s="187"/>
      <c r="VYN746" s="187"/>
      <c r="VYO746" s="187"/>
      <c r="VYP746" s="187"/>
      <c r="VYQ746" s="187"/>
      <c r="VYR746" s="187"/>
      <c r="VYS746" s="187"/>
      <c r="VYT746" s="187"/>
      <c r="VYU746" s="187"/>
      <c r="VYV746" s="187"/>
      <c r="VYW746" s="187"/>
      <c r="VYX746" s="187"/>
      <c r="VYY746" s="187"/>
      <c r="VYZ746" s="187"/>
      <c r="VZA746" s="187"/>
      <c r="VZB746" s="187"/>
      <c r="VZC746" s="187"/>
      <c r="VZD746" s="187"/>
      <c r="VZE746" s="187"/>
      <c r="VZF746" s="187"/>
      <c r="VZG746" s="187"/>
      <c r="VZH746" s="187"/>
      <c r="VZI746" s="187"/>
      <c r="VZJ746" s="187"/>
      <c r="VZK746" s="187"/>
      <c r="VZL746" s="187"/>
      <c r="VZM746" s="187"/>
      <c r="VZN746" s="187"/>
      <c r="VZO746" s="187"/>
      <c r="VZP746" s="187"/>
      <c r="VZQ746" s="187"/>
      <c r="VZR746" s="187"/>
      <c r="VZS746" s="187"/>
      <c r="VZT746" s="187"/>
      <c r="VZU746" s="187"/>
      <c r="VZV746" s="187"/>
      <c r="VZW746" s="187"/>
      <c r="VZX746" s="187"/>
      <c r="VZY746" s="187"/>
      <c r="VZZ746" s="187"/>
      <c r="WAA746" s="187"/>
      <c r="WAB746" s="187"/>
      <c r="WAC746" s="187"/>
      <c r="WAD746" s="187"/>
      <c r="WAE746" s="187"/>
      <c r="WAF746" s="187"/>
      <c r="WAG746" s="187"/>
      <c r="WAH746" s="187"/>
      <c r="WAI746" s="187"/>
      <c r="WAJ746" s="187"/>
      <c r="WAK746" s="187"/>
      <c r="WAL746" s="187"/>
      <c r="WAM746" s="187"/>
      <c r="WAN746" s="187"/>
      <c r="WAO746" s="187"/>
      <c r="WAP746" s="187"/>
      <c r="WAQ746" s="187"/>
      <c r="WAR746" s="187"/>
      <c r="WAS746" s="187"/>
      <c r="WAT746" s="187"/>
      <c r="WAU746" s="187"/>
      <c r="WAV746" s="187"/>
      <c r="WAW746" s="187"/>
      <c r="WAX746" s="187"/>
      <c r="WAY746" s="187"/>
      <c r="WAZ746" s="187"/>
      <c r="WBA746" s="187"/>
      <c r="WBB746" s="187"/>
      <c r="WBC746" s="187"/>
      <c r="WBD746" s="187"/>
      <c r="WBE746" s="187"/>
      <c r="WBF746" s="187"/>
      <c r="WBG746" s="187"/>
      <c r="WBH746" s="187"/>
      <c r="WBI746" s="187"/>
      <c r="WBJ746" s="187"/>
      <c r="WBK746" s="187"/>
      <c r="WBL746" s="187"/>
      <c r="WBM746" s="187"/>
      <c r="WBN746" s="187"/>
      <c r="WBO746" s="187"/>
      <c r="WBP746" s="187"/>
      <c r="WBQ746" s="187"/>
      <c r="WBR746" s="187"/>
      <c r="WBS746" s="187"/>
      <c r="WBT746" s="187"/>
      <c r="WBU746" s="187"/>
      <c r="WBV746" s="187"/>
      <c r="WBW746" s="187"/>
      <c r="WBX746" s="187"/>
      <c r="WBY746" s="187"/>
      <c r="WBZ746" s="187"/>
      <c r="WCA746" s="187"/>
      <c r="WCB746" s="187"/>
      <c r="WCC746" s="187"/>
      <c r="WCD746" s="187"/>
      <c r="WCE746" s="187"/>
      <c r="WCF746" s="187"/>
      <c r="WCG746" s="187"/>
      <c r="WCH746" s="187"/>
      <c r="WCI746" s="187"/>
      <c r="WCJ746" s="187"/>
      <c r="WCK746" s="187"/>
      <c r="WCL746" s="187"/>
      <c r="WCM746" s="187"/>
      <c r="WCN746" s="187"/>
      <c r="WCO746" s="187"/>
      <c r="WCP746" s="187"/>
      <c r="WCQ746" s="187"/>
      <c r="WCR746" s="187"/>
      <c r="WCS746" s="187"/>
      <c r="WCT746" s="187"/>
      <c r="WCU746" s="187"/>
      <c r="WCV746" s="187"/>
      <c r="WCW746" s="187"/>
      <c r="WCX746" s="187"/>
      <c r="WCY746" s="187"/>
      <c r="WCZ746" s="187"/>
      <c r="WDA746" s="187"/>
      <c r="WDB746" s="187"/>
      <c r="WDC746" s="187"/>
      <c r="WDD746" s="187"/>
      <c r="WDE746" s="187"/>
      <c r="WDF746" s="187"/>
      <c r="WDG746" s="187"/>
      <c r="WDH746" s="187"/>
      <c r="WDI746" s="187"/>
      <c r="WDJ746" s="187"/>
      <c r="WDK746" s="187"/>
      <c r="WDL746" s="187"/>
      <c r="WDM746" s="187"/>
      <c r="WDN746" s="187"/>
      <c r="WDO746" s="187"/>
      <c r="WDP746" s="187"/>
      <c r="WDQ746" s="187"/>
      <c r="WDR746" s="187"/>
      <c r="WDS746" s="187"/>
      <c r="WDT746" s="187"/>
      <c r="WDU746" s="187"/>
      <c r="WDV746" s="187"/>
      <c r="WDW746" s="187"/>
      <c r="WDX746" s="187"/>
      <c r="WDY746" s="187"/>
      <c r="WDZ746" s="187"/>
      <c r="WEA746" s="187"/>
      <c r="WEB746" s="187"/>
      <c r="WEC746" s="187"/>
      <c r="WED746" s="187"/>
      <c r="WEE746" s="187"/>
      <c r="WEF746" s="187"/>
      <c r="WEG746" s="187"/>
      <c r="WEH746" s="187"/>
      <c r="WEI746" s="187"/>
      <c r="WEJ746" s="187"/>
      <c r="WEK746" s="187"/>
      <c r="WEL746" s="187"/>
      <c r="WEM746" s="187"/>
      <c r="WEN746" s="187"/>
      <c r="WEO746" s="187"/>
      <c r="WEP746" s="187"/>
      <c r="WEQ746" s="187"/>
      <c r="WER746" s="187"/>
      <c r="WES746" s="187"/>
      <c r="WET746" s="187"/>
      <c r="WEU746" s="187"/>
      <c r="WEV746" s="187"/>
      <c r="WEW746" s="187"/>
      <c r="WEX746" s="187"/>
      <c r="WEY746" s="187"/>
      <c r="WEZ746" s="187"/>
      <c r="WFA746" s="187"/>
      <c r="WFB746" s="187"/>
      <c r="WFC746" s="187"/>
      <c r="WFD746" s="187"/>
      <c r="WFE746" s="187"/>
      <c r="WFF746" s="187"/>
      <c r="WFG746" s="187"/>
      <c r="WFH746" s="187"/>
      <c r="WFI746" s="187"/>
      <c r="WFJ746" s="187"/>
      <c r="WFK746" s="187"/>
      <c r="WFL746" s="187"/>
      <c r="WFM746" s="187"/>
      <c r="WFN746" s="187"/>
      <c r="WFO746" s="187"/>
      <c r="WFP746" s="187"/>
      <c r="WFQ746" s="187"/>
      <c r="WFR746" s="187"/>
      <c r="WFS746" s="187"/>
      <c r="WFT746" s="187"/>
      <c r="WFU746" s="187"/>
      <c r="WFV746" s="187"/>
      <c r="WFW746" s="187"/>
      <c r="WFX746" s="187"/>
      <c r="WFY746" s="187"/>
      <c r="WFZ746" s="187"/>
      <c r="WGA746" s="187"/>
      <c r="WGB746" s="187"/>
      <c r="WGC746" s="187"/>
      <c r="WGD746" s="187"/>
      <c r="WGE746" s="187"/>
      <c r="WGF746" s="187"/>
      <c r="WGG746" s="187"/>
      <c r="WGH746" s="187"/>
      <c r="WGI746" s="187"/>
      <c r="WGJ746" s="187"/>
      <c r="WGK746" s="187"/>
      <c r="WGL746" s="187"/>
      <c r="WGM746" s="187"/>
      <c r="WGN746" s="187"/>
      <c r="WGO746" s="187"/>
      <c r="WGP746" s="187"/>
      <c r="WGQ746" s="187"/>
      <c r="WGR746" s="187"/>
      <c r="WGS746" s="187"/>
      <c r="WGT746" s="187"/>
      <c r="WGU746" s="187"/>
      <c r="WGV746" s="187"/>
      <c r="WGW746" s="187"/>
      <c r="WGX746" s="187"/>
      <c r="WGY746" s="187"/>
      <c r="WGZ746" s="187"/>
      <c r="WHA746" s="187"/>
      <c r="WHB746" s="187"/>
      <c r="WHC746" s="187"/>
      <c r="WHD746" s="187"/>
      <c r="WHE746" s="187"/>
      <c r="WHF746" s="187"/>
      <c r="WHG746" s="187"/>
      <c r="WHH746" s="187"/>
      <c r="WHI746" s="187"/>
      <c r="WHJ746" s="187"/>
      <c r="WHK746" s="187"/>
      <c r="WHL746" s="187"/>
      <c r="WHM746" s="187"/>
      <c r="WHN746" s="187"/>
      <c r="WHO746" s="187"/>
      <c r="WHP746" s="187"/>
      <c r="WHQ746" s="187"/>
      <c r="WHR746" s="187"/>
      <c r="WHS746" s="187"/>
      <c r="WHT746" s="187"/>
      <c r="WHU746" s="187"/>
      <c r="WHV746" s="187"/>
      <c r="WHW746" s="187"/>
      <c r="WHX746" s="187"/>
      <c r="WHY746" s="187"/>
      <c r="WHZ746" s="187"/>
      <c r="WIA746" s="187"/>
      <c r="WIB746" s="187"/>
      <c r="WIC746" s="187"/>
      <c r="WID746" s="187"/>
      <c r="WIE746" s="187"/>
      <c r="WIF746" s="187"/>
      <c r="WIG746" s="187"/>
      <c r="WIH746" s="187"/>
      <c r="WII746" s="187"/>
      <c r="WIJ746" s="187"/>
      <c r="WIK746" s="187"/>
      <c r="WIL746" s="187"/>
      <c r="WIM746" s="187"/>
      <c r="WIN746" s="187"/>
      <c r="WIO746" s="187"/>
      <c r="WIP746" s="187"/>
      <c r="WIQ746" s="187"/>
      <c r="WIR746" s="187"/>
      <c r="WIS746" s="187"/>
      <c r="WIT746" s="187"/>
      <c r="WIU746" s="187"/>
      <c r="WIV746" s="187"/>
      <c r="WIW746" s="187"/>
      <c r="WIX746" s="187"/>
      <c r="WIY746" s="187"/>
      <c r="WIZ746" s="187"/>
      <c r="WJA746" s="187"/>
      <c r="WJB746" s="187"/>
      <c r="WJC746" s="187"/>
      <c r="WJD746" s="187"/>
      <c r="WJE746" s="187"/>
      <c r="WJF746" s="187"/>
      <c r="WJG746" s="187"/>
      <c r="WJH746" s="187"/>
      <c r="WJI746" s="187"/>
      <c r="WJJ746" s="187"/>
      <c r="WJK746" s="187"/>
      <c r="WJL746" s="187"/>
      <c r="WJM746" s="187"/>
      <c r="WJN746" s="187"/>
      <c r="WJO746" s="187"/>
      <c r="WJP746" s="187"/>
      <c r="WJQ746" s="187"/>
      <c r="WJR746" s="187"/>
      <c r="WJS746" s="187"/>
      <c r="WJT746" s="187"/>
      <c r="WJU746" s="187"/>
      <c r="WJV746" s="187"/>
      <c r="WJW746" s="187"/>
      <c r="WJX746" s="187"/>
      <c r="WJY746" s="187"/>
      <c r="WJZ746" s="187"/>
      <c r="WKA746" s="187"/>
      <c r="WKB746" s="187"/>
      <c r="WKC746" s="187"/>
      <c r="WKD746" s="187"/>
      <c r="WKE746" s="187"/>
      <c r="WKF746" s="187"/>
      <c r="WKG746" s="187"/>
      <c r="WKH746" s="187"/>
      <c r="WKI746" s="187"/>
      <c r="WKJ746" s="187"/>
      <c r="WKK746" s="187"/>
      <c r="WKL746" s="187"/>
      <c r="WKM746" s="187"/>
      <c r="WKN746" s="187"/>
      <c r="WKO746" s="187"/>
      <c r="WKP746" s="187"/>
      <c r="WKQ746" s="187"/>
      <c r="WKR746" s="187"/>
      <c r="WKS746" s="187"/>
      <c r="WKT746" s="187"/>
      <c r="WKU746" s="187"/>
      <c r="WKV746" s="187"/>
      <c r="WKW746" s="187"/>
      <c r="WKX746" s="187"/>
      <c r="WKY746" s="187"/>
      <c r="WKZ746" s="187"/>
      <c r="WLA746" s="187"/>
      <c r="WLB746" s="187"/>
      <c r="WLC746" s="187"/>
      <c r="WLD746" s="187"/>
      <c r="WLE746" s="187"/>
      <c r="WLF746" s="187"/>
      <c r="WLG746" s="187"/>
      <c r="WLH746" s="187"/>
      <c r="WLI746" s="187"/>
      <c r="WLJ746" s="187"/>
      <c r="WLK746" s="187"/>
      <c r="WLL746" s="187"/>
      <c r="WLM746" s="187"/>
      <c r="WLN746" s="187"/>
      <c r="WLO746" s="187"/>
      <c r="WLP746" s="187"/>
      <c r="WLQ746" s="187"/>
      <c r="WLR746" s="187"/>
      <c r="WLS746" s="187"/>
      <c r="WLT746" s="187"/>
      <c r="WLU746" s="187"/>
      <c r="WLV746" s="187"/>
      <c r="WLW746" s="187"/>
      <c r="WLX746" s="187"/>
      <c r="WLY746" s="187"/>
      <c r="WLZ746" s="187"/>
      <c r="WMA746" s="187"/>
      <c r="WMB746" s="187"/>
      <c r="WMC746" s="187"/>
      <c r="WMD746" s="187"/>
      <c r="WME746" s="187"/>
      <c r="WMF746" s="187"/>
      <c r="WMG746" s="187"/>
      <c r="WMH746" s="187"/>
      <c r="WMI746" s="187"/>
      <c r="WMJ746" s="187"/>
      <c r="WMK746" s="187"/>
      <c r="WML746" s="187"/>
      <c r="WMM746" s="187"/>
      <c r="WMN746" s="187"/>
      <c r="WMO746" s="187"/>
      <c r="WMP746" s="187"/>
      <c r="WMQ746" s="187"/>
      <c r="WMR746" s="187"/>
      <c r="WMS746" s="187"/>
      <c r="WMT746" s="187"/>
      <c r="WMU746" s="187"/>
      <c r="WMV746" s="187"/>
      <c r="WMW746" s="187"/>
      <c r="WMX746" s="187"/>
      <c r="WMY746" s="187"/>
      <c r="WMZ746" s="187"/>
      <c r="WNA746" s="187"/>
      <c r="WNB746" s="187"/>
      <c r="WNC746" s="187"/>
      <c r="WND746" s="187"/>
      <c r="WNE746" s="187"/>
      <c r="WNF746" s="187"/>
      <c r="WNG746" s="187"/>
      <c r="WNH746" s="187"/>
      <c r="WNI746" s="187"/>
      <c r="WNJ746" s="187"/>
      <c r="WNK746" s="187"/>
      <c r="WNL746" s="187"/>
      <c r="WNM746" s="187"/>
      <c r="WNN746" s="187"/>
      <c r="WNO746" s="187"/>
      <c r="WNP746" s="187"/>
      <c r="WNQ746" s="187"/>
      <c r="WNR746" s="187"/>
      <c r="WNS746" s="187"/>
      <c r="WNT746" s="187"/>
      <c r="WNU746" s="187"/>
      <c r="WNV746" s="187"/>
      <c r="WNW746" s="187"/>
      <c r="WNX746" s="187"/>
      <c r="WNY746" s="187"/>
      <c r="WNZ746" s="187"/>
      <c r="WOA746" s="187"/>
      <c r="WOB746" s="187"/>
      <c r="WOC746" s="187"/>
      <c r="WOD746" s="187"/>
      <c r="WOE746" s="187"/>
      <c r="WOF746" s="187"/>
      <c r="WOG746" s="187"/>
      <c r="WOH746" s="187"/>
      <c r="WOI746" s="187"/>
      <c r="WOJ746" s="187"/>
      <c r="WOK746" s="187"/>
      <c r="WOL746" s="187"/>
      <c r="WOM746" s="187"/>
      <c r="WON746" s="187"/>
      <c r="WOO746" s="187"/>
      <c r="WOP746" s="187"/>
      <c r="WOQ746" s="187"/>
      <c r="WOR746" s="187"/>
      <c r="WOS746" s="187"/>
      <c r="WOT746" s="187"/>
      <c r="WOU746" s="187"/>
      <c r="WOV746" s="187"/>
      <c r="WOW746" s="187"/>
      <c r="WOX746" s="187"/>
      <c r="WOY746" s="187"/>
      <c r="WOZ746" s="187"/>
      <c r="WPA746" s="187"/>
      <c r="WPB746" s="187"/>
      <c r="WPC746" s="187"/>
      <c r="WPD746" s="187"/>
      <c r="WPE746" s="187"/>
      <c r="WPF746" s="187"/>
      <c r="WPG746" s="187"/>
      <c r="WPH746" s="187"/>
      <c r="WPI746" s="187"/>
      <c r="WPJ746" s="187"/>
      <c r="WPK746" s="187"/>
      <c r="WPL746" s="187"/>
      <c r="WPM746" s="187"/>
      <c r="WPN746" s="187"/>
      <c r="WPO746" s="187"/>
      <c r="WPP746" s="187"/>
      <c r="WPQ746" s="187"/>
      <c r="WPR746" s="187"/>
      <c r="WPS746" s="187"/>
      <c r="WPT746" s="187"/>
      <c r="WPU746" s="187"/>
      <c r="WPV746" s="187"/>
      <c r="WPW746" s="187"/>
      <c r="WPX746" s="187"/>
      <c r="WPY746" s="187"/>
      <c r="WPZ746" s="187"/>
      <c r="WQA746" s="187"/>
      <c r="WQB746" s="187"/>
      <c r="WQC746" s="187"/>
      <c r="WQD746" s="187"/>
      <c r="WQE746" s="187"/>
      <c r="WQF746" s="187"/>
      <c r="WQG746" s="187"/>
      <c r="WQH746" s="187"/>
      <c r="WQI746" s="187"/>
      <c r="WQJ746" s="187"/>
      <c r="WQK746" s="187"/>
      <c r="WQL746" s="187"/>
      <c r="WQM746" s="187"/>
      <c r="WQN746" s="187"/>
      <c r="WQO746" s="187"/>
      <c r="WQP746" s="187"/>
      <c r="WQQ746" s="187"/>
      <c r="WQR746" s="187"/>
      <c r="WQS746" s="187"/>
      <c r="WQT746" s="187"/>
      <c r="WQU746" s="187"/>
      <c r="WQV746" s="187"/>
      <c r="WQW746" s="187"/>
      <c r="WQX746" s="187"/>
      <c r="WQY746" s="187"/>
      <c r="WQZ746" s="187"/>
      <c r="WRA746" s="187"/>
      <c r="WRB746" s="187"/>
      <c r="WRC746" s="187"/>
      <c r="WRD746" s="187"/>
      <c r="WRE746" s="187"/>
      <c r="WRF746" s="187"/>
      <c r="WRG746" s="187"/>
      <c r="WRH746" s="187"/>
      <c r="WRI746" s="187"/>
      <c r="WRJ746" s="187"/>
      <c r="WRK746" s="187"/>
      <c r="WRL746" s="187"/>
      <c r="WRM746" s="187"/>
      <c r="WRN746" s="187"/>
      <c r="WRO746" s="187"/>
      <c r="WRP746" s="187"/>
      <c r="WRQ746" s="187"/>
      <c r="WRR746" s="187"/>
      <c r="WRS746" s="187"/>
      <c r="WRT746" s="187"/>
      <c r="WRU746" s="187"/>
      <c r="WRV746" s="187"/>
      <c r="WRW746" s="187"/>
      <c r="WRX746" s="187"/>
      <c r="WRY746" s="187"/>
      <c r="WRZ746" s="187"/>
      <c r="WSA746" s="187"/>
      <c r="WSB746" s="187"/>
      <c r="WSC746" s="187"/>
      <c r="WSD746" s="187"/>
      <c r="WSE746" s="187"/>
      <c r="WSF746" s="187"/>
      <c r="WSG746" s="187"/>
      <c r="WSH746" s="187"/>
      <c r="WSI746" s="187"/>
      <c r="WSJ746" s="187"/>
      <c r="WSK746" s="187"/>
      <c r="WSL746" s="187"/>
      <c r="WSM746" s="187"/>
      <c r="WSN746" s="187"/>
      <c r="WSO746" s="187"/>
      <c r="WSP746" s="187"/>
      <c r="WSQ746" s="187"/>
      <c r="WSR746" s="187"/>
      <c r="WSS746" s="187"/>
      <c r="WST746" s="187"/>
      <c r="WSU746" s="187"/>
      <c r="WSV746" s="187"/>
      <c r="WSW746" s="187"/>
      <c r="WSX746" s="187"/>
      <c r="WSY746" s="187"/>
      <c r="WSZ746" s="187"/>
      <c r="WTA746" s="187"/>
      <c r="WTB746" s="187"/>
      <c r="WTC746" s="187"/>
      <c r="WTD746" s="187"/>
      <c r="WTE746" s="187"/>
      <c r="WTF746" s="187"/>
      <c r="WTG746" s="187"/>
      <c r="WTH746" s="187"/>
      <c r="WTI746" s="187"/>
      <c r="WTJ746" s="187"/>
      <c r="WTK746" s="187"/>
      <c r="WTL746" s="187"/>
      <c r="WTM746" s="187"/>
      <c r="WTN746" s="187"/>
      <c r="WTO746" s="187"/>
      <c r="WTP746" s="187"/>
      <c r="WTQ746" s="187"/>
      <c r="WTR746" s="187"/>
      <c r="WTS746" s="187"/>
      <c r="WTT746" s="187"/>
      <c r="WTU746" s="187"/>
      <c r="WTV746" s="187"/>
      <c r="WTW746" s="187"/>
      <c r="WTX746" s="187"/>
      <c r="WTY746" s="187"/>
      <c r="WTZ746" s="187"/>
      <c r="WUA746" s="187"/>
      <c r="WUB746" s="187"/>
      <c r="WUC746" s="187"/>
      <c r="WUD746" s="187"/>
      <c r="WUE746" s="187"/>
      <c r="WUF746" s="187"/>
      <c r="WUG746" s="187"/>
      <c r="WUH746" s="187"/>
      <c r="WUI746" s="187"/>
      <c r="WUJ746" s="187"/>
      <c r="WUK746" s="187"/>
      <c r="WUL746" s="187"/>
      <c r="WUM746" s="187"/>
      <c r="WUN746" s="187"/>
      <c r="WUO746" s="187"/>
      <c r="WUP746" s="187"/>
      <c r="WUQ746" s="187"/>
      <c r="WUR746" s="187"/>
      <c r="WUS746" s="187"/>
      <c r="WUT746" s="187"/>
      <c r="WUU746" s="187"/>
      <c r="WUV746" s="187"/>
      <c r="WUW746" s="187"/>
      <c r="WUX746" s="187"/>
      <c r="WUY746" s="187"/>
      <c r="WUZ746" s="187"/>
      <c r="WVA746" s="187"/>
      <c r="WVB746" s="187"/>
      <c r="WVC746" s="187"/>
      <c r="WVD746" s="187"/>
      <c r="WVE746" s="187"/>
      <c r="WVF746" s="187"/>
      <c r="WVG746" s="187"/>
      <c r="WVH746" s="187"/>
      <c r="WVI746" s="187"/>
      <c r="WVJ746" s="187"/>
      <c r="WVK746" s="187"/>
      <c r="WVL746" s="187"/>
      <c r="WVM746" s="187"/>
      <c r="WVN746" s="187"/>
      <c r="WVO746" s="187"/>
      <c r="WVP746" s="187"/>
      <c r="WVQ746" s="187"/>
      <c r="WVR746" s="187"/>
      <c r="WVS746" s="187"/>
      <c r="WVT746" s="187"/>
      <c r="WVU746" s="187"/>
      <c r="WVV746" s="187"/>
      <c r="WVW746" s="187"/>
      <c r="WVX746" s="187"/>
      <c r="WVY746" s="187"/>
      <c r="WVZ746" s="187"/>
      <c r="WWA746" s="187"/>
      <c r="WWB746" s="187"/>
      <c r="WWC746" s="187"/>
      <c r="WWD746" s="187"/>
      <c r="WWE746" s="187"/>
      <c r="WWF746" s="187"/>
      <c r="WWG746" s="187"/>
      <c r="WWH746" s="187"/>
      <c r="WWI746" s="187"/>
      <c r="WWJ746" s="187"/>
      <c r="WWK746" s="187"/>
      <c r="WWL746" s="187"/>
      <c r="WWM746" s="187"/>
      <c r="WWN746" s="187"/>
      <c r="WWO746" s="187"/>
      <c r="WWP746" s="187"/>
      <c r="WWQ746" s="187"/>
      <c r="WWR746" s="187"/>
      <c r="WWS746" s="187"/>
      <c r="WWT746" s="187"/>
      <c r="WWU746" s="187"/>
      <c r="WWV746" s="187"/>
      <c r="WWW746" s="187"/>
      <c r="WWX746" s="187"/>
      <c r="WWY746" s="187"/>
      <c r="WWZ746" s="187"/>
      <c r="WXA746" s="187"/>
      <c r="WXB746" s="187"/>
      <c r="WXC746" s="187"/>
      <c r="WXD746" s="187"/>
      <c r="WXE746" s="187"/>
      <c r="WXF746" s="187"/>
      <c r="WXG746" s="187"/>
      <c r="WXH746" s="187"/>
      <c r="WXI746" s="187"/>
      <c r="WXJ746" s="187"/>
      <c r="WXK746" s="187"/>
      <c r="WXL746" s="187"/>
      <c r="WXM746" s="187"/>
      <c r="WXN746" s="187"/>
      <c r="WXO746" s="187"/>
      <c r="WXP746" s="187"/>
      <c r="WXQ746" s="187"/>
      <c r="WXR746" s="187"/>
      <c r="WXS746" s="187"/>
      <c r="WXT746" s="187"/>
      <c r="WXU746" s="187"/>
      <c r="WXV746" s="187"/>
      <c r="WXW746" s="187"/>
      <c r="WXX746" s="187"/>
      <c r="WXY746" s="187"/>
      <c r="WXZ746" s="187"/>
      <c r="WYA746" s="187"/>
      <c r="WYB746" s="187"/>
      <c r="WYC746" s="187"/>
      <c r="WYD746" s="187"/>
      <c r="WYE746" s="187"/>
      <c r="WYF746" s="187"/>
      <c r="WYG746" s="187"/>
      <c r="WYH746" s="187"/>
      <c r="WYI746" s="187"/>
      <c r="WYJ746" s="187"/>
      <c r="WYK746" s="187"/>
      <c r="WYL746" s="187"/>
      <c r="WYM746" s="187"/>
      <c r="WYN746" s="187"/>
      <c r="WYO746" s="187"/>
      <c r="WYP746" s="187"/>
      <c r="WYQ746" s="187"/>
      <c r="WYR746" s="187"/>
      <c r="WYS746" s="187"/>
      <c r="WYT746" s="187"/>
      <c r="WYU746" s="187"/>
      <c r="WYV746" s="187"/>
      <c r="WYW746" s="187"/>
      <c r="WYX746" s="187"/>
      <c r="WYY746" s="187"/>
      <c r="WYZ746" s="187"/>
      <c r="WZA746" s="187"/>
      <c r="WZB746" s="187"/>
      <c r="WZC746" s="187"/>
      <c r="WZD746" s="187"/>
      <c r="WZE746" s="187"/>
      <c r="WZF746" s="187"/>
      <c r="WZG746" s="187"/>
      <c r="WZH746" s="187"/>
      <c r="WZI746" s="187"/>
      <c r="WZJ746" s="187"/>
      <c r="WZK746" s="187"/>
      <c r="WZL746" s="187"/>
      <c r="WZM746" s="187"/>
      <c r="WZN746" s="187"/>
      <c r="WZO746" s="187"/>
      <c r="WZP746" s="187"/>
      <c r="WZQ746" s="187"/>
      <c r="WZR746" s="187"/>
      <c r="WZS746" s="187"/>
      <c r="WZT746" s="187"/>
      <c r="WZU746" s="187"/>
      <c r="WZV746" s="187"/>
      <c r="WZW746" s="187"/>
      <c r="WZX746" s="187"/>
      <c r="WZY746" s="187"/>
      <c r="WZZ746" s="187"/>
      <c r="XAA746" s="187"/>
      <c r="XAB746" s="187"/>
      <c r="XAC746" s="187"/>
      <c r="XAD746" s="187"/>
      <c r="XAE746" s="187"/>
      <c r="XAF746" s="187"/>
      <c r="XAG746" s="187"/>
      <c r="XAH746" s="187"/>
      <c r="XAI746" s="187"/>
      <c r="XAJ746" s="187"/>
      <c r="XAK746" s="187"/>
      <c r="XAL746" s="187"/>
      <c r="XAM746" s="187"/>
      <c r="XAN746" s="187"/>
      <c r="XAO746" s="187"/>
      <c r="XAP746" s="187"/>
      <c r="XAQ746" s="187"/>
      <c r="XAR746" s="187"/>
      <c r="XAS746" s="187"/>
      <c r="XAT746" s="187"/>
      <c r="XAU746" s="187"/>
      <c r="XAV746" s="187"/>
      <c r="XAW746" s="187"/>
      <c r="XAX746" s="187"/>
      <c r="XAY746" s="187"/>
      <c r="XAZ746" s="187"/>
      <c r="XBA746" s="187"/>
      <c r="XBB746" s="187"/>
      <c r="XBC746" s="187"/>
      <c r="XBD746" s="187"/>
      <c r="XBE746" s="187"/>
      <c r="XBF746" s="187"/>
      <c r="XBG746" s="187"/>
      <c r="XBH746" s="187"/>
      <c r="XBI746" s="187"/>
      <c r="XBJ746" s="187"/>
      <c r="XBK746" s="187"/>
      <c r="XBL746" s="187"/>
      <c r="XBM746" s="187"/>
      <c r="XBN746" s="187"/>
      <c r="XBO746" s="187"/>
      <c r="XBP746" s="187"/>
      <c r="XBQ746" s="187"/>
      <c r="XBR746" s="187"/>
      <c r="XBS746" s="187"/>
      <c r="XBT746" s="187"/>
      <c r="XBU746" s="187"/>
      <c r="XBV746" s="187"/>
      <c r="XBW746" s="187"/>
      <c r="XBX746" s="187"/>
      <c r="XBY746" s="187"/>
      <c r="XBZ746" s="187"/>
      <c r="XCA746" s="187"/>
      <c r="XCB746" s="187"/>
      <c r="XCC746" s="187"/>
      <c r="XCD746" s="187"/>
      <c r="XCE746" s="187"/>
      <c r="XCF746" s="187"/>
      <c r="XCG746" s="187"/>
      <c r="XCH746" s="187"/>
      <c r="XCI746" s="187"/>
      <c r="XCJ746" s="187"/>
      <c r="XCK746" s="187"/>
      <c r="XCL746" s="187"/>
      <c r="XCM746" s="187"/>
      <c r="XCN746" s="187"/>
      <c r="XCO746" s="187"/>
      <c r="XCP746" s="187"/>
      <c r="XCQ746" s="187"/>
      <c r="XCR746" s="187"/>
      <c r="XCS746" s="187"/>
      <c r="XCT746" s="187"/>
      <c r="XCU746" s="187"/>
      <c r="XCV746" s="187"/>
      <c r="XCW746" s="187"/>
      <c r="XCX746" s="187"/>
      <c r="XCY746" s="187"/>
      <c r="XCZ746" s="187"/>
      <c r="XDA746" s="187"/>
      <c r="XDB746" s="187"/>
      <c r="XDC746" s="187"/>
      <c r="XDD746" s="187"/>
      <c r="XDE746" s="187"/>
      <c r="XDF746" s="187"/>
      <c r="XDG746" s="187"/>
      <c r="XDH746" s="187"/>
      <c r="XDI746" s="187"/>
      <c r="XDJ746" s="187"/>
      <c r="XDK746" s="187"/>
      <c r="XDL746" s="187"/>
      <c r="XDM746" s="187"/>
      <c r="XDN746" s="187"/>
      <c r="XDO746" s="187"/>
      <c r="XDP746" s="187"/>
      <c r="XDQ746" s="187"/>
      <c r="XDR746" s="187"/>
      <c r="XDS746" s="187"/>
      <c r="XDT746" s="187"/>
      <c r="XDU746" s="187"/>
      <c r="XDV746" s="187"/>
      <c r="XDW746" s="187"/>
      <c r="XDX746" s="187"/>
      <c r="XDY746" s="187"/>
      <c r="XDZ746" s="187"/>
      <c r="XEA746" s="187"/>
      <c r="XEB746" s="187"/>
      <c r="XEC746" s="187"/>
      <c r="XED746" s="187"/>
      <c r="XEE746" s="187"/>
      <c r="XEF746" s="187"/>
      <c r="XEG746" s="187"/>
      <c r="XEH746" s="187"/>
      <c r="XEI746" s="187"/>
      <c r="XEJ746" s="187"/>
      <c r="XEK746" s="187"/>
      <c r="XEL746" s="187"/>
      <c r="XEM746" s="187"/>
      <c r="XEN746" s="187"/>
      <c r="XEO746" s="187"/>
      <c r="XEP746" s="187"/>
      <c r="XEQ746" s="187"/>
      <c r="XER746" s="187"/>
      <c r="XES746" s="187"/>
      <c r="XET746" s="187"/>
      <c r="XEU746" s="187"/>
      <c r="XEV746" s="187"/>
      <c r="XEW746" s="187"/>
      <c r="XEX746" s="187"/>
      <c r="XEY746" s="187"/>
      <c r="XEZ746" s="187"/>
      <c r="XFA746" s="187"/>
      <c r="XFB746" s="187"/>
      <c r="XFC746" s="187"/>
    </row>
    <row r="747" spans="1:16383" ht="13" customHeight="1">
      <c r="B747" s="1313"/>
      <c r="C747" s="1314"/>
      <c r="D747" s="1314"/>
      <c r="E747" s="1314"/>
      <c r="F747" s="1315"/>
      <c r="G747" s="1307"/>
      <c r="H747" s="1308"/>
      <c r="I747" s="1308"/>
      <c r="J747" s="1309"/>
      <c r="K747" s="1310"/>
      <c r="L747" s="1311"/>
      <c r="M747" s="1311"/>
      <c r="N747" s="1312"/>
      <c r="O747" s="1316"/>
      <c r="P747" s="1317"/>
      <c r="Q747" s="1317"/>
      <c r="R747" s="1317"/>
      <c r="S747" s="1318"/>
      <c r="T747" s="1316"/>
      <c r="U747" s="1317"/>
      <c r="V747" s="1317"/>
      <c r="W747" s="1318"/>
      <c r="X747" s="1340">
        <f t="shared" si="61"/>
        <v>0</v>
      </c>
      <c r="Y747" s="1341"/>
      <c r="Z747" s="1341"/>
      <c r="AA747" s="1341"/>
      <c r="AB747" s="1342"/>
      <c r="AC747" s="1319"/>
      <c r="AD747" s="1320"/>
      <c r="AE747" s="1320"/>
      <c r="AF747" s="1320"/>
      <c r="AG747" s="1321"/>
      <c r="AH747" s="1332" t="str">
        <f t="shared" si="60"/>
        <v/>
      </c>
      <c r="AI747" s="1333"/>
      <c r="AJ747" s="1334"/>
      <c r="AK747" s="1313" t="s">
        <v>299</v>
      </c>
      <c r="AL747" s="1314"/>
      <c r="AM747" s="1314"/>
      <c r="AN747" s="1314"/>
      <c r="AO747" s="1315"/>
      <c r="AP747" s="2"/>
      <c r="AQ747" s="2"/>
      <c r="AR747" s="2"/>
      <c r="AS747" s="2"/>
      <c r="AY747" s="784"/>
      <c r="AZ747" s="784"/>
      <c r="BA747" s="784"/>
      <c r="BB747" s="784"/>
      <c r="BC747" s="784"/>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row>
    <row r="748" spans="1:16383" s="2" customFormat="1" ht="13" customHeight="1">
      <c r="A748"/>
      <c r="B748" s="1313"/>
      <c r="C748" s="1314"/>
      <c r="D748" s="1314"/>
      <c r="E748" s="1314"/>
      <c r="F748" s="1315"/>
      <c r="G748" s="1307"/>
      <c r="H748" s="1308"/>
      <c r="I748" s="1308"/>
      <c r="J748" s="1309"/>
      <c r="K748" s="1310"/>
      <c r="L748" s="1311"/>
      <c r="M748" s="1311"/>
      <c r="N748" s="1312"/>
      <c r="O748" s="1316"/>
      <c r="P748" s="1317"/>
      <c r="Q748" s="1317"/>
      <c r="R748" s="1317"/>
      <c r="S748" s="1318"/>
      <c r="T748" s="1316"/>
      <c r="U748" s="1317"/>
      <c r="V748" s="1317"/>
      <c r="W748" s="1318"/>
      <c r="X748" s="1340">
        <f t="shared" si="61"/>
        <v>0</v>
      </c>
      <c r="Y748" s="1341"/>
      <c r="Z748" s="1341"/>
      <c r="AA748" s="1341"/>
      <c r="AB748" s="1342"/>
      <c r="AC748" s="1319"/>
      <c r="AD748" s="1320"/>
      <c r="AE748" s="1320"/>
      <c r="AF748" s="1320"/>
      <c r="AG748" s="1321"/>
      <c r="AH748" s="1332" t="str">
        <f t="shared" si="60"/>
        <v/>
      </c>
      <c r="AI748" s="1333"/>
      <c r="AJ748" s="1334"/>
      <c r="AK748" s="1313" t="s">
        <v>299</v>
      </c>
      <c r="AL748" s="1314"/>
      <c r="AM748" s="1314"/>
      <c r="AN748" s="1314"/>
      <c r="AO748" s="1315"/>
      <c r="AT748"/>
      <c r="AU748"/>
      <c r="AV748"/>
      <c r="AW748"/>
      <c r="AX748"/>
      <c r="AY748" s="784"/>
      <c r="AZ748" s="784"/>
      <c r="BA748" s="784"/>
      <c r="BB748" s="784"/>
      <c r="BC748" s="784"/>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2" customFormat="1" ht="13" customHeight="1">
      <c r="A749"/>
      <c r="B749" s="1313"/>
      <c r="C749" s="1314"/>
      <c r="D749" s="1314"/>
      <c r="E749" s="1314"/>
      <c r="F749" s="1315"/>
      <c r="G749" s="1307"/>
      <c r="H749" s="1308"/>
      <c r="I749" s="1308"/>
      <c r="J749" s="1309"/>
      <c r="K749" s="1310"/>
      <c r="L749" s="1311"/>
      <c r="M749" s="1311"/>
      <c r="N749" s="1312"/>
      <c r="O749" s="1316"/>
      <c r="P749" s="1317"/>
      <c r="Q749" s="1317"/>
      <c r="R749" s="1317"/>
      <c r="S749" s="1318"/>
      <c r="T749" s="1316"/>
      <c r="U749" s="1317"/>
      <c r="V749" s="1317"/>
      <c r="W749" s="1318"/>
      <c r="X749" s="1340">
        <f t="shared" si="61"/>
        <v>0</v>
      </c>
      <c r="Y749" s="1341"/>
      <c r="Z749" s="1341"/>
      <c r="AA749" s="1341"/>
      <c r="AB749" s="1342"/>
      <c r="AC749" s="1319"/>
      <c r="AD749" s="1320"/>
      <c r="AE749" s="1320"/>
      <c r="AF749" s="1320"/>
      <c r="AG749" s="1321"/>
      <c r="AH749" s="1332" t="str">
        <f t="shared" si="60"/>
        <v/>
      </c>
      <c r="AI749" s="1333"/>
      <c r="AJ749" s="1334"/>
      <c r="AK749" s="1313" t="s">
        <v>299</v>
      </c>
      <c r="AL749" s="1314"/>
      <c r="AM749" s="1314"/>
      <c r="AN749" s="1314"/>
      <c r="AO749" s="1315"/>
      <c r="AT749"/>
      <c r="AU749"/>
      <c r="AV749"/>
      <c r="AW749"/>
      <c r="AX749"/>
      <c r="AY749" s="784"/>
      <c r="AZ749" s="784"/>
      <c r="BA749" s="784"/>
      <c r="BB749" s="784"/>
      <c r="BC749" s="784"/>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2" customFormat="1" ht="13" customHeight="1">
      <c r="A750"/>
      <c r="B750" s="1313"/>
      <c r="C750" s="1314"/>
      <c r="D750" s="1314"/>
      <c r="E750" s="1314"/>
      <c r="F750" s="1315"/>
      <c r="G750" s="1307"/>
      <c r="H750" s="1308"/>
      <c r="I750" s="1308"/>
      <c r="J750" s="1309"/>
      <c r="K750" s="1310"/>
      <c r="L750" s="1311"/>
      <c r="M750" s="1311"/>
      <c r="N750" s="1312"/>
      <c r="O750" s="1316"/>
      <c r="P750" s="1317"/>
      <c r="Q750" s="1317"/>
      <c r="R750" s="1317"/>
      <c r="S750" s="1318"/>
      <c r="T750" s="1316"/>
      <c r="U750" s="1317"/>
      <c r="V750" s="1317"/>
      <c r="W750" s="1318"/>
      <c r="X750" s="1340">
        <f t="shared" si="61"/>
        <v>0</v>
      </c>
      <c r="Y750" s="1341"/>
      <c r="Z750" s="1341"/>
      <c r="AA750" s="1341"/>
      <c r="AB750" s="1342"/>
      <c r="AC750" s="1319"/>
      <c r="AD750" s="1320"/>
      <c r="AE750" s="1320"/>
      <c r="AF750" s="1320"/>
      <c r="AG750" s="1321"/>
      <c r="AH750" s="1332" t="str">
        <f t="shared" si="60"/>
        <v/>
      </c>
      <c r="AI750" s="1333"/>
      <c r="AJ750" s="1334"/>
      <c r="AK750" s="1313" t="s">
        <v>299</v>
      </c>
      <c r="AL750" s="1314"/>
      <c r="AM750" s="1314"/>
      <c r="AN750" s="1314"/>
      <c r="AO750" s="131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2" customFormat="1" ht="13" customHeight="1">
      <c r="A751"/>
      <c r="B751" s="1313"/>
      <c r="C751" s="1314"/>
      <c r="D751" s="1314"/>
      <c r="E751" s="1314"/>
      <c r="F751" s="1315"/>
      <c r="G751" s="1307"/>
      <c r="H751" s="1308"/>
      <c r="I751" s="1308"/>
      <c r="J751" s="1309"/>
      <c r="K751" s="1310"/>
      <c r="L751" s="1311"/>
      <c r="M751" s="1311"/>
      <c r="N751" s="1312"/>
      <c r="O751" s="1316"/>
      <c r="P751" s="1317"/>
      <c r="Q751" s="1317"/>
      <c r="R751" s="1317"/>
      <c r="S751" s="1318"/>
      <c r="T751" s="1316"/>
      <c r="U751" s="1317"/>
      <c r="V751" s="1317"/>
      <c r="W751" s="1318"/>
      <c r="X751" s="1340">
        <f t="shared" si="61"/>
        <v>0</v>
      </c>
      <c r="Y751" s="1341"/>
      <c r="Z751" s="1341"/>
      <c r="AA751" s="1341"/>
      <c r="AB751" s="1342"/>
      <c r="AC751" s="1319"/>
      <c r="AD751" s="1320"/>
      <c r="AE751" s="1320"/>
      <c r="AF751" s="1320"/>
      <c r="AG751" s="1321"/>
      <c r="AH751" s="1332" t="str">
        <f t="shared" si="60"/>
        <v/>
      </c>
      <c r="AI751" s="1333"/>
      <c r="AJ751" s="1334"/>
      <c r="AK751" s="1313" t="s">
        <v>299</v>
      </c>
      <c r="AL751" s="1314"/>
      <c r="AM751" s="1314"/>
      <c r="AN751" s="1314"/>
      <c r="AO751" s="131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2" customFormat="1" ht="13" customHeight="1">
      <c r="A752"/>
      <c r="B752" s="1313"/>
      <c r="C752" s="1314"/>
      <c r="D752" s="1314"/>
      <c r="E752" s="1314"/>
      <c r="F752" s="1315"/>
      <c r="G752" s="1307"/>
      <c r="H752" s="1308"/>
      <c r="I752" s="1308"/>
      <c r="J752" s="1309"/>
      <c r="K752" s="1310"/>
      <c r="L752" s="1311"/>
      <c r="M752" s="1311"/>
      <c r="N752" s="1312"/>
      <c r="O752" s="1316"/>
      <c r="P752" s="1317"/>
      <c r="Q752" s="1317"/>
      <c r="R752" s="1317"/>
      <c r="S752" s="1318"/>
      <c r="T752" s="1316"/>
      <c r="U752" s="1317"/>
      <c r="V752" s="1317"/>
      <c r="W752" s="1318"/>
      <c r="X752" s="1340">
        <f>O752+T752</f>
        <v>0</v>
      </c>
      <c r="Y752" s="1341"/>
      <c r="Z752" s="1341"/>
      <c r="AA752" s="1341"/>
      <c r="AB752" s="1342"/>
      <c r="AC752" s="1319"/>
      <c r="AD752" s="1320"/>
      <c r="AE752" s="1320"/>
      <c r="AF752" s="1320"/>
      <c r="AG752" s="1321"/>
      <c r="AH752" s="1332" t="str">
        <f>IF($AC752&gt;0,($X752/$BA701), "")</f>
        <v/>
      </c>
      <c r="AI752" s="1333"/>
      <c r="AJ752" s="1334"/>
      <c r="AK752" s="1313" t="s">
        <v>299</v>
      </c>
      <c r="AL752" s="1314"/>
      <c r="AM752" s="1314"/>
      <c r="AN752" s="1314"/>
      <c r="AO752" s="131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2" customFormat="1" ht="13" customHeight="1">
      <c r="A753"/>
      <c r="B753" s="1418" t="s">
        <v>1552</v>
      </c>
      <c r="C753" s="1419"/>
      <c r="D753" s="1419"/>
      <c r="E753" s="1419"/>
      <c r="F753" s="1420"/>
      <c r="G753" s="1578">
        <f>SUM(G718:G752)</f>
        <v>52</v>
      </c>
      <c r="H753" s="1579"/>
      <c r="I753" s="1579"/>
      <c r="J753" s="1580"/>
      <c r="K753" s="732" t="s">
        <v>1553</v>
      </c>
      <c r="L753" s="4"/>
      <c r="M753" s="4"/>
      <c r="N753" s="1034"/>
      <c r="O753" s="1340">
        <f>SUMPRODUCT(G718:G752,O718:O752)</f>
        <v>59623</v>
      </c>
      <c r="P753" s="1341"/>
      <c r="Q753" s="1341"/>
      <c r="R753" s="1341"/>
      <c r="S753" s="1342"/>
      <c r="T753"/>
      <c r="U753"/>
      <c r="V753"/>
      <c r="W753"/>
      <c r="X753" s="734" t="s">
        <v>1554</v>
      </c>
      <c r="Y753" s="733"/>
      <c r="Z753" s="733"/>
      <c r="AA753" s="733"/>
      <c r="AB753" s="735"/>
      <c r="AC753" s="1560">
        <f>BI703</f>
        <v>0.4557692307692307</v>
      </c>
      <c r="AD753" s="1561"/>
      <c r="AE753" s="1561"/>
      <c r="AF753" s="1561"/>
      <c r="AG753" s="1562"/>
      <c r="AH753" s="1560">
        <f>IFERROR(BV703,"")</f>
        <v>0.45572091468471859</v>
      </c>
      <c r="AI753" s="1561"/>
      <c r="AJ753" s="1562"/>
      <c r="AK753"/>
      <c r="AL753"/>
      <c r="AM753"/>
      <c r="AN753"/>
      <c r="AO753"/>
      <c r="AP753" s="119"/>
      <c r="AQ753" s="119"/>
      <c r="AR753" s="119"/>
      <c r="AS753" s="1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2" customFormat="1" ht="13" customHeight="1">
      <c r="A754"/>
      <c r="B754" s="1344" t="s">
        <v>1555</v>
      </c>
      <c r="C754" s="1344"/>
      <c r="D754" s="1344"/>
      <c r="E754" s="1344"/>
      <c r="F754" s="1344"/>
      <c r="G754" s="1344"/>
      <c r="H754" s="1344"/>
      <c r="I754" s="1344"/>
      <c r="J754" s="1344"/>
      <c r="K754" s="1344"/>
      <c r="L754" s="1344"/>
      <c r="M754" s="1344"/>
      <c r="N754" s="1344"/>
      <c r="O754" s="1344"/>
      <c r="P754" s="1344"/>
      <c r="Q754" s="1344"/>
      <c r="R754" s="1344"/>
      <c r="S754" s="1344"/>
      <c r="T754" s="1344"/>
      <c r="U754" s="1344"/>
      <c r="V754" s="1344"/>
      <c r="W754" s="1344"/>
      <c r="X754" s="1344"/>
      <c r="Y754" s="1344"/>
      <c r="Z754" s="1344"/>
      <c r="AA754" s="1344"/>
      <c r="AB754" s="1344"/>
      <c r="AC754" s="1344"/>
      <c r="AD754" s="1344"/>
      <c r="AE754" s="1344"/>
      <c r="AF754" s="1344"/>
      <c r="AG754" s="1344"/>
      <c r="AH754" s="1344"/>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344"/>
      <c r="C755" s="1344"/>
      <c r="D755" s="1344"/>
      <c r="E755" s="1344"/>
      <c r="F755" s="1344"/>
      <c r="G755" s="1344"/>
      <c r="H755" s="1344"/>
      <c r="I755" s="1344"/>
      <c r="J755" s="1344"/>
      <c r="K755" s="1344"/>
      <c r="L755" s="1344"/>
      <c r="M755" s="1344"/>
      <c r="N755" s="1344"/>
      <c r="O755" s="1344"/>
      <c r="P755" s="1344"/>
      <c r="Q755" s="1344"/>
      <c r="R755" s="1344"/>
      <c r="S755" s="1344"/>
      <c r="T755" s="1344"/>
      <c r="U755" s="1344"/>
      <c r="V755" s="1344"/>
      <c r="W755" s="1344"/>
      <c r="X755" s="1344"/>
      <c r="Y755" s="1344"/>
      <c r="Z755" s="1344"/>
      <c r="AA755" s="1344"/>
      <c r="AB755" s="1344"/>
      <c r="AC755" s="1344"/>
      <c r="AD755" s="1344"/>
      <c r="AE755" s="1344"/>
      <c r="AF755" s="1344"/>
      <c r="AG755" s="1344"/>
      <c r="AH755" s="1344"/>
      <c r="AL755" s="2"/>
      <c r="AM755" s="2"/>
      <c r="AN755" s="2"/>
      <c r="AO755" s="2"/>
      <c r="AP755" s="2"/>
      <c r="AQ755" s="2"/>
      <c r="AR755" s="2"/>
      <c r="AS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row>
    <row r="756" spans="1:159" ht="13" customHeight="1">
      <c r="A756" s="2"/>
      <c r="B756" s="2"/>
      <c r="C756" s="68" t="s">
        <v>1556</v>
      </c>
      <c r="D756" s="840"/>
      <c r="E756" s="840"/>
      <c r="F756" s="840"/>
      <c r="G756" s="841"/>
      <c r="H756" s="841"/>
      <c r="I756" s="841"/>
      <c r="J756" s="841"/>
      <c r="K756" s="840"/>
      <c r="L756" s="840"/>
      <c r="M756" s="840"/>
      <c r="N756" s="840"/>
      <c r="O756" s="1433">
        <f>CS634</f>
        <v>120</v>
      </c>
      <c r="P756" s="1433"/>
      <c r="Q756" s="1433"/>
      <c r="R756" s="1433"/>
      <c r="S756" s="791"/>
      <c r="T756" s="791"/>
      <c r="U756" s="68" t="s">
        <v>1557</v>
      </c>
      <c r="V756" s="840"/>
      <c r="W756" s="840"/>
      <c r="X756" s="840"/>
      <c r="Y756" s="841"/>
      <c r="Z756" s="841"/>
      <c r="AA756" s="841"/>
      <c r="AB756" s="841"/>
      <c r="AC756" s="840"/>
      <c r="AD756" s="840"/>
      <c r="AE756" s="840"/>
      <c r="AF756" s="840"/>
      <c r="AG756" s="1584"/>
      <c r="AH756" s="1584"/>
      <c r="AI756" s="1584"/>
      <c r="AJ756" s="1584"/>
      <c r="AK756" s="2"/>
      <c r="AL756" s="2"/>
      <c r="AM756" s="2"/>
      <c r="AN756" s="2"/>
      <c r="AO756" s="2"/>
      <c r="AP756" s="2"/>
      <c r="AQ756" s="2"/>
      <c r="AR756" s="2"/>
      <c r="AS756" s="2"/>
      <c r="AZ756" s="2"/>
      <c r="BA756" s="2"/>
      <c r="BB756" s="187"/>
      <c r="BC756" s="187"/>
      <c r="BD756" s="187"/>
      <c r="BE756" s="187"/>
      <c r="BF756" s="187"/>
      <c r="BG756" s="187"/>
      <c r="BH756" s="187"/>
      <c r="BI756" s="187"/>
      <c r="BJ756" s="187"/>
      <c r="BK756" s="187"/>
      <c r="BL756" s="187"/>
      <c r="BM756" s="187"/>
      <c r="BN756" s="187"/>
      <c r="BO756" s="187"/>
      <c r="BP756" s="187"/>
      <c r="BQ756" s="187"/>
      <c r="BR756" s="187"/>
      <c r="BS756" s="187"/>
      <c r="BT756" s="187"/>
      <c r="BU756" s="187"/>
      <c r="BV756" s="187"/>
      <c r="BW756" s="187"/>
      <c r="BX756" s="187"/>
      <c r="BY756" s="187"/>
      <c r="BZ756" s="187"/>
      <c r="CA756" s="187"/>
      <c r="CB756" s="187"/>
      <c r="CC756" s="187"/>
      <c r="CE756" s="2"/>
      <c r="CF756" s="187"/>
      <c r="CG756" s="187"/>
      <c r="CH756" s="187"/>
      <c r="CI756" s="187"/>
      <c r="CJ756" s="187"/>
      <c r="CK756" s="187"/>
      <c r="CL756" s="187"/>
      <c r="CM756" s="187"/>
      <c r="CN756" s="187"/>
      <c r="CO756" s="187"/>
      <c r="CP756" s="187"/>
      <c r="CQ756" s="187"/>
      <c r="CR756" s="187"/>
      <c r="CS756" s="187"/>
      <c r="CT756" s="187"/>
      <c r="CU756" s="187"/>
      <c r="CV756" s="187"/>
      <c r="CW756" s="187"/>
      <c r="CX756" s="187"/>
      <c r="CY756" s="187"/>
      <c r="CZ756" s="187"/>
      <c r="DA756" s="187"/>
      <c r="DB756" s="187"/>
      <c r="DC756" s="187"/>
      <c r="DD756" s="187"/>
      <c r="DE756" s="187"/>
      <c r="DF756" s="187"/>
      <c r="DG756" s="187"/>
      <c r="DH756" s="187"/>
      <c r="DI756" s="187"/>
      <c r="DJ756" s="187"/>
      <c r="DK756" s="187"/>
      <c r="DL756" s="187"/>
      <c r="DM756" s="187"/>
      <c r="DN756" s="187"/>
      <c r="DO756" s="187"/>
      <c r="DP756" s="187"/>
      <c r="DQ756" s="187"/>
      <c r="DR756" s="187"/>
      <c r="DS756" s="187"/>
      <c r="DT756" s="187"/>
      <c r="DU756" s="187"/>
      <c r="DV756" s="187"/>
      <c r="DW756" s="187"/>
      <c r="FB756" s="187"/>
      <c r="FC756" s="187"/>
    </row>
    <row r="757" spans="1:159" ht="13" customHeight="1">
      <c r="B757" s="1118"/>
      <c r="C757" s="1357" t="str">
        <f>IF(G753&lt;&gt;AG440,"! Total Low-Income Units in the Unit Mix Table above does not match the number of Total Low-Income Units on row #"&amp;TEXT(ROW(D440),"#"),"")</f>
        <v/>
      </c>
      <c r="D757" s="1357"/>
      <c r="E757" s="1357"/>
      <c r="F757" s="1357"/>
      <c r="G757" s="1357"/>
      <c r="H757" s="1357"/>
      <c r="I757" s="1357"/>
      <c r="J757" s="1357"/>
      <c r="K757" s="1357"/>
      <c r="L757" s="1357"/>
      <c r="M757" s="1357"/>
      <c r="N757" s="1357"/>
      <c r="O757" s="1357"/>
      <c r="P757" s="1357"/>
      <c r="Q757" s="1357"/>
      <c r="R757" s="1357"/>
      <c r="S757" s="1357"/>
      <c r="T757" s="1357"/>
      <c r="U757" s="1357"/>
      <c r="V757" s="1357"/>
      <c r="W757" s="1357"/>
      <c r="X757" s="1357"/>
      <c r="Y757" s="1357"/>
      <c r="Z757" s="1357"/>
      <c r="AA757" s="1357"/>
      <c r="AB757" s="1357"/>
      <c r="AC757" s="1357"/>
      <c r="AD757" s="1357"/>
      <c r="AE757" s="1357"/>
      <c r="AF757" s="1357"/>
      <c r="AG757" s="1357"/>
      <c r="AH757" s="1357"/>
      <c r="AI757" s="1357"/>
      <c r="AJ757" s="1357"/>
      <c r="AK757" s="1357"/>
      <c r="AL757" s="1357"/>
      <c r="AM757" s="1357"/>
      <c r="AP757" s="187"/>
      <c r="AQ757" s="187"/>
      <c r="AR757" s="187"/>
      <c r="AS757" s="187"/>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row>
    <row r="758" spans="1:159" ht="13" customHeight="1">
      <c r="B758" s="1118"/>
      <c r="C758" s="1357"/>
      <c r="D758" s="1357"/>
      <c r="E758" s="1357"/>
      <c r="F758" s="1357"/>
      <c r="G758" s="1357"/>
      <c r="H758" s="1357"/>
      <c r="I758" s="1357"/>
      <c r="J758" s="1357"/>
      <c r="K758" s="1357"/>
      <c r="L758" s="1357"/>
      <c r="M758" s="1357"/>
      <c r="N758" s="1357"/>
      <c r="O758" s="1357"/>
      <c r="P758" s="1357"/>
      <c r="Q758" s="1357"/>
      <c r="R758" s="1357"/>
      <c r="S758" s="1357"/>
      <c r="T758" s="1357"/>
      <c r="U758" s="1357"/>
      <c r="V758" s="1357"/>
      <c r="W758" s="1357"/>
      <c r="X758" s="1357"/>
      <c r="Y758" s="1357"/>
      <c r="Z758" s="1357"/>
      <c r="AA758" s="1357"/>
      <c r="AB758" s="1357"/>
      <c r="AC758" s="1357"/>
      <c r="AD758" s="1357"/>
      <c r="AE758" s="1357"/>
      <c r="AF758" s="1357"/>
      <c r="AG758" s="1357"/>
      <c r="AH758" s="1357"/>
      <c r="AI758" s="1357"/>
      <c r="AJ758" s="1357"/>
      <c r="AK758" s="1357"/>
      <c r="AL758" s="1357"/>
      <c r="AM758" s="1357"/>
      <c r="AP758" s="187"/>
      <c r="AQ758" s="187"/>
      <c r="AR758" s="187"/>
      <c r="AS758" s="187"/>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FB758" s="2"/>
      <c r="FC758" s="2"/>
    </row>
    <row r="759" spans="1:159" ht="13" customHeight="1">
      <c r="B759" s="2"/>
      <c r="C759" s="68" t="s">
        <v>1558</v>
      </c>
      <c r="D759" s="842"/>
      <c r="E759" s="842"/>
      <c r="F759" s="842"/>
      <c r="G759" s="842"/>
      <c r="H759" s="842"/>
      <c r="I759" s="842"/>
      <c r="J759" s="842"/>
      <c r="K759" s="842"/>
      <c r="L759" s="842"/>
      <c r="M759" s="842"/>
      <c r="N759" s="842"/>
      <c r="O759" s="842"/>
      <c r="P759" s="842"/>
      <c r="Q759" s="842"/>
      <c r="R759" s="842"/>
      <c r="S759" s="842"/>
      <c r="T759" s="842"/>
      <c r="U759" s="842"/>
      <c r="V759" s="842"/>
      <c r="W759" s="842"/>
      <c r="X759" s="842"/>
      <c r="Y759" s="842"/>
      <c r="Z759" s="842"/>
      <c r="AA759" s="842"/>
      <c r="AB759" s="842"/>
      <c r="AC759" s="842"/>
      <c r="AD759" s="1322" t="s">
        <v>299</v>
      </c>
      <c r="AE759" s="1322"/>
      <c r="AF759" s="1322"/>
      <c r="AG759" s="842"/>
      <c r="AH759" s="842"/>
      <c r="AI759" s="842"/>
      <c r="AJ759" s="842"/>
      <c r="AK759" s="842"/>
      <c r="AL759" s="842"/>
      <c r="AM759" s="842"/>
      <c r="AN759" s="842"/>
      <c r="AO759" s="842"/>
      <c r="AP759" s="842"/>
      <c r="AQ759" s="842"/>
      <c r="AR759" s="84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FB759" s="2"/>
      <c r="FC759" s="2"/>
    </row>
    <row r="760" spans="1:159" ht="13" customHeight="1">
      <c r="C760" s="843" t="s">
        <v>1559</v>
      </c>
      <c r="D760" s="842"/>
      <c r="E760" s="842"/>
      <c r="F760" s="842"/>
      <c r="G760" s="842"/>
      <c r="H760" s="842"/>
      <c r="I760" s="842"/>
      <c r="J760" s="842"/>
      <c r="K760" s="842"/>
      <c r="L760" s="842"/>
      <c r="M760" s="842"/>
      <c r="N760" s="842"/>
      <c r="O760" s="842"/>
      <c r="P760" s="842"/>
      <c r="Q760" s="842"/>
      <c r="R760" s="842"/>
      <c r="S760" s="842"/>
      <c r="T760" s="842"/>
      <c r="U760" s="842"/>
      <c r="V760" s="842"/>
      <c r="W760" s="842"/>
      <c r="X760" s="842"/>
      <c r="Y760" s="842"/>
      <c r="Z760" s="842"/>
      <c r="AA760" s="842"/>
      <c r="AB760" s="842"/>
      <c r="AC760" s="842"/>
      <c r="AD760" s="842"/>
      <c r="AE760" s="842"/>
      <c r="AF760" s="842"/>
      <c r="AG760" s="842"/>
      <c r="AH760" s="842"/>
      <c r="AI760" s="842"/>
      <c r="AJ760" s="842"/>
      <c r="AK760" s="842"/>
      <c r="AL760" s="842"/>
      <c r="AM760" s="842"/>
      <c r="AN760" s="842"/>
      <c r="AO760" s="842"/>
      <c r="AP760" s="842"/>
      <c r="AQ760" s="842"/>
      <c r="AR760" s="84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FB760" s="2"/>
      <c r="FC760" s="2"/>
    </row>
    <row r="761" spans="1:159" ht="13" customHeight="1">
      <c r="A761" s="1" t="s">
        <v>963</v>
      </c>
      <c r="B761" s="38"/>
      <c r="C761" s="1118" t="s">
        <v>1560</v>
      </c>
      <c r="D761" s="38"/>
      <c r="E761" s="38"/>
      <c r="F761" s="38"/>
      <c r="G761" s="1148"/>
      <c r="H761" s="1148"/>
      <c r="I761" s="1148"/>
      <c r="J761" s="1148"/>
      <c r="K761" s="1148"/>
      <c r="L761" s="38"/>
      <c r="M761" s="38"/>
      <c r="N761" s="38"/>
      <c r="O761" s="38"/>
      <c r="P761" s="38"/>
      <c r="Q761" s="1148"/>
      <c r="R761" s="1148"/>
      <c r="S761" s="1148"/>
      <c r="T761" s="1148"/>
      <c r="U761" s="1148"/>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FB761" s="2"/>
      <c r="FC761" s="2"/>
    </row>
    <row r="762" spans="1:159" ht="13" customHeight="1">
      <c r="A762" s="2"/>
      <c r="B762" s="840"/>
      <c r="C762" s="68" t="s">
        <v>1561</v>
      </c>
      <c r="D762" s="840"/>
      <c r="E762" s="840"/>
      <c r="F762" s="840"/>
      <c r="G762" s="1148"/>
      <c r="H762" s="1148"/>
      <c r="I762" s="1148"/>
      <c r="J762" s="1148"/>
      <c r="K762" s="1148"/>
      <c r="L762" s="840"/>
      <c r="M762" s="840"/>
      <c r="N762" s="840"/>
      <c r="O762" s="840"/>
      <c r="P762" s="840"/>
      <c r="Q762" s="1148"/>
      <c r="R762" s="1148"/>
      <c r="S762" s="1148"/>
      <c r="T762" s="1148"/>
      <c r="U762" s="1148"/>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FB762" s="2"/>
      <c r="FC762" s="2"/>
    </row>
    <row r="763" spans="1:159" ht="13" customHeight="1">
      <c r="A763" s="2"/>
      <c r="B763" s="840"/>
      <c r="C763" s="1226" t="s">
        <v>1562</v>
      </c>
      <c r="D763" s="1226"/>
      <c r="E763" s="1226"/>
      <c r="F763" s="1226"/>
      <c r="G763" s="1226"/>
      <c r="H763" s="1226"/>
      <c r="I763" s="1226"/>
      <c r="J763" s="1226"/>
      <c r="K763" s="1226"/>
      <c r="L763" s="1226"/>
      <c r="M763" s="1226"/>
      <c r="N763" s="1226"/>
      <c r="O763" s="1226"/>
      <c r="P763" s="1226"/>
      <c r="Q763" s="1226"/>
      <c r="R763" s="1226"/>
      <c r="S763" s="1226"/>
      <c r="T763" s="1226"/>
      <c r="U763" s="1226"/>
      <c r="V763" s="1226"/>
      <c r="W763" s="1226"/>
      <c r="X763" s="1226"/>
      <c r="Y763" s="1226"/>
      <c r="Z763" s="1226"/>
      <c r="AA763" s="1226"/>
      <c r="AB763" s="1226"/>
      <c r="AC763" s="1226"/>
      <c r="AD763" s="1226"/>
      <c r="AE763" s="1226"/>
      <c r="AF763" s="1226"/>
      <c r="AG763" s="1226"/>
      <c r="AH763" s="1226"/>
      <c r="AI763" s="1226"/>
      <c r="AJ763" s="1226"/>
      <c r="AK763" s="1226"/>
      <c r="AL763" s="1226"/>
      <c r="AM763" s="1226"/>
      <c r="AN763" s="1226"/>
      <c r="AO763" s="1226"/>
      <c r="AP763" s="1226"/>
      <c r="AQ763" s="1226"/>
      <c r="AR763" s="1226"/>
      <c r="AS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1:159" ht="13" customHeight="1">
      <c r="A764" s="2"/>
      <c r="B764" s="840"/>
      <c r="C764" s="1226"/>
      <c r="D764" s="1226"/>
      <c r="E764" s="1226"/>
      <c r="F764" s="1226"/>
      <c r="G764" s="1226"/>
      <c r="H764" s="1226"/>
      <c r="I764" s="1226"/>
      <c r="J764" s="1226"/>
      <c r="K764" s="1226"/>
      <c r="L764" s="1226"/>
      <c r="M764" s="1226"/>
      <c r="N764" s="1226"/>
      <c r="O764" s="1226"/>
      <c r="P764" s="1226"/>
      <c r="Q764" s="1226"/>
      <c r="R764" s="1226"/>
      <c r="S764" s="1226"/>
      <c r="T764" s="1226"/>
      <c r="U764" s="1226"/>
      <c r="V764" s="1226"/>
      <c r="W764" s="1226"/>
      <c r="X764" s="1226"/>
      <c r="Y764" s="1226"/>
      <c r="Z764" s="1226"/>
      <c r="AA764" s="1226"/>
      <c r="AB764" s="1226"/>
      <c r="AC764" s="1226"/>
      <c r="AD764" s="1226"/>
      <c r="AE764" s="1226"/>
      <c r="AF764" s="1226"/>
      <c r="AG764" s="1226"/>
      <c r="AH764" s="1226"/>
      <c r="AI764" s="1226"/>
      <c r="AJ764" s="1226"/>
      <c r="AK764" s="1226"/>
      <c r="AL764" s="1226"/>
      <c r="AM764" s="1226"/>
      <c r="AN764" s="1226"/>
      <c r="AO764" s="1226"/>
      <c r="AP764" s="1226"/>
      <c r="AQ764" s="1226"/>
      <c r="AR764" s="1226"/>
      <c r="AS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FB764" s="2"/>
      <c r="FC764" s="2"/>
    </row>
    <row r="765" spans="1:159" ht="13" customHeight="1">
      <c r="A765" s="2"/>
      <c r="B765" s="840"/>
      <c r="C765" s="1226"/>
      <c r="D765" s="1226"/>
      <c r="E765" s="1226"/>
      <c r="F765" s="1226"/>
      <c r="G765" s="1226"/>
      <c r="H765" s="1226"/>
      <c r="I765" s="1226"/>
      <c r="J765" s="1226"/>
      <c r="K765" s="1226"/>
      <c r="L765" s="1226"/>
      <c r="M765" s="1226"/>
      <c r="N765" s="1226"/>
      <c r="O765" s="1226"/>
      <c r="P765" s="1226"/>
      <c r="Q765" s="1226"/>
      <c r="R765" s="1226"/>
      <c r="S765" s="1226"/>
      <c r="T765" s="1226"/>
      <c r="U765" s="1226"/>
      <c r="V765" s="1226"/>
      <c r="W765" s="1226"/>
      <c r="X765" s="1226"/>
      <c r="Y765" s="1226"/>
      <c r="Z765" s="1226"/>
      <c r="AA765" s="1226"/>
      <c r="AB765" s="1226"/>
      <c r="AC765" s="1226"/>
      <c r="AD765" s="1226"/>
      <c r="AE765" s="1226"/>
      <c r="AF765" s="1226"/>
      <c r="AG765" s="1226"/>
      <c r="AH765" s="1226"/>
      <c r="AI765" s="1226"/>
      <c r="AJ765" s="1226"/>
      <c r="AK765" s="1226"/>
      <c r="AL765" s="1226"/>
      <c r="AM765" s="1226"/>
      <c r="AN765" s="1226"/>
      <c r="AO765" s="1226"/>
      <c r="AP765" s="1226"/>
      <c r="AQ765" s="1226"/>
      <c r="AR765" s="1226"/>
      <c r="AS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row>
    <row r="766" spans="1:159" ht="13" customHeight="1">
      <c r="A766" s="2"/>
      <c r="B766" s="840"/>
      <c r="C766" s="1226" t="s">
        <v>1563</v>
      </c>
      <c r="D766" s="1226"/>
      <c r="E766" s="1226"/>
      <c r="F766" s="1226"/>
      <c r="G766" s="1226"/>
      <c r="H766" s="1226"/>
      <c r="I766" s="1226"/>
      <c r="J766" s="1226"/>
      <c r="K766" s="1226"/>
      <c r="L766" s="1226"/>
      <c r="M766" s="1226"/>
      <c r="N766" s="1226"/>
      <c r="O766" s="1226"/>
      <c r="P766" s="1226"/>
      <c r="Q766" s="1226"/>
      <c r="R766" s="1226"/>
      <c r="S766" s="1226"/>
      <c r="T766" s="1226"/>
      <c r="U766" s="1226"/>
      <c r="V766" s="1226"/>
      <c r="W766" s="1226"/>
      <c r="X766" s="1226"/>
      <c r="Y766" s="1226"/>
      <c r="Z766" s="1226"/>
      <c r="AA766" s="1226"/>
      <c r="AB766" s="1226"/>
      <c r="AC766" s="1226"/>
      <c r="AD766" s="1226"/>
      <c r="AE766" s="1226"/>
      <c r="AF766" s="1226"/>
      <c r="AG766" s="1226"/>
      <c r="AH766" s="1226"/>
      <c r="AI766" s="1226"/>
      <c r="AJ766" s="1226"/>
      <c r="AK766" s="1226"/>
      <c r="AL766" s="1226"/>
      <c r="AM766" s="1226"/>
      <c r="AN766" s="1226"/>
      <c r="AO766" s="1226"/>
      <c r="AP766" s="1226"/>
      <c r="AQ766" s="1226"/>
      <c r="AR766" s="1226"/>
      <c r="AS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X766" s="187"/>
      <c r="DY766" s="187"/>
      <c r="DZ766" s="187"/>
      <c r="EA766" s="187"/>
      <c r="EB766" s="187"/>
      <c r="EC766" s="187"/>
      <c r="ED766" s="187"/>
      <c r="EE766" s="187"/>
      <c r="EF766" s="187"/>
      <c r="EG766" s="187"/>
      <c r="EH766" s="187"/>
      <c r="EI766" s="187"/>
      <c r="EJ766" s="187"/>
      <c r="EK766" s="187"/>
      <c r="EL766" s="187"/>
      <c r="EM766" s="187"/>
      <c r="EN766" s="187"/>
      <c r="EO766" s="187"/>
      <c r="EP766" s="187"/>
      <c r="EQ766" s="187"/>
      <c r="ER766" s="187"/>
      <c r="ES766" s="187"/>
      <c r="ET766" s="187"/>
      <c r="EU766" s="187"/>
      <c r="EV766" s="187"/>
      <c r="EW766" s="187"/>
      <c r="EX766" s="187"/>
      <c r="EY766" s="187"/>
      <c r="EZ766" s="187"/>
      <c r="FA766" s="187"/>
    </row>
    <row r="767" spans="1:159" ht="13" customHeight="1">
      <c r="A767" s="2"/>
      <c r="B767" s="840"/>
      <c r="C767" s="1226"/>
      <c r="D767" s="1226"/>
      <c r="E767" s="1226"/>
      <c r="F767" s="1226"/>
      <c r="G767" s="1226"/>
      <c r="H767" s="1226"/>
      <c r="I767" s="1226"/>
      <c r="J767" s="1226"/>
      <c r="K767" s="1226"/>
      <c r="L767" s="1226"/>
      <c r="M767" s="1226"/>
      <c r="N767" s="1226"/>
      <c r="O767" s="1226"/>
      <c r="P767" s="1226"/>
      <c r="Q767" s="1226"/>
      <c r="R767" s="1226"/>
      <c r="S767" s="1226"/>
      <c r="T767" s="1226"/>
      <c r="U767" s="1226"/>
      <c r="V767" s="1226"/>
      <c r="W767" s="1226"/>
      <c r="X767" s="1226"/>
      <c r="Y767" s="1226"/>
      <c r="Z767" s="1226"/>
      <c r="AA767" s="1226"/>
      <c r="AB767" s="1226"/>
      <c r="AC767" s="1226"/>
      <c r="AD767" s="1226"/>
      <c r="AE767" s="1226"/>
      <c r="AF767" s="1226"/>
      <c r="AG767" s="1226"/>
      <c r="AH767" s="1226"/>
      <c r="AI767" s="1226"/>
      <c r="AJ767" s="1226"/>
      <c r="AK767" s="1226"/>
      <c r="AL767" s="1226"/>
      <c r="AM767" s="1226"/>
      <c r="AN767" s="1226"/>
      <c r="AO767" s="1226"/>
      <c r="AP767" s="1226"/>
      <c r="AQ767" s="1226"/>
      <c r="AR767" s="1226"/>
      <c r="AS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row>
    <row r="768" spans="1:159" ht="13" customHeight="1">
      <c r="A768" s="2"/>
      <c r="B768" s="840"/>
      <c r="C768" s="1226"/>
      <c r="D768" s="1226"/>
      <c r="E768" s="1226"/>
      <c r="F768" s="1226"/>
      <c r="G768" s="1226"/>
      <c r="H768" s="1226"/>
      <c r="I768" s="1226"/>
      <c r="J768" s="1226"/>
      <c r="K768" s="1226"/>
      <c r="L768" s="1226"/>
      <c r="M768" s="1226"/>
      <c r="N768" s="1226"/>
      <c r="O768" s="1226"/>
      <c r="P768" s="1226"/>
      <c r="Q768" s="1226"/>
      <c r="R768" s="1226"/>
      <c r="S768" s="1226"/>
      <c r="T768" s="1226"/>
      <c r="U768" s="1226"/>
      <c r="V768" s="1226"/>
      <c r="W768" s="1226"/>
      <c r="X768" s="1226"/>
      <c r="Y768" s="1226"/>
      <c r="Z768" s="1226"/>
      <c r="AA768" s="1226"/>
      <c r="AB768" s="1226"/>
      <c r="AC768" s="1226"/>
      <c r="AD768" s="1226"/>
      <c r="AE768" s="1226"/>
      <c r="AF768" s="1226"/>
      <c r="AG768" s="1226"/>
      <c r="AH768" s="1226"/>
      <c r="AI768" s="1226"/>
      <c r="AJ768" s="1226"/>
      <c r="AK768" s="1226"/>
      <c r="AL768" s="1226"/>
      <c r="AM768" s="1226"/>
      <c r="AN768" s="1226"/>
      <c r="AO768" s="1226"/>
      <c r="AP768" s="1226"/>
      <c r="AQ768" s="1226"/>
      <c r="AR768" s="1226"/>
      <c r="AS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row>
    <row r="769" spans="1:157" ht="13" customHeight="1">
      <c r="J769" s="1424" t="s">
        <v>1543</v>
      </c>
      <c r="K769" s="1425"/>
      <c r="L769" s="1425"/>
      <c r="M769" s="1425"/>
      <c r="N769" s="1426"/>
      <c r="O769" s="1343" t="s">
        <v>1544</v>
      </c>
      <c r="P769" s="1343"/>
      <c r="Q769" s="1343"/>
      <c r="R769" s="1343"/>
      <c r="S769" s="1343"/>
      <c r="T769" s="1323" t="s">
        <v>1545</v>
      </c>
      <c r="U769" s="1324"/>
      <c r="V769" s="1324"/>
      <c r="W769" s="1325"/>
      <c r="X769" s="1424" t="s">
        <v>1546</v>
      </c>
      <c r="Y769" s="1425"/>
      <c r="Z769" s="1425"/>
      <c r="AA769" s="1425"/>
      <c r="AB769" s="1426"/>
      <c r="AC769" s="1424" t="s">
        <v>1564</v>
      </c>
      <c r="AD769" s="1425"/>
      <c r="AE769" s="1425"/>
      <c r="AF769" s="1425"/>
      <c r="AG769" s="1426"/>
      <c r="AH769" s="69"/>
      <c r="AI769" s="69"/>
      <c r="AJ769" s="69"/>
      <c r="AK769" s="69"/>
      <c r="AL769" s="69"/>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row>
    <row r="770" spans="1:157" ht="13" customHeight="1">
      <c r="J770" s="1427"/>
      <c r="K770" s="1428"/>
      <c r="L770" s="1428"/>
      <c r="M770" s="1428"/>
      <c r="N770" s="1429"/>
      <c r="O770" s="1343"/>
      <c r="P770" s="1343"/>
      <c r="Q770" s="1343"/>
      <c r="R770" s="1343"/>
      <c r="S770" s="1343"/>
      <c r="T770" s="1326"/>
      <c r="U770" s="1327"/>
      <c r="V770" s="1327"/>
      <c r="W770" s="1328"/>
      <c r="X770" s="1427"/>
      <c r="Y770" s="1428"/>
      <c r="Z770" s="1428"/>
      <c r="AA770" s="1428"/>
      <c r="AB770" s="1429"/>
      <c r="AC770" s="1427"/>
      <c r="AD770" s="1428"/>
      <c r="AE770" s="1428"/>
      <c r="AF770" s="1428"/>
      <c r="AG770" s="1429"/>
      <c r="AH770" s="69"/>
      <c r="AI770" s="69"/>
      <c r="AJ770" s="69"/>
      <c r="AK770" s="69"/>
      <c r="AL770" s="69"/>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row>
    <row r="771" spans="1:157" ht="13" customHeight="1">
      <c r="J771" s="1427"/>
      <c r="K771" s="1428"/>
      <c r="L771" s="1428"/>
      <c r="M771" s="1428"/>
      <c r="N771" s="1429"/>
      <c r="O771" s="1343"/>
      <c r="P771" s="1343"/>
      <c r="Q771" s="1343"/>
      <c r="R771" s="1343"/>
      <c r="S771" s="1343"/>
      <c r="T771" s="1326"/>
      <c r="U771" s="1327"/>
      <c r="V771" s="1327"/>
      <c r="W771" s="1328"/>
      <c r="X771" s="1427"/>
      <c r="Y771" s="1428"/>
      <c r="Z771" s="1428"/>
      <c r="AA771" s="1428"/>
      <c r="AB771" s="1429"/>
      <c r="AC771" s="1427"/>
      <c r="AD771" s="1428"/>
      <c r="AE771" s="1428"/>
      <c r="AF771" s="1428"/>
      <c r="AG771" s="1429"/>
      <c r="AH771" s="69"/>
      <c r="AK771" s="69"/>
      <c r="AL771" s="69"/>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row>
    <row r="772" spans="1:157" ht="13" customHeight="1">
      <c r="J772" s="1430"/>
      <c r="K772" s="1431"/>
      <c r="L772" s="1431"/>
      <c r="M772" s="1431"/>
      <c r="N772" s="1432"/>
      <c r="O772" s="1343"/>
      <c r="P772" s="1343"/>
      <c r="Q772" s="1343"/>
      <c r="R772" s="1343"/>
      <c r="S772" s="1343"/>
      <c r="T772" s="1329"/>
      <c r="U772" s="1330"/>
      <c r="V772" s="1330"/>
      <c r="W772" s="1331"/>
      <c r="X772" s="1430"/>
      <c r="Y772" s="1431"/>
      <c r="Z772" s="1431"/>
      <c r="AA772" s="1431"/>
      <c r="AB772" s="1432"/>
      <c r="AC772" s="1430"/>
      <c r="AD772" s="1431"/>
      <c r="AE772" s="1431"/>
      <c r="AF772" s="1431"/>
      <c r="AG772" s="1432"/>
      <c r="AH772" s="69"/>
      <c r="AI772" s="69"/>
      <c r="AJ772" s="69"/>
      <c r="AK772" s="69"/>
      <c r="AL772" s="69"/>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row>
    <row r="773" spans="1:157" ht="13" customHeight="1">
      <c r="J773" s="1313" t="s">
        <v>1380</v>
      </c>
      <c r="K773" s="1314"/>
      <c r="L773" s="1314"/>
      <c r="M773" s="1314"/>
      <c r="N773" s="1315"/>
      <c r="O773" s="1339">
        <v>1</v>
      </c>
      <c r="P773" s="1339"/>
      <c r="Q773" s="1339"/>
      <c r="R773" s="1339"/>
      <c r="S773" s="1339"/>
      <c r="T773" s="1310">
        <v>930</v>
      </c>
      <c r="U773" s="1311"/>
      <c r="V773" s="1311"/>
      <c r="W773" s="1312"/>
      <c r="X773" s="1316">
        <v>0</v>
      </c>
      <c r="Y773" s="1317"/>
      <c r="Z773" s="1317"/>
      <c r="AA773" s="1317"/>
      <c r="AB773" s="1318"/>
      <c r="AC773" s="1340">
        <f>X773*O773</f>
        <v>0</v>
      </c>
      <c r="AD773" s="1341"/>
      <c r="AE773" s="1341"/>
      <c r="AF773" s="1341"/>
      <c r="AG773" s="1342"/>
      <c r="AH773" s="1059"/>
      <c r="AI773" s="69"/>
      <c r="AJ773" s="69"/>
      <c r="AK773" s="1059"/>
      <c r="AL773" s="1059"/>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row>
    <row r="774" spans="1:157" ht="13" customHeight="1">
      <c r="J774" s="1313"/>
      <c r="K774" s="1314"/>
      <c r="L774" s="1314"/>
      <c r="M774" s="1314"/>
      <c r="N774" s="1315"/>
      <c r="O774" s="1339"/>
      <c r="P774" s="1339"/>
      <c r="Q774" s="1339"/>
      <c r="R774" s="1339"/>
      <c r="S774" s="1339"/>
      <c r="T774" s="1310"/>
      <c r="U774" s="1311"/>
      <c r="V774" s="1311"/>
      <c r="W774" s="1312"/>
      <c r="X774" s="1316"/>
      <c r="Y774" s="1317"/>
      <c r="Z774" s="1317"/>
      <c r="AA774" s="1317"/>
      <c r="AB774" s="1318"/>
      <c r="AC774" s="1340">
        <f>X774*O774</f>
        <v>0</v>
      </c>
      <c r="AD774" s="1341"/>
      <c r="AE774" s="1341"/>
      <c r="AF774" s="1341"/>
      <c r="AG774" s="1342"/>
      <c r="AH774" s="1059"/>
      <c r="AI774" s="1059"/>
      <c r="AJ774" s="1059"/>
      <c r="AK774" s="1059"/>
      <c r="AL774" s="1059"/>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row>
    <row r="775" spans="1:157" ht="13" customHeight="1">
      <c r="J775" s="1313"/>
      <c r="K775" s="1314"/>
      <c r="L775" s="1314"/>
      <c r="M775" s="1314"/>
      <c r="N775" s="1315"/>
      <c r="O775" s="1339"/>
      <c r="P775" s="1339"/>
      <c r="Q775" s="1339"/>
      <c r="R775" s="1339"/>
      <c r="S775" s="1339"/>
      <c r="T775" s="1310"/>
      <c r="U775" s="1311"/>
      <c r="V775" s="1311"/>
      <c r="W775" s="1312"/>
      <c r="X775" s="1316"/>
      <c r="Y775" s="1317"/>
      <c r="Z775" s="1317"/>
      <c r="AA775" s="1317"/>
      <c r="AB775" s="1318"/>
      <c r="AC775" s="1340">
        <f>X775*O775</f>
        <v>0</v>
      </c>
      <c r="AD775" s="1341"/>
      <c r="AE775" s="1341"/>
      <c r="AF775" s="1341"/>
      <c r="AG775" s="1342"/>
      <c r="AH775" s="1059"/>
      <c r="AI775" s="1059"/>
      <c r="AJ775" s="1059"/>
      <c r="AK775" s="1059"/>
      <c r="AL775" s="1059"/>
      <c r="AV775">
        <f>SUM(AW751:AW774)</f>
        <v>0</v>
      </c>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row>
    <row r="776" spans="1:157" ht="13" customHeight="1">
      <c r="J776" s="1313"/>
      <c r="K776" s="1314"/>
      <c r="L776" s="1314"/>
      <c r="M776" s="1314"/>
      <c r="N776" s="1315"/>
      <c r="O776" s="1339"/>
      <c r="P776" s="1339"/>
      <c r="Q776" s="1339"/>
      <c r="R776" s="1339"/>
      <c r="S776" s="1339"/>
      <c r="T776" s="1310"/>
      <c r="U776" s="1311"/>
      <c r="V776" s="1311"/>
      <c r="W776" s="1312"/>
      <c r="X776" s="1316"/>
      <c r="Y776" s="1317"/>
      <c r="Z776" s="1317"/>
      <c r="AA776" s="1317"/>
      <c r="AB776" s="1318"/>
      <c r="AC776" s="1340">
        <f>X776*O776</f>
        <v>0</v>
      </c>
      <c r="AD776" s="1341"/>
      <c r="AE776" s="1341"/>
      <c r="AF776" s="1341"/>
      <c r="AG776" s="1342"/>
      <c r="AH776" s="1059"/>
      <c r="AI776" s="1059"/>
      <c r="AJ776" s="1059"/>
      <c r="AK776" s="1059"/>
      <c r="AL776" s="1059"/>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row>
    <row r="777" spans="1:157" ht="13" customHeight="1">
      <c r="J777" s="1418" t="s">
        <v>1552</v>
      </c>
      <c r="K777" s="1419"/>
      <c r="L777" s="1419"/>
      <c r="M777" s="1419"/>
      <c r="N777" s="1420"/>
      <c r="O777" s="1410">
        <f>SUM(O773:S776)</f>
        <v>1</v>
      </c>
      <c r="P777" s="1411"/>
      <c r="Q777" s="1411"/>
      <c r="R777" s="1411"/>
      <c r="S777" s="1412"/>
      <c r="X777" s="1418" t="s">
        <v>1553</v>
      </c>
      <c r="Y777" s="1419"/>
      <c r="Z777" s="1419"/>
      <c r="AA777" s="1419"/>
      <c r="AB777" s="1420"/>
      <c r="AC777" s="1340">
        <f>SUM(AC773:AG776)</f>
        <v>0</v>
      </c>
      <c r="AD777" s="1341"/>
      <c r="AE777" s="1341"/>
      <c r="AF777" s="1341"/>
      <c r="AG777" s="1342"/>
      <c r="AI777" s="1059"/>
      <c r="AJ777" s="1059"/>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row>
    <row r="778" spans="1:157" ht="13" customHeight="1">
      <c r="J778" s="38"/>
      <c r="K778" s="38"/>
      <c r="L778" s="38"/>
      <c r="M778" s="38"/>
      <c r="N778" s="38"/>
      <c r="O778" s="1148"/>
      <c r="P778" s="1148"/>
      <c r="Q778" s="1148"/>
      <c r="R778" s="1148"/>
      <c r="S778" s="1148"/>
      <c r="T778" s="38"/>
      <c r="U778" s="38"/>
      <c r="V778" s="38"/>
      <c r="W778" s="38"/>
      <c r="X778" s="38"/>
      <c r="Y778" s="791"/>
      <c r="Z778" s="1126"/>
      <c r="AA778" s="1126"/>
      <c r="AB778" s="1126"/>
      <c r="AC778" s="1126"/>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row>
    <row r="779" spans="1:157" ht="13" customHeight="1">
      <c r="B779" s="38"/>
      <c r="C779" s="38"/>
      <c r="D779" s="38"/>
      <c r="E779" s="38"/>
      <c r="F779" s="38"/>
      <c r="G779" s="1148"/>
      <c r="H779" s="1148"/>
      <c r="I779" s="1148"/>
      <c r="J779" s="1563" t="s">
        <v>895</v>
      </c>
      <c r="K779" s="1563"/>
      <c r="L779" s="38"/>
      <c r="M779" s="68" t="s">
        <v>1565</v>
      </c>
      <c r="N779" s="38"/>
      <c r="O779" s="38"/>
      <c r="P779" s="38"/>
      <c r="Q779" s="1148"/>
      <c r="R779" s="1148"/>
      <c r="S779" s="1148"/>
      <c r="T779" s="1148"/>
      <c r="U779" s="1148"/>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row>
    <row r="780" spans="1:157" ht="13" customHeight="1">
      <c r="B780" s="38"/>
      <c r="C780" s="38"/>
      <c r="D780" s="38"/>
      <c r="E780" s="38"/>
      <c r="F780" s="38"/>
      <c r="G780" s="1148"/>
      <c r="H780" s="1148"/>
      <c r="I780" s="1148"/>
      <c r="J780" s="1148"/>
      <c r="K780" s="1148"/>
      <c r="L780" s="38"/>
      <c r="M780" s="68" t="s">
        <v>1566</v>
      </c>
      <c r="N780" s="38"/>
      <c r="O780" s="38"/>
      <c r="P780" s="38"/>
      <c r="Q780" s="1148"/>
      <c r="R780" s="1148"/>
      <c r="S780" s="1148"/>
      <c r="T780" s="1148"/>
      <c r="U780" s="1148"/>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row>
    <row r="781" spans="1:157" ht="13" customHeight="1">
      <c r="A781" s="1" t="s">
        <v>1042</v>
      </c>
      <c r="B781" s="1118"/>
      <c r="C781" s="1118" t="s">
        <v>208</v>
      </c>
      <c r="D781" s="38"/>
      <c r="E781" s="38"/>
      <c r="F781" s="38"/>
      <c r="G781" s="1148"/>
      <c r="H781" s="1148"/>
      <c r="I781" s="1148"/>
      <c r="J781" s="1148"/>
      <c r="K781" s="1148"/>
      <c r="L781" s="38"/>
      <c r="M781" s="38"/>
      <c r="N781" s="38"/>
      <c r="O781" s="38"/>
      <c r="P781" s="38"/>
      <c r="Q781" s="1148"/>
      <c r="R781" s="1148"/>
      <c r="S781" s="1148"/>
      <c r="T781" s="1148"/>
      <c r="U781" s="1148"/>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row>
    <row r="782" spans="1:157" ht="13" customHeight="1">
      <c r="B782" s="38"/>
      <c r="C782" s="38"/>
      <c r="D782" s="38"/>
      <c r="E782" s="38"/>
      <c r="F782" s="38"/>
      <c r="G782" s="1148"/>
      <c r="H782" s="1148"/>
      <c r="I782" s="1148"/>
      <c r="J782" s="383"/>
      <c r="K782" s="1148"/>
      <c r="L782" s="38"/>
      <c r="M782" s="38"/>
      <c r="N782" s="38"/>
      <c r="O782" s="38"/>
      <c r="P782" s="38"/>
      <c r="Q782" s="1148"/>
      <c r="R782" s="1148"/>
      <c r="S782" s="1148"/>
      <c r="T782" s="1148"/>
      <c r="U782" s="1148"/>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row>
    <row r="783" spans="1:157" ht="13" customHeight="1">
      <c r="J783" s="1424" t="s">
        <v>1543</v>
      </c>
      <c r="K783" s="1425"/>
      <c r="L783" s="1425"/>
      <c r="M783" s="1425"/>
      <c r="N783" s="1426"/>
      <c r="O783" s="1343" t="s">
        <v>1544</v>
      </c>
      <c r="P783" s="1343"/>
      <c r="Q783" s="1343"/>
      <c r="R783" s="1343"/>
      <c r="S783" s="1343"/>
      <c r="T783" s="1323" t="s">
        <v>1545</v>
      </c>
      <c r="U783" s="1324"/>
      <c r="V783" s="1324"/>
      <c r="W783" s="1325"/>
      <c r="X783" s="1424" t="s">
        <v>1546</v>
      </c>
      <c r="Y783" s="1425"/>
      <c r="Z783" s="1425"/>
      <c r="AA783" s="1425"/>
      <c r="AB783" s="1426"/>
      <c r="AC783" s="1424" t="s">
        <v>1564</v>
      </c>
      <c r="AD783" s="1425"/>
      <c r="AE783" s="1425"/>
      <c r="AF783" s="1425"/>
      <c r="AG783" s="1426"/>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row>
    <row r="784" spans="1:157" ht="13" customHeight="1">
      <c r="J784" s="1427"/>
      <c r="K784" s="1428"/>
      <c r="L784" s="1428"/>
      <c r="M784" s="1428"/>
      <c r="N784" s="1429"/>
      <c r="O784" s="1343"/>
      <c r="P784" s="1343"/>
      <c r="Q784" s="1343"/>
      <c r="R784" s="1343"/>
      <c r="S784" s="1343"/>
      <c r="T784" s="1326"/>
      <c r="U784" s="1327"/>
      <c r="V784" s="1327"/>
      <c r="W784" s="1328"/>
      <c r="X784" s="1427"/>
      <c r="Y784" s="1428"/>
      <c r="Z784" s="1428"/>
      <c r="AA784" s="1428"/>
      <c r="AB784" s="1429"/>
      <c r="AC784" s="1427"/>
      <c r="AD784" s="1428"/>
      <c r="AE784" s="1428"/>
      <c r="AF784" s="1428"/>
      <c r="AG784" s="1429"/>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row>
    <row r="785" spans="1:159" ht="13" customHeight="1">
      <c r="J785" s="1427"/>
      <c r="K785" s="1428"/>
      <c r="L785" s="1428"/>
      <c r="M785" s="1428"/>
      <c r="N785" s="1429"/>
      <c r="O785" s="1343"/>
      <c r="P785" s="1343"/>
      <c r="Q785" s="1343"/>
      <c r="R785" s="1343"/>
      <c r="S785" s="1343"/>
      <c r="T785" s="1326"/>
      <c r="U785" s="1327"/>
      <c r="V785" s="1327"/>
      <c r="W785" s="1328"/>
      <c r="X785" s="1427"/>
      <c r="Y785" s="1428"/>
      <c r="Z785" s="1428"/>
      <c r="AA785" s="1428"/>
      <c r="AB785" s="1429"/>
      <c r="AC785" s="1427"/>
      <c r="AD785" s="1428"/>
      <c r="AE785" s="1428"/>
      <c r="AF785" s="1428"/>
      <c r="AG785" s="1429"/>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row>
    <row r="786" spans="1:159" ht="13" customHeight="1">
      <c r="J786" s="1430"/>
      <c r="K786" s="1431"/>
      <c r="L786" s="1431"/>
      <c r="M786" s="1431"/>
      <c r="N786" s="1432"/>
      <c r="O786" s="1343"/>
      <c r="P786" s="1343"/>
      <c r="Q786" s="1343"/>
      <c r="R786" s="1343"/>
      <c r="S786" s="1343"/>
      <c r="T786" s="1329"/>
      <c r="U786" s="1330"/>
      <c r="V786" s="1330"/>
      <c r="W786" s="1331"/>
      <c r="X786" s="1430"/>
      <c r="Y786" s="1431"/>
      <c r="Z786" s="1431"/>
      <c r="AA786" s="1431"/>
      <c r="AB786" s="1432"/>
      <c r="AC786" s="1430"/>
      <c r="AD786" s="1431"/>
      <c r="AE786" s="1431"/>
      <c r="AF786" s="1431"/>
      <c r="AG786" s="143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row>
    <row r="787" spans="1:159" ht="13" customHeight="1">
      <c r="J787" s="1313"/>
      <c r="K787" s="1314"/>
      <c r="L787" s="1314"/>
      <c r="M787" s="1314"/>
      <c r="N787" s="1315"/>
      <c r="O787" s="1339"/>
      <c r="P787" s="1339"/>
      <c r="Q787" s="1339"/>
      <c r="R787" s="1339"/>
      <c r="S787" s="1339"/>
      <c r="T787" s="1310"/>
      <c r="U787" s="1311"/>
      <c r="V787" s="1311"/>
      <c r="W787" s="1312"/>
      <c r="X787" s="1316"/>
      <c r="Y787" s="1317"/>
      <c r="Z787" s="1317"/>
      <c r="AA787" s="1317"/>
      <c r="AB787" s="1318"/>
      <c r="AC787" s="1340">
        <f t="shared" ref="AC787:AC796" si="62">X787*O787</f>
        <v>0</v>
      </c>
      <c r="AD787" s="1341"/>
      <c r="AE787" s="1341"/>
      <c r="AF787" s="1341"/>
      <c r="AG787" s="134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row>
    <row r="788" spans="1:159" s="12" customFormat="1" ht="13" customHeight="1">
      <c r="A788"/>
      <c r="B788"/>
      <c r="C788"/>
      <c r="D788"/>
      <c r="E788"/>
      <c r="F788"/>
      <c r="G788"/>
      <c r="H788"/>
      <c r="I788"/>
      <c r="J788" s="1313"/>
      <c r="K788" s="1314"/>
      <c r="L788" s="1314"/>
      <c r="M788" s="1314"/>
      <c r="N788" s="1315"/>
      <c r="O788" s="1339"/>
      <c r="P788" s="1339"/>
      <c r="Q788" s="1339"/>
      <c r="R788" s="1339"/>
      <c r="S788" s="1339"/>
      <c r="T788" s="1310"/>
      <c r="U788" s="1311"/>
      <c r="V788" s="1311"/>
      <c r="W788" s="1312"/>
      <c r="X788" s="1316"/>
      <c r="Y788" s="1317"/>
      <c r="Z788" s="1317"/>
      <c r="AA788" s="1317"/>
      <c r="AB788" s="1318"/>
      <c r="AC788" s="1340">
        <f t="shared" si="62"/>
        <v>0</v>
      </c>
      <c r="AD788" s="1341"/>
      <c r="AE788" s="1341"/>
      <c r="AF788" s="1341"/>
      <c r="AG788" s="1342"/>
      <c r="AH788"/>
      <c r="AI788"/>
      <c r="AJ788"/>
      <c r="AK788"/>
      <c r="AL788"/>
      <c r="AM788"/>
      <c r="AN788"/>
      <c r="AO788"/>
      <c r="AP788"/>
      <c r="AQ788"/>
      <c r="AR788"/>
      <c r="AS788"/>
      <c r="AT788"/>
      <c r="AU788"/>
      <c r="AV788"/>
      <c r="AW788"/>
      <c r="AX788"/>
      <c r="AY788"/>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2" customFormat="1" ht="13" customHeight="1">
      <c r="A789"/>
      <c r="B789"/>
      <c r="C789"/>
      <c r="D789"/>
      <c r="E789"/>
      <c r="F789"/>
      <c r="G789"/>
      <c r="H789"/>
      <c r="I789"/>
      <c r="J789" s="1313"/>
      <c r="K789" s="1314"/>
      <c r="L789" s="1314"/>
      <c r="M789" s="1314"/>
      <c r="N789" s="1315"/>
      <c r="O789" s="1339"/>
      <c r="P789" s="1339"/>
      <c r="Q789" s="1339"/>
      <c r="R789" s="1339"/>
      <c r="S789" s="1339"/>
      <c r="T789" s="1310"/>
      <c r="U789" s="1311"/>
      <c r="V789" s="1311"/>
      <c r="W789" s="1312"/>
      <c r="X789" s="1316"/>
      <c r="Y789" s="1317"/>
      <c r="Z789" s="1317"/>
      <c r="AA789" s="1317"/>
      <c r="AB789" s="1318"/>
      <c r="AC789" s="1340">
        <f t="shared" si="62"/>
        <v>0</v>
      </c>
      <c r="AD789" s="1341"/>
      <c r="AE789" s="1341"/>
      <c r="AF789" s="1341"/>
      <c r="AG789" s="1342"/>
      <c r="AH789"/>
      <c r="AI789"/>
      <c r="AJ789"/>
      <c r="AK789"/>
      <c r="AL789"/>
      <c r="AM789"/>
      <c r="AN789"/>
      <c r="AO789"/>
      <c r="AP789"/>
      <c r="AQ789"/>
      <c r="AR789"/>
      <c r="AS789"/>
      <c r="AT789"/>
      <c r="AU789"/>
      <c r="AV789"/>
      <c r="AW789"/>
      <c r="AX789"/>
      <c r="AY789"/>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2" customFormat="1" ht="13" customHeight="1">
      <c r="A790"/>
      <c r="B790"/>
      <c r="C790"/>
      <c r="D790"/>
      <c r="E790"/>
      <c r="F790"/>
      <c r="G790"/>
      <c r="H790"/>
      <c r="I790"/>
      <c r="J790" s="1313"/>
      <c r="K790" s="1314"/>
      <c r="L790" s="1314"/>
      <c r="M790" s="1314"/>
      <c r="N790" s="1315"/>
      <c r="O790" s="1339"/>
      <c r="P790" s="1339"/>
      <c r="Q790" s="1339"/>
      <c r="R790" s="1339"/>
      <c r="S790" s="1339"/>
      <c r="T790" s="1310"/>
      <c r="U790" s="1311"/>
      <c r="V790" s="1311"/>
      <c r="W790" s="1312"/>
      <c r="X790" s="1316"/>
      <c r="Y790" s="1317"/>
      <c r="Z790" s="1317"/>
      <c r="AA790" s="1317"/>
      <c r="AB790" s="1318"/>
      <c r="AC790" s="1340">
        <f t="shared" si="62"/>
        <v>0</v>
      </c>
      <c r="AD790" s="1341"/>
      <c r="AE790" s="1341"/>
      <c r="AF790" s="1341"/>
      <c r="AG790" s="1342"/>
      <c r="AH790"/>
      <c r="AI790"/>
      <c r="AJ790"/>
      <c r="AK790"/>
      <c r="AL790"/>
      <c r="AM790"/>
      <c r="AN790"/>
      <c r="AO790"/>
      <c r="AP790"/>
      <c r="AQ790"/>
      <c r="AR790"/>
      <c r="AS790"/>
      <c r="AT790"/>
      <c r="AU790"/>
      <c r="AV790"/>
      <c r="AW790"/>
      <c r="AX790"/>
      <c r="AY790"/>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2" customFormat="1" ht="13" customHeight="1">
      <c r="A791"/>
      <c r="B791"/>
      <c r="C791"/>
      <c r="D791"/>
      <c r="E791"/>
      <c r="F791"/>
      <c r="G791"/>
      <c r="H791"/>
      <c r="I791"/>
      <c r="J791" s="1313"/>
      <c r="K791" s="1314"/>
      <c r="L791" s="1314"/>
      <c r="M791" s="1314"/>
      <c r="N791" s="1315"/>
      <c r="O791" s="1339"/>
      <c r="P791" s="1339"/>
      <c r="Q791" s="1339"/>
      <c r="R791" s="1339"/>
      <c r="S791" s="1339"/>
      <c r="T791" s="1310"/>
      <c r="U791" s="1311"/>
      <c r="V791" s="1311"/>
      <c r="W791" s="1312"/>
      <c r="X791" s="1316"/>
      <c r="Y791" s="1317"/>
      <c r="Z791" s="1317"/>
      <c r="AA791" s="1317"/>
      <c r="AB791" s="1318"/>
      <c r="AC791" s="1340">
        <f t="shared" si="62"/>
        <v>0</v>
      </c>
      <c r="AD791" s="1341"/>
      <c r="AE791" s="1341"/>
      <c r="AF791" s="1341"/>
      <c r="AG791" s="1342"/>
      <c r="AH791"/>
      <c r="AI791"/>
      <c r="AJ791"/>
      <c r="AK791"/>
      <c r="AL791"/>
      <c r="AM791"/>
      <c r="AN791"/>
      <c r="AO791"/>
      <c r="AP791"/>
      <c r="AQ791"/>
      <c r="AR791"/>
      <c r="AS791"/>
      <c r="AT791"/>
      <c r="AU791"/>
      <c r="AV791"/>
      <c r="AW791"/>
      <c r="AX791"/>
      <c r="AY791"/>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2" customFormat="1" ht="13" customHeight="1">
      <c r="A792"/>
      <c r="B792"/>
      <c r="C792"/>
      <c r="D792"/>
      <c r="E792"/>
      <c r="F792"/>
      <c r="G792"/>
      <c r="H792"/>
      <c r="I792"/>
      <c r="J792" s="1313"/>
      <c r="K792" s="1314"/>
      <c r="L792" s="1314"/>
      <c r="M792" s="1314"/>
      <c r="N792" s="1315"/>
      <c r="O792" s="1339"/>
      <c r="P792" s="1339"/>
      <c r="Q792" s="1339"/>
      <c r="R792" s="1339"/>
      <c r="S792" s="1339"/>
      <c r="T792" s="1310"/>
      <c r="U792" s="1311"/>
      <c r="V792" s="1311"/>
      <c r="W792" s="1312"/>
      <c r="X792" s="1316"/>
      <c r="Y792" s="1317"/>
      <c r="Z792" s="1317"/>
      <c r="AA792" s="1317"/>
      <c r="AB792" s="1318"/>
      <c r="AC792" s="1340">
        <f t="shared" si="62"/>
        <v>0</v>
      </c>
      <c r="AD792" s="1341"/>
      <c r="AE792" s="1341"/>
      <c r="AF792" s="1341"/>
      <c r="AG792" s="1342"/>
      <c r="AH792"/>
      <c r="AI792"/>
      <c r="AJ792"/>
      <c r="AK792"/>
      <c r="AL792"/>
      <c r="AM792"/>
      <c r="AN792"/>
      <c r="AO792"/>
      <c r="AP792"/>
      <c r="AQ792"/>
      <c r="AR792"/>
      <c r="AS792"/>
      <c r="AT792"/>
      <c r="AU792"/>
      <c r="AV792"/>
      <c r="AW792"/>
      <c r="AX792"/>
      <c r="AY79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2" customFormat="1" ht="13" customHeight="1">
      <c r="A793"/>
      <c r="B793"/>
      <c r="C793"/>
      <c r="D793"/>
      <c r="E793"/>
      <c r="F793"/>
      <c r="G793"/>
      <c r="H793"/>
      <c r="I793"/>
      <c r="J793" s="1313"/>
      <c r="K793" s="1314"/>
      <c r="L793" s="1314"/>
      <c r="M793" s="1314"/>
      <c r="N793" s="1315"/>
      <c r="O793" s="1339"/>
      <c r="P793" s="1339"/>
      <c r="Q793" s="1339"/>
      <c r="R793" s="1339"/>
      <c r="S793" s="1339"/>
      <c r="T793" s="1310"/>
      <c r="U793" s="1311"/>
      <c r="V793" s="1311"/>
      <c r="W793" s="1312"/>
      <c r="X793" s="1316"/>
      <c r="Y793" s="1317"/>
      <c r="Z793" s="1317"/>
      <c r="AA793" s="1317"/>
      <c r="AB793" s="1318"/>
      <c r="AC793" s="1340">
        <f t="shared" si="62"/>
        <v>0</v>
      </c>
      <c r="AD793" s="1341"/>
      <c r="AE793" s="1341"/>
      <c r="AF793" s="1341"/>
      <c r="AG793" s="1342"/>
      <c r="AH793"/>
      <c r="AI793"/>
      <c r="AJ793"/>
      <c r="AK793"/>
      <c r="AL793"/>
      <c r="AM793"/>
      <c r="AN793"/>
      <c r="AO793"/>
      <c r="AP793"/>
      <c r="AQ793"/>
      <c r="AR793"/>
      <c r="AS793"/>
      <c r="AT793"/>
      <c r="AU793"/>
      <c r="AV793"/>
      <c r="AW793"/>
      <c r="AX793"/>
      <c r="AY793"/>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2" customFormat="1" ht="13" customHeight="1">
      <c r="A794"/>
      <c r="B794"/>
      <c r="C794"/>
      <c r="D794"/>
      <c r="E794"/>
      <c r="F794"/>
      <c r="G794"/>
      <c r="H794"/>
      <c r="I794"/>
      <c r="J794" s="1313"/>
      <c r="K794" s="1314"/>
      <c r="L794" s="1314"/>
      <c r="M794" s="1314"/>
      <c r="N794" s="1315"/>
      <c r="O794" s="1339"/>
      <c r="P794" s="1339"/>
      <c r="Q794" s="1339"/>
      <c r="R794" s="1339"/>
      <c r="S794" s="1339"/>
      <c r="T794" s="1310"/>
      <c r="U794" s="1311"/>
      <c r="V794" s="1311"/>
      <c r="W794" s="1312"/>
      <c r="X794" s="1316"/>
      <c r="Y794" s="1317"/>
      <c r="Z794" s="1317"/>
      <c r="AA794" s="1317"/>
      <c r="AB794" s="1318"/>
      <c r="AC794" s="1340">
        <f t="shared" si="62"/>
        <v>0</v>
      </c>
      <c r="AD794" s="1341"/>
      <c r="AE794" s="1341"/>
      <c r="AF794" s="1341"/>
      <c r="AG794" s="1342"/>
      <c r="AH794"/>
      <c r="AI794"/>
      <c r="AJ794"/>
      <c r="AK794"/>
      <c r="AL794"/>
      <c r="AM794"/>
      <c r="AN794"/>
      <c r="AO794"/>
      <c r="AP794"/>
      <c r="AQ794"/>
      <c r="AR794"/>
      <c r="AS794"/>
      <c r="AT794"/>
      <c r="AU794"/>
      <c r="AV794"/>
      <c r="AW794"/>
      <c r="AX794"/>
      <c r="AY794"/>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2" customFormat="1" ht="13" customHeight="1">
      <c r="A795"/>
      <c r="B795"/>
      <c r="C795"/>
      <c r="D795"/>
      <c r="E795"/>
      <c r="F795"/>
      <c r="G795"/>
      <c r="H795"/>
      <c r="I795"/>
      <c r="J795" s="1313"/>
      <c r="K795" s="1314"/>
      <c r="L795" s="1314"/>
      <c r="M795" s="1314"/>
      <c r="N795" s="1315"/>
      <c r="O795" s="1339"/>
      <c r="P795" s="1339"/>
      <c r="Q795" s="1339"/>
      <c r="R795" s="1339"/>
      <c r="S795" s="1339"/>
      <c r="T795" s="1310"/>
      <c r="U795" s="1311"/>
      <c r="V795" s="1311"/>
      <c r="W795" s="1312"/>
      <c r="X795" s="1316"/>
      <c r="Y795" s="1317"/>
      <c r="Z795" s="1317"/>
      <c r="AA795" s="1317"/>
      <c r="AB795" s="1318"/>
      <c r="AC795" s="1340">
        <f t="shared" si="62"/>
        <v>0</v>
      </c>
      <c r="AD795" s="1341"/>
      <c r="AE795" s="1341"/>
      <c r="AF795" s="1341"/>
      <c r="AG795" s="1342"/>
      <c r="AH795"/>
      <c r="AI795"/>
      <c r="AJ795"/>
      <c r="AK795"/>
      <c r="AL795"/>
      <c r="AM795"/>
      <c r="AN795"/>
      <c r="AO795"/>
      <c r="AP795"/>
      <c r="AQ795"/>
      <c r="AR795"/>
      <c r="AS795"/>
      <c r="AT795"/>
      <c r="AU795"/>
      <c r="AV795"/>
      <c r="AW795"/>
      <c r="AX795"/>
      <c r="AY795"/>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3" customFormat="1" ht="13" customHeight="1">
      <c r="A796"/>
      <c r="B796"/>
      <c r="C796"/>
      <c r="D796"/>
      <c r="E796"/>
      <c r="F796"/>
      <c r="G796"/>
      <c r="H796"/>
      <c r="I796"/>
      <c r="J796" s="1313"/>
      <c r="K796" s="1314"/>
      <c r="L796" s="1314"/>
      <c r="M796" s="1314"/>
      <c r="N796" s="1315"/>
      <c r="O796" s="1339"/>
      <c r="P796" s="1339"/>
      <c r="Q796" s="1339"/>
      <c r="R796" s="1339"/>
      <c r="S796" s="1339"/>
      <c r="T796" s="1310"/>
      <c r="U796" s="1311"/>
      <c r="V796" s="1311"/>
      <c r="W796" s="1312"/>
      <c r="X796" s="1316"/>
      <c r="Y796" s="1317"/>
      <c r="Z796" s="1317"/>
      <c r="AA796" s="1317"/>
      <c r="AB796" s="1318"/>
      <c r="AC796" s="1340">
        <f t="shared" si="62"/>
        <v>0</v>
      </c>
      <c r="AD796" s="1341"/>
      <c r="AE796" s="1341"/>
      <c r="AF796" s="1341"/>
      <c r="AG796" s="1342"/>
      <c r="AH796"/>
      <c r="AI796"/>
      <c r="AJ796"/>
      <c r="AK796"/>
      <c r="AL796"/>
      <c r="AM796"/>
      <c r="AN796"/>
      <c r="AO796"/>
      <c r="AP796"/>
      <c r="AQ796"/>
      <c r="AR796"/>
      <c r="AS796"/>
      <c r="AT796"/>
      <c r="AU796"/>
      <c r="AV796"/>
      <c r="AW796"/>
      <c r="AX796"/>
      <c r="AY796"/>
      <c r="AZ796" s="2"/>
      <c r="BA796" s="2"/>
      <c r="BB796" s="12" t="s">
        <v>1567</v>
      </c>
      <c r="BC796" s="12"/>
      <c r="BD796" s="12"/>
      <c r="BE796" s="12"/>
      <c r="BF796" s="12"/>
      <c r="BG796" s="12"/>
      <c r="BH796" s="12"/>
      <c r="BI796" s="12"/>
      <c r="BJ796" s="12"/>
      <c r="BK796" s="12"/>
      <c r="BL796" s="12"/>
      <c r="BM796" s="12"/>
      <c r="BN796" s="1619" t="s">
        <v>1568</v>
      </c>
      <c r="BO796" s="1620"/>
      <c r="BP796" s="2"/>
      <c r="BQ796" s="2"/>
      <c r="BR796" s="2"/>
      <c r="BS796" s="12" t="s">
        <v>1569</v>
      </c>
      <c r="BT796" s="12"/>
      <c r="BU796" s="12"/>
      <c r="BV796" s="12"/>
      <c r="BW796" s="12"/>
      <c r="BX796" s="12"/>
      <c r="BY796" s="12"/>
      <c r="BZ796" s="12"/>
      <c r="CA796" s="12"/>
      <c r="CB796" s="1616" t="str">
        <f>T189</f>
        <v>San Benito</v>
      </c>
      <c r="CC796" s="1617"/>
      <c r="CD796" s="1617"/>
      <c r="CE796" s="1617"/>
      <c r="CF796" s="1617"/>
      <c r="CG796" s="1617"/>
      <c r="CH796" s="1618"/>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3" customFormat="1" ht="13" customHeight="1">
      <c r="A797"/>
      <c r="B797"/>
      <c r="C797"/>
      <c r="D797"/>
      <c r="E797"/>
      <c r="F797"/>
      <c r="G797"/>
      <c r="H797"/>
      <c r="I797"/>
      <c r="J797" s="1418" t="s">
        <v>1552</v>
      </c>
      <c r="K797" s="1419"/>
      <c r="L797" s="1419"/>
      <c r="M797" s="1419"/>
      <c r="N797" s="1420"/>
      <c r="O797" s="1433">
        <f>SUM(O787:S796)</f>
        <v>0</v>
      </c>
      <c r="P797" s="1433"/>
      <c r="Q797" s="1433"/>
      <c r="R797" s="1433"/>
      <c r="S797" s="1433"/>
      <c r="T797"/>
      <c r="U797"/>
      <c r="V797"/>
      <c r="W797"/>
      <c r="X797" s="732" t="s">
        <v>1553</v>
      </c>
      <c r="Y797" s="10"/>
      <c r="Z797" s="10"/>
      <c r="AA797" s="10"/>
      <c r="AB797" s="736"/>
      <c r="AC797" s="1340">
        <f>SUM(AC787:AG796)</f>
        <v>0</v>
      </c>
      <c r="AD797" s="1341"/>
      <c r="AE797" s="1341"/>
      <c r="AF797" s="1341"/>
      <c r="AG797" s="1342"/>
      <c r="AH797"/>
      <c r="AI797"/>
      <c r="AJ797"/>
      <c r="AK797"/>
      <c r="AL797"/>
      <c r="AM797"/>
      <c r="AN797"/>
      <c r="AO797"/>
      <c r="AP797"/>
      <c r="AQ797"/>
      <c r="AR797"/>
      <c r="AS797"/>
      <c r="AT797"/>
      <c r="AU797"/>
      <c r="AV797"/>
      <c r="AW797"/>
      <c r="AX797"/>
      <c r="AY797"/>
      <c r="AZ797" s="2"/>
      <c r="BA797"/>
      <c r="BB797"/>
      <c r="BC797"/>
      <c r="BD797"/>
      <c r="BE797"/>
      <c r="BF797"/>
      <c r="BG797"/>
      <c r="BH797"/>
      <c r="BI797"/>
      <c r="BJ797"/>
      <c r="BK797"/>
      <c r="BL797"/>
      <c r="BM797"/>
      <c r="BN797"/>
      <c r="BO797"/>
      <c r="BP797"/>
      <c r="BQ797"/>
      <c r="BR797"/>
      <c r="BS797"/>
      <c r="BT797"/>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3" customFormat="1" ht="13" customHeight="1">
      <c r="A798"/>
      <c r="B798"/>
      <c r="C798" s="1365" t="str">
        <f>IF(O797&lt;&gt;AG438,"! Total market rate units in the Unit Mix Table above does not match the number of  market rate units on row #"&amp;TEXT(ROW(D438),"#"),"")</f>
        <v/>
      </c>
      <c r="D798" s="1365"/>
      <c r="E798" s="1365"/>
      <c r="F798" s="1365"/>
      <c r="G798" s="1365"/>
      <c r="H798" s="1365"/>
      <c r="I798" s="1365"/>
      <c r="J798" s="1365"/>
      <c r="K798" s="1365"/>
      <c r="L798" s="1365"/>
      <c r="M798" s="1365"/>
      <c r="N798" s="1365"/>
      <c r="O798" s="1365"/>
      <c r="P798" s="1365"/>
      <c r="Q798" s="1365"/>
      <c r="R798" s="1365"/>
      <c r="S798" s="1365"/>
      <c r="T798" s="1365"/>
      <c r="U798" s="1365"/>
      <c r="V798" s="1365"/>
      <c r="W798" s="1365"/>
      <c r="X798" s="1365"/>
      <c r="Y798" s="1365"/>
      <c r="Z798" s="1365"/>
      <c r="AA798" s="1365"/>
      <c r="AB798" s="1365"/>
      <c r="AC798" s="1365"/>
      <c r="AD798" s="1365"/>
      <c r="AE798" s="1365"/>
      <c r="AF798" s="1365"/>
      <c r="AG798" s="1365"/>
      <c r="AH798" s="1365"/>
      <c r="AI798" s="1365"/>
      <c r="AJ798" s="1365"/>
      <c r="AK798" s="1365"/>
      <c r="AL798" s="1365"/>
      <c r="AM798" s="1365"/>
      <c r="AN798" s="1365"/>
      <c r="AO798"/>
      <c r="AP798"/>
      <c r="AQ798"/>
      <c r="AR798"/>
      <c r="AS798"/>
      <c r="AT798"/>
      <c r="AU798"/>
      <c r="AV798"/>
      <c r="AW798"/>
      <c r="AX798"/>
      <c r="AY798"/>
      <c r="AZ798" s="24"/>
      <c r="BA798" s="24"/>
      <c r="BB798" s="12"/>
      <c r="BC798" s="12"/>
      <c r="BD798" s="12"/>
      <c r="BE798" s="12"/>
      <c r="BF798" s="12"/>
      <c r="BG798" s="12"/>
      <c r="BH798" s="12"/>
      <c r="BI798" s="12"/>
      <c r="BJ798" s="12"/>
      <c r="BK798" s="12"/>
      <c r="BL798" s="12"/>
      <c r="BM798" s="12"/>
      <c r="BN798" s="43" t="s">
        <v>1568</v>
      </c>
      <c r="BO798" s="12"/>
      <c r="BP798" s="26"/>
      <c r="BQ798" s="26"/>
      <c r="BR798" s="26"/>
      <c r="BS798" s="26"/>
      <c r="BT798" s="26"/>
      <c r="BU798" s="12"/>
      <c r="BV798" s="12"/>
      <c r="BW798" s="12"/>
      <c r="BX798" s="12"/>
      <c r="BY798" s="12"/>
      <c r="BZ798" s="12"/>
      <c r="CA798" s="12"/>
      <c r="CB798" s="12"/>
      <c r="CC798" s="12"/>
      <c r="CD798" s="12"/>
      <c r="CE798" s="12"/>
      <c r="CF798" s="12"/>
      <c r="CG798" s="12"/>
      <c r="CH798" s="12"/>
      <c r="CI798" s="12"/>
      <c r="CJ798" s="12"/>
      <c r="CK798" s="12"/>
      <c r="CL798" s="12"/>
      <c r="CM798" s="12"/>
      <c r="CN798" s="12"/>
      <c r="CO798" s="12"/>
      <c r="CP798" s="12"/>
      <c r="CQ798" s="12"/>
      <c r="CR798" s="12"/>
      <c r="CS798" s="12"/>
      <c r="CT798" s="12"/>
      <c r="CU798" s="12"/>
      <c r="CV798" s="12"/>
      <c r="CW798" s="12"/>
      <c r="CX798" s="12"/>
      <c r="CY798" s="12"/>
      <c r="CZ798" s="12"/>
      <c r="DA798" s="12"/>
      <c r="DB798" s="12"/>
      <c r="DC798" s="12"/>
      <c r="DD798" s="12"/>
      <c r="DE798" s="12"/>
      <c r="DF798" s="12"/>
      <c r="DG798" s="12"/>
      <c r="DH798" s="12"/>
      <c r="DI798" s="12"/>
      <c r="DJ798" s="12"/>
      <c r="DK798" s="12"/>
      <c r="DL798" s="12"/>
      <c r="DM798" s="12"/>
      <c r="DN798" s="12"/>
      <c r="DO798" s="12"/>
      <c r="DP798" s="12"/>
      <c r="DQ798" s="12"/>
      <c r="DR798" s="12"/>
      <c r="DS798" s="12"/>
      <c r="DT798" s="12"/>
      <c r="DU798" s="12"/>
      <c r="DV798" s="12"/>
      <c r="DW798" s="12"/>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2"/>
      <c r="FC798" s="12"/>
    </row>
    <row r="799" spans="1:159" s="3" customFormat="1" ht="13" customHeight="1">
      <c r="A799"/>
      <c r="B799"/>
      <c r="C799" s="1365"/>
      <c r="D799" s="1365"/>
      <c r="E799" s="1365"/>
      <c r="F799" s="1365"/>
      <c r="G799" s="1365"/>
      <c r="H799" s="1365"/>
      <c r="I799" s="1365"/>
      <c r="J799" s="1365"/>
      <c r="K799" s="1365"/>
      <c r="L799" s="1365"/>
      <c r="M799" s="1365"/>
      <c r="N799" s="1365"/>
      <c r="O799" s="1365"/>
      <c r="P799" s="1365"/>
      <c r="Q799" s="1365"/>
      <c r="R799" s="1365"/>
      <c r="S799" s="1365"/>
      <c r="T799" s="1365"/>
      <c r="U799" s="1365"/>
      <c r="V799" s="1365"/>
      <c r="W799" s="1365"/>
      <c r="X799" s="1365"/>
      <c r="Y799" s="1365"/>
      <c r="Z799" s="1365"/>
      <c r="AA799" s="1365"/>
      <c r="AB799" s="1365"/>
      <c r="AC799" s="1365"/>
      <c r="AD799" s="1365"/>
      <c r="AE799" s="1365"/>
      <c r="AF799" s="1365"/>
      <c r="AG799" s="1365"/>
      <c r="AH799" s="1365"/>
      <c r="AI799" s="1365"/>
      <c r="AJ799" s="1365"/>
      <c r="AK799" s="1365"/>
      <c r="AL799" s="1365"/>
      <c r="AM799" s="1365"/>
      <c r="AN799" s="1365"/>
      <c r="AO799"/>
      <c r="AP799"/>
      <c r="AQ799"/>
      <c r="AR799"/>
      <c r="AS799"/>
      <c r="AT799"/>
      <c r="AU799"/>
      <c r="AV799"/>
      <c r="AW799"/>
      <c r="AX799"/>
      <c r="AY799"/>
      <c r="AZ799" s="24"/>
      <c r="BA799" s="24"/>
      <c r="BB799" s="12"/>
      <c r="BC799" s="12"/>
      <c r="BD799" s="12"/>
      <c r="BE799" s="12"/>
      <c r="BF799" s="12"/>
      <c r="BG799" s="12"/>
      <c r="BH799" s="12"/>
      <c r="BI799" s="12"/>
      <c r="BJ799" s="12"/>
      <c r="BK799" s="12"/>
      <c r="BL799" s="12"/>
      <c r="BM799" s="12"/>
      <c r="BN799" s="43" t="s">
        <v>1570</v>
      </c>
      <c r="BO799" s="25" t="s">
        <v>1571</v>
      </c>
      <c r="BP799" s="26"/>
      <c r="BQ799" s="26"/>
      <c r="BR799" s="26"/>
      <c r="BS799" s="26"/>
      <c r="BT799" s="26"/>
      <c r="BU799" s="12"/>
      <c r="BV799" s="25" t="s">
        <v>1572</v>
      </c>
      <c r="BW799" s="12"/>
      <c r="BX799" s="12"/>
      <c r="BY799" s="12"/>
      <c r="BZ799" s="12"/>
      <c r="CA799" s="12"/>
      <c r="CB799" s="12"/>
      <c r="CC799" s="12"/>
      <c r="CD799" s="12"/>
      <c r="CE799" s="12"/>
      <c r="CF799" s="12"/>
      <c r="CG799" s="12"/>
      <c r="CH799" s="12"/>
      <c r="CI799" s="12"/>
      <c r="CJ799" s="12"/>
      <c r="CK799" s="12"/>
      <c r="CL799" s="12"/>
      <c r="CM799" s="12"/>
      <c r="CN799" s="12"/>
      <c r="CO799" s="12"/>
      <c r="CP799" s="12"/>
      <c r="CQ799" s="12"/>
      <c r="CR799" s="12"/>
      <c r="CS799" s="12"/>
      <c r="CT799" s="12"/>
      <c r="CU799" s="12"/>
      <c r="CV799" s="12"/>
      <c r="CW799" s="12"/>
      <c r="CX799" s="12"/>
      <c r="CY799" s="12"/>
      <c r="CZ799" s="12"/>
      <c r="DA799" s="12"/>
      <c r="DB799" s="12"/>
      <c r="DC799" s="12"/>
      <c r="DD799" s="12"/>
      <c r="DE799" s="12"/>
      <c r="DF799" s="12"/>
      <c r="DG799" s="12"/>
      <c r="DH799" s="12"/>
      <c r="DI799" s="12"/>
      <c r="DJ799" s="12"/>
      <c r="DK799" s="12"/>
      <c r="DL799" s="12"/>
      <c r="DM799" s="12"/>
      <c r="DN799" s="12"/>
      <c r="DO799" s="12"/>
      <c r="DP799" s="12"/>
      <c r="DQ799" s="12"/>
      <c r="DR799" s="12"/>
      <c r="DS799" s="12"/>
      <c r="DT799" s="12"/>
      <c r="DU799" s="12"/>
      <c r="DV799" s="12"/>
      <c r="DW799" s="12"/>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2"/>
      <c r="FC799" s="12"/>
    </row>
    <row r="800" spans="1:159" s="3" customFormat="1" ht="13" customHeight="1">
      <c r="A800"/>
      <c r="B800"/>
      <c r="C800"/>
      <c r="D800"/>
      <c r="E800"/>
      <c r="F800"/>
      <c r="G800"/>
      <c r="H800"/>
      <c r="I800"/>
      <c r="J800" s="1033"/>
      <c r="K800" s="4"/>
      <c r="L800" s="4"/>
      <c r="M800" s="4"/>
      <c r="N800" s="4"/>
      <c r="O800" s="4"/>
      <c r="P800" s="4"/>
      <c r="Q800" s="4"/>
      <c r="R800" s="4"/>
      <c r="S800" s="4"/>
      <c r="T800" s="4"/>
      <c r="U800" s="4"/>
      <c r="V800" s="4"/>
      <c r="W800" s="4"/>
      <c r="X800" s="1153" t="s">
        <v>1573</v>
      </c>
      <c r="Y800" s="1679">
        <f>O753+AC777+AC797</f>
        <v>59623</v>
      </c>
      <c r="Z800" s="1679"/>
      <c r="AA800" s="1679"/>
      <c r="AB800" s="1679"/>
      <c r="AC800" s="1679"/>
      <c r="AD800"/>
      <c r="AE800"/>
      <c r="AF800"/>
      <c r="AG800"/>
      <c r="AH800"/>
      <c r="AI800"/>
      <c r="AJ800"/>
      <c r="AK800"/>
      <c r="AL800"/>
      <c r="AM800"/>
      <c r="AN800"/>
      <c r="AO800"/>
      <c r="AP800"/>
      <c r="AQ800"/>
      <c r="AR800"/>
      <c r="AS800"/>
      <c r="AT800"/>
      <c r="AU800"/>
      <c r="AV800"/>
      <c r="AW800"/>
      <c r="AX800"/>
      <c r="AY800"/>
      <c r="AZ800" s="24"/>
      <c r="BA800" s="24"/>
      <c r="BB800" s="12"/>
      <c r="BC800" s="12"/>
      <c r="BD800" s="12"/>
      <c r="BE800" s="12"/>
      <c r="BF800" s="12"/>
      <c r="BG800" s="12"/>
      <c r="BH800" s="12"/>
      <c r="BI800" s="12"/>
      <c r="BJ800" s="12"/>
      <c r="BK800" s="12"/>
      <c r="BL800" s="12"/>
      <c r="BM800" s="12"/>
      <c r="BN800" s="43"/>
      <c r="BO800" s="25"/>
      <c r="BP800" s="26"/>
      <c r="BQ800" s="26"/>
      <c r="BR800" s="26"/>
      <c r="BS800" s="26"/>
      <c r="BT800" s="26"/>
      <c r="BU800" s="12"/>
      <c r="BV800" s="25"/>
      <c r="BW800" s="12"/>
      <c r="BX800" s="12"/>
      <c r="BY800" s="12"/>
      <c r="BZ800" s="12"/>
      <c r="CA800" s="12"/>
      <c r="CB800" s="12"/>
      <c r="CC800" s="12"/>
      <c r="CD800" s="12"/>
      <c r="CE800" s="12"/>
      <c r="CF800" s="12"/>
      <c r="CG800" s="12"/>
      <c r="CH800" s="12"/>
      <c r="CI800" s="12"/>
      <c r="CJ800" s="12"/>
      <c r="CK800" s="12"/>
      <c r="CL800" s="12"/>
      <c r="CM800" s="12"/>
      <c r="CN800" s="12"/>
      <c r="CO800" s="12"/>
      <c r="CP800" s="12"/>
      <c r="CQ800" s="12"/>
      <c r="CR800" s="12"/>
      <c r="CS800" s="12"/>
      <c r="CT800" s="12"/>
      <c r="CU800" s="12"/>
      <c r="CV800" s="12"/>
      <c r="CW800" s="12"/>
      <c r="CX800" s="12"/>
      <c r="CY800" s="12"/>
      <c r="CZ800" s="12"/>
      <c r="DA800" s="12"/>
      <c r="DB800" s="12"/>
      <c r="DC800" s="12"/>
      <c r="DD800" s="12"/>
      <c r="DE800" s="12"/>
      <c r="DF800" s="12"/>
      <c r="DG800" s="12"/>
      <c r="DH800" s="12"/>
      <c r="DI800" s="12"/>
      <c r="DJ800" s="12"/>
      <c r="DK800" s="12"/>
      <c r="DL800" s="12"/>
      <c r="DM800" s="12"/>
      <c r="DN800" s="12"/>
      <c r="DO800" s="12"/>
      <c r="DP800" s="12"/>
      <c r="DQ800" s="12"/>
      <c r="DR800" s="12"/>
      <c r="DS800" s="12"/>
      <c r="DT800" s="12"/>
      <c r="DU800" s="12"/>
      <c r="DV800" s="12"/>
      <c r="DW800" s="12"/>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2"/>
      <c r="FC800" s="12"/>
    </row>
    <row r="801" spans="1:159" s="3" customFormat="1" ht="13" customHeight="1">
      <c r="A801"/>
      <c r="B801"/>
      <c r="C801"/>
      <c r="D801"/>
      <c r="E801"/>
      <c r="F801"/>
      <c r="G801"/>
      <c r="H801"/>
      <c r="I801"/>
      <c r="J801" s="32"/>
      <c r="K801" s="33"/>
      <c r="L801" s="33"/>
      <c r="M801" s="33"/>
      <c r="N801" s="33"/>
      <c r="O801" s="33"/>
      <c r="P801" s="33"/>
      <c r="Q801" s="33"/>
      <c r="R801" s="33"/>
      <c r="S801" s="33"/>
      <c r="T801" s="33"/>
      <c r="U801" s="33"/>
      <c r="V801" s="33"/>
      <c r="W801" s="33"/>
      <c r="X801" s="1154" t="s">
        <v>1574</v>
      </c>
      <c r="Y801" s="1679">
        <f>(O753+AC777+AC797)*12</f>
        <v>715476</v>
      </c>
      <c r="Z801" s="1679"/>
      <c r="AA801" s="1679"/>
      <c r="AB801" s="1679"/>
      <c r="AC801" s="1679"/>
      <c r="AD801"/>
      <c r="AE801"/>
      <c r="AF801"/>
      <c r="AG801"/>
      <c r="AH801"/>
      <c r="AI801"/>
      <c r="AJ801"/>
      <c r="AK801"/>
      <c r="AL801"/>
      <c r="AM801"/>
      <c r="AN801"/>
      <c r="AO801"/>
      <c r="AP801"/>
      <c r="AQ801"/>
      <c r="AR801"/>
      <c r="AS801"/>
      <c r="AT801"/>
      <c r="AU801"/>
      <c r="AV801"/>
      <c r="AW801"/>
      <c r="AX801"/>
      <c r="AY801"/>
      <c r="AZ801" s="12"/>
      <c r="BA801" s="12"/>
      <c r="BB801" s="12"/>
      <c r="BC801" s="12"/>
      <c r="BD801" s="12"/>
      <c r="BE801" s="12"/>
      <c r="BF801" s="12"/>
      <c r="BG801" s="12"/>
      <c r="BH801" s="12"/>
      <c r="BI801" s="12"/>
      <c r="BJ801" s="12"/>
      <c r="BK801" s="12"/>
      <c r="BL801" s="12"/>
      <c r="BM801" s="12"/>
      <c r="BN801" s="43" t="s">
        <v>1568</v>
      </c>
      <c r="BO801" s="25"/>
      <c r="BP801" s="26"/>
      <c r="BQ801" s="26"/>
      <c r="BR801" s="26"/>
      <c r="BS801" s="26"/>
      <c r="BT801" s="26"/>
      <c r="BU801" s="12"/>
      <c r="BV801" s="25"/>
      <c r="BW801" s="12"/>
      <c r="BX801" s="12"/>
      <c r="BY801" s="12"/>
      <c r="BZ801" s="12"/>
      <c r="CA801" s="12"/>
      <c r="CB801" s="12"/>
      <c r="CC801" s="12"/>
      <c r="CD801" s="12"/>
      <c r="CE801" s="12"/>
      <c r="CF801" s="12"/>
      <c r="CG801" s="12"/>
      <c r="CH801" s="12"/>
      <c r="CI801" s="12"/>
      <c r="CJ801" s="12"/>
      <c r="CK801" s="12"/>
      <c r="CL801" s="12"/>
      <c r="CM801" s="12"/>
      <c r="CN801" s="12"/>
      <c r="CO801" s="12"/>
      <c r="CP801" s="12"/>
      <c r="CQ801" s="12"/>
      <c r="CR801" s="12"/>
      <c r="CS801" s="12"/>
      <c r="CT801" s="12"/>
      <c r="CU801" s="12"/>
      <c r="CV801" s="12"/>
      <c r="CW801" s="12"/>
      <c r="CX801" s="12"/>
      <c r="CY801" s="12"/>
      <c r="CZ801" s="12"/>
      <c r="DA801" s="12"/>
      <c r="DB801" s="12"/>
      <c r="DC801" s="12"/>
      <c r="DD801" s="12"/>
      <c r="DE801" s="12"/>
      <c r="DF801" s="12"/>
      <c r="DG801" s="12"/>
      <c r="DH801" s="12"/>
      <c r="DI801" s="12"/>
      <c r="DJ801" s="12"/>
      <c r="DK801" s="12"/>
      <c r="DL801" s="12"/>
      <c r="DM801" s="12"/>
      <c r="DN801" s="12"/>
      <c r="DO801" s="12"/>
      <c r="DP801" s="12"/>
      <c r="DQ801" s="12"/>
      <c r="DR801" s="12"/>
      <c r="DS801" s="12"/>
      <c r="DT801" s="12"/>
      <c r="DU801" s="12"/>
      <c r="DV801" s="12"/>
      <c r="DW801" s="12"/>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2"/>
      <c r="FC801" s="12"/>
    </row>
    <row r="802" spans="1:159" s="3" customFormat="1" ht="13" customHeight="1">
      <c r="A802"/>
      <c r="B802" s="1"/>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2"/>
      <c r="BA802" s="12"/>
      <c r="BB802" s="12"/>
      <c r="BC802" s="12"/>
      <c r="BD802" s="12"/>
      <c r="BE802" s="12"/>
      <c r="BF802" s="12"/>
      <c r="BG802" s="12"/>
      <c r="BH802" s="12"/>
      <c r="BI802" s="12"/>
      <c r="BJ802" s="12"/>
      <c r="BK802" s="12"/>
      <c r="BL802" s="12"/>
      <c r="BM802" s="12"/>
      <c r="BN802" s="43"/>
      <c r="BO802" s="25"/>
      <c r="BP802" s="26"/>
      <c r="BQ802" s="26"/>
      <c r="BR802" s="26"/>
      <c r="BS802" s="26"/>
      <c r="BT802" s="26"/>
      <c r="BU802" s="12"/>
      <c r="BV802" s="25"/>
      <c r="BW802" s="12"/>
      <c r="BX802" s="12"/>
      <c r="BY802" s="12"/>
      <c r="BZ802" s="12"/>
      <c r="CA802" s="12"/>
      <c r="CB802" s="12"/>
      <c r="CC802" s="12"/>
      <c r="CD802" s="12"/>
      <c r="CE802" s="12"/>
      <c r="CF802" s="12"/>
      <c r="CG802" s="12"/>
      <c r="CH802" s="12"/>
      <c r="CI802" s="12"/>
      <c r="CJ802" s="12"/>
      <c r="CK802" s="12"/>
      <c r="CL802" s="12"/>
      <c r="CM802" s="12"/>
      <c r="CN802" s="12"/>
      <c r="CO802" s="12"/>
      <c r="CP802" s="12"/>
      <c r="CQ802" s="12"/>
      <c r="CR802" s="12"/>
      <c r="CS802" s="12"/>
      <c r="CT802" s="12"/>
      <c r="CU802" s="12"/>
      <c r="CV802" s="12"/>
      <c r="CW802" s="12"/>
      <c r="CX802" s="12"/>
      <c r="CY802" s="12"/>
      <c r="CZ802" s="12"/>
      <c r="DA802" s="12"/>
      <c r="DB802" s="12"/>
      <c r="DC802" s="12"/>
      <c r="DD802" s="12"/>
      <c r="DE802" s="12"/>
      <c r="DF802" s="12"/>
      <c r="DG802" s="12"/>
      <c r="DH802" s="12"/>
      <c r="DI802" s="12"/>
      <c r="DJ802" s="12"/>
      <c r="DK802" s="12"/>
      <c r="DL802" s="12"/>
      <c r="DM802" s="12"/>
      <c r="DN802" s="12"/>
      <c r="DO802" s="12"/>
      <c r="DP802" s="12"/>
      <c r="DQ802" s="12"/>
      <c r="DR802" s="12"/>
      <c r="DS802" s="12"/>
      <c r="DT802" s="12"/>
      <c r="DU802" s="12"/>
      <c r="DV802" s="12"/>
      <c r="DW802" s="12"/>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2"/>
      <c r="FC802" s="12"/>
    </row>
    <row r="803" spans="1:159" s="3" customFormat="1" ht="13" customHeight="1">
      <c r="A803" s="1" t="s">
        <v>1060</v>
      </c>
      <c r="B803" s="1"/>
      <c r="C803" s="1" t="s">
        <v>211</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2"/>
      <c r="BA803" s="12"/>
      <c r="BB803" s="12"/>
      <c r="BC803" s="12"/>
      <c r="BD803" s="12"/>
      <c r="BE803" s="12"/>
      <c r="BF803" s="12"/>
      <c r="BG803" s="12"/>
      <c r="BH803" s="12"/>
      <c r="BI803" s="12"/>
      <c r="BJ803" s="12"/>
      <c r="BK803" s="12"/>
      <c r="BL803" s="12"/>
      <c r="BM803" s="12"/>
      <c r="BN803" s="12"/>
      <c r="BO803" s="12"/>
      <c r="BP803" s="26"/>
      <c r="BQ803" s="26"/>
      <c r="BR803" s="26"/>
      <c r="BS803" s="26"/>
      <c r="BT803" s="26"/>
      <c r="BU803" s="12"/>
      <c r="BV803" s="12"/>
      <c r="BW803" s="12"/>
      <c r="BX803" s="12"/>
      <c r="BY803" s="12"/>
      <c r="BZ803" s="12"/>
      <c r="CA803" s="12"/>
      <c r="CB803" s="12"/>
      <c r="CC803" s="12"/>
      <c r="CD803" s="12"/>
      <c r="CE803" s="12"/>
      <c r="CF803" s="12"/>
      <c r="CG803" s="12"/>
      <c r="CH803" s="12"/>
      <c r="CI803" s="12"/>
      <c r="CJ803" s="12"/>
      <c r="CK803" s="12"/>
      <c r="CL803" s="12"/>
      <c r="CM803" s="12"/>
      <c r="CN803" s="12"/>
      <c r="CO803" s="12"/>
      <c r="CP803" s="12"/>
      <c r="CQ803" s="12"/>
      <c r="CR803" s="12"/>
      <c r="CS803" s="12"/>
      <c r="CT803" s="12"/>
      <c r="CU803" s="12"/>
      <c r="CV803" s="12"/>
      <c r="CW803" s="12"/>
      <c r="CX803" s="12"/>
      <c r="CY803" s="12"/>
      <c r="CZ803" s="12"/>
      <c r="DA803" s="12"/>
      <c r="DB803" s="12"/>
      <c r="DC803" s="12"/>
      <c r="DD803" s="12"/>
      <c r="DE803" s="12"/>
      <c r="DF803" s="12"/>
      <c r="DG803" s="12"/>
      <c r="DH803" s="12"/>
      <c r="DI803" s="12"/>
      <c r="DJ803" s="12"/>
      <c r="DK803" s="12"/>
      <c r="DL803" s="12"/>
      <c r="DM803" s="12"/>
      <c r="DN803" s="12"/>
      <c r="DO803" s="12"/>
      <c r="DP803" s="12"/>
      <c r="DQ803" s="12"/>
      <c r="DR803" s="12"/>
      <c r="DS803" s="12"/>
      <c r="DT803" s="12"/>
      <c r="DU803" s="12"/>
      <c r="DV803" s="12"/>
      <c r="DW803" s="12"/>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2"/>
      <c r="FC803" s="12"/>
    </row>
    <row r="804" spans="1:159" s="3" customFormat="1" ht="13" customHeight="1">
      <c r="A804" s="1"/>
      <c r="B804" s="1"/>
      <c r="C804" s="1" t="s">
        <v>1575</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2"/>
      <c r="BA804" s="12"/>
      <c r="BB804" s="12"/>
      <c r="BC804" s="12"/>
      <c r="BD804" s="12"/>
      <c r="BE804" s="12"/>
      <c r="BF804" s="12"/>
      <c r="BG804" s="12"/>
      <c r="BH804" s="12"/>
      <c r="BI804" s="12"/>
      <c r="BJ804" s="12"/>
      <c r="BK804" s="12"/>
      <c r="BL804" s="12"/>
      <c r="BM804" s="12"/>
      <c r="BN804" s="12"/>
      <c r="BO804" s="12"/>
      <c r="BP804" s="26"/>
      <c r="BQ804" s="26"/>
      <c r="BR804" s="26"/>
      <c r="BS804" s="26"/>
      <c r="BT804" s="26"/>
      <c r="BU804" s="12"/>
      <c r="BV804" s="12"/>
      <c r="BW804" s="12"/>
      <c r="BX804" s="12"/>
      <c r="BY804" s="12"/>
      <c r="BZ804" s="12"/>
      <c r="CA804" s="12"/>
      <c r="CB804" s="12"/>
      <c r="CC804" s="12"/>
      <c r="CD804" s="12"/>
      <c r="CE804" s="12"/>
      <c r="CF804" s="12"/>
      <c r="CG804" s="12"/>
      <c r="CH804" s="12"/>
      <c r="CI804" s="12"/>
      <c r="CJ804" s="12"/>
      <c r="CK804" s="12"/>
      <c r="CL804" s="12"/>
      <c r="CM804" s="12"/>
      <c r="CN804" s="12"/>
      <c r="CO804" s="12"/>
      <c r="CP804" s="12"/>
      <c r="CQ804" s="12"/>
      <c r="CR804" s="12"/>
      <c r="CS804" s="12"/>
      <c r="CT804" s="12"/>
      <c r="CU804" s="12"/>
      <c r="CV804" s="12"/>
      <c r="CW804" s="12"/>
      <c r="CX804" s="12"/>
      <c r="CY804" s="12"/>
      <c r="CZ804" s="12"/>
      <c r="DA804" s="12"/>
      <c r="DB804" s="12"/>
      <c r="DC804" s="12"/>
      <c r="DD804" s="12"/>
      <c r="DE804" s="12"/>
      <c r="DF804" s="12"/>
      <c r="DG804" s="12"/>
      <c r="DH804" s="12"/>
      <c r="DI804" s="12"/>
      <c r="DJ804" s="12"/>
      <c r="DK804" s="12"/>
      <c r="DL804" s="12"/>
      <c r="DM804" s="12"/>
      <c r="DN804" s="12"/>
      <c r="DO804" s="12"/>
      <c r="DP804" s="12"/>
      <c r="DQ804" s="12"/>
      <c r="DR804" s="12"/>
      <c r="DS804" s="12"/>
      <c r="DT804" s="12"/>
      <c r="DU804" s="12"/>
      <c r="DV804" s="12"/>
      <c r="DW804" s="12"/>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2"/>
      <c r="FC804" s="12"/>
    </row>
    <row r="805" spans="1:159" s="3" customFormat="1" ht="13" customHeight="1">
      <c r="A805"/>
      <c r="B805" s="1"/>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2"/>
      <c r="BA805" s="12"/>
      <c r="BB805" s="12"/>
      <c r="BC805" s="12"/>
      <c r="BD805" s="12"/>
      <c r="BE805" s="12"/>
      <c r="BF805" s="12"/>
      <c r="BG805" s="12"/>
      <c r="BH805" s="12"/>
      <c r="BI805" s="12"/>
      <c r="BJ805" s="12"/>
      <c r="BK805" s="12"/>
      <c r="BL805" s="12"/>
      <c r="BM805" s="12"/>
      <c r="BN805" s="12"/>
      <c r="BO805" s="12"/>
      <c r="BP805" s="1060" t="s">
        <v>1490</v>
      </c>
      <c r="BQ805" s="1061" t="s">
        <v>1378</v>
      </c>
      <c r="BR805" s="1061" t="s">
        <v>1379</v>
      </c>
      <c r="BS805" s="1061" t="s">
        <v>1380</v>
      </c>
      <c r="BT805" s="1061" t="s">
        <v>1491</v>
      </c>
      <c r="BU805" s="12"/>
      <c r="BV805" s="12"/>
      <c r="BW805" s="1060" t="s">
        <v>1490</v>
      </c>
      <c r="BX805" s="1061" t="s">
        <v>1378</v>
      </c>
      <c r="BY805" s="1061" t="s">
        <v>1379</v>
      </c>
      <c r="BZ805" s="1061" t="s">
        <v>1380</v>
      </c>
      <c r="CA805" s="1061" t="s">
        <v>1491</v>
      </c>
      <c r="CB805" s="12"/>
      <c r="CC805" s="12"/>
      <c r="CD805" s="12"/>
      <c r="CE805" s="12"/>
      <c r="CF805" s="12"/>
      <c r="CG805" s="12"/>
      <c r="CH805" s="12"/>
      <c r="CI805" s="12"/>
      <c r="CJ805" s="12"/>
      <c r="CK805" s="12"/>
      <c r="CL805" s="12"/>
      <c r="CM805" s="12"/>
      <c r="CN805" s="12"/>
      <c r="CO805" s="12"/>
      <c r="CP805" s="12"/>
      <c r="CQ805" s="12"/>
      <c r="CR805" s="12"/>
      <c r="CS805" s="12"/>
      <c r="CT805" s="12"/>
      <c r="CU805" s="12"/>
      <c r="CV805" s="12"/>
      <c r="CW805" s="12"/>
      <c r="CX805" s="12"/>
      <c r="CY805" s="12"/>
      <c r="CZ805" s="12"/>
      <c r="DA805" s="12"/>
      <c r="DB805" s="12"/>
      <c r="DC805" s="12"/>
      <c r="DD805" s="12"/>
      <c r="DE805" s="12"/>
      <c r="DF805" s="12"/>
      <c r="DG805" s="12"/>
      <c r="DH805" s="12"/>
      <c r="DI805" s="12"/>
      <c r="DJ805" s="12"/>
      <c r="DK805" s="12"/>
      <c r="DL805" s="12"/>
      <c r="DM805" s="12"/>
      <c r="DN805" s="12"/>
      <c r="DO805" s="12"/>
      <c r="DP805" s="12"/>
      <c r="DQ805" s="12"/>
      <c r="DR805" s="12"/>
      <c r="DS805" s="12"/>
      <c r="DT805" s="12"/>
      <c r="DU805" s="12"/>
      <c r="DV805" s="12"/>
      <c r="DW805" s="12"/>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2"/>
      <c r="FC805" s="12"/>
    </row>
    <row r="806" spans="1:159" s="3" customFormat="1" ht="13" customHeight="1">
      <c r="A806"/>
      <c r="B806"/>
      <c r="C806"/>
      <c r="D806"/>
      <c r="E806"/>
      <c r="F806"/>
      <c r="G806"/>
      <c r="H806" s="1033" t="s">
        <v>1576</v>
      </c>
      <c r="I806" s="4"/>
      <c r="J806" s="4"/>
      <c r="K806" s="4"/>
      <c r="L806" s="4"/>
      <c r="M806" s="4"/>
      <c r="N806" s="4"/>
      <c r="O806" s="4"/>
      <c r="P806" s="4"/>
      <c r="Q806" s="4"/>
      <c r="R806" s="4"/>
      <c r="S806" s="4"/>
      <c r="T806" s="4"/>
      <c r="U806" s="4"/>
      <c r="V806" s="4"/>
      <c r="W806" s="4"/>
      <c r="X806" s="4"/>
      <c r="Y806" s="4"/>
      <c r="Z806" s="1601">
        <v>25</v>
      </c>
      <c r="AA806" s="1602"/>
      <c r="AB806" s="1602"/>
      <c r="AC806" s="1602"/>
      <c r="AD806" s="1602"/>
      <c r="AE806" s="1603"/>
      <c r="AF806"/>
      <c r="AG806"/>
      <c r="AH806"/>
      <c r="AI806"/>
      <c r="AJ806"/>
      <c r="AK806"/>
      <c r="AL806"/>
      <c r="AM806"/>
      <c r="AN806"/>
      <c r="AO806"/>
      <c r="AP806"/>
      <c r="AQ806"/>
      <c r="AR806"/>
      <c r="AS806"/>
      <c r="AT806"/>
      <c r="AU806"/>
      <c r="AV806"/>
      <c r="AW806"/>
      <c r="AX806"/>
      <c r="AY806"/>
      <c r="AZ806" s="2"/>
      <c r="BA806" s="2"/>
      <c r="BB806" s="2"/>
      <c r="BC806" s="2"/>
      <c r="BD806" s="2"/>
      <c r="BE806" s="12"/>
      <c r="BF806" s="12"/>
      <c r="BG806" s="12"/>
      <c r="BH806" s="12"/>
      <c r="BI806" s="12"/>
      <c r="BJ806" s="12"/>
      <c r="BK806" s="12"/>
      <c r="BL806" s="12"/>
      <c r="BM806" s="12"/>
      <c r="BN806" s="12"/>
      <c r="BO806" s="115" t="s">
        <v>879</v>
      </c>
      <c r="BP806" s="219">
        <v>473390</v>
      </c>
      <c r="BQ806" s="219">
        <v>545814</v>
      </c>
      <c r="BR806" s="219">
        <v>658400</v>
      </c>
      <c r="BS806" s="219">
        <v>842752</v>
      </c>
      <c r="BT806" s="219">
        <v>938878</v>
      </c>
      <c r="BU806" s="12"/>
      <c r="BV806" s="115" t="s">
        <v>879</v>
      </c>
      <c r="BW806" s="219">
        <v>473390</v>
      </c>
      <c r="BX806" s="219">
        <v>545814</v>
      </c>
      <c r="BY806" s="219">
        <v>658400</v>
      </c>
      <c r="BZ806" s="219">
        <v>842752</v>
      </c>
      <c r="CA806" s="219">
        <v>938878</v>
      </c>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2"/>
      <c r="FC806" s="2"/>
    </row>
    <row r="807" spans="1:159" s="3" customFormat="1" ht="13" customHeight="1">
      <c r="A807"/>
      <c r="B807"/>
      <c r="C807"/>
      <c r="D807"/>
      <c r="E807"/>
      <c r="F807"/>
      <c r="G807"/>
      <c r="H807" s="1033" t="s">
        <v>1577</v>
      </c>
      <c r="I807" s="4"/>
      <c r="J807" s="4"/>
      <c r="K807" s="4"/>
      <c r="L807" s="4"/>
      <c r="M807" s="4"/>
      <c r="N807" s="4"/>
      <c r="O807" s="4"/>
      <c r="P807" s="4"/>
      <c r="Q807" s="4"/>
      <c r="R807" s="4"/>
      <c r="S807" s="4"/>
      <c r="T807" s="4"/>
      <c r="U807" s="4"/>
      <c r="V807" s="4"/>
      <c r="W807" s="4"/>
      <c r="X807" s="4"/>
      <c r="Y807" s="4"/>
      <c r="Z807" s="1622">
        <v>15</v>
      </c>
      <c r="AA807" s="1602"/>
      <c r="AB807" s="1602"/>
      <c r="AC807" s="1602"/>
      <c r="AD807" s="1602"/>
      <c r="AE807" s="1603"/>
      <c r="AF807"/>
      <c r="AG807"/>
      <c r="AH807"/>
      <c r="AI807"/>
      <c r="AJ807"/>
      <c r="AK807"/>
      <c r="AL807"/>
      <c r="AM807"/>
      <c r="AN807"/>
      <c r="AO807"/>
      <c r="AP807"/>
      <c r="AQ807"/>
      <c r="AR807"/>
      <c r="AS807"/>
      <c r="AT807"/>
      <c r="AU807"/>
      <c r="AV807"/>
      <c r="AW807"/>
      <c r="AX807"/>
      <c r="AY807"/>
      <c r="AZ807" s="2"/>
      <c r="BA807" s="2"/>
      <c r="BB807" s="2"/>
      <c r="BC807" s="2"/>
      <c r="BD807" s="2"/>
      <c r="BE807" s="12"/>
      <c r="BF807" s="12"/>
      <c r="BG807" s="12"/>
      <c r="BH807" s="12"/>
      <c r="BI807" s="12"/>
      <c r="BJ807" s="12"/>
      <c r="BK807" s="12"/>
      <c r="BL807" s="12"/>
      <c r="BM807" s="12"/>
      <c r="BN807" s="12"/>
      <c r="BO807" s="115" t="s">
        <v>882</v>
      </c>
      <c r="BP807" s="217">
        <v>352022</v>
      </c>
      <c r="BQ807" s="217">
        <v>405878</v>
      </c>
      <c r="BR807" s="217">
        <v>489600</v>
      </c>
      <c r="BS807" s="217">
        <v>626688</v>
      </c>
      <c r="BT807" s="217">
        <v>698170</v>
      </c>
      <c r="BU807" s="12"/>
      <c r="BV807" s="115" t="s">
        <v>882</v>
      </c>
      <c r="BW807" s="217">
        <v>352022</v>
      </c>
      <c r="BX807" s="217">
        <v>405878</v>
      </c>
      <c r="BY807" s="217">
        <v>489600</v>
      </c>
      <c r="BZ807" s="217">
        <v>626688</v>
      </c>
      <c r="CA807" s="217">
        <v>698170</v>
      </c>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2"/>
      <c r="FC807" s="2"/>
    </row>
    <row r="808" spans="1:159" s="3" customFormat="1" ht="13" customHeight="1">
      <c r="A808"/>
      <c r="B808"/>
      <c r="C808"/>
      <c r="D808"/>
      <c r="E808"/>
      <c r="F808"/>
      <c r="G808"/>
      <c r="H808" s="1033" t="s">
        <v>1578</v>
      </c>
      <c r="I808" s="4"/>
      <c r="J808" s="4"/>
      <c r="K808" s="4"/>
      <c r="L808" s="4"/>
      <c r="M808" s="4"/>
      <c r="N808" s="4"/>
      <c r="O808" s="4"/>
      <c r="P808" s="4"/>
      <c r="Q808" s="4"/>
      <c r="R808" s="4"/>
      <c r="S808" s="4"/>
      <c r="T808" s="4"/>
      <c r="U808" s="4"/>
      <c r="V808" s="4"/>
      <c r="W808" s="4"/>
      <c r="X808" s="4"/>
      <c r="Y808" s="4"/>
      <c r="Z808" s="1698">
        <v>52018</v>
      </c>
      <c r="AA808" s="1598"/>
      <c r="AB808" s="1598"/>
      <c r="AC808" s="1598"/>
      <c r="AD808" s="1598"/>
      <c r="AE808" s="1599"/>
      <c r="AF808"/>
      <c r="AG808"/>
      <c r="AH808"/>
      <c r="AI808"/>
      <c r="AJ808"/>
      <c r="AK808"/>
      <c r="AL808"/>
      <c r="AM808"/>
      <c r="AN808"/>
      <c r="AO808"/>
      <c r="AP808"/>
      <c r="AQ808"/>
      <c r="AR808"/>
      <c r="AS808"/>
      <c r="AT808"/>
      <c r="AU808" s="2"/>
      <c r="AV808"/>
      <c r="AW808"/>
      <c r="AX808"/>
      <c r="AY808"/>
      <c r="AZ808" s="2"/>
      <c r="BA808" s="2"/>
      <c r="BB808" s="2"/>
      <c r="BC808" s="2"/>
      <c r="BD808" s="2"/>
      <c r="BE808" s="12"/>
      <c r="BF808" s="12"/>
      <c r="BG808" s="12"/>
      <c r="BH808" s="12"/>
      <c r="BI808" s="12"/>
      <c r="BJ808" s="12"/>
      <c r="BK808" s="12"/>
      <c r="BL808" s="12"/>
      <c r="BM808" s="12"/>
      <c r="BN808" s="12"/>
      <c r="BO808" s="115" t="s">
        <v>887</v>
      </c>
      <c r="BP808" s="219">
        <v>352022</v>
      </c>
      <c r="BQ808" s="219">
        <v>405878</v>
      </c>
      <c r="BR808" s="219">
        <v>489600</v>
      </c>
      <c r="BS808" s="219">
        <v>626688</v>
      </c>
      <c r="BT808" s="219">
        <v>698170</v>
      </c>
      <c r="BU808" s="12"/>
      <c r="BV808" s="115" t="s">
        <v>887</v>
      </c>
      <c r="BW808" s="219">
        <v>352022</v>
      </c>
      <c r="BX808" s="219">
        <v>405878</v>
      </c>
      <c r="BY808" s="219">
        <v>489600</v>
      </c>
      <c r="BZ808" s="219">
        <v>626688</v>
      </c>
      <c r="CA808" s="219">
        <v>698170</v>
      </c>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12"/>
      <c r="DY808" s="12"/>
      <c r="DZ808" s="12"/>
      <c r="EA808" s="12"/>
      <c r="EB808" s="12"/>
      <c r="EC808" s="12"/>
      <c r="ED808" s="12"/>
      <c r="EE808" s="12"/>
      <c r="EF808" s="12"/>
      <c r="EG808" s="12"/>
      <c r="EH808" s="12"/>
      <c r="EI808" s="12"/>
      <c r="EJ808" s="12"/>
      <c r="EK808" s="12"/>
      <c r="EL808" s="12"/>
      <c r="EM808" s="12"/>
      <c r="EN808" s="12"/>
      <c r="EO808" s="12"/>
      <c r="EP808" s="12"/>
      <c r="EQ808" s="12"/>
      <c r="ER808" s="12"/>
      <c r="ES808" s="12"/>
      <c r="ET808" s="12"/>
      <c r="EU808" s="12"/>
      <c r="EV808" s="12"/>
      <c r="EW808" s="12"/>
      <c r="EX808" s="12"/>
      <c r="EY808" s="12"/>
      <c r="EZ808" s="12"/>
      <c r="FA808" s="12"/>
      <c r="FB808" s="2"/>
      <c r="FC808" s="2"/>
    </row>
    <row r="809" spans="1:159" s="3" customFormat="1" ht="13" customHeight="1">
      <c r="A809"/>
      <c r="B809"/>
      <c r="C809"/>
      <c r="D809"/>
      <c r="E809"/>
      <c r="F809"/>
      <c r="G809"/>
      <c r="H809" s="1033"/>
      <c r="I809" s="4"/>
      <c r="J809" s="4"/>
      <c r="K809" s="4"/>
      <c r="L809" s="4"/>
      <c r="M809" s="4"/>
      <c r="N809" s="4"/>
      <c r="O809" s="4"/>
      <c r="P809" s="4"/>
      <c r="Q809" s="4"/>
      <c r="R809" s="4"/>
      <c r="S809" s="4"/>
      <c r="T809" s="4"/>
      <c r="U809" s="4"/>
      <c r="V809" s="4"/>
      <c r="W809" s="4"/>
      <c r="X809" s="4"/>
      <c r="Y809" s="1152" t="s">
        <v>1579</v>
      </c>
      <c r="Z809" s="1565">
        <f>'Subsidy Contract Calculation'!J40</f>
        <v>583500</v>
      </c>
      <c r="AA809" s="1566"/>
      <c r="AB809" s="1566"/>
      <c r="AC809" s="1566"/>
      <c r="AD809" s="1566"/>
      <c r="AE809" s="1567"/>
      <c r="AF809"/>
      <c r="AG809"/>
      <c r="AH809"/>
      <c r="AI809"/>
      <c r="AJ809"/>
      <c r="AK809"/>
      <c r="AL809"/>
      <c r="AM809"/>
      <c r="AN809"/>
      <c r="AO809"/>
      <c r="AP809"/>
      <c r="AQ809"/>
      <c r="AR809"/>
      <c r="AS809"/>
      <c r="AT809"/>
      <c r="AU809" s="2"/>
      <c r="AV809"/>
      <c r="AW809"/>
      <c r="AX809"/>
      <c r="AY809"/>
      <c r="AZ809" s="2"/>
      <c r="BA809" s="2"/>
      <c r="BB809" s="2"/>
      <c r="BC809" s="2"/>
      <c r="BD809" s="2"/>
      <c r="BE809" s="12"/>
      <c r="BF809" s="12"/>
      <c r="BG809" s="12"/>
      <c r="BH809" s="12"/>
      <c r="BI809" s="12"/>
      <c r="BJ809" s="12"/>
      <c r="BK809" s="12"/>
      <c r="BL809" s="12"/>
      <c r="BM809" s="12"/>
      <c r="BN809" s="12"/>
      <c r="BO809" s="115" t="s">
        <v>891</v>
      </c>
      <c r="BP809" s="217">
        <v>319236</v>
      </c>
      <c r="BQ809" s="217">
        <v>368076</v>
      </c>
      <c r="BR809" s="217">
        <v>444000</v>
      </c>
      <c r="BS809" s="217">
        <v>568320</v>
      </c>
      <c r="BT809" s="217">
        <v>633144</v>
      </c>
      <c r="BU809" s="12"/>
      <c r="BV809" s="115" t="s">
        <v>891</v>
      </c>
      <c r="BW809" s="217">
        <v>319236</v>
      </c>
      <c r="BX809" s="217">
        <v>368076</v>
      </c>
      <c r="BY809" s="217">
        <v>444000</v>
      </c>
      <c r="BZ809" s="217">
        <v>568320</v>
      </c>
      <c r="CA809" s="217">
        <v>633144</v>
      </c>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12"/>
      <c r="DY809" s="12"/>
      <c r="DZ809" s="12"/>
      <c r="EA809" s="12"/>
      <c r="EB809" s="12"/>
      <c r="EC809" s="12"/>
      <c r="ED809" s="12"/>
      <c r="EE809" s="12"/>
      <c r="EF809" s="12"/>
      <c r="EG809" s="12"/>
      <c r="EH809" s="12"/>
      <c r="EI809" s="12"/>
      <c r="EJ809" s="12"/>
      <c r="EK809" s="12"/>
      <c r="EL809" s="12"/>
      <c r="EM809" s="12"/>
      <c r="EN809" s="12"/>
      <c r="EO809" s="12"/>
      <c r="EP809" s="12"/>
      <c r="EQ809" s="12"/>
      <c r="ER809" s="12"/>
      <c r="ES809" s="12"/>
      <c r="ET809" s="12"/>
      <c r="EU809" s="12"/>
      <c r="EV809" s="12"/>
      <c r="EW809" s="12"/>
      <c r="EX809" s="12"/>
      <c r="EY809" s="12"/>
      <c r="EZ809" s="12"/>
      <c r="FA809" s="12"/>
      <c r="FB809" s="2"/>
      <c r="FC809" s="2"/>
    </row>
    <row r="810" spans="1:159" s="3" customFormat="1" ht="13"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2"/>
      <c r="AV810"/>
      <c r="AW810"/>
      <c r="AX810"/>
      <c r="AY810"/>
      <c r="AZ810" s="2"/>
      <c r="BA810" s="2"/>
      <c r="BB810" s="2"/>
      <c r="BC810" s="2"/>
      <c r="BD810" s="2"/>
      <c r="BE810" s="12"/>
      <c r="BF810" s="12"/>
      <c r="BG810" s="12"/>
      <c r="BH810" s="12"/>
      <c r="BI810" s="12"/>
      <c r="BJ810" s="12"/>
      <c r="BK810" s="12"/>
      <c r="BL810" s="12"/>
      <c r="BM810" s="12"/>
      <c r="BN810" s="12"/>
      <c r="BO810" s="115" t="s">
        <v>896</v>
      </c>
      <c r="BP810" s="219">
        <v>352022</v>
      </c>
      <c r="BQ810" s="219">
        <v>405878</v>
      </c>
      <c r="BR810" s="219">
        <v>489600</v>
      </c>
      <c r="BS810" s="219">
        <v>626688</v>
      </c>
      <c r="BT810" s="219">
        <v>698170</v>
      </c>
      <c r="BU810" s="12"/>
      <c r="BV810" s="115" t="s">
        <v>896</v>
      </c>
      <c r="BW810" s="219">
        <v>352022</v>
      </c>
      <c r="BX810" s="219">
        <v>405878</v>
      </c>
      <c r="BY810" s="219">
        <v>489600</v>
      </c>
      <c r="BZ810" s="219">
        <v>626688</v>
      </c>
      <c r="CA810" s="219">
        <v>698170</v>
      </c>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12"/>
      <c r="DY810" s="12"/>
      <c r="DZ810" s="12"/>
      <c r="EA810" s="12"/>
      <c r="EB810" s="12"/>
      <c r="EC810" s="12"/>
      <c r="ED810" s="12"/>
      <c r="EE810" s="12"/>
      <c r="EF810" s="12"/>
      <c r="EG810" s="12"/>
      <c r="EH810" s="12"/>
      <c r="EI810" s="12"/>
      <c r="EJ810" s="12"/>
      <c r="EK810" s="12"/>
      <c r="EL810" s="12"/>
      <c r="EM810" s="12"/>
      <c r="EN810" s="12"/>
      <c r="EO810" s="12"/>
      <c r="EP810" s="12"/>
      <c r="EQ810" s="12"/>
      <c r="ER810" s="12"/>
      <c r="ES810" s="12"/>
      <c r="ET810" s="12"/>
      <c r="EU810" s="12"/>
      <c r="EV810" s="12"/>
      <c r="EW810" s="12"/>
      <c r="EX810" s="12"/>
      <c r="EY810" s="12"/>
      <c r="EZ810" s="12"/>
      <c r="FA810" s="12"/>
      <c r="FB810" s="2"/>
      <c r="FC810" s="2"/>
    </row>
    <row r="811" spans="1:159" s="3" customFormat="1" ht="13" customHeight="1">
      <c r="A811" s="1" t="s">
        <v>1072</v>
      </c>
      <c r="B811" s="1"/>
      <c r="C811" s="1" t="s">
        <v>214</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2"/>
      <c r="AV811"/>
      <c r="AW811"/>
      <c r="AX811"/>
      <c r="AY811"/>
      <c r="AZ811" s="2"/>
      <c r="BA811" s="2"/>
      <c r="BB811" s="2"/>
      <c r="BC811" s="2"/>
      <c r="BD811" s="2"/>
      <c r="BE811" s="12"/>
      <c r="BF811" s="12"/>
      <c r="BG811" s="12"/>
      <c r="BH811" s="12"/>
      <c r="BI811" s="12"/>
      <c r="BJ811" s="12"/>
      <c r="BK811" s="12"/>
      <c r="BL811" s="12"/>
      <c r="BM811" s="12"/>
      <c r="BN811" s="12"/>
      <c r="BO811" s="115" t="s">
        <v>898</v>
      </c>
      <c r="BP811" s="217">
        <v>352022</v>
      </c>
      <c r="BQ811" s="217">
        <v>405878</v>
      </c>
      <c r="BR811" s="217">
        <v>489600</v>
      </c>
      <c r="BS811" s="217">
        <v>626688</v>
      </c>
      <c r="BT811" s="217">
        <v>698170</v>
      </c>
      <c r="BU811" s="12"/>
      <c r="BV811" s="115" t="s">
        <v>898</v>
      </c>
      <c r="BW811" s="217">
        <v>352022</v>
      </c>
      <c r="BX811" s="217">
        <v>405878</v>
      </c>
      <c r="BY811" s="217">
        <v>489600</v>
      </c>
      <c r="BZ811" s="217">
        <v>626688</v>
      </c>
      <c r="CA811" s="217">
        <v>698170</v>
      </c>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12"/>
      <c r="DY811" s="12"/>
      <c r="DZ811" s="12"/>
      <c r="EA811" s="12"/>
      <c r="EB811" s="12"/>
      <c r="EC811" s="12"/>
      <c r="ED811" s="12"/>
      <c r="EE811" s="12"/>
      <c r="EF811" s="12"/>
      <c r="EG811" s="12"/>
      <c r="EH811" s="12"/>
      <c r="EI811" s="12"/>
      <c r="EJ811" s="12"/>
      <c r="EK811" s="12"/>
      <c r="EL811" s="12"/>
      <c r="EM811" s="12"/>
      <c r="EN811" s="12"/>
      <c r="EO811" s="12"/>
      <c r="EP811" s="12"/>
      <c r="EQ811" s="12"/>
      <c r="ER811" s="12"/>
      <c r="ES811" s="12"/>
      <c r="ET811" s="12"/>
      <c r="EU811" s="12"/>
      <c r="EV811" s="12"/>
      <c r="EW811" s="12"/>
      <c r="EX811" s="12"/>
      <c r="EY811" s="12"/>
      <c r="EZ811" s="12"/>
      <c r="FA811" s="12"/>
      <c r="FB811" s="2"/>
      <c r="FC811" s="2"/>
    </row>
    <row r="812" spans="1:159" s="3" customFormat="1" ht="13"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2"/>
      <c r="AV812"/>
      <c r="AW812"/>
      <c r="AX812"/>
      <c r="AY812"/>
      <c r="AZ812" s="2"/>
      <c r="BA812" s="2"/>
      <c r="BB812" s="2"/>
      <c r="BC812" s="2"/>
      <c r="BD812" s="2"/>
      <c r="BE812" s="12"/>
      <c r="BF812" s="12"/>
      <c r="BG812" s="12"/>
      <c r="BH812" s="12"/>
      <c r="BI812" s="12"/>
      <c r="BJ812" s="12"/>
      <c r="BK812" s="12"/>
      <c r="BL812" s="12"/>
      <c r="BM812" s="12"/>
      <c r="BN812" s="12"/>
      <c r="BO812" s="115" t="s">
        <v>902</v>
      </c>
      <c r="BP812" s="219">
        <v>473390</v>
      </c>
      <c r="BQ812" s="219">
        <v>545814</v>
      </c>
      <c r="BR812" s="219">
        <v>658400</v>
      </c>
      <c r="BS812" s="219">
        <v>842752</v>
      </c>
      <c r="BT812" s="219">
        <v>938878</v>
      </c>
      <c r="BU812" s="12"/>
      <c r="BV812" s="115" t="s">
        <v>902</v>
      </c>
      <c r="BW812" s="219">
        <v>473390</v>
      </c>
      <c r="BX812" s="219">
        <v>545814</v>
      </c>
      <c r="BY812" s="219">
        <v>658400</v>
      </c>
      <c r="BZ812" s="219">
        <v>842752</v>
      </c>
      <c r="CA812" s="219">
        <v>938878</v>
      </c>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12"/>
      <c r="DY812" s="12"/>
      <c r="DZ812" s="12"/>
      <c r="EA812" s="12"/>
      <c r="EB812" s="12"/>
      <c r="EC812" s="12"/>
      <c r="ED812" s="12"/>
      <c r="EE812" s="12"/>
      <c r="EF812" s="12"/>
      <c r="EG812" s="12"/>
      <c r="EH812" s="12"/>
      <c r="EI812" s="12"/>
      <c r="EJ812" s="12"/>
      <c r="EK812" s="12"/>
      <c r="EL812" s="12"/>
      <c r="EM812" s="12"/>
      <c r="EN812" s="12"/>
      <c r="EO812" s="12"/>
      <c r="EP812" s="12"/>
      <c r="EQ812" s="12"/>
      <c r="ER812" s="12"/>
      <c r="ES812" s="12"/>
      <c r="ET812" s="12"/>
      <c r="EU812" s="12"/>
      <c r="EV812" s="12"/>
      <c r="EW812" s="12"/>
      <c r="EX812" s="12"/>
      <c r="EY812" s="12"/>
      <c r="EZ812" s="12"/>
      <c r="FA812" s="12"/>
      <c r="FB812" s="2"/>
      <c r="FC812" s="2"/>
    </row>
    <row r="813" spans="1:159" s="3" customFormat="1" ht="13" customHeight="1">
      <c r="A813"/>
      <c r="B813"/>
      <c r="C813"/>
      <c r="D813"/>
      <c r="E813"/>
      <c r="F813"/>
      <c r="G813"/>
      <c r="H813" s="1033" t="s">
        <v>1580</v>
      </c>
      <c r="I813" s="4"/>
      <c r="J813" s="4"/>
      <c r="K813" s="4"/>
      <c r="L813" s="4"/>
      <c r="M813" s="4"/>
      <c r="N813" s="4"/>
      <c r="O813" s="4"/>
      <c r="P813" s="4"/>
      <c r="Q813" s="4"/>
      <c r="R813" s="4"/>
      <c r="S813" s="4"/>
      <c r="T813" s="4"/>
      <c r="U813" s="4"/>
      <c r="V813" s="4"/>
      <c r="W813" s="4"/>
      <c r="X813" s="4"/>
      <c r="Y813" s="4"/>
      <c r="Z813" s="1435">
        <v>7632</v>
      </c>
      <c r="AA813" s="1436"/>
      <c r="AB813" s="1436"/>
      <c r="AC813" s="1436"/>
      <c r="AD813" s="1436"/>
      <c r="AE813" s="1437"/>
      <c r="AF813"/>
      <c r="AG813"/>
      <c r="AH813"/>
      <c r="AI813"/>
      <c r="AJ813"/>
      <c r="AK813"/>
      <c r="AL813"/>
      <c r="AM813"/>
      <c r="AN813"/>
      <c r="AO813"/>
      <c r="AP813"/>
      <c r="AQ813"/>
      <c r="AR813"/>
      <c r="AS813"/>
      <c r="AT813"/>
      <c r="AU813" s="2"/>
      <c r="AV813"/>
      <c r="AW813"/>
      <c r="AX813"/>
      <c r="AY813"/>
      <c r="AZ813" s="2"/>
      <c r="BA813" s="2"/>
      <c r="BB813" s="2"/>
      <c r="BC813" s="2"/>
      <c r="BD813" s="2"/>
      <c r="BE813" s="2"/>
      <c r="BF813" s="12"/>
      <c r="BG813" s="12"/>
      <c r="BH813" s="12"/>
      <c r="BI813" s="12"/>
      <c r="BJ813" s="12"/>
      <c r="BK813" s="12"/>
      <c r="BL813" s="12"/>
      <c r="BM813" s="12"/>
      <c r="BN813" s="12"/>
      <c r="BO813" s="115" t="s">
        <v>905</v>
      </c>
      <c r="BP813" s="217">
        <v>352022</v>
      </c>
      <c r="BQ813" s="217">
        <v>405878</v>
      </c>
      <c r="BR813" s="217">
        <v>489600</v>
      </c>
      <c r="BS813" s="217">
        <v>626688</v>
      </c>
      <c r="BT813" s="217">
        <v>698170</v>
      </c>
      <c r="BU813" s="12"/>
      <c r="BV813" s="115" t="s">
        <v>905</v>
      </c>
      <c r="BW813" s="217">
        <v>352022</v>
      </c>
      <c r="BX813" s="217">
        <v>405878</v>
      </c>
      <c r="BY813" s="217">
        <v>489600</v>
      </c>
      <c r="BZ813" s="217">
        <v>626688</v>
      </c>
      <c r="CA813" s="217">
        <v>698170</v>
      </c>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12"/>
      <c r="DY813" s="12"/>
      <c r="DZ813" s="12"/>
      <c r="EA813" s="12"/>
      <c r="EB813" s="12"/>
      <c r="EC813" s="12"/>
      <c r="ED813" s="12"/>
      <c r="EE813" s="12"/>
      <c r="EF813" s="12"/>
      <c r="EG813" s="12"/>
      <c r="EH813" s="12"/>
      <c r="EI813" s="12"/>
      <c r="EJ813" s="12"/>
      <c r="EK813" s="12"/>
      <c r="EL813" s="12"/>
      <c r="EM813" s="12"/>
      <c r="EN813" s="12"/>
      <c r="EO813" s="12"/>
      <c r="EP813" s="12"/>
      <c r="EQ813" s="12"/>
      <c r="ER813" s="12"/>
      <c r="ES813" s="12"/>
      <c r="ET813" s="12"/>
      <c r="EU813" s="12"/>
      <c r="EV813" s="12"/>
      <c r="EW813" s="12"/>
      <c r="EX813" s="12"/>
      <c r="EY813" s="12"/>
      <c r="EZ813" s="12"/>
      <c r="FA813" s="12"/>
      <c r="FB813" s="2"/>
      <c r="FC813" s="2"/>
    </row>
    <row r="814" spans="1:159" s="3" customFormat="1" ht="13" customHeight="1">
      <c r="A814"/>
      <c r="B814"/>
      <c r="C814"/>
      <c r="D814"/>
      <c r="E814"/>
      <c r="F814"/>
      <c r="G814"/>
      <c r="H814" s="1033" t="s">
        <v>1581</v>
      </c>
      <c r="I814" s="4"/>
      <c r="J814" s="4"/>
      <c r="K814" s="4"/>
      <c r="L814" s="4"/>
      <c r="M814" s="4"/>
      <c r="N814" s="4"/>
      <c r="O814" s="4"/>
      <c r="P814" s="4"/>
      <c r="Q814" s="4"/>
      <c r="R814" s="4"/>
      <c r="S814" s="4"/>
      <c r="T814" s="4"/>
      <c r="U814" s="4"/>
      <c r="V814" s="4"/>
      <c r="W814" s="4"/>
      <c r="X814" s="4"/>
      <c r="Y814" s="4"/>
      <c r="Z814" s="1435"/>
      <c r="AA814" s="1436"/>
      <c r="AB814" s="1436"/>
      <c r="AC814" s="1436"/>
      <c r="AD814" s="1436"/>
      <c r="AE814" s="1437"/>
      <c r="AF814"/>
      <c r="AG814"/>
      <c r="AH814"/>
      <c r="AI814"/>
      <c r="AJ814"/>
      <c r="AK814"/>
      <c r="AL814"/>
      <c r="AM814"/>
      <c r="AN814"/>
      <c r="AO814"/>
      <c r="AP814"/>
      <c r="AQ814"/>
      <c r="AR814"/>
      <c r="AS814"/>
      <c r="AT814"/>
      <c r="AU814" s="2"/>
      <c r="AV814"/>
      <c r="AW814"/>
      <c r="AX814"/>
      <c r="AY814"/>
      <c r="AZ814" s="24"/>
      <c r="BA814" s="24"/>
      <c r="BB814" s="12"/>
      <c r="BC814" s="12"/>
      <c r="BD814" s="12"/>
      <c r="BE814" s="12"/>
      <c r="BF814" s="12"/>
      <c r="BG814" s="12"/>
      <c r="BH814" s="12"/>
      <c r="BI814" s="12"/>
      <c r="BJ814" s="12"/>
      <c r="BK814" s="12"/>
      <c r="BL814" s="12"/>
      <c r="BM814" s="12"/>
      <c r="BN814" s="12"/>
      <c r="BO814" s="115" t="s">
        <v>907</v>
      </c>
      <c r="BP814" s="219">
        <v>331890</v>
      </c>
      <c r="BQ814" s="219">
        <v>382666</v>
      </c>
      <c r="BR814" s="219">
        <v>461600</v>
      </c>
      <c r="BS814" s="219">
        <v>590848</v>
      </c>
      <c r="BT814" s="219">
        <v>658242</v>
      </c>
      <c r="BU814" s="12"/>
      <c r="BV814" s="115" t="s">
        <v>907</v>
      </c>
      <c r="BW814" s="219">
        <v>331890</v>
      </c>
      <c r="BX814" s="219">
        <v>382666</v>
      </c>
      <c r="BY814" s="219">
        <v>461600</v>
      </c>
      <c r="BZ814" s="219">
        <v>590848</v>
      </c>
      <c r="CA814" s="219">
        <v>658242</v>
      </c>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12"/>
      <c r="DY814" s="12"/>
      <c r="DZ814" s="12"/>
      <c r="EA814" s="12"/>
      <c r="EB814" s="12"/>
      <c r="EC814" s="12"/>
      <c r="ED814" s="12"/>
      <c r="EE814" s="12"/>
      <c r="EF814" s="12"/>
      <c r="EG814" s="12"/>
      <c r="EH814" s="12"/>
      <c r="EI814" s="12"/>
      <c r="EJ814" s="12"/>
      <c r="EK814" s="12"/>
      <c r="EL814" s="12"/>
      <c r="EM814" s="12"/>
      <c r="EN814" s="12"/>
      <c r="EO814" s="12"/>
      <c r="EP814" s="12"/>
      <c r="EQ814" s="12"/>
      <c r="ER814" s="12"/>
      <c r="ES814" s="12"/>
      <c r="ET814" s="12"/>
      <c r="EU814" s="12"/>
      <c r="EV814" s="12"/>
      <c r="EW814" s="12"/>
      <c r="EX814" s="12"/>
      <c r="EY814" s="12"/>
      <c r="EZ814" s="12"/>
      <c r="FA814" s="12"/>
      <c r="FB814" s="2"/>
      <c r="FC814" s="2"/>
    </row>
    <row r="815" spans="1:159" s="3" customFormat="1" ht="13" customHeight="1">
      <c r="A815"/>
      <c r="B815"/>
      <c r="C815"/>
      <c r="D815"/>
      <c r="E815"/>
      <c r="F815"/>
      <c r="G815"/>
      <c r="H815" s="1033" t="s">
        <v>1582</v>
      </c>
      <c r="I815" s="4"/>
      <c r="J815" s="4"/>
      <c r="K815" s="4"/>
      <c r="L815" s="4"/>
      <c r="M815" s="4"/>
      <c r="N815" s="4"/>
      <c r="O815" s="4"/>
      <c r="P815" s="4"/>
      <c r="Q815" s="4"/>
      <c r="R815" s="4"/>
      <c r="S815" s="4"/>
      <c r="T815" s="4"/>
      <c r="U815" s="4"/>
      <c r="V815" s="4"/>
      <c r="W815" s="4"/>
      <c r="X815" s="4"/>
      <c r="Y815" s="4"/>
      <c r="Z815" s="1435"/>
      <c r="AA815" s="1436"/>
      <c r="AB815" s="1436"/>
      <c r="AC815" s="1436"/>
      <c r="AD815" s="1436"/>
      <c r="AE815" s="1437"/>
      <c r="AF815"/>
      <c r="AG815"/>
      <c r="AH815"/>
      <c r="AI815"/>
      <c r="AJ815"/>
      <c r="AK815"/>
      <c r="AL815"/>
      <c r="AM815"/>
      <c r="AN815"/>
      <c r="AO815"/>
      <c r="AP815"/>
      <c r="AQ815"/>
      <c r="AR815"/>
      <c r="AS815"/>
      <c r="AT815"/>
      <c r="AU815" s="2"/>
      <c r="AV815"/>
      <c r="AW815"/>
      <c r="AX815"/>
      <c r="AY815"/>
      <c r="AZ815" s="24"/>
      <c r="BA815" s="24"/>
      <c r="BB815" s="12"/>
      <c r="BC815" s="12"/>
      <c r="BD815" s="12"/>
      <c r="BE815" s="12"/>
      <c r="BF815" s="12"/>
      <c r="BG815" s="12"/>
      <c r="BH815" s="12"/>
      <c r="BI815" s="12"/>
      <c r="BJ815" s="12"/>
      <c r="BK815" s="12"/>
      <c r="BL815" s="12"/>
      <c r="BM815" s="12"/>
      <c r="BN815" s="12"/>
      <c r="BO815" s="115" t="s">
        <v>909</v>
      </c>
      <c r="BP815" s="217">
        <v>307732</v>
      </c>
      <c r="BQ815" s="217">
        <v>354812</v>
      </c>
      <c r="BR815" s="217">
        <v>428000</v>
      </c>
      <c r="BS815" s="217">
        <v>547840</v>
      </c>
      <c r="BT815" s="217">
        <v>610328</v>
      </c>
      <c r="BU815" s="12"/>
      <c r="BV815" s="115" t="s">
        <v>909</v>
      </c>
      <c r="BW815" s="217">
        <v>307732</v>
      </c>
      <c r="BX815" s="217">
        <v>354812</v>
      </c>
      <c r="BY815" s="217">
        <v>428000</v>
      </c>
      <c r="BZ815" s="217">
        <v>547840</v>
      </c>
      <c r="CA815" s="217">
        <v>610328</v>
      </c>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12"/>
      <c r="DY815" s="12"/>
      <c r="DZ815" s="12"/>
      <c r="EA815" s="12"/>
      <c r="EB815" s="12"/>
      <c r="EC815" s="12"/>
      <c r="ED815" s="12"/>
      <c r="EE815" s="12"/>
      <c r="EF815" s="12"/>
      <c r="EG815" s="12"/>
      <c r="EH815" s="12"/>
      <c r="EI815" s="12"/>
      <c r="EJ815" s="12"/>
      <c r="EK815" s="12"/>
      <c r="EL815" s="12"/>
      <c r="EM815" s="12"/>
      <c r="EN815" s="12"/>
      <c r="EO815" s="12"/>
      <c r="EP815" s="12"/>
      <c r="EQ815" s="12"/>
      <c r="ER815" s="12"/>
      <c r="ES815" s="12"/>
      <c r="ET815" s="12"/>
      <c r="EU815" s="12"/>
      <c r="EV815" s="12"/>
      <c r="EW815" s="12"/>
      <c r="EX815" s="12"/>
      <c r="EY815" s="12"/>
      <c r="EZ815" s="12"/>
      <c r="FA815" s="12"/>
      <c r="FB815" s="2"/>
      <c r="FC815" s="2"/>
    </row>
    <row r="816" spans="1:159" s="3" customFormat="1" ht="13" customHeight="1">
      <c r="A816"/>
      <c r="B816"/>
      <c r="C816"/>
      <c r="D816"/>
      <c r="E816"/>
      <c r="F816"/>
      <c r="G816"/>
      <c r="H816" s="1033" t="s">
        <v>1583</v>
      </c>
      <c r="I816" s="4"/>
      <c r="J816" s="4"/>
      <c r="K816" s="4"/>
      <c r="L816" s="4"/>
      <c r="M816" s="4"/>
      <c r="N816" s="4"/>
      <c r="O816" s="4"/>
      <c r="P816" s="1336" t="s">
        <v>1584</v>
      </c>
      <c r="Q816" s="1337"/>
      <c r="R816" s="1337"/>
      <c r="S816" s="1337"/>
      <c r="T816" s="1337"/>
      <c r="U816" s="1337"/>
      <c r="V816" s="1337"/>
      <c r="W816" s="1337"/>
      <c r="X816" s="1337"/>
      <c r="Y816" s="1338"/>
      <c r="Z816" s="1435">
        <v>2544</v>
      </c>
      <c r="AA816" s="1436"/>
      <c r="AB816" s="1436"/>
      <c r="AC816" s="1436"/>
      <c r="AD816" s="1436"/>
      <c r="AE816" s="1437"/>
      <c r="AF816"/>
      <c r="AG816"/>
      <c r="AH816"/>
      <c r="AI816"/>
      <c r="AJ816"/>
      <c r="AK816"/>
      <c r="AL816"/>
      <c r="AM816"/>
      <c r="AN816"/>
      <c r="AO816"/>
      <c r="AP816"/>
      <c r="AQ816"/>
      <c r="AR816"/>
      <c r="AS816"/>
      <c r="AT816"/>
      <c r="AU816" s="2"/>
      <c r="AV816"/>
      <c r="AW816"/>
      <c r="AX816"/>
      <c r="AY816"/>
      <c r="AZ816" s="24"/>
      <c r="BA816" s="24"/>
      <c r="BB816" s="12"/>
      <c r="BC816" s="12"/>
      <c r="BD816" s="12"/>
      <c r="BE816" s="12"/>
      <c r="BF816" s="12"/>
      <c r="BG816" s="12"/>
      <c r="BH816" s="12"/>
      <c r="BI816" s="12"/>
      <c r="BJ816" s="12"/>
      <c r="BK816" s="12"/>
      <c r="BL816" s="12"/>
      <c r="BM816" s="12"/>
      <c r="BN816" s="12"/>
      <c r="BO816" s="115" t="s">
        <v>911</v>
      </c>
      <c r="BP816" s="219">
        <v>352022</v>
      </c>
      <c r="BQ816" s="219">
        <v>405878</v>
      </c>
      <c r="BR816" s="219">
        <v>489600</v>
      </c>
      <c r="BS816" s="219">
        <v>626688</v>
      </c>
      <c r="BT816" s="219">
        <v>698170</v>
      </c>
      <c r="BU816" s="12"/>
      <c r="BV816" s="115" t="s">
        <v>911</v>
      </c>
      <c r="BW816" s="219">
        <v>352022</v>
      </c>
      <c r="BX816" s="219">
        <v>405878</v>
      </c>
      <c r="BY816" s="219">
        <v>489600</v>
      </c>
      <c r="BZ816" s="219">
        <v>626688</v>
      </c>
      <c r="CA816" s="219">
        <v>698170</v>
      </c>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1:159" s="3" customFormat="1" ht="13" customHeight="1">
      <c r="A817"/>
      <c r="B817"/>
      <c r="C817"/>
      <c r="D817"/>
      <c r="E817"/>
      <c r="F817"/>
      <c r="G817"/>
      <c r="H817" s="1033"/>
      <c r="I817" s="4"/>
      <c r="J817" s="4"/>
      <c r="K817" s="4"/>
      <c r="L817" s="4"/>
      <c r="M817" s="4"/>
      <c r="N817" s="4"/>
      <c r="O817" s="4"/>
      <c r="P817" s="4"/>
      <c r="Q817" s="4"/>
      <c r="R817" s="4"/>
      <c r="S817" s="4"/>
      <c r="T817" s="4"/>
      <c r="U817" s="4"/>
      <c r="V817" s="4"/>
      <c r="W817" s="4"/>
      <c r="X817" s="4"/>
      <c r="Y817" s="1152" t="s">
        <v>1585</v>
      </c>
      <c r="Z817" s="1565">
        <f>SUM(Z813:AE816)</f>
        <v>10176</v>
      </c>
      <c r="AA817" s="1566"/>
      <c r="AB817" s="1566"/>
      <c r="AC817" s="1566"/>
      <c r="AD817" s="1566"/>
      <c r="AE817" s="1567"/>
      <c r="AF817"/>
      <c r="AG817"/>
      <c r="AH817"/>
      <c r="AI817"/>
      <c r="AJ817"/>
      <c r="AK817"/>
      <c r="AL817"/>
      <c r="AM817"/>
      <c r="AN817"/>
      <c r="AO817"/>
      <c r="AP817"/>
      <c r="AQ817"/>
      <c r="AR817"/>
      <c r="AS817"/>
      <c r="AT817"/>
      <c r="AU817" s="2"/>
      <c r="AV817"/>
      <c r="AW817"/>
      <c r="AX817"/>
      <c r="AY817"/>
      <c r="AZ817" s="24"/>
      <c r="BA817" s="24"/>
      <c r="BB817" s="12"/>
      <c r="BC817" s="12"/>
      <c r="BD817" s="12"/>
      <c r="BE817" s="12"/>
      <c r="BF817" s="12"/>
      <c r="BG817" s="12"/>
      <c r="BH817" s="12"/>
      <c r="BI817" s="12"/>
      <c r="BJ817" s="12"/>
      <c r="BK817" s="12"/>
      <c r="BL817" s="12"/>
      <c r="BM817" s="12"/>
      <c r="BN817" s="12"/>
      <c r="BO817" s="115" t="s">
        <v>913</v>
      </c>
      <c r="BP817" s="217">
        <v>352022</v>
      </c>
      <c r="BQ817" s="217">
        <v>405878</v>
      </c>
      <c r="BR817" s="217">
        <v>489600</v>
      </c>
      <c r="BS817" s="217">
        <v>626688</v>
      </c>
      <c r="BT817" s="217">
        <v>698170</v>
      </c>
      <c r="BU817" s="12"/>
      <c r="BV817" s="115" t="s">
        <v>913</v>
      </c>
      <c r="BW817" s="217">
        <v>352022</v>
      </c>
      <c r="BX817" s="217">
        <v>405878</v>
      </c>
      <c r="BY817" s="217">
        <v>489600</v>
      </c>
      <c r="BZ817" s="217">
        <v>626688</v>
      </c>
      <c r="CA817" s="217">
        <v>698170</v>
      </c>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1:159" s="3" customFormat="1" ht="13" customHeight="1">
      <c r="A818"/>
      <c r="B818"/>
      <c r="C818"/>
      <c r="D818"/>
      <c r="E818"/>
      <c r="F818"/>
      <c r="G818"/>
      <c r="H818" s="1033"/>
      <c r="I818" s="4"/>
      <c r="J818" s="4"/>
      <c r="K818" s="4"/>
      <c r="L818" s="4"/>
      <c r="M818" s="4"/>
      <c r="N818" s="4"/>
      <c r="O818" s="4"/>
      <c r="P818" s="4"/>
      <c r="Q818" s="4"/>
      <c r="R818" s="4"/>
      <c r="S818" s="4"/>
      <c r="T818" s="4"/>
      <c r="U818" s="4"/>
      <c r="V818" s="4"/>
      <c r="W818" s="4"/>
      <c r="X818" s="4"/>
      <c r="Y818" s="1152" t="s">
        <v>1586</v>
      </c>
      <c r="Z818" s="1565">
        <f>Z817+Y801+Z809</f>
        <v>1309152</v>
      </c>
      <c r="AA818" s="1566"/>
      <c r="AB818" s="1566"/>
      <c r="AC818" s="1566"/>
      <c r="AD818" s="1566"/>
      <c r="AE818" s="1567"/>
      <c r="AF818"/>
      <c r="AG818"/>
      <c r="AH818"/>
      <c r="AI818"/>
      <c r="AJ818"/>
      <c r="AK818"/>
      <c r="AL818"/>
      <c r="AM818"/>
      <c r="AN818"/>
      <c r="AO818"/>
      <c r="AP818"/>
      <c r="AQ818"/>
      <c r="AR818"/>
      <c r="AS818"/>
      <c r="AT818"/>
      <c r="AU818" s="2"/>
      <c r="AV818" s="2"/>
      <c r="AW818" s="2"/>
      <c r="AX818" s="2"/>
      <c r="AY818" s="2"/>
      <c r="AZ818" s="24"/>
      <c r="BA818" s="24"/>
      <c r="BB818" s="12"/>
      <c r="BC818" s="12"/>
      <c r="BD818" s="12"/>
      <c r="BE818" s="12"/>
      <c r="BF818" s="12"/>
      <c r="BG818" s="12"/>
      <c r="BH818" s="12"/>
      <c r="BI818" s="12"/>
      <c r="BJ818" s="12"/>
      <c r="BK818" s="12"/>
      <c r="BL818" s="12"/>
      <c r="BM818" s="12"/>
      <c r="BN818" s="12"/>
      <c r="BO818" s="115" t="s">
        <v>916</v>
      </c>
      <c r="BP818" s="219">
        <v>314634</v>
      </c>
      <c r="BQ818" s="219">
        <v>362770</v>
      </c>
      <c r="BR818" s="219">
        <v>437600</v>
      </c>
      <c r="BS818" s="219">
        <v>560128</v>
      </c>
      <c r="BT818" s="219">
        <v>624018</v>
      </c>
      <c r="BU818" s="12"/>
      <c r="BV818" s="115" t="s">
        <v>916</v>
      </c>
      <c r="BW818" s="219">
        <v>314634</v>
      </c>
      <c r="BX818" s="219">
        <v>362770</v>
      </c>
      <c r="BY818" s="219">
        <v>437600</v>
      </c>
      <c r="BZ818" s="219">
        <v>560128</v>
      </c>
      <c r="CA818" s="219">
        <v>624018</v>
      </c>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1:159" s="3" customFormat="1" ht="13"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2"/>
      <c r="AV819" s="2"/>
      <c r="AW819" s="2"/>
      <c r="AX819" s="2"/>
      <c r="AY819" s="2"/>
      <c r="AZ819" s="24"/>
      <c r="BA819" s="24"/>
      <c r="BB819" s="12"/>
      <c r="BC819" s="12"/>
      <c r="BD819" s="12"/>
      <c r="BE819" s="12"/>
      <c r="BF819" s="12"/>
      <c r="BG819" s="12"/>
      <c r="BH819" s="12"/>
      <c r="BI819" s="12"/>
      <c r="BJ819" s="12"/>
      <c r="BK819" s="12"/>
      <c r="BL819" s="12"/>
      <c r="BM819" s="12"/>
      <c r="BN819" s="12"/>
      <c r="BO819" s="115" t="s">
        <v>918</v>
      </c>
      <c r="BP819" s="217">
        <v>352022</v>
      </c>
      <c r="BQ819" s="217">
        <v>405878</v>
      </c>
      <c r="BR819" s="217">
        <v>489600</v>
      </c>
      <c r="BS819" s="217">
        <v>626688</v>
      </c>
      <c r="BT819" s="217">
        <v>698170</v>
      </c>
      <c r="BU819" s="12"/>
      <c r="BV819" s="115" t="s">
        <v>918</v>
      </c>
      <c r="BW819" s="217">
        <v>352022</v>
      </c>
      <c r="BX819" s="217">
        <v>405878</v>
      </c>
      <c r="BY819" s="217">
        <v>489600</v>
      </c>
      <c r="BZ819" s="217">
        <v>626688</v>
      </c>
      <c r="CA819" s="217">
        <v>698170</v>
      </c>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1:159" s="3" customFormat="1" ht="13" customHeight="1">
      <c r="A820" s="1" t="s">
        <v>1098</v>
      </c>
      <c r="B820" s="1"/>
      <c r="C820" s="1" t="s">
        <v>217</v>
      </c>
      <c r="D820"/>
      <c r="E820"/>
      <c r="F820"/>
      <c r="G820"/>
      <c r="H820"/>
      <c r="I820"/>
      <c r="J820"/>
      <c r="K820"/>
      <c r="L820"/>
      <c r="M820"/>
      <c r="N820"/>
      <c r="O820"/>
      <c r="P820"/>
      <c r="Q820"/>
      <c r="R820"/>
      <c r="S820"/>
      <c r="T820"/>
      <c r="U820"/>
      <c r="V820"/>
      <c r="W820" s="38"/>
      <c r="X820"/>
      <c r="Y820"/>
      <c r="Z820"/>
      <c r="AA820"/>
      <c r="AB820"/>
      <c r="AC820"/>
      <c r="AD820"/>
      <c r="AE820"/>
      <c r="AF820"/>
      <c r="AG820"/>
      <c r="AH820"/>
      <c r="AI820"/>
      <c r="AJ820"/>
      <c r="AK820"/>
      <c r="AL820"/>
      <c r="AM820"/>
      <c r="AN820"/>
      <c r="AO820"/>
      <c r="AP820"/>
      <c r="AQ820"/>
      <c r="AR820"/>
      <c r="AS820"/>
      <c r="AT820"/>
      <c r="AU820" s="2"/>
      <c r="AV820" s="2"/>
      <c r="AW820" s="2"/>
      <c r="AX820" s="2"/>
      <c r="AY820" s="2"/>
      <c r="AZ820" s="24"/>
      <c r="BA820" s="24"/>
      <c r="BB820" s="12"/>
      <c r="BC820" s="12"/>
      <c r="BD820" s="12"/>
      <c r="BE820" s="12"/>
      <c r="BF820" s="12"/>
      <c r="BG820" s="12"/>
      <c r="BH820" s="12"/>
      <c r="BI820" s="12"/>
      <c r="BJ820" s="12"/>
      <c r="BK820" s="12"/>
      <c r="BL820" s="12"/>
      <c r="BM820" s="12"/>
      <c r="BN820" s="12"/>
      <c r="BO820" s="115" t="s">
        <v>920</v>
      </c>
      <c r="BP820" s="219">
        <v>307732</v>
      </c>
      <c r="BQ820" s="219">
        <v>354812</v>
      </c>
      <c r="BR820" s="219">
        <v>428000</v>
      </c>
      <c r="BS820" s="219">
        <v>547840</v>
      </c>
      <c r="BT820" s="219">
        <v>610328</v>
      </c>
      <c r="BU820" s="12"/>
      <c r="BV820" s="115" t="s">
        <v>920</v>
      </c>
      <c r="BW820" s="219">
        <v>307732</v>
      </c>
      <c r="BX820" s="219">
        <v>354812</v>
      </c>
      <c r="BY820" s="219">
        <v>428000</v>
      </c>
      <c r="BZ820" s="219">
        <v>547840</v>
      </c>
      <c r="CA820" s="219">
        <v>610328</v>
      </c>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1:159" s="3" customFormat="1" ht="13" customHeight="1">
      <c r="A821"/>
      <c r="B821"/>
      <c r="C821" s="18" t="s">
        <v>1587</v>
      </c>
      <c r="D821"/>
      <c r="E821"/>
      <c r="F821"/>
      <c r="G821"/>
      <c r="H821"/>
      <c r="I821"/>
      <c r="J821"/>
      <c r="K821"/>
      <c r="L821"/>
      <c r="M821"/>
      <c r="N821"/>
      <c r="O821"/>
      <c r="P821"/>
      <c r="Q821"/>
      <c r="R821"/>
      <c r="S821"/>
      <c r="T821"/>
      <c r="U821"/>
      <c r="V821"/>
      <c r="W821" s="38"/>
      <c r="X821"/>
      <c r="Y821"/>
      <c r="Z821"/>
      <c r="AA821"/>
      <c r="AB821"/>
      <c r="AC821"/>
      <c r="AD821"/>
      <c r="AE821"/>
      <c r="AF821"/>
      <c r="AG821"/>
      <c r="AH821"/>
      <c r="AI821"/>
      <c r="AJ821"/>
      <c r="AK821"/>
      <c r="AL821"/>
      <c r="AM821"/>
      <c r="AN821"/>
      <c r="AO821"/>
      <c r="AP821"/>
      <c r="AQ821"/>
      <c r="AR821"/>
      <c r="AS821"/>
      <c r="AT821"/>
      <c r="AU821" s="2"/>
      <c r="AV821" s="2"/>
      <c r="AW821" s="2"/>
      <c r="AX821" s="2"/>
      <c r="AY821" s="2"/>
      <c r="AZ821" s="24"/>
      <c r="BA821" s="24"/>
      <c r="BB821" s="12"/>
      <c r="BC821" s="12"/>
      <c r="BD821" s="12"/>
      <c r="BE821" s="12"/>
      <c r="BF821" s="12"/>
      <c r="BG821" s="12"/>
      <c r="BH821" s="12"/>
      <c r="BI821" s="12"/>
      <c r="BJ821" s="12"/>
      <c r="BK821" s="12"/>
      <c r="BL821" s="12"/>
      <c r="BM821" s="12"/>
      <c r="BN821" s="12"/>
      <c r="BO821" s="115" t="s">
        <v>923</v>
      </c>
      <c r="BP821" s="217">
        <v>307732</v>
      </c>
      <c r="BQ821" s="217">
        <v>354812</v>
      </c>
      <c r="BR821" s="217">
        <v>428000</v>
      </c>
      <c r="BS821" s="217">
        <v>547840</v>
      </c>
      <c r="BT821" s="217">
        <v>610328</v>
      </c>
      <c r="BU821" s="12"/>
      <c r="BV821" s="115" t="s">
        <v>923</v>
      </c>
      <c r="BW821" s="217">
        <v>307732</v>
      </c>
      <c r="BX821" s="217">
        <v>354812</v>
      </c>
      <c r="BY821" s="217">
        <v>428000</v>
      </c>
      <c r="BZ821" s="217">
        <v>547840</v>
      </c>
      <c r="CA821" s="217">
        <v>610328</v>
      </c>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1:159" s="3" customFormat="1" ht="13" customHeight="1">
      <c r="A822"/>
      <c r="B822"/>
      <c r="C822" s="18"/>
      <c r="D822"/>
      <c r="E822"/>
      <c r="F822"/>
      <c r="G822"/>
      <c r="H822"/>
      <c r="I822"/>
      <c r="J822"/>
      <c r="K822"/>
      <c r="L822"/>
      <c r="M822"/>
      <c r="N822"/>
      <c r="O822"/>
      <c r="P822"/>
      <c r="Q822"/>
      <c r="R822"/>
      <c r="S822"/>
      <c r="T822"/>
      <c r="U822"/>
      <c r="V822"/>
      <c r="W822" s="38"/>
      <c r="X822"/>
      <c r="Y822"/>
      <c r="Z822"/>
      <c r="AA822"/>
      <c r="AB822"/>
      <c r="AC822"/>
      <c r="AD822"/>
      <c r="AE822"/>
      <c r="AF822"/>
      <c r="AG822"/>
      <c r="AH822"/>
      <c r="AI822"/>
      <c r="AJ822"/>
      <c r="AK822"/>
      <c r="AL822"/>
      <c r="AM822"/>
      <c r="AN822"/>
      <c r="AO822"/>
      <c r="AP822"/>
      <c r="AQ822"/>
      <c r="AR822"/>
      <c r="AS822"/>
      <c r="AT822"/>
      <c r="AU822" s="2"/>
      <c r="AV822" s="2"/>
      <c r="AW822" s="2"/>
      <c r="AX822" s="2"/>
      <c r="AY822" s="2"/>
      <c r="AZ822" s="24"/>
      <c r="BA822" s="24"/>
      <c r="BB822" s="12"/>
      <c r="BC822" s="12"/>
      <c r="BD822" s="12"/>
      <c r="BE822" s="12"/>
      <c r="BF822" s="12"/>
      <c r="BG822" s="12"/>
      <c r="BH822" s="12"/>
      <c r="BI822" s="12"/>
      <c r="BJ822" s="12"/>
      <c r="BK822" s="12"/>
      <c r="BL822" s="12"/>
      <c r="BM822" s="12"/>
      <c r="BN822" s="12"/>
      <c r="BO822" s="115" t="s">
        <v>927</v>
      </c>
      <c r="BP822" s="219">
        <v>352022</v>
      </c>
      <c r="BQ822" s="219">
        <v>405878</v>
      </c>
      <c r="BR822" s="219">
        <v>489600</v>
      </c>
      <c r="BS822" s="219">
        <v>626688</v>
      </c>
      <c r="BT822" s="219">
        <v>698170</v>
      </c>
      <c r="BU822" s="12"/>
      <c r="BV822" s="115" t="s">
        <v>927</v>
      </c>
      <c r="BW822" s="219">
        <v>352022</v>
      </c>
      <c r="BX822" s="219">
        <v>405878</v>
      </c>
      <c r="BY822" s="219">
        <v>489600</v>
      </c>
      <c r="BZ822" s="219">
        <v>626688</v>
      </c>
      <c r="CA822" s="219">
        <v>698170</v>
      </c>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1:159" s="3" customFormat="1" ht="13" customHeight="1">
      <c r="A823"/>
      <c r="B823"/>
      <c r="C823" s="30"/>
      <c r="D823" s="31"/>
      <c r="E823" s="31"/>
      <c r="F823" s="31"/>
      <c r="G823" s="31"/>
      <c r="H823" s="31"/>
      <c r="I823" s="31"/>
      <c r="J823" s="31"/>
      <c r="K823" s="31"/>
      <c r="L823" s="39"/>
      <c r="M823" s="1595" t="s">
        <v>1588</v>
      </c>
      <c r="N823" s="1595"/>
      <c r="O823" s="1595"/>
      <c r="P823" s="1596"/>
      <c r="Q823" s="1564" t="s">
        <v>1589</v>
      </c>
      <c r="R823" s="1564"/>
      <c r="S823" s="1564"/>
      <c r="T823" s="1564"/>
      <c r="U823" s="1564" t="s">
        <v>1590</v>
      </c>
      <c r="V823" s="1564"/>
      <c r="W823" s="1564"/>
      <c r="X823" s="1564"/>
      <c r="Y823" s="1564" t="s">
        <v>1591</v>
      </c>
      <c r="Z823" s="1564"/>
      <c r="AA823" s="1564"/>
      <c r="AB823" s="1564"/>
      <c r="AC823" s="1564" t="s">
        <v>1592</v>
      </c>
      <c r="AD823" s="1564"/>
      <c r="AE823" s="1564"/>
      <c r="AF823" s="1564"/>
      <c r="AG823" s="1697" t="s">
        <v>1593</v>
      </c>
      <c r="AH823" s="1697"/>
      <c r="AI823" s="1697"/>
      <c r="AJ823" s="1697"/>
      <c r="AK823"/>
      <c r="AL823" s="2"/>
      <c r="AM823" s="2"/>
      <c r="AN823" s="2"/>
      <c r="AO823" s="2"/>
      <c r="AP823" s="2"/>
      <c r="AQ823" s="2"/>
      <c r="AR823" s="2"/>
      <c r="AS823" s="2"/>
      <c r="AT823" s="2"/>
      <c r="AU823" s="2"/>
      <c r="AV823" s="2"/>
      <c r="AW823" s="2"/>
      <c r="AX823" s="2"/>
      <c r="AY823" s="2"/>
      <c r="AZ823" s="24"/>
      <c r="BA823" s="24"/>
      <c r="BB823" s="12"/>
      <c r="BC823" s="12"/>
      <c r="BD823" s="12"/>
      <c r="BE823" s="12"/>
      <c r="BF823" s="12"/>
      <c r="BG823" s="12"/>
      <c r="BH823" s="12"/>
      <c r="BI823" s="12"/>
      <c r="BJ823" s="12"/>
      <c r="BK823" s="12"/>
      <c r="BL823" s="12"/>
      <c r="BM823" s="12"/>
      <c r="BN823" s="12"/>
      <c r="BO823" s="115" t="s">
        <v>932</v>
      </c>
      <c r="BP823" s="217">
        <v>352022</v>
      </c>
      <c r="BQ823" s="217">
        <v>405878</v>
      </c>
      <c r="BR823" s="217">
        <v>489600</v>
      </c>
      <c r="BS823" s="217">
        <v>626688</v>
      </c>
      <c r="BT823" s="217">
        <v>698170</v>
      </c>
      <c r="BU823" s="12"/>
      <c r="BV823" s="115" t="s">
        <v>932</v>
      </c>
      <c r="BW823" s="217">
        <v>352022</v>
      </c>
      <c r="BX823" s="217">
        <v>405878</v>
      </c>
      <c r="BY823" s="217">
        <v>489600</v>
      </c>
      <c r="BZ823" s="217">
        <v>626688</v>
      </c>
      <c r="CA823" s="217">
        <v>698170</v>
      </c>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1:159" s="12" customFormat="1" ht="13" customHeight="1">
      <c r="A824"/>
      <c r="B824"/>
      <c r="C824" s="32"/>
      <c r="D824" s="33"/>
      <c r="E824" s="33"/>
      <c r="F824" s="33"/>
      <c r="G824" s="33"/>
      <c r="H824" s="33"/>
      <c r="I824" s="33"/>
      <c r="J824" s="33"/>
      <c r="K824" s="33"/>
      <c r="L824" s="34"/>
      <c r="M824" s="1575"/>
      <c r="N824" s="1575"/>
      <c r="O824" s="1575"/>
      <c r="P824" s="1576"/>
      <c r="Q824" s="1564"/>
      <c r="R824" s="1564"/>
      <c r="S824" s="1564"/>
      <c r="T824" s="1564"/>
      <c r="U824" s="1564"/>
      <c r="V824" s="1564"/>
      <c r="W824" s="1564"/>
      <c r="X824" s="1564"/>
      <c r="Y824" s="1564"/>
      <c r="Z824" s="1564"/>
      <c r="AA824" s="1564"/>
      <c r="AB824" s="1564"/>
      <c r="AC824" s="1564"/>
      <c r="AD824" s="1564"/>
      <c r="AE824" s="1564"/>
      <c r="AF824" s="1564"/>
      <c r="AG824" s="1697"/>
      <c r="AH824" s="1697"/>
      <c r="AI824" s="1697"/>
      <c r="AJ824" s="1697"/>
      <c r="AK824"/>
      <c r="AL824" s="2"/>
      <c r="AM824" s="2"/>
      <c r="AN824" s="2"/>
      <c r="AO824" s="2"/>
      <c r="AP824" s="2"/>
      <c r="AQ824" s="2"/>
      <c r="AR824" s="2"/>
      <c r="AS824" s="2"/>
      <c r="AT824" s="2"/>
      <c r="AU824"/>
      <c r="AV824" s="2"/>
      <c r="AW824" s="2"/>
      <c r="AX824" s="2"/>
      <c r="AY824" s="2"/>
      <c r="AZ824" s="24"/>
      <c r="BA824" s="24"/>
      <c r="BO824" s="115" t="s">
        <v>936</v>
      </c>
      <c r="BP824" s="219">
        <v>437727</v>
      </c>
      <c r="BQ824" s="219">
        <v>504695</v>
      </c>
      <c r="BR824" s="219">
        <v>608800</v>
      </c>
      <c r="BS824" s="219">
        <v>779264</v>
      </c>
      <c r="BT824" s="219">
        <v>868149</v>
      </c>
      <c r="BV824" s="115" t="s">
        <v>936</v>
      </c>
      <c r="BW824" s="219">
        <v>437727</v>
      </c>
      <c r="BX824" s="219">
        <v>504695</v>
      </c>
      <c r="BY824" s="219">
        <v>608800</v>
      </c>
      <c r="BZ824" s="219">
        <v>779264</v>
      </c>
      <c r="CA824" s="219">
        <v>868149</v>
      </c>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1:159" s="12" customFormat="1" ht="13" customHeight="1">
      <c r="A825"/>
      <c r="B825"/>
      <c r="C825" s="1685" t="s">
        <v>1594</v>
      </c>
      <c r="D825" s="1395"/>
      <c r="E825" s="1395"/>
      <c r="F825" s="1395"/>
      <c r="G825" s="1395"/>
      <c r="H825" s="1395"/>
      <c r="I825" s="33"/>
      <c r="J825" s="33"/>
      <c r="K825" s="33"/>
      <c r="L825" s="34"/>
      <c r="M825" s="1542"/>
      <c r="N825" s="1542"/>
      <c r="O825" s="1542"/>
      <c r="P825" s="1542"/>
      <c r="Q825" s="1542">
        <v>34</v>
      </c>
      <c r="R825" s="1542"/>
      <c r="S825" s="1542"/>
      <c r="T825" s="1542"/>
      <c r="U825" s="1542">
        <v>43</v>
      </c>
      <c r="V825" s="1542"/>
      <c r="W825" s="1542"/>
      <c r="X825" s="1542"/>
      <c r="Y825" s="1542">
        <v>52</v>
      </c>
      <c r="Z825" s="1542"/>
      <c r="AA825" s="1542"/>
      <c r="AB825" s="1542"/>
      <c r="AC825" s="1399"/>
      <c r="AD825" s="1400"/>
      <c r="AE825" s="1400"/>
      <c r="AF825" s="1401"/>
      <c r="AG825" s="1399"/>
      <c r="AH825" s="1400"/>
      <c r="AI825" s="1400"/>
      <c r="AJ825" s="1401"/>
      <c r="AK825"/>
      <c r="AL825" s="2"/>
      <c r="AM825" s="2"/>
      <c r="AN825" s="2"/>
      <c r="AO825" s="2"/>
      <c r="AP825" s="2"/>
      <c r="AQ825" s="2"/>
      <c r="AR825" s="2"/>
      <c r="AS825" s="2"/>
      <c r="AT825" s="2"/>
      <c r="AU825"/>
      <c r="AV825" s="2"/>
      <c r="AW825" s="2"/>
      <c r="AX825" s="2"/>
      <c r="AY825" s="2"/>
      <c r="AZ825" s="24"/>
      <c r="BA825" s="24"/>
      <c r="BO825" s="115" t="s">
        <v>943</v>
      </c>
      <c r="BP825" s="217">
        <v>307732</v>
      </c>
      <c r="BQ825" s="217">
        <v>354812</v>
      </c>
      <c r="BR825" s="217">
        <v>428000</v>
      </c>
      <c r="BS825" s="217">
        <v>547840</v>
      </c>
      <c r="BT825" s="217">
        <v>610328</v>
      </c>
      <c r="BV825" s="115" t="s">
        <v>943</v>
      </c>
      <c r="BW825" s="217">
        <v>307732</v>
      </c>
      <c r="BX825" s="217">
        <v>354812</v>
      </c>
      <c r="BY825" s="217">
        <v>428000</v>
      </c>
      <c r="BZ825" s="217">
        <v>547840</v>
      </c>
      <c r="CA825" s="217">
        <v>610328</v>
      </c>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1:159" s="12" customFormat="1" ht="13" customHeight="1">
      <c r="A826"/>
      <c r="B826"/>
      <c r="C826" s="1543" t="s">
        <v>1595</v>
      </c>
      <c r="D826" s="1544"/>
      <c r="E826" s="1544"/>
      <c r="F826" s="1544"/>
      <c r="G826" s="1544"/>
      <c r="H826" s="1544"/>
      <c r="I826" s="4"/>
      <c r="J826" s="4"/>
      <c r="K826" s="4"/>
      <c r="L826" s="1034"/>
      <c r="M826" s="1542"/>
      <c r="N826" s="1542"/>
      <c r="O826" s="1542"/>
      <c r="P826" s="1542"/>
      <c r="Q826" s="1542"/>
      <c r="R826" s="1542"/>
      <c r="S826" s="1542"/>
      <c r="T826" s="1542"/>
      <c r="U826" s="1542"/>
      <c r="V826" s="1542"/>
      <c r="W826" s="1542"/>
      <c r="X826" s="1542"/>
      <c r="Y826" s="1542"/>
      <c r="Z826" s="1542"/>
      <c r="AA826" s="1542"/>
      <c r="AB826" s="1542"/>
      <c r="AC826" s="1399"/>
      <c r="AD826" s="1400"/>
      <c r="AE826" s="1400"/>
      <c r="AF826" s="1401"/>
      <c r="AG826" s="1399"/>
      <c r="AH826" s="1400"/>
      <c r="AI826" s="1400"/>
      <c r="AJ826" s="1401"/>
      <c r="AK826"/>
      <c r="AL826" s="2"/>
      <c r="AM826" s="2"/>
      <c r="AN826" s="2"/>
      <c r="AO826" s="2"/>
      <c r="AP826" s="2"/>
      <c r="AQ826" s="2"/>
      <c r="AR826" s="2"/>
      <c r="AS826" s="2"/>
      <c r="AT826" s="2"/>
      <c r="AU826"/>
      <c r="AV826" s="2"/>
      <c r="AW826" s="2"/>
      <c r="AX826" s="2"/>
      <c r="AY826" s="2"/>
      <c r="AZ826" s="24"/>
      <c r="BA826" s="24"/>
      <c r="BO826" s="115" t="s">
        <v>947</v>
      </c>
      <c r="BP826" s="219">
        <v>384234</v>
      </c>
      <c r="BQ826" s="219">
        <v>443018</v>
      </c>
      <c r="BR826" s="219">
        <v>534400</v>
      </c>
      <c r="BS826" s="219">
        <v>684032</v>
      </c>
      <c r="BT826" s="219">
        <v>762054</v>
      </c>
      <c r="BV826" s="115" t="s">
        <v>947</v>
      </c>
      <c r="BW826" s="219">
        <v>384234</v>
      </c>
      <c r="BX826" s="219">
        <v>443018</v>
      </c>
      <c r="BY826" s="219">
        <v>534400</v>
      </c>
      <c r="BZ826" s="219">
        <v>684032</v>
      </c>
      <c r="CA826" s="219">
        <v>762054</v>
      </c>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1:159" s="12" customFormat="1" ht="13" customHeight="1">
      <c r="A827"/>
      <c r="B827"/>
      <c r="C827" s="1543" t="s">
        <v>1596</v>
      </c>
      <c r="D827" s="1544"/>
      <c r="E827" s="1544"/>
      <c r="F827" s="1544"/>
      <c r="G827" s="1544"/>
      <c r="H827" s="1544"/>
      <c r="I827" s="1165"/>
      <c r="J827" s="1165"/>
      <c r="K827" s="1165"/>
      <c r="L827" s="1177"/>
      <c r="M827" s="1542"/>
      <c r="N827" s="1542"/>
      <c r="O827" s="1542"/>
      <c r="P827" s="1542"/>
      <c r="Q827" s="1542">
        <v>15</v>
      </c>
      <c r="R827" s="1542"/>
      <c r="S827" s="1542"/>
      <c r="T827" s="1542"/>
      <c r="U827" s="1542">
        <v>21</v>
      </c>
      <c r="V827" s="1542"/>
      <c r="W827" s="1542"/>
      <c r="X827" s="1542"/>
      <c r="Y827" s="1542">
        <v>28</v>
      </c>
      <c r="Z827" s="1542"/>
      <c r="AA827" s="1542"/>
      <c r="AB827" s="1542"/>
      <c r="AC827" s="1399"/>
      <c r="AD827" s="1400"/>
      <c r="AE827" s="1400"/>
      <c r="AF827" s="1401"/>
      <c r="AG827" s="1399"/>
      <c r="AH827" s="1400"/>
      <c r="AI827" s="1400"/>
      <c r="AJ827" s="1401"/>
      <c r="AK827"/>
      <c r="AL827" s="2"/>
      <c r="AM827" s="2"/>
      <c r="AN827" s="2"/>
      <c r="AO827" s="2"/>
      <c r="AP827" s="2"/>
      <c r="AQ827" s="2"/>
      <c r="AR827" s="2"/>
      <c r="AS827" s="2"/>
      <c r="AT827" s="2"/>
      <c r="AU827"/>
      <c r="AV827" s="2"/>
      <c r="AW827" s="2"/>
      <c r="AX827" s="2"/>
      <c r="AY827" s="2"/>
      <c r="AZ827" s="24"/>
      <c r="BA827" s="24"/>
      <c r="BO827" s="115" t="s">
        <v>951</v>
      </c>
      <c r="BP827" s="217">
        <v>352022</v>
      </c>
      <c r="BQ827" s="217">
        <v>405878</v>
      </c>
      <c r="BR827" s="217">
        <v>489600</v>
      </c>
      <c r="BS827" s="217">
        <v>626688</v>
      </c>
      <c r="BT827" s="217">
        <v>698170</v>
      </c>
      <c r="BV827" s="115" t="s">
        <v>951</v>
      </c>
      <c r="BW827" s="217">
        <v>352022</v>
      </c>
      <c r="BX827" s="217">
        <v>405878</v>
      </c>
      <c r="BY827" s="217">
        <v>489600</v>
      </c>
      <c r="BZ827" s="217">
        <v>626688</v>
      </c>
      <c r="CA827" s="217">
        <v>698170</v>
      </c>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1:159" s="12" customFormat="1" ht="13" customHeight="1">
      <c r="A828"/>
      <c r="B828"/>
      <c r="C828" s="1543" t="s">
        <v>1597</v>
      </c>
      <c r="D828" s="1544"/>
      <c r="E828" s="1544"/>
      <c r="F828" s="1544"/>
      <c r="G828" s="1544"/>
      <c r="H828" s="1544"/>
      <c r="I828" s="1165"/>
      <c r="J828" s="1165"/>
      <c r="K828" s="1165"/>
      <c r="L828" s="1177"/>
      <c r="M828" s="1542"/>
      <c r="N828" s="1542"/>
      <c r="O828" s="1542"/>
      <c r="P828" s="1542"/>
      <c r="Q828" s="1542"/>
      <c r="R828" s="1542"/>
      <c r="S828" s="1542"/>
      <c r="T828" s="1542"/>
      <c r="U828" s="1542"/>
      <c r="V828" s="1542"/>
      <c r="W828" s="1542"/>
      <c r="X828" s="1542"/>
      <c r="Y828" s="1542"/>
      <c r="Z828" s="1542"/>
      <c r="AA828" s="1542"/>
      <c r="AB828" s="1542"/>
      <c r="AC828" s="1399"/>
      <c r="AD828" s="1400"/>
      <c r="AE828" s="1400"/>
      <c r="AF828" s="1401"/>
      <c r="AG828" s="1399"/>
      <c r="AH828" s="1400"/>
      <c r="AI828" s="1400"/>
      <c r="AJ828" s="1401"/>
      <c r="AK828"/>
      <c r="AL828" s="2"/>
      <c r="AM828" s="2"/>
      <c r="AN828" s="2"/>
      <c r="AO828" s="2"/>
      <c r="AP828" s="2"/>
      <c r="AQ828" s="2"/>
      <c r="AR828" s="2"/>
      <c r="AS828" s="2"/>
      <c r="AT828" s="2"/>
      <c r="AU828"/>
      <c r="AV828" s="2"/>
      <c r="AW828" s="2"/>
      <c r="AX828" s="2"/>
      <c r="AY828" s="2"/>
      <c r="AZ828" s="24"/>
      <c r="BA828" s="24"/>
      <c r="BO828" s="115" t="s">
        <v>953</v>
      </c>
      <c r="BP828" s="219">
        <v>352022</v>
      </c>
      <c r="BQ828" s="219">
        <v>405878</v>
      </c>
      <c r="BR828" s="219">
        <v>489600</v>
      </c>
      <c r="BS828" s="219">
        <v>626688</v>
      </c>
      <c r="BT828" s="219">
        <v>698170</v>
      </c>
      <c r="BV828" s="115" t="s">
        <v>953</v>
      </c>
      <c r="BW828" s="219">
        <v>352022</v>
      </c>
      <c r="BX828" s="219">
        <v>405878</v>
      </c>
      <c r="BY828" s="219">
        <v>489600</v>
      </c>
      <c r="BZ828" s="219">
        <v>626688</v>
      </c>
      <c r="CA828" s="219">
        <v>698170</v>
      </c>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1:159" s="12" customFormat="1" ht="13" customHeight="1">
      <c r="A829"/>
      <c r="B829"/>
      <c r="C829" s="1543" t="s">
        <v>1598</v>
      </c>
      <c r="D829" s="1544"/>
      <c r="E829" s="1544"/>
      <c r="F829" s="1544"/>
      <c r="G829" s="1544"/>
      <c r="H829" s="1544"/>
      <c r="I829" s="1165"/>
      <c r="J829" s="1165"/>
      <c r="K829" s="1165"/>
      <c r="L829" s="1177"/>
      <c r="M829" s="1542"/>
      <c r="N829" s="1542"/>
      <c r="O829" s="1542"/>
      <c r="P829" s="1542"/>
      <c r="Q829" s="1542"/>
      <c r="R829" s="1542"/>
      <c r="S829" s="1542"/>
      <c r="T829" s="1542"/>
      <c r="U829" s="1542"/>
      <c r="V829" s="1542"/>
      <c r="W829" s="1542"/>
      <c r="X829" s="1542"/>
      <c r="Y829" s="1542"/>
      <c r="Z829" s="1542"/>
      <c r="AA829" s="1542"/>
      <c r="AB829" s="1542"/>
      <c r="AC829" s="1399"/>
      <c r="AD829" s="1400"/>
      <c r="AE829" s="1400"/>
      <c r="AF829" s="1401"/>
      <c r="AG829" s="1399"/>
      <c r="AH829" s="1400"/>
      <c r="AI829" s="1400"/>
      <c r="AJ829" s="1401"/>
      <c r="AK829"/>
      <c r="AL829" s="2"/>
      <c r="AM829" s="2"/>
      <c r="AN829" s="2"/>
      <c r="AO829" s="2"/>
      <c r="AP829" s="2"/>
      <c r="AQ829" s="2"/>
      <c r="AR829" s="2"/>
      <c r="AS829" s="2"/>
      <c r="AT829" s="2"/>
      <c r="AU829"/>
      <c r="AV829" s="2"/>
      <c r="AW829" s="2"/>
      <c r="AX829" s="2"/>
      <c r="AY829" s="2"/>
      <c r="AZ829" s="24"/>
      <c r="BA829" s="24"/>
      <c r="BO829" s="115" t="s">
        <v>956</v>
      </c>
      <c r="BP829" s="217">
        <v>307732</v>
      </c>
      <c r="BQ829" s="217">
        <v>354812</v>
      </c>
      <c r="BR829" s="217">
        <v>428000</v>
      </c>
      <c r="BS829" s="217">
        <v>547840</v>
      </c>
      <c r="BT829" s="217">
        <v>610328</v>
      </c>
      <c r="BV829" s="115" t="s">
        <v>956</v>
      </c>
      <c r="BW829" s="217">
        <v>307732</v>
      </c>
      <c r="BX829" s="217">
        <v>354812</v>
      </c>
      <c r="BY829" s="217">
        <v>428000</v>
      </c>
      <c r="BZ829" s="217">
        <v>547840</v>
      </c>
      <c r="CA829" s="217">
        <v>610328</v>
      </c>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1:159" s="12" customFormat="1" ht="13" customHeight="1">
      <c r="A830"/>
      <c r="B830"/>
      <c r="C830" s="1577" t="s">
        <v>1599</v>
      </c>
      <c r="D830" s="1544"/>
      <c r="E830" s="1544"/>
      <c r="F830" s="1544"/>
      <c r="G830" s="1544"/>
      <c r="H830" s="1544"/>
      <c r="I830" s="1165"/>
      <c r="J830" s="1165"/>
      <c r="K830" s="1165"/>
      <c r="L830" s="1177"/>
      <c r="M830" s="1542"/>
      <c r="N830" s="1542"/>
      <c r="O830" s="1542"/>
      <c r="P830" s="1542"/>
      <c r="Q830" s="1542"/>
      <c r="R830" s="1542"/>
      <c r="S830" s="1542"/>
      <c r="T830" s="1542"/>
      <c r="U830" s="1542"/>
      <c r="V830" s="1542"/>
      <c r="W830" s="1542"/>
      <c r="X830" s="1542"/>
      <c r="Y830" s="1542"/>
      <c r="Z830" s="1542"/>
      <c r="AA830" s="1542"/>
      <c r="AB830" s="1542"/>
      <c r="AC830" s="1399"/>
      <c r="AD830" s="1400"/>
      <c r="AE830" s="1400"/>
      <c r="AF830" s="1401"/>
      <c r="AG830" s="1399"/>
      <c r="AH830" s="1400"/>
      <c r="AI830" s="1400"/>
      <c r="AJ830" s="1401"/>
      <c r="AK830"/>
      <c r="AL830" s="2"/>
      <c r="AM830" s="2"/>
      <c r="AN830" s="2"/>
      <c r="AO830" s="2"/>
      <c r="AP830" s="2"/>
      <c r="AQ830" s="2"/>
      <c r="AR830" s="2"/>
      <c r="AS830" s="2"/>
      <c r="AT830" s="2"/>
      <c r="AU830"/>
      <c r="AV830" s="2"/>
      <c r="AW830" s="2"/>
      <c r="AX830" s="2"/>
      <c r="AY830" s="2"/>
      <c r="AZ830" s="24"/>
      <c r="BA830" s="24"/>
      <c r="BO830" s="115" t="s">
        <v>959</v>
      </c>
      <c r="BP830" s="219">
        <v>352022</v>
      </c>
      <c r="BQ830" s="219">
        <v>405878</v>
      </c>
      <c r="BR830" s="219">
        <v>489600</v>
      </c>
      <c r="BS830" s="219">
        <v>626688</v>
      </c>
      <c r="BT830" s="219">
        <v>698170</v>
      </c>
      <c r="BV830" s="115" t="s">
        <v>959</v>
      </c>
      <c r="BW830" s="219">
        <v>352022</v>
      </c>
      <c r="BX830" s="219">
        <v>405878</v>
      </c>
      <c r="BY830" s="219">
        <v>489600</v>
      </c>
      <c r="BZ830" s="219">
        <v>626688</v>
      </c>
      <c r="CA830" s="219">
        <v>698170</v>
      </c>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1:159" s="12" customFormat="1" ht="13" customHeight="1">
      <c r="A831"/>
      <c r="B831"/>
      <c r="C831" s="1164" t="s">
        <v>1600</v>
      </c>
      <c r="D831" s="1165"/>
      <c r="E831" s="1165"/>
      <c r="F831" s="1336" t="s">
        <v>1601</v>
      </c>
      <c r="G831" s="1337"/>
      <c r="H831" s="1337"/>
      <c r="I831" s="1337"/>
      <c r="J831" s="1337"/>
      <c r="K831" s="1337"/>
      <c r="L831" s="1337"/>
      <c r="M831" s="1542"/>
      <c r="N831" s="1542"/>
      <c r="O831" s="1542"/>
      <c r="P831" s="1542"/>
      <c r="Q831" s="1542">
        <v>51</v>
      </c>
      <c r="R831" s="1542"/>
      <c r="S831" s="1542"/>
      <c r="T831" s="1542"/>
      <c r="U831" s="1542">
        <v>72</v>
      </c>
      <c r="V831" s="1542"/>
      <c r="W831" s="1542"/>
      <c r="X831" s="1542"/>
      <c r="Y831" s="1542">
        <v>95</v>
      </c>
      <c r="Z831" s="1542"/>
      <c r="AA831" s="1542"/>
      <c r="AB831" s="1542"/>
      <c r="AC831" s="1399"/>
      <c r="AD831" s="1400"/>
      <c r="AE831" s="1400"/>
      <c r="AF831" s="1401"/>
      <c r="AG831" s="1399"/>
      <c r="AH831" s="1400"/>
      <c r="AI831" s="1400"/>
      <c r="AJ831" s="1401"/>
      <c r="AK831"/>
      <c r="AL831" s="2"/>
      <c r="AM831" s="2"/>
      <c r="AN831" s="2"/>
      <c r="AO831" s="2"/>
      <c r="AP831" s="2"/>
      <c r="AQ831" s="2"/>
      <c r="AR831" s="2"/>
      <c r="AS831" s="2"/>
      <c r="AT831" s="2"/>
      <c r="AU831"/>
      <c r="AV831" s="2"/>
      <c r="AW831" s="2"/>
      <c r="AX831" s="2"/>
      <c r="AY831" s="2"/>
      <c r="AZ831" s="24"/>
      <c r="BA831" s="24"/>
      <c r="BO831" s="115" t="s">
        <v>961</v>
      </c>
      <c r="BP831" s="217">
        <v>352022</v>
      </c>
      <c r="BQ831" s="217">
        <v>405878</v>
      </c>
      <c r="BR831" s="217">
        <v>489600</v>
      </c>
      <c r="BS831" s="217">
        <v>626688</v>
      </c>
      <c r="BT831" s="217">
        <v>698170</v>
      </c>
      <c r="BV831" s="115" t="s">
        <v>961</v>
      </c>
      <c r="BW831" s="217">
        <v>352022</v>
      </c>
      <c r="BX831" s="217">
        <v>405878</v>
      </c>
      <c r="BY831" s="217">
        <v>489600</v>
      </c>
      <c r="BZ831" s="217">
        <v>626688</v>
      </c>
      <c r="CA831" s="217">
        <v>698170</v>
      </c>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1:159" s="12" customFormat="1" ht="13" customHeight="1">
      <c r="A832"/>
      <c r="B832"/>
      <c r="C832" s="1418" t="s">
        <v>1553</v>
      </c>
      <c r="D832" s="1419"/>
      <c r="E832" s="1419"/>
      <c r="F832" s="1419"/>
      <c r="G832" s="1419"/>
      <c r="H832" s="1419"/>
      <c r="I832" s="1419"/>
      <c r="J832" s="1419"/>
      <c r="K832" s="1419"/>
      <c r="L832" s="1420"/>
      <c r="M832" s="1594">
        <f>SUM(M825:P831)</f>
        <v>0</v>
      </c>
      <c r="N832" s="1594"/>
      <c r="O832" s="1594"/>
      <c r="P832" s="1594"/>
      <c r="Q832" s="1594">
        <f>SUM(Q825:T831)</f>
        <v>100</v>
      </c>
      <c r="R832" s="1594"/>
      <c r="S832" s="1594"/>
      <c r="T832" s="1594"/>
      <c r="U832" s="1594">
        <f>SUM(U825:X831)</f>
        <v>136</v>
      </c>
      <c r="V832" s="1594"/>
      <c r="W832" s="1594"/>
      <c r="X832" s="1594"/>
      <c r="Y832" s="1594">
        <f>SUM(Y825:AB831)</f>
        <v>175</v>
      </c>
      <c r="Z832" s="1594"/>
      <c r="AA832" s="1594"/>
      <c r="AB832" s="1594"/>
      <c r="AC832" s="1594">
        <f>SUM(AC825:AF831)</f>
        <v>0</v>
      </c>
      <c r="AD832" s="1594"/>
      <c r="AE832" s="1594"/>
      <c r="AF832" s="1594"/>
      <c r="AG832" s="1594">
        <f>SUM(AG825:AJ831)</f>
        <v>0</v>
      </c>
      <c r="AH832" s="1594"/>
      <c r="AI832" s="1594"/>
      <c r="AJ832" s="1594"/>
      <c r="AK832"/>
      <c r="AL832" s="2"/>
      <c r="AM832" s="2"/>
      <c r="AN832" s="2"/>
      <c r="AO832" s="2"/>
      <c r="AP832" s="2"/>
      <c r="AQ832" s="2"/>
      <c r="AR832" s="2"/>
      <c r="AS832" s="2"/>
      <c r="AT832" s="2"/>
      <c r="AU832"/>
      <c r="AV832" s="2"/>
      <c r="AW832" s="2"/>
      <c r="AX832" s="2"/>
      <c r="AY832" s="2"/>
      <c r="AZ832" s="24"/>
      <c r="BA832" s="24"/>
      <c r="BO832" s="115" t="s">
        <v>964</v>
      </c>
      <c r="BP832" s="219">
        <v>387110</v>
      </c>
      <c r="BQ832" s="219">
        <v>446334</v>
      </c>
      <c r="BR832" s="219">
        <v>538400</v>
      </c>
      <c r="BS832" s="219">
        <v>689152</v>
      </c>
      <c r="BT832" s="219">
        <v>767758</v>
      </c>
      <c r="BV832" s="115" t="s">
        <v>964</v>
      </c>
      <c r="BW832" s="219">
        <v>387110</v>
      </c>
      <c r="BX832" s="219">
        <v>446334</v>
      </c>
      <c r="BY832" s="219">
        <v>538400</v>
      </c>
      <c r="BZ832" s="219">
        <v>689152</v>
      </c>
      <c r="CA832" s="219">
        <v>767758</v>
      </c>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1:159" s="12" customFormat="1" ht="13" customHeight="1">
      <c r="A833"/>
      <c r="B833"/>
      <c r="C833" s="1118" t="s">
        <v>1602</v>
      </c>
      <c r="D833" s="38"/>
      <c r="E833" s="38"/>
      <c r="F833" s="38"/>
      <c r="G833" s="38"/>
      <c r="H833" s="38"/>
      <c r="I833" s="38"/>
      <c r="J833" s="38"/>
      <c r="K833" s="38"/>
      <c r="L833" s="38"/>
      <c r="M833" s="105"/>
      <c r="N833" s="105"/>
      <c r="O833" s="105"/>
      <c r="P833" s="105"/>
      <c r="Q833" s="105"/>
      <c r="R833" s="105"/>
      <c r="S833" s="105"/>
      <c r="T833" s="105"/>
      <c r="U833" s="105"/>
      <c r="V833" s="105"/>
      <c r="W833" s="105"/>
      <c r="X833" s="105"/>
      <c r="Y833" s="105"/>
      <c r="Z833" s="105"/>
      <c r="AA833" s="105"/>
      <c r="AB833" s="105"/>
      <c r="AC833" s="105"/>
      <c r="AD833" s="105"/>
      <c r="AE833" s="105"/>
      <c r="AF833" s="105"/>
      <c r="AG833" s="105"/>
      <c r="AH833" s="105"/>
      <c r="AI833" s="105"/>
      <c r="AJ833" s="105"/>
      <c r="AK833"/>
      <c r="AL833" s="2"/>
      <c r="AM833" s="2"/>
      <c r="AN833" s="2"/>
      <c r="AO833" s="2"/>
      <c r="AP833" s="2"/>
      <c r="AQ833" s="2"/>
      <c r="AR833" s="2"/>
      <c r="AS833" s="2"/>
      <c r="AT833" s="2"/>
      <c r="AU833"/>
      <c r="AV833" s="2"/>
      <c r="AW833" s="2"/>
      <c r="AX833" s="2"/>
      <c r="AY833" s="2"/>
      <c r="AZ833" s="24"/>
      <c r="BA833" s="24"/>
      <c r="BO833" s="115" t="s">
        <v>968</v>
      </c>
      <c r="BP833" s="217">
        <v>384234</v>
      </c>
      <c r="BQ833" s="217">
        <v>443018</v>
      </c>
      <c r="BR833" s="217">
        <v>534400</v>
      </c>
      <c r="BS833" s="217">
        <v>684032</v>
      </c>
      <c r="BT833" s="217">
        <v>762054</v>
      </c>
      <c r="BV833" s="115" t="s">
        <v>968</v>
      </c>
      <c r="BW833" s="217">
        <v>384234</v>
      </c>
      <c r="BX833" s="217">
        <v>443018</v>
      </c>
      <c r="BY833" s="217">
        <v>534400</v>
      </c>
      <c r="BZ833" s="217">
        <v>684032</v>
      </c>
      <c r="CA833" s="217">
        <v>762054</v>
      </c>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1:159" s="12" customFormat="1" ht="13" customHeight="1">
      <c r="A834"/>
      <c r="B834"/>
      <c r="C834" s="1118" t="s">
        <v>1603</v>
      </c>
      <c r="D834" s="38"/>
      <c r="E834" s="38"/>
      <c r="F834" s="38"/>
      <c r="G834" s="38"/>
      <c r="H834" s="38"/>
      <c r="I834" s="38"/>
      <c r="J834" s="38"/>
      <c r="K834" s="38"/>
      <c r="L834" s="38"/>
      <c r="M834" s="105"/>
      <c r="N834" s="105"/>
      <c r="O834" s="105"/>
      <c r="P834" s="105"/>
      <c r="Q834" s="105"/>
      <c r="R834" s="105"/>
      <c r="S834" s="105"/>
      <c r="T834" s="105"/>
      <c r="U834" s="105"/>
      <c r="V834" s="105"/>
      <c r="W834" s="105"/>
      <c r="X834" s="105"/>
      <c r="Y834" s="105"/>
      <c r="Z834" s="105"/>
      <c r="AA834" s="105"/>
      <c r="AB834" s="105"/>
      <c r="AC834" s="105"/>
      <c r="AD834" s="105"/>
      <c r="AE834" s="105"/>
      <c r="AF834" s="105"/>
      <c r="AG834" s="105"/>
      <c r="AH834" s="105"/>
      <c r="AI834" s="105"/>
      <c r="AJ834" s="105"/>
      <c r="AK834"/>
      <c r="AL834" s="2"/>
      <c r="AM834" s="2"/>
      <c r="AN834" s="2"/>
      <c r="AO834" s="2"/>
      <c r="AP834" s="2"/>
      <c r="AQ834" s="2"/>
      <c r="AR834" s="2"/>
      <c r="AS834" s="2"/>
      <c r="AT834" s="2"/>
      <c r="AU834"/>
      <c r="AV834"/>
      <c r="AW834"/>
      <c r="AX834"/>
      <c r="AY834"/>
      <c r="AZ834" s="24"/>
      <c r="BA834" s="24"/>
      <c r="BO834" s="115" t="s">
        <v>973</v>
      </c>
      <c r="BP834" s="219">
        <v>352022</v>
      </c>
      <c r="BQ834" s="219">
        <v>405878</v>
      </c>
      <c r="BR834" s="219">
        <v>489600</v>
      </c>
      <c r="BS834" s="219">
        <v>626688</v>
      </c>
      <c r="BT834" s="219">
        <v>698170</v>
      </c>
      <c r="BV834" s="115" t="s">
        <v>973</v>
      </c>
      <c r="BW834" s="219">
        <v>352022</v>
      </c>
      <c r="BX834" s="219">
        <v>405878</v>
      </c>
      <c r="BY834" s="219">
        <v>489600</v>
      </c>
      <c r="BZ834" s="219">
        <v>626688</v>
      </c>
      <c r="CA834" s="219">
        <v>698170</v>
      </c>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row>
    <row r="835" spans="1:159" s="12" customFormat="1" ht="13" customHeight="1">
      <c r="A835"/>
      <c r="B835"/>
      <c r="C835" s="38"/>
      <c r="D835" s="38"/>
      <c r="E835" s="38"/>
      <c r="F835" s="38"/>
      <c r="G835" s="38"/>
      <c r="H835" s="38"/>
      <c r="I835" s="38"/>
      <c r="J835" s="38"/>
      <c r="K835" s="38"/>
      <c r="L835" s="38"/>
      <c r="M835" s="105"/>
      <c r="N835" s="105"/>
      <c r="O835" s="105"/>
      <c r="P835" s="105"/>
      <c r="Q835" s="105"/>
      <c r="R835" s="105"/>
      <c r="S835" s="105"/>
      <c r="T835" s="105"/>
      <c r="U835" s="105"/>
      <c r="V835" s="105"/>
      <c r="W835" s="105"/>
      <c r="X835" s="105"/>
      <c r="Y835" s="105"/>
      <c r="Z835" s="105"/>
      <c r="AA835" s="105"/>
      <c r="AB835" s="105"/>
      <c r="AC835" s="105"/>
      <c r="AD835" s="105"/>
      <c r="AE835" s="105"/>
      <c r="AF835" s="105"/>
      <c r="AG835" s="105"/>
      <c r="AH835" s="105"/>
      <c r="AI835" s="105"/>
      <c r="AJ835" s="105"/>
      <c r="AK835"/>
      <c r="AL835" s="2"/>
      <c r="AM835" s="2"/>
      <c r="AN835" s="2"/>
      <c r="AO835" s="2"/>
      <c r="AP835" s="2"/>
      <c r="AQ835" s="2"/>
      <c r="AR835" s="2"/>
      <c r="AS835" s="2"/>
      <c r="AT835" s="2"/>
      <c r="AU835"/>
      <c r="AV835"/>
      <c r="AW835"/>
      <c r="AX835"/>
      <c r="AY835"/>
      <c r="AZ835" s="24"/>
      <c r="BA835" s="24"/>
      <c r="BO835" s="115" t="s">
        <v>976</v>
      </c>
      <c r="BP835" s="217">
        <v>396888</v>
      </c>
      <c r="BQ835" s="217">
        <v>457608</v>
      </c>
      <c r="BR835" s="217">
        <v>552000</v>
      </c>
      <c r="BS835" s="217">
        <v>706560</v>
      </c>
      <c r="BT835" s="217">
        <v>787152</v>
      </c>
      <c r="BV835" s="115" t="s">
        <v>976</v>
      </c>
      <c r="BW835" s="217">
        <v>396888</v>
      </c>
      <c r="BX835" s="217">
        <v>457608</v>
      </c>
      <c r="BY835" s="217">
        <v>552000</v>
      </c>
      <c r="BZ835" s="217">
        <v>706560</v>
      </c>
      <c r="CA835" s="217">
        <v>787152</v>
      </c>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row>
    <row r="836" spans="1:159" s="12" customFormat="1" ht="13" customHeight="1">
      <c r="A836"/>
      <c r="B836"/>
      <c r="C836" s="1" t="s">
        <v>1604</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2"/>
      <c r="AM836" s="2"/>
      <c r="AN836" s="2"/>
      <c r="AO836" s="2"/>
      <c r="AP836" s="2"/>
      <c r="AQ836" s="2"/>
      <c r="AR836" s="2"/>
      <c r="AS836" s="2"/>
      <c r="AT836" s="2"/>
      <c r="AU836"/>
      <c r="AV836"/>
      <c r="AW836"/>
      <c r="AX836"/>
      <c r="AY836"/>
      <c r="AZ836" s="24"/>
      <c r="BA836" s="24"/>
      <c r="BO836" s="115" t="s">
        <v>978</v>
      </c>
      <c r="BP836" s="219">
        <v>331890</v>
      </c>
      <c r="BQ836" s="219">
        <v>382666</v>
      </c>
      <c r="BR836" s="219">
        <v>461600</v>
      </c>
      <c r="BS836" s="219">
        <v>590848</v>
      </c>
      <c r="BT836" s="219">
        <v>658242</v>
      </c>
      <c r="BV836" s="115" t="s">
        <v>978</v>
      </c>
      <c r="BW836" s="219">
        <v>331890</v>
      </c>
      <c r="BX836" s="219">
        <v>382666</v>
      </c>
      <c r="BY836" s="219">
        <v>461600</v>
      </c>
      <c r="BZ836" s="219">
        <v>590848</v>
      </c>
      <c r="CA836" s="219">
        <v>658242</v>
      </c>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row>
    <row r="837" spans="1:159" s="12" customFormat="1" ht="13" customHeight="1">
      <c r="A837"/>
      <c r="B837"/>
      <c r="C837" s="1623" t="s">
        <v>1605</v>
      </c>
      <c r="D837" s="1624"/>
      <c r="E837" s="1624"/>
      <c r="F837" s="1624"/>
      <c r="G837" s="1624"/>
      <c r="H837" s="1624"/>
      <c r="I837" s="1624"/>
      <c r="J837" s="1624"/>
      <c r="K837" s="1624"/>
      <c r="L837" s="1624"/>
      <c r="M837" s="1624"/>
      <c r="N837" s="1624"/>
      <c r="O837" s="1624"/>
      <c r="P837" s="1624"/>
      <c r="Q837" s="1624"/>
      <c r="R837" s="1624"/>
      <c r="S837" s="1624"/>
      <c r="T837" s="1624"/>
      <c r="U837" s="1624"/>
      <c r="V837" s="1624"/>
      <c r="W837" s="1624"/>
      <c r="X837" s="1624"/>
      <c r="Y837" s="1624"/>
      <c r="Z837" s="1624"/>
      <c r="AA837" s="1624"/>
      <c r="AB837" s="1624"/>
      <c r="AC837" s="1624"/>
      <c r="AD837" s="1624"/>
      <c r="AE837" s="1624"/>
      <c r="AF837" s="1624"/>
      <c r="AG837" s="1624"/>
      <c r="AH837" s="1624"/>
      <c r="AI837" s="1624"/>
      <c r="AJ837" s="1625"/>
      <c r="AK837"/>
      <c r="AL837" s="2"/>
      <c r="AM837" s="2"/>
      <c r="AN837" s="2"/>
      <c r="AO837" s="2"/>
      <c r="AP837" s="2"/>
      <c r="AQ837" s="2"/>
      <c r="AR837" s="2"/>
      <c r="AS837" s="2"/>
      <c r="AT837" s="2"/>
      <c r="AU837"/>
      <c r="AV837"/>
      <c r="AW837"/>
      <c r="AX837"/>
      <c r="AY837"/>
      <c r="AZ837" s="24"/>
      <c r="BA837" s="24"/>
      <c r="BO837" s="115" t="s">
        <v>980</v>
      </c>
      <c r="BP837" s="217">
        <v>352022</v>
      </c>
      <c r="BQ837" s="217">
        <v>405878</v>
      </c>
      <c r="BR837" s="217">
        <v>489600</v>
      </c>
      <c r="BS837" s="217">
        <v>626688</v>
      </c>
      <c r="BT837" s="217">
        <v>698170</v>
      </c>
      <c r="BV837" s="115" t="s">
        <v>980</v>
      </c>
      <c r="BW837" s="217">
        <v>352022</v>
      </c>
      <c r="BX837" s="217">
        <v>405878</v>
      </c>
      <c r="BY837" s="217">
        <v>489600</v>
      </c>
      <c r="BZ837" s="217">
        <v>626688</v>
      </c>
      <c r="CA837" s="217">
        <v>698170</v>
      </c>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row>
    <row r="838" spans="1:159" s="12" customFormat="1" ht="13" customHeight="1">
      <c r="A838"/>
      <c r="B838" s="2"/>
      <c r="C838" s="2" t="s">
        <v>1606</v>
      </c>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c r="AL838" s="2"/>
      <c r="AM838" s="2"/>
      <c r="AN838" s="2"/>
      <c r="AO838" s="2"/>
      <c r="AP838" s="2"/>
      <c r="AQ838" s="2"/>
      <c r="AR838" s="2"/>
      <c r="AS838" s="2"/>
      <c r="AT838" s="2"/>
      <c r="AU838"/>
      <c r="AV838"/>
      <c r="AW838"/>
      <c r="AX838"/>
      <c r="AY838"/>
      <c r="BO838" s="115" t="s">
        <v>985</v>
      </c>
      <c r="BP838" s="219">
        <v>314634</v>
      </c>
      <c r="BQ838" s="219">
        <v>362770</v>
      </c>
      <c r="BR838" s="219">
        <v>437600</v>
      </c>
      <c r="BS838" s="219">
        <v>560128</v>
      </c>
      <c r="BT838" s="219">
        <v>624018</v>
      </c>
      <c r="BV838" s="115" t="s">
        <v>985</v>
      </c>
      <c r="BW838" s="219">
        <v>314634</v>
      </c>
      <c r="BX838" s="219">
        <v>362770</v>
      </c>
      <c r="BY838" s="219">
        <v>437600</v>
      </c>
      <c r="BZ838" s="219">
        <v>560128</v>
      </c>
      <c r="CA838" s="219">
        <v>624018</v>
      </c>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row>
    <row r="839" spans="1:159" s="12" customFormat="1" ht="13" customHeight="1">
      <c r="A839"/>
      <c r="B839"/>
      <c r="C839" s="1"/>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15" t="s">
        <v>991</v>
      </c>
      <c r="BP839" s="217">
        <v>331890</v>
      </c>
      <c r="BQ839" s="217">
        <v>382666</v>
      </c>
      <c r="BR839" s="217">
        <v>461600</v>
      </c>
      <c r="BS839" s="217">
        <v>590848</v>
      </c>
      <c r="BT839" s="217">
        <v>658242</v>
      </c>
      <c r="BV839" s="115" t="s">
        <v>991</v>
      </c>
      <c r="BW839" s="217">
        <v>331890</v>
      </c>
      <c r="BX839" s="217">
        <v>382666</v>
      </c>
      <c r="BY839" s="217">
        <v>461600</v>
      </c>
      <c r="BZ839" s="217">
        <v>590848</v>
      </c>
      <c r="CA839" s="217">
        <v>658242</v>
      </c>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row>
    <row r="840" spans="1:159" s="12" customFormat="1" ht="13" customHeight="1">
      <c r="A840" s="1" t="s">
        <v>1160</v>
      </c>
      <c r="B840"/>
      <c r="C840" s="1" t="s">
        <v>1607</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15" t="s">
        <v>996</v>
      </c>
      <c r="BP840" s="219">
        <v>352022</v>
      </c>
      <c r="BQ840" s="219">
        <v>405878</v>
      </c>
      <c r="BR840" s="219">
        <v>489600</v>
      </c>
      <c r="BS840" s="219">
        <v>626688</v>
      </c>
      <c r="BT840" s="219">
        <v>698170</v>
      </c>
      <c r="BV840" s="115" t="s">
        <v>996</v>
      </c>
      <c r="BW840" s="219">
        <v>352022</v>
      </c>
      <c r="BX840" s="219">
        <v>405878</v>
      </c>
      <c r="BY840" s="219">
        <v>489600</v>
      </c>
      <c r="BZ840" s="219">
        <v>626688</v>
      </c>
      <c r="CA840" s="219">
        <v>698170</v>
      </c>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row>
    <row r="841" spans="1:159" s="12"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14">
        <f>ROUNDDOWN(BC939*2,2)</f>
        <v>0</v>
      </c>
      <c r="BJ841" s="1614"/>
      <c r="BK841" s="1614"/>
      <c r="BL841" s="1614"/>
      <c r="BO841" s="115" t="s">
        <v>999</v>
      </c>
      <c r="BP841" s="217">
        <v>314634</v>
      </c>
      <c r="BQ841" s="217">
        <v>362770</v>
      </c>
      <c r="BR841" s="217">
        <v>437600</v>
      </c>
      <c r="BS841" s="217">
        <v>560128</v>
      </c>
      <c r="BT841" s="217">
        <v>624018</v>
      </c>
      <c r="BV841" s="115" t="s">
        <v>999</v>
      </c>
      <c r="BW841" s="217">
        <v>314634</v>
      </c>
      <c r="BX841" s="217">
        <v>362770</v>
      </c>
      <c r="BY841" s="217">
        <v>437600</v>
      </c>
      <c r="BZ841" s="217">
        <v>560128</v>
      </c>
      <c r="CA841" s="217">
        <v>624018</v>
      </c>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row>
    <row r="842" spans="1:159" s="12" customFormat="1" ht="13" customHeight="1">
      <c r="A842"/>
      <c r="B842"/>
      <c r="C842" s="1" t="s">
        <v>1608</v>
      </c>
      <c r="D842"/>
      <c r="E842"/>
      <c r="F842"/>
      <c r="G842"/>
      <c r="H842"/>
      <c r="I842"/>
      <c r="J842" s="1033" t="s">
        <v>1609</v>
      </c>
      <c r="K842" s="4"/>
      <c r="L842" s="4"/>
      <c r="M842" s="4"/>
      <c r="N842" s="4"/>
      <c r="O842" s="4"/>
      <c r="P842" s="4"/>
      <c r="Q842" s="4"/>
      <c r="R842" s="4"/>
      <c r="S842" s="4"/>
      <c r="T842" s="4"/>
      <c r="U842" s="4"/>
      <c r="V842" s="1034"/>
      <c r="W842" s="1473">
        <v>15000</v>
      </c>
      <c r="X842" s="1473"/>
      <c r="Y842" s="1473"/>
      <c r="Z842" s="1473"/>
      <c r="AA842" s="1473"/>
      <c r="AB842" s="1473"/>
      <c r="AC842" s="1473"/>
      <c r="AD842"/>
      <c r="AE842"/>
      <c r="AF842"/>
      <c r="AG842"/>
      <c r="AH842"/>
      <c r="AI842"/>
      <c r="AJ842"/>
      <c r="AK842"/>
      <c r="AL842"/>
      <c r="AM842"/>
      <c r="AN842"/>
      <c r="AO842"/>
      <c r="AP842"/>
      <c r="AQ842"/>
      <c r="AR842"/>
      <c r="AS842"/>
      <c r="AT842"/>
      <c r="AU842"/>
      <c r="AV842"/>
      <c r="AW842"/>
      <c r="AX842"/>
      <c r="AY842"/>
      <c r="AZ842" s="24"/>
      <c r="BA842" s="24"/>
      <c r="BO842" s="115" t="s">
        <v>1004</v>
      </c>
      <c r="BP842" s="219">
        <v>353173</v>
      </c>
      <c r="BQ842" s="219">
        <v>407205</v>
      </c>
      <c r="BR842" s="219">
        <v>491200</v>
      </c>
      <c r="BS842" s="219">
        <v>628736</v>
      </c>
      <c r="BT842" s="219">
        <v>700451</v>
      </c>
      <c r="BV842" s="115" t="s">
        <v>1004</v>
      </c>
      <c r="BW842" s="219">
        <v>353173</v>
      </c>
      <c r="BX842" s="219">
        <v>407205</v>
      </c>
      <c r="BY842" s="219">
        <v>491200</v>
      </c>
      <c r="BZ842" s="219">
        <v>628736</v>
      </c>
      <c r="CA842" s="219">
        <v>700451</v>
      </c>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row>
    <row r="843" spans="1:159" s="12" customFormat="1" ht="13" customHeight="1">
      <c r="A843"/>
      <c r="B843"/>
      <c r="C843"/>
      <c r="D843"/>
      <c r="E843"/>
      <c r="F843"/>
      <c r="G843"/>
      <c r="H843"/>
      <c r="I843"/>
      <c r="J843" s="1033" t="s">
        <v>1610</v>
      </c>
      <c r="K843" s="4"/>
      <c r="L843" s="4"/>
      <c r="M843" s="4"/>
      <c r="N843" s="4"/>
      <c r="O843" s="4"/>
      <c r="P843" s="4"/>
      <c r="Q843" s="4"/>
      <c r="R843" s="4"/>
      <c r="S843" s="4"/>
      <c r="T843" s="4"/>
      <c r="U843" s="4"/>
      <c r="V843" s="1034"/>
      <c r="W843" s="1473">
        <v>28500</v>
      </c>
      <c r="X843" s="1473"/>
      <c r="Y843" s="1473"/>
      <c r="Z843" s="1473"/>
      <c r="AA843" s="1473"/>
      <c r="AB843" s="1473"/>
      <c r="AC843" s="1473"/>
      <c r="AD843"/>
      <c r="AE843"/>
      <c r="AF843"/>
      <c r="AG843"/>
      <c r="AH843"/>
      <c r="AI843"/>
      <c r="AJ843"/>
      <c r="AK843"/>
      <c r="AL843"/>
      <c r="AM843"/>
      <c r="AN843"/>
      <c r="AO843"/>
      <c r="AP843"/>
      <c r="AQ843"/>
      <c r="AR843"/>
      <c r="AS843"/>
      <c r="AT843"/>
      <c r="AU843"/>
      <c r="AV843"/>
      <c r="AW843"/>
      <c r="AX843"/>
      <c r="AY843"/>
      <c r="AZ843" s="24">
        <f>IF(AJ1028&gt;1,0.025,0)</f>
        <v>0</v>
      </c>
      <c r="BA843" s="24"/>
      <c r="BO843" s="115" t="s">
        <v>1007</v>
      </c>
      <c r="BP843" s="217">
        <v>689665</v>
      </c>
      <c r="BQ843" s="217">
        <v>795177</v>
      </c>
      <c r="BR843" s="217">
        <v>959200</v>
      </c>
      <c r="BS843" s="217">
        <v>1227776</v>
      </c>
      <c r="BT843" s="217">
        <v>1367819</v>
      </c>
      <c r="BV843" s="115" t="s">
        <v>1007</v>
      </c>
      <c r="BW843" s="217">
        <v>689665</v>
      </c>
      <c r="BX843" s="217">
        <v>795177</v>
      </c>
      <c r="BY843" s="217">
        <v>959200</v>
      </c>
      <c r="BZ843" s="217">
        <v>1227776</v>
      </c>
      <c r="CA843" s="217">
        <v>1367819</v>
      </c>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row>
    <row r="844" spans="1:159" ht="13" customHeight="1">
      <c r="J844" s="1033" t="s">
        <v>1611</v>
      </c>
      <c r="K844" s="4"/>
      <c r="L844" s="4"/>
      <c r="M844" s="4"/>
      <c r="N844" s="4"/>
      <c r="O844" s="4"/>
      <c r="P844" s="4"/>
      <c r="Q844" s="4"/>
      <c r="R844" s="4"/>
      <c r="S844" s="4"/>
      <c r="T844" s="4"/>
      <c r="U844" s="4"/>
      <c r="V844" s="1034"/>
      <c r="W844" s="1473">
        <v>16000</v>
      </c>
      <c r="X844" s="1473"/>
      <c r="Y844" s="1473"/>
      <c r="Z844" s="1473"/>
      <c r="AA844" s="1473"/>
      <c r="AB844" s="1473"/>
      <c r="AC844" s="1473"/>
      <c r="AZ844" s="24"/>
      <c r="BA844" s="24"/>
      <c r="BB844" s="12"/>
      <c r="BC844" s="12"/>
      <c r="BD844" s="12"/>
      <c r="BE844" s="12"/>
      <c r="BF844" s="12"/>
      <c r="BG844" s="12"/>
      <c r="BH844" s="12"/>
      <c r="BI844" s="12"/>
      <c r="BJ844" s="12"/>
      <c r="BK844" s="12"/>
      <c r="BL844" s="12"/>
      <c r="BM844" s="12"/>
      <c r="BN844" s="12"/>
      <c r="BO844" s="115" t="s">
        <v>1012</v>
      </c>
      <c r="BP844" s="219">
        <v>307732</v>
      </c>
      <c r="BQ844" s="219">
        <v>354812</v>
      </c>
      <c r="BR844" s="219">
        <v>428000</v>
      </c>
      <c r="BS844" s="219">
        <v>547840</v>
      </c>
      <c r="BT844" s="219">
        <v>610328</v>
      </c>
      <c r="BU844" s="12"/>
      <c r="BV844" s="115" t="s">
        <v>1012</v>
      </c>
      <c r="BW844" s="219">
        <v>307732</v>
      </c>
      <c r="BX844" s="219">
        <v>354812</v>
      </c>
      <c r="BY844" s="219">
        <v>428000</v>
      </c>
      <c r="BZ844" s="219">
        <v>547840</v>
      </c>
      <c r="CA844" s="219">
        <v>610328</v>
      </c>
      <c r="CB844" s="12"/>
      <c r="CC844" s="12"/>
      <c r="CD844" s="12"/>
      <c r="CE844" s="12"/>
      <c r="CF844" s="12"/>
      <c r="CG844" s="12"/>
      <c r="CH844" s="12"/>
      <c r="CI844" s="12"/>
      <c r="CJ844" s="12"/>
      <c r="CK844" s="12"/>
      <c r="CL844" s="12"/>
      <c r="CM844" s="12"/>
      <c r="CN844" s="12"/>
      <c r="CO844" s="12"/>
      <c r="CP844" s="12"/>
      <c r="CQ844" s="12"/>
      <c r="CR844" s="12"/>
      <c r="CS844" s="12"/>
      <c r="CT844" s="12"/>
      <c r="CU844" s="12"/>
      <c r="CV844" s="12"/>
      <c r="CW844" s="12"/>
      <c r="CX844" s="12"/>
      <c r="CY844" s="12"/>
      <c r="CZ844" s="12"/>
      <c r="DA844" s="12"/>
      <c r="DB844" s="12"/>
      <c r="DC844" s="12"/>
      <c r="DD844" s="12"/>
      <c r="DE844" s="12"/>
      <c r="DF844" s="12"/>
      <c r="DG844" s="12"/>
      <c r="DH844" s="12"/>
      <c r="DI844" s="12"/>
      <c r="DJ844" s="12"/>
      <c r="DK844" s="12"/>
      <c r="DL844" s="12"/>
      <c r="DM844" s="12"/>
      <c r="DN844" s="12"/>
      <c r="DO844" s="12"/>
      <c r="DP844" s="12"/>
      <c r="DQ844" s="12"/>
      <c r="DR844" s="12"/>
      <c r="DS844" s="12"/>
      <c r="DT844" s="12"/>
      <c r="DU844" s="12"/>
      <c r="DV844" s="12"/>
      <c r="DW844" s="12"/>
      <c r="DX844" s="12"/>
      <c r="DY844" s="12"/>
      <c r="DZ844" s="12"/>
      <c r="EA844" s="12"/>
      <c r="EB844" s="12"/>
      <c r="EC844" s="12"/>
      <c r="ED844" s="12"/>
      <c r="EE844" s="12"/>
      <c r="EF844" s="12"/>
      <c r="EG844" s="12"/>
      <c r="EH844" s="12"/>
      <c r="EI844" s="12"/>
      <c r="EJ844" s="12"/>
      <c r="EK844" s="12"/>
      <c r="EL844" s="12"/>
      <c r="EM844" s="12"/>
      <c r="EN844" s="12"/>
      <c r="EO844" s="12"/>
      <c r="EP844" s="12"/>
      <c r="EQ844" s="12"/>
      <c r="ER844" s="12"/>
      <c r="ES844" s="12"/>
      <c r="ET844" s="12"/>
      <c r="EU844" s="12"/>
      <c r="EV844" s="12"/>
      <c r="EW844" s="12"/>
      <c r="EX844" s="12"/>
      <c r="EY844" s="12"/>
      <c r="EZ844" s="12"/>
      <c r="FA844" s="12"/>
      <c r="FB844" s="12"/>
      <c r="FC844" s="12"/>
    </row>
    <row r="845" spans="1:159" ht="13" customHeight="1">
      <c r="J845" s="1033" t="s">
        <v>1612</v>
      </c>
      <c r="K845" s="4"/>
      <c r="L845" s="4"/>
      <c r="M845" s="4"/>
      <c r="N845" s="4"/>
      <c r="O845" s="4"/>
      <c r="P845" s="4"/>
      <c r="Q845" s="4"/>
      <c r="R845" s="4"/>
      <c r="S845" s="4"/>
      <c r="T845" s="4"/>
      <c r="U845" s="4"/>
      <c r="V845" s="1034"/>
      <c r="W845" s="1473"/>
      <c r="X845" s="1473"/>
      <c r="Y845" s="1473"/>
      <c r="Z845" s="1473"/>
      <c r="AA845" s="1473"/>
      <c r="AB845" s="1473"/>
      <c r="AC845" s="1473"/>
      <c r="AZ845" s="24"/>
      <c r="BA845" s="24"/>
      <c r="BB845" s="12"/>
      <c r="BC845" s="12"/>
      <c r="BD845" s="12"/>
      <c r="BE845" s="12"/>
      <c r="BF845" s="12"/>
      <c r="BG845" s="12"/>
      <c r="BH845" s="12"/>
      <c r="BI845" s="12"/>
      <c r="BJ845" s="12"/>
      <c r="BK845" s="12"/>
      <c r="BL845" s="12"/>
      <c r="BM845" s="12"/>
      <c r="BN845" s="12"/>
      <c r="BO845" s="115" t="s">
        <v>1016</v>
      </c>
      <c r="BP845" s="217">
        <v>387110</v>
      </c>
      <c r="BQ845" s="217">
        <v>446334</v>
      </c>
      <c r="BR845" s="217">
        <v>538400</v>
      </c>
      <c r="BS845" s="217">
        <v>689152</v>
      </c>
      <c r="BT845" s="217">
        <v>767758</v>
      </c>
      <c r="BU845" s="12"/>
      <c r="BV845" s="115" t="s">
        <v>1016</v>
      </c>
      <c r="BW845" s="217">
        <v>387110</v>
      </c>
      <c r="BX845" s="217">
        <v>446334</v>
      </c>
      <c r="BY845" s="217">
        <v>538400</v>
      </c>
      <c r="BZ845" s="217">
        <v>689152</v>
      </c>
      <c r="CA845" s="217">
        <v>767758</v>
      </c>
      <c r="CB845" s="12"/>
      <c r="CC845" s="12"/>
      <c r="CD845" s="12"/>
      <c r="CE845" s="12"/>
      <c r="CF845" s="12"/>
      <c r="CG845" s="12"/>
      <c r="CH845" s="12"/>
      <c r="CI845" s="12"/>
      <c r="CJ845" s="12"/>
      <c r="CK845" s="12"/>
      <c r="CL845" s="12"/>
      <c r="CM845" s="12"/>
      <c r="CN845" s="12"/>
      <c r="CO845" s="12"/>
      <c r="CP845" s="12"/>
      <c r="CQ845" s="12"/>
      <c r="CR845" s="12"/>
      <c r="CS845" s="12"/>
      <c r="CT845" s="12"/>
      <c r="CU845" s="12"/>
      <c r="CV845" s="12"/>
      <c r="CW845" s="12"/>
      <c r="CX845" s="12"/>
      <c r="CY845" s="12"/>
      <c r="CZ845" s="12"/>
      <c r="DA845" s="12"/>
      <c r="DB845" s="12"/>
      <c r="DC845" s="12"/>
      <c r="DD845" s="12"/>
      <c r="DE845" s="12"/>
      <c r="DF845" s="12"/>
      <c r="DG845" s="12"/>
      <c r="DH845" s="12"/>
      <c r="DI845" s="12"/>
      <c r="DJ845" s="12"/>
      <c r="DK845" s="12"/>
      <c r="DL845" s="12"/>
      <c r="DM845" s="12"/>
      <c r="DN845" s="12"/>
      <c r="DO845" s="12"/>
      <c r="DP845" s="12"/>
      <c r="DQ845" s="12"/>
      <c r="DR845" s="12"/>
      <c r="DS845" s="12"/>
      <c r="DT845" s="12"/>
      <c r="DU845" s="12"/>
      <c r="DV845" s="12"/>
      <c r="DW845" s="12"/>
      <c r="DX845" s="12"/>
      <c r="DY845" s="12"/>
      <c r="DZ845" s="12"/>
      <c r="EA845" s="12"/>
      <c r="EB845" s="12"/>
      <c r="EC845" s="12"/>
      <c r="ED845" s="12"/>
      <c r="EE845" s="12"/>
      <c r="EF845" s="12"/>
      <c r="EG845" s="12"/>
      <c r="EH845" s="12"/>
      <c r="EI845" s="12"/>
      <c r="EJ845" s="12"/>
      <c r="EK845" s="12"/>
      <c r="EL845" s="12"/>
      <c r="EM845" s="12"/>
      <c r="EN845" s="12"/>
      <c r="EO845" s="12"/>
      <c r="EP845" s="12"/>
      <c r="EQ845" s="12"/>
      <c r="ER845" s="12"/>
      <c r="ES845" s="12"/>
      <c r="ET845" s="12"/>
      <c r="EU845" s="12"/>
      <c r="EV845" s="12"/>
      <c r="EW845" s="12"/>
      <c r="EX845" s="12"/>
      <c r="EY845" s="12"/>
      <c r="EZ845" s="12"/>
      <c r="FA845" s="12"/>
      <c r="FB845" s="12"/>
      <c r="FC845" s="12"/>
    </row>
    <row r="846" spans="1:159" ht="13" customHeight="1">
      <c r="J846" s="1033" t="s">
        <v>232</v>
      </c>
      <c r="K846" s="4"/>
      <c r="L846" s="4"/>
      <c r="M846" s="1336" t="s">
        <v>1613</v>
      </c>
      <c r="N846" s="1337"/>
      <c r="O846" s="1337"/>
      <c r="P846" s="1337"/>
      <c r="Q846" s="1337"/>
      <c r="R846" s="1337"/>
      <c r="S846" s="1337"/>
      <c r="T846" s="1337"/>
      <c r="U846" s="1337"/>
      <c r="V846" s="1338"/>
      <c r="W846" s="1473">
        <v>18300</v>
      </c>
      <c r="X846" s="1473"/>
      <c r="Y846" s="1473"/>
      <c r="Z846" s="1473"/>
      <c r="AA846" s="1473"/>
      <c r="AB846" s="1473"/>
      <c r="AC846" s="1473"/>
      <c r="AZ846" s="24">
        <f>IF(AJ1028&gt;1,0.05,0)</f>
        <v>0</v>
      </c>
      <c r="BA846" s="24"/>
      <c r="BB846" s="12"/>
      <c r="BC846" s="12"/>
      <c r="BD846" s="12"/>
      <c r="BE846" s="12"/>
      <c r="BF846" s="12"/>
      <c r="BG846" s="12"/>
      <c r="BH846" s="12"/>
      <c r="BI846" s="12"/>
      <c r="BJ846" s="12"/>
      <c r="BK846" s="12"/>
      <c r="BL846" s="12"/>
      <c r="BM846" s="12"/>
      <c r="BN846" s="12"/>
      <c r="BO846" s="115" t="s">
        <v>1020</v>
      </c>
      <c r="BP846" s="218">
        <v>532060</v>
      </c>
      <c r="BQ846" s="218">
        <v>613460</v>
      </c>
      <c r="BR846" s="219">
        <v>740000</v>
      </c>
      <c r="BS846" s="218">
        <v>947200</v>
      </c>
      <c r="BT846" s="218">
        <v>1055240</v>
      </c>
      <c r="BU846" s="12"/>
      <c r="BV846" s="115" t="s">
        <v>1020</v>
      </c>
      <c r="BW846" s="218">
        <v>532060</v>
      </c>
      <c r="BX846" s="218">
        <v>613460</v>
      </c>
      <c r="BY846" s="218">
        <v>740000</v>
      </c>
      <c r="BZ846" s="218">
        <v>947200</v>
      </c>
      <c r="CA846" s="218">
        <v>1055240</v>
      </c>
      <c r="CB846" s="12"/>
      <c r="CC846" s="12"/>
      <c r="CD846" s="12"/>
      <c r="CE846" s="12"/>
      <c r="CF846" s="12"/>
      <c r="CG846" s="12"/>
      <c r="CH846" s="12"/>
      <c r="CI846" s="12"/>
      <c r="CJ846" s="12"/>
      <c r="CK846" s="12"/>
      <c r="CL846" s="12"/>
      <c r="CM846" s="12"/>
      <c r="CN846" s="12"/>
      <c r="CO846" s="12"/>
      <c r="CP846" s="12"/>
      <c r="CQ846" s="12"/>
      <c r="CR846" s="12"/>
      <c r="CS846" s="12"/>
      <c r="CT846" s="12"/>
      <c r="CU846" s="12"/>
      <c r="CV846" s="12"/>
      <c r="CW846" s="12"/>
      <c r="CX846" s="12"/>
      <c r="CY846" s="12"/>
      <c r="CZ846" s="12"/>
      <c r="DA846" s="12"/>
      <c r="DB846" s="12"/>
      <c r="DC846" s="12"/>
      <c r="DD846" s="12"/>
      <c r="DE846" s="12"/>
      <c r="DF846" s="12"/>
      <c r="DG846" s="12"/>
      <c r="DH846" s="12"/>
      <c r="DI846" s="12"/>
      <c r="DJ846" s="12"/>
      <c r="DK846" s="12"/>
      <c r="DL846" s="12"/>
      <c r="DM846" s="12"/>
      <c r="DN846" s="12"/>
      <c r="DO846" s="12"/>
      <c r="DP846" s="12"/>
      <c r="DQ846" s="12"/>
      <c r="DR846" s="12"/>
      <c r="DS846" s="12"/>
      <c r="DT846" s="12"/>
      <c r="DU846" s="12"/>
      <c r="DV846" s="12"/>
      <c r="DW846" s="12"/>
      <c r="DX846" s="12"/>
      <c r="DY846" s="12"/>
      <c r="DZ846" s="12"/>
      <c r="EA846" s="12"/>
      <c r="EB846" s="12"/>
      <c r="EC846" s="12"/>
      <c r="ED846" s="12"/>
      <c r="EE846" s="12"/>
      <c r="EF846" s="12"/>
      <c r="EG846" s="12"/>
      <c r="EH846" s="12"/>
      <c r="EI846" s="12"/>
      <c r="EJ846" s="12"/>
      <c r="EK846" s="12"/>
      <c r="EL846" s="12"/>
      <c r="EM846" s="12"/>
      <c r="EN846" s="12"/>
      <c r="EO846" s="12"/>
      <c r="EP846" s="12"/>
      <c r="EQ846" s="12"/>
      <c r="ER846" s="12"/>
      <c r="ES846" s="12"/>
      <c r="ET846" s="12"/>
      <c r="EU846" s="12"/>
      <c r="EV846" s="12"/>
      <c r="EW846" s="12"/>
      <c r="EX846" s="12"/>
      <c r="EY846" s="12"/>
      <c r="EZ846" s="12"/>
      <c r="FA846" s="12"/>
      <c r="FB846" s="12"/>
      <c r="FC846" s="12"/>
    </row>
    <row r="847" spans="1:159" ht="13" customHeight="1">
      <c r="J847" s="1033"/>
      <c r="K847" s="4"/>
      <c r="L847" s="4"/>
      <c r="M847" s="4"/>
      <c r="N847" s="4"/>
      <c r="O847" s="4"/>
      <c r="P847" s="4"/>
      <c r="Q847" s="4"/>
      <c r="R847" s="4"/>
      <c r="S847" s="4"/>
      <c r="T847" s="4"/>
      <c r="U847" s="4"/>
      <c r="V847" s="1153" t="s">
        <v>1614</v>
      </c>
      <c r="W847" s="1565">
        <f>SUM(W842:AC846)</f>
        <v>77800</v>
      </c>
      <c r="X847" s="1566"/>
      <c r="Y847" s="1566"/>
      <c r="Z847" s="1566"/>
      <c r="AA847" s="1566"/>
      <c r="AB847" s="1566"/>
      <c r="AC847" s="1567"/>
      <c r="AZ847" s="24"/>
      <c r="BA847" s="24"/>
      <c r="BB847" s="12"/>
      <c r="BC847" s="12"/>
      <c r="BD847" s="12"/>
      <c r="BE847" s="12"/>
      <c r="BF847" s="12"/>
      <c r="BG847" s="12"/>
      <c r="BH847" s="12"/>
      <c r="BI847" s="12"/>
      <c r="BJ847" s="12"/>
      <c r="BK847" s="12"/>
      <c r="BL847" s="12"/>
      <c r="BM847" s="12"/>
      <c r="BN847" s="12"/>
      <c r="BO847" s="115" t="s">
        <v>1024</v>
      </c>
      <c r="BP847" s="217">
        <v>387110</v>
      </c>
      <c r="BQ847" s="217">
        <v>446334</v>
      </c>
      <c r="BR847" s="217">
        <v>538400</v>
      </c>
      <c r="BS847" s="217">
        <v>689152</v>
      </c>
      <c r="BT847" s="217">
        <v>767758</v>
      </c>
      <c r="BU847" s="12"/>
      <c r="BV847" s="115" t="s">
        <v>1024</v>
      </c>
      <c r="BW847" s="217">
        <v>387110</v>
      </c>
      <c r="BX847" s="217">
        <v>446334</v>
      </c>
      <c r="BY847" s="217">
        <v>538400</v>
      </c>
      <c r="BZ847" s="217">
        <v>689152</v>
      </c>
      <c r="CA847" s="217">
        <v>767758</v>
      </c>
      <c r="CB847" s="12"/>
      <c r="CC847" s="12"/>
      <c r="CD847" s="12"/>
      <c r="CE847" s="12"/>
      <c r="CF847" s="12"/>
      <c r="CG847" s="12"/>
      <c r="CH847" s="12"/>
      <c r="CI847" s="12"/>
      <c r="CJ847" s="12"/>
      <c r="CK847" s="12"/>
      <c r="CL847" s="12"/>
      <c r="CM847" s="12"/>
      <c r="CN847" s="12"/>
      <c r="CO847" s="12"/>
      <c r="CP847" s="12"/>
      <c r="CQ847" s="12"/>
      <c r="CR847" s="12"/>
      <c r="CS847" s="12"/>
      <c r="CT847" s="12"/>
      <c r="CU847" s="12"/>
      <c r="CV847" s="12"/>
      <c r="CW847" s="12"/>
      <c r="CX847" s="12"/>
      <c r="CY847" s="12"/>
      <c r="CZ847" s="12"/>
      <c r="DA847" s="12"/>
      <c r="DB847" s="12"/>
      <c r="DC847" s="12"/>
      <c r="DD847" s="12"/>
      <c r="DE847" s="12"/>
      <c r="DF847" s="12"/>
      <c r="DG847" s="12"/>
      <c r="DH847" s="12"/>
      <c r="DI847" s="12"/>
      <c r="DJ847" s="12"/>
      <c r="DK847" s="12"/>
      <c r="DL847" s="12"/>
      <c r="DM847" s="12"/>
      <c r="DN847" s="12"/>
      <c r="DO847" s="12"/>
      <c r="DP847" s="12"/>
      <c r="DQ847" s="12"/>
      <c r="DR847" s="12"/>
      <c r="DS847" s="12"/>
      <c r="DT847" s="12"/>
      <c r="DU847" s="12"/>
      <c r="DV847" s="12"/>
      <c r="DW847" s="12"/>
      <c r="DX847" s="12"/>
      <c r="DY847" s="12"/>
      <c r="DZ847" s="12"/>
      <c r="EA847" s="12"/>
      <c r="EB847" s="12"/>
      <c r="EC847" s="12"/>
      <c r="ED847" s="12"/>
      <c r="EE847" s="12"/>
      <c r="EF847" s="12"/>
      <c r="EG847" s="12"/>
      <c r="EH847" s="12"/>
      <c r="EI847" s="12"/>
      <c r="EJ847" s="12"/>
      <c r="EK847" s="12"/>
      <c r="EL847" s="12"/>
      <c r="EM847" s="12"/>
      <c r="EN847" s="12"/>
      <c r="EO847" s="12"/>
      <c r="EP847" s="12"/>
      <c r="EQ847" s="12"/>
      <c r="ER847" s="12"/>
      <c r="ES847" s="12"/>
      <c r="ET847" s="12"/>
      <c r="EU847" s="12"/>
      <c r="EV847" s="12"/>
      <c r="EW847" s="12"/>
      <c r="EX847" s="12"/>
      <c r="EY847" s="12"/>
      <c r="EZ847" s="12"/>
      <c r="FA847" s="12"/>
      <c r="FB847" s="12"/>
      <c r="FC847" s="12"/>
    </row>
    <row r="848" spans="1:159" ht="13" customHeight="1">
      <c r="AZ848" s="24"/>
      <c r="BA848" s="24"/>
      <c r="BB848" s="12"/>
      <c r="BC848" s="12"/>
      <c r="BD848" s="12"/>
      <c r="BE848" s="12"/>
      <c r="BF848" s="12"/>
      <c r="BG848" s="1600"/>
      <c r="BH848" s="1600"/>
      <c r="BI848" s="1600"/>
      <c r="BJ848" s="1600"/>
      <c r="BK848" s="1600"/>
      <c r="BL848" s="1600"/>
      <c r="BM848" s="12"/>
      <c r="BN848" s="12"/>
      <c r="BO848" s="115" t="s">
        <v>1028</v>
      </c>
      <c r="BP848" s="218">
        <v>532060</v>
      </c>
      <c r="BQ848" s="218">
        <v>613460</v>
      </c>
      <c r="BR848" s="218">
        <v>740000</v>
      </c>
      <c r="BS848" s="218">
        <v>947200</v>
      </c>
      <c r="BT848" s="218">
        <v>1055240</v>
      </c>
      <c r="BU848" s="12"/>
      <c r="BV848" s="115" t="s">
        <v>1028</v>
      </c>
      <c r="BW848" s="218">
        <v>532060</v>
      </c>
      <c r="BX848" s="218">
        <v>613460</v>
      </c>
      <c r="BY848" s="218">
        <v>740000</v>
      </c>
      <c r="BZ848" s="218">
        <v>947200</v>
      </c>
      <c r="CA848" s="218">
        <v>1055240</v>
      </c>
      <c r="CB848" s="12"/>
      <c r="CC848" s="12"/>
      <c r="CD848" s="12"/>
      <c r="CE848" s="12"/>
      <c r="CF848" s="12"/>
      <c r="CG848" s="12"/>
      <c r="CH848" s="12"/>
      <c r="CI848" s="12"/>
      <c r="CJ848" s="12"/>
      <c r="CK848" s="12"/>
      <c r="CL848" s="12"/>
      <c r="CM848" s="12"/>
      <c r="CN848" s="12"/>
      <c r="CO848" s="12"/>
      <c r="CP848" s="12"/>
      <c r="CQ848" s="12"/>
      <c r="CR848" s="12"/>
      <c r="CS848" s="12"/>
      <c r="CT848" s="12"/>
      <c r="CU848" s="12"/>
      <c r="CV848" s="12"/>
      <c r="CW848" s="12"/>
      <c r="CX848" s="12"/>
      <c r="CY848" s="12"/>
      <c r="CZ848" s="12"/>
      <c r="DA848" s="12"/>
      <c r="DB848" s="12"/>
      <c r="DC848" s="12"/>
      <c r="DD848" s="12"/>
      <c r="DE848" s="12"/>
      <c r="DF848" s="12"/>
      <c r="DG848" s="12"/>
      <c r="DH848" s="12"/>
      <c r="DI848" s="12"/>
      <c r="DJ848" s="12"/>
      <c r="DK848" s="12"/>
      <c r="DL848" s="12"/>
      <c r="DM848" s="12"/>
      <c r="DN848" s="12"/>
      <c r="DO848" s="12"/>
      <c r="DP848" s="12"/>
      <c r="DQ848" s="12"/>
      <c r="DR848" s="12"/>
      <c r="DS848" s="12"/>
      <c r="DT848" s="12"/>
      <c r="DU848" s="12"/>
      <c r="DV848" s="12"/>
      <c r="DW848" s="12"/>
      <c r="DX848" s="12"/>
      <c r="DY848" s="12"/>
      <c r="DZ848" s="12"/>
      <c r="EA848" s="12"/>
      <c r="EB848" s="12"/>
      <c r="EC848" s="12"/>
      <c r="ED848" s="12"/>
      <c r="EE848" s="12"/>
      <c r="EF848" s="12"/>
      <c r="EG848" s="12"/>
      <c r="EH848" s="12"/>
      <c r="EI848" s="12"/>
      <c r="EJ848" s="12"/>
      <c r="EK848" s="12"/>
      <c r="EL848" s="12"/>
      <c r="EM848" s="12"/>
      <c r="EN848" s="12"/>
      <c r="EO848" s="12"/>
      <c r="EP848" s="12"/>
      <c r="EQ848" s="12"/>
      <c r="ER848" s="12"/>
      <c r="ES848" s="12"/>
      <c r="ET848" s="12"/>
      <c r="EU848" s="12"/>
      <c r="EV848" s="12"/>
      <c r="EW848" s="12"/>
      <c r="EX848" s="12"/>
      <c r="EY848" s="12"/>
      <c r="EZ848" s="12"/>
      <c r="FA848" s="12"/>
      <c r="FB848" s="12"/>
      <c r="FC848" s="12"/>
    </row>
    <row r="849" spans="3:159" ht="13" customHeight="1">
      <c r="C849" s="1" t="s">
        <v>1615</v>
      </c>
      <c r="J849" s="1418" t="s">
        <v>1616</v>
      </c>
      <c r="K849" s="1419"/>
      <c r="L849" s="1419"/>
      <c r="M849" s="1419"/>
      <c r="N849" s="1419"/>
      <c r="O849" s="1419"/>
      <c r="P849" s="1419"/>
      <c r="Q849" s="1419"/>
      <c r="R849" s="1419"/>
      <c r="S849" s="1419"/>
      <c r="T849" s="1419"/>
      <c r="U849" s="1419"/>
      <c r="V849" s="1420"/>
      <c r="W849" s="1435">
        <v>45400</v>
      </c>
      <c r="X849" s="1436"/>
      <c r="Y849" s="1436"/>
      <c r="Z849" s="1436"/>
      <c r="AA849" s="1436"/>
      <c r="AB849" s="1436"/>
      <c r="AC849" s="1437"/>
      <c r="AD849" s="402"/>
      <c r="AZ849" s="24"/>
      <c r="BA849" s="24"/>
      <c r="BB849" s="12"/>
      <c r="BC849" s="12"/>
      <c r="BD849" s="12"/>
      <c r="BE849" s="12"/>
      <c r="BF849" s="12"/>
      <c r="BG849" s="1166"/>
      <c r="BH849" s="1166"/>
      <c r="BI849" s="1166"/>
      <c r="BJ849" s="1166"/>
      <c r="BK849" s="1166"/>
      <c r="BL849" s="1166"/>
      <c r="BM849" s="12"/>
      <c r="BN849" s="12"/>
      <c r="BO849" s="115" t="s">
        <v>1032</v>
      </c>
      <c r="BP849" s="217">
        <v>387110</v>
      </c>
      <c r="BQ849" s="217">
        <v>446334</v>
      </c>
      <c r="BR849" s="217">
        <v>538400</v>
      </c>
      <c r="BS849" s="217">
        <v>689152</v>
      </c>
      <c r="BT849" s="217">
        <v>767758</v>
      </c>
      <c r="BU849" s="12"/>
      <c r="BV849" s="115" t="s">
        <v>1032</v>
      </c>
      <c r="BW849" s="217">
        <v>387110</v>
      </c>
      <c r="BX849" s="217">
        <v>446334</v>
      </c>
      <c r="BY849" s="217">
        <v>538400</v>
      </c>
      <c r="BZ849" s="217">
        <v>689152</v>
      </c>
      <c r="CA849" s="217">
        <v>767758</v>
      </c>
      <c r="CB849" s="12"/>
      <c r="CC849" s="12"/>
      <c r="CD849" s="12"/>
      <c r="CE849" s="12"/>
      <c r="CF849" s="12"/>
      <c r="CG849" s="12"/>
      <c r="CH849" s="12"/>
      <c r="CI849" s="12"/>
      <c r="CJ849" s="12"/>
      <c r="CK849" s="12"/>
      <c r="CL849" s="12"/>
      <c r="CM849" s="12"/>
      <c r="CN849" s="12"/>
      <c r="CO849" s="12"/>
      <c r="CP849" s="12"/>
      <c r="CQ849" s="12"/>
      <c r="CR849" s="12"/>
      <c r="CS849" s="12"/>
      <c r="CT849" s="12"/>
      <c r="CU849" s="12"/>
      <c r="CV849" s="12"/>
      <c r="CW849" s="12"/>
      <c r="CX849" s="12"/>
      <c r="CY849" s="12"/>
      <c r="CZ849" s="12"/>
      <c r="DA849" s="12"/>
      <c r="DB849" s="12"/>
      <c r="DC849" s="12"/>
      <c r="DD849" s="12"/>
      <c r="DE849" s="12"/>
      <c r="DF849" s="12"/>
      <c r="DG849" s="12"/>
      <c r="DH849" s="12"/>
      <c r="DI849" s="12"/>
      <c r="DJ849" s="12"/>
      <c r="DK849" s="12"/>
      <c r="DL849" s="12"/>
      <c r="DM849" s="12"/>
      <c r="DN849" s="12"/>
      <c r="DO849" s="12"/>
      <c r="DP849" s="12"/>
      <c r="DQ849" s="12"/>
      <c r="DR849" s="12"/>
      <c r="DS849" s="12"/>
      <c r="DT849" s="12"/>
      <c r="DU849" s="12"/>
      <c r="DV849" s="12"/>
      <c r="DW849" s="12"/>
      <c r="DX849" s="12"/>
      <c r="DY849" s="12"/>
      <c r="DZ849" s="12"/>
      <c r="EA849" s="12"/>
      <c r="EB849" s="12"/>
      <c r="EC849" s="12"/>
      <c r="ED849" s="12"/>
      <c r="EE849" s="12"/>
      <c r="EF849" s="12"/>
      <c r="EG849" s="12"/>
      <c r="EH849" s="12"/>
      <c r="EI849" s="12"/>
      <c r="EJ849" s="12"/>
      <c r="EK849" s="12"/>
      <c r="EL849" s="12"/>
      <c r="EM849" s="12"/>
      <c r="EN849" s="12"/>
      <c r="EO849" s="12"/>
      <c r="EP849" s="12"/>
      <c r="EQ849" s="12"/>
      <c r="ER849" s="12"/>
      <c r="ES849" s="12"/>
      <c r="ET849" s="12"/>
      <c r="EU849" s="12"/>
      <c r="EV849" s="12"/>
      <c r="EW849" s="12"/>
      <c r="EX849" s="12"/>
      <c r="EY849" s="12"/>
      <c r="EZ849" s="12"/>
      <c r="FA849" s="12"/>
      <c r="FB849" s="12"/>
      <c r="FC849" s="12"/>
    </row>
    <row r="850" spans="3:159" ht="13" customHeight="1">
      <c r="AD850" s="402"/>
      <c r="AZ850" s="24"/>
      <c r="BA850" s="24"/>
      <c r="BB850" s="12"/>
      <c r="BC850" s="12"/>
      <c r="BD850" s="12"/>
      <c r="BE850" s="12"/>
      <c r="BF850" s="12"/>
      <c r="BG850" s="1166"/>
      <c r="BH850" s="1166"/>
      <c r="BI850" s="1166"/>
      <c r="BJ850" s="1166"/>
      <c r="BK850" s="1166"/>
      <c r="BL850" s="1166"/>
      <c r="BM850" s="12"/>
      <c r="BN850" s="12"/>
      <c r="BO850" s="115" t="s">
        <v>1037</v>
      </c>
      <c r="BP850" s="219">
        <v>319236</v>
      </c>
      <c r="BQ850" s="219">
        <v>368076</v>
      </c>
      <c r="BR850" s="219">
        <v>444000</v>
      </c>
      <c r="BS850" s="219">
        <v>568320</v>
      </c>
      <c r="BT850" s="219">
        <v>633144</v>
      </c>
      <c r="BU850" s="12"/>
      <c r="BV850" s="115" t="s">
        <v>1037</v>
      </c>
      <c r="BW850" s="219">
        <v>319236</v>
      </c>
      <c r="BX850" s="219">
        <v>368076</v>
      </c>
      <c r="BY850" s="219">
        <v>444000</v>
      </c>
      <c r="BZ850" s="219">
        <v>568320</v>
      </c>
      <c r="CA850" s="219">
        <v>633144</v>
      </c>
      <c r="CB850" s="12"/>
      <c r="CC850" s="12"/>
      <c r="CD850" s="12"/>
      <c r="CE850" s="12"/>
      <c r="CF850" s="12"/>
      <c r="CG850" s="12"/>
      <c r="CH850" s="12"/>
      <c r="CI850" s="12"/>
      <c r="CJ850" s="12"/>
      <c r="CK850" s="12"/>
      <c r="CL850" s="12"/>
      <c r="CM850" s="12"/>
      <c r="CN850" s="12"/>
      <c r="CO850" s="12"/>
      <c r="CP850" s="12"/>
      <c r="CQ850" s="12"/>
      <c r="CR850" s="12"/>
      <c r="CS850" s="12"/>
      <c r="CT850" s="12"/>
      <c r="CU850" s="12"/>
      <c r="CV850" s="12"/>
      <c r="CW850" s="12"/>
      <c r="CX850" s="12"/>
      <c r="CY850" s="12"/>
      <c r="CZ850" s="12"/>
      <c r="DA850" s="12"/>
      <c r="DB850" s="12"/>
      <c r="DC850" s="12"/>
      <c r="DD850" s="12"/>
      <c r="DE850" s="12"/>
      <c r="DF850" s="12"/>
      <c r="DG850" s="12"/>
      <c r="DH850" s="12"/>
      <c r="DI850" s="12"/>
      <c r="DJ850" s="12"/>
      <c r="DK850" s="12"/>
      <c r="DL850" s="12"/>
      <c r="DM850" s="12"/>
      <c r="DN850" s="12"/>
      <c r="DO850" s="12"/>
      <c r="DP850" s="12"/>
      <c r="DQ850" s="12"/>
      <c r="DR850" s="12"/>
      <c r="DS850" s="12"/>
      <c r="DT850" s="12"/>
      <c r="DU850" s="12"/>
      <c r="DV850" s="12"/>
      <c r="DW850" s="12"/>
      <c r="DX850" s="12"/>
      <c r="DY850" s="12"/>
      <c r="DZ850" s="12"/>
      <c r="EA850" s="12"/>
      <c r="EB850" s="12"/>
      <c r="EC850" s="12"/>
      <c r="ED850" s="12"/>
      <c r="EE850" s="12"/>
      <c r="EF850" s="12"/>
      <c r="EG850" s="12"/>
      <c r="EH850" s="12"/>
      <c r="EI850" s="12"/>
      <c r="EJ850" s="12"/>
      <c r="EK850" s="12"/>
      <c r="EL850" s="12"/>
      <c r="EM850" s="12"/>
      <c r="EN850" s="12"/>
      <c r="EO850" s="12"/>
      <c r="EP850" s="12"/>
      <c r="EQ850" s="12"/>
      <c r="ER850" s="12"/>
      <c r="ES850" s="12"/>
      <c r="ET850" s="12"/>
      <c r="EU850" s="12"/>
      <c r="EV850" s="12"/>
      <c r="EW850" s="12"/>
      <c r="EX850" s="12"/>
      <c r="EY850" s="12"/>
      <c r="EZ850" s="12"/>
      <c r="FA850" s="12"/>
      <c r="FB850" s="12"/>
      <c r="FC850" s="12"/>
    </row>
    <row r="851" spans="3:159" ht="13" customHeight="1">
      <c r="C851" s="1" t="s">
        <v>229</v>
      </c>
      <c r="J851" s="1033" t="s">
        <v>1617</v>
      </c>
      <c r="K851" s="4"/>
      <c r="L851" s="4"/>
      <c r="M851" s="4"/>
      <c r="N851" s="4"/>
      <c r="O851" s="4"/>
      <c r="P851" s="4"/>
      <c r="Q851" s="4"/>
      <c r="R851" s="4"/>
      <c r="S851" s="4"/>
      <c r="T851" s="4"/>
      <c r="U851" s="4"/>
      <c r="V851" s="1034"/>
      <c r="W851" s="1682">
        <v>0</v>
      </c>
      <c r="X851" s="1682"/>
      <c r="Y851" s="1682"/>
      <c r="Z851" s="1682"/>
      <c r="AA851" s="1682"/>
      <c r="AB851" s="1682"/>
      <c r="AC851" s="1682"/>
      <c r="AZ851" s="1691">
        <f>SUM(AZ818:AZ846)</f>
        <v>0</v>
      </c>
      <c r="BA851" s="1691"/>
      <c r="BB851" s="12"/>
      <c r="BC851" s="12"/>
      <c r="BD851" s="12"/>
      <c r="BE851" s="12"/>
      <c r="BF851" s="12"/>
      <c r="BG851" s="12"/>
      <c r="BH851" s="12"/>
      <c r="BI851" s="12"/>
      <c r="BJ851" s="12"/>
      <c r="BK851" s="12"/>
      <c r="BL851" s="12"/>
      <c r="BM851" s="12"/>
      <c r="BN851" s="12"/>
      <c r="BO851" s="115" t="s">
        <v>1040</v>
      </c>
      <c r="BP851" s="217">
        <v>352022</v>
      </c>
      <c r="BQ851" s="217">
        <v>405878</v>
      </c>
      <c r="BR851" s="217">
        <v>489600</v>
      </c>
      <c r="BS851" s="217">
        <v>626688</v>
      </c>
      <c r="BT851" s="217">
        <v>698170</v>
      </c>
      <c r="BU851" s="12"/>
      <c r="BV851" s="115" t="s">
        <v>1040</v>
      </c>
      <c r="BW851" s="217">
        <v>352022</v>
      </c>
      <c r="BX851" s="217">
        <v>405878</v>
      </c>
      <c r="BY851" s="217">
        <v>489600</v>
      </c>
      <c r="BZ851" s="217">
        <v>626688</v>
      </c>
      <c r="CA851" s="217">
        <v>698170</v>
      </c>
      <c r="CB851" s="12"/>
      <c r="CC851" s="12"/>
      <c r="CD851" s="12"/>
      <c r="CE851" s="12"/>
      <c r="CF851" s="12"/>
      <c r="CG851" s="12"/>
      <c r="CH851" s="12"/>
      <c r="CI851" s="12"/>
      <c r="CJ851" s="12"/>
      <c r="CK851" s="12"/>
      <c r="CL851" s="12"/>
      <c r="CM851" s="12"/>
      <c r="CN851" s="12"/>
      <c r="CO851" s="12"/>
      <c r="CP851" s="12"/>
      <c r="CQ851" s="12"/>
      <c r="CR851" s="12"/>
      <c r="CS851" s="12"/>
      <c r="CT851" s="12"/>
      <c r="CU851" s="12"/>
      <c r="CV851" s="12"/>
      <c r="CW851" s="12"/>
      <c r="CX851" s="12"/>
      <c r="CY851" s="12"/>
      <c r="CZ851" s="12"/>
      <c r="DA851" s="12"/>
      <c r="DB851" s="12"/>
      <c r="DC851" s="12"/>
      <c r="DD851" s="12"/>
      <c r="DE851" s="12"/>
      <c r="DF851" s="12"/>
      <c r="DG851" s="12"/>
      <c r="DH851" s="12"/>
      <c r="DI851" s="12"/>
      <c r="DJ851" s="12"/>
      <c r="DK851" s="12"/>
      <c r="DL851" s="12"/>
      <c r="DM851" s="12"/>
      <c r="DN851" s="12"/>
      <c r="DO851" s="12"/>
      <c r="DP851" s="12"/>
      <c r="DQ851" s="12"/>
      <c r="DR851" s="12"/>
      <c r="DS851" s="12"/>
      <c r="DT851" s="12"/>
      <c r="DU851" s="12"/>
      <c r="DV851" s="12"/>
      <c r="DW851" s="12"/>
      <c r="DX851" s="12"/>
      <c r="DY851" s="12"/>
      <c r="DZ851" s="12"/>
      <c r="EA851" s="12"/>
      <c r="EB851" s="12"/>
      <c r="EC851" s="12"/>
      <c r="ED851" s="12"/>
      <c r="EE851" s="12"/>
      <c r="EF851" s="12"/>
      <c r="EG851" s="12"/>
      <c r="EH851" s="12"/>
      <c r="EI851" s="12"/>
      <c r="EJ851" s="12"/>
      <c r="EK851" s="12"/>
      <c r="EL851" s="12"/>
      <c r="EM851" s="12"/>
      <c r="EN851" s="12"/>
      <c r="EO851" s="12"/>
      <c r="EP851" s="12"/>
      <c r="EQ851" s="12"/>
      <c r="ER851" s="12"/>
      <c r="ES851" s="12"/>
      <c r="ET851" s="12"/>
      <c r="EU851" s="12"/>
      <c r="EV851" s="12"/>
      <c r="EW851" s="12"/>
      <c r="EX851" s="12"/>
      <c r="EY851" s="12"/>
      <c r="EZ851" s="12"/>
      <c r="FA851" s="12"/>
      <c r="FB851" s="12"/>
      <c r="FC851" s="12"/>
    </row>
    <row r="852" spans="3:159" ht="13" customHeight="1">
      <c r="J852" s="1033" t="s">
        <v>1618</v>
      </c>
      <c r="K852" s="4"/>
      <c r="L852" s="4"/>
      <c r="M852" s="4"/>
      <c r="N852" s="4"/>
      <c r="O852" s="4"/>
      <c r="P852" s="4"/>
      <c r="Q852" s="4"/>
      <c r="R852" s="4"/>
      <c r="S852" s="4"/>
      <c r="T852" s="4"/>
      <c r="U852" s="4"/>
      <c r="V852" s="1034"/>
      <c r="W852" s="1682">
        <v>0</v>
      </c>
      <c r="X852" s="1682"/>
      <c r="Y852" s="1682"/>
      <c r="Z852" s="1682"/>
      <c r="AA852" s="1682"/>
      <c r="AB852" s="1682"/>
      <c r="AC852" s="1682"/>
      <c r="AZ852" s="24"/>
      <c r="BA852" s="24"/>
      <c r="BB852" s="12"/>
      <c r="BC852" s="12"/>
      <c r="BD852" s="12"/>
      <c r="BE852" s="12"/>
      <c r="BF852" s="12"/>
      <c r="BG852" s="12"/>
      <c r="BH852" s="12"/>
      <c r="BI852" s="12"/>
      <c r="BJ852" s="12"/>
      <c r="BK852" s="12"/>
      <c r="BL852" s="12"/>
      <c r="BM852" s="12"/>
      <c r="BN852" s="12"/>
      <c r="BO852" s="115" t="s">
        <v>1045</v>
      </c>
      <c r="BP852" s="219">
        <v>352022</v>
      </c>
      <c r="BQ852" s="219">
        <v>405878</v>
      </c>
      <c r="BR852" s="219">
        <v>489600</v>
      </c>
      <c r="BS852" s="219">
        <v>626688</v>
      </c>
      <c r="BT852" s="219">
        <v>698170</v>
      </c>
      <c r="BU852" s="12"/>
      <c r="BV852" s="115" t="s">
        <v>1045</v>
      </c>
      <c r="BW852" s="219">
        <v>352022</v>
      </c>
      <c r="BX852" s="219">
        <v>405878</v>
      </c>
      <c r="BY852" s="219">
        <v>489600</v>
      </c>
      <c r="BZ852" s="219">
        <v>626688</v>
      </c>
      <c r="CA852" s="219">
        <v>698170</v>
      </c>
      <c r="CB852" s="12"/>
      <c r="CC852" s="12"/>
      <c r="CD852" s="12"/>
      <c r="CE852" s="12"/>
      <c r="CF852" s="12"/>
      <c r="CG852" s="12"/>
      <c r="CH852" s="12"/>
      <c r="CI852" s="12"/>
      <c r="CJ852" s="12"/>
      <c r="CK852" s="12"/>
      <c r="CL852" s="12"/>
      <c r="CM852" s="12"/>
      <c r="CN852" s="12"/>
      <c r="CO852" s="12"/>
      <c r="CP852" s="12"/>
      <c r="CQ852" s="12"/>
      <c r="CR852" s="12"/>
      <c r="CS852" s="12"/>
      <c r="CT852" s="12"/>
      <c r="CU852" s="12"/>
      <c r="CV852" s="12"/>
      <c r="CW852" s="12"/>
      <c r="CX852" s="12"/>
      <c r="CY852" s="12"/>
      <c r="CZ852" s="12"/>
      <c r="DA852" s="12"/>
      <c r="DB852" s="12"/>
      <c r="DC852" s="12"/>
      <c r="DD852" s="12"/>
      <c r="DE852" s="12"/>
      <c r="DF852" s="12"/>
      <c r="DG852" s="12"/>
      <c r="DH852" s="12"/>
      <c r="DI852" s="12"/>
      <c r="DJ852" s="12"/>
      <c r="DK852" s="12"/>
      <c r="DL852" s="12"/>
      <c r="DM852" s="12"/>
      <c r="DN852" s="12"/>
      <c r="DO852" s="12"/>
      <c r="DP852" s="12"/>
      <c r="DQ852" s="12"/>
      <c r="DR852" s="12"/>
      <c r="DS852" s="12"/>
      <c r="DT852" s="12"/>
      <c r="DU852" s="12"/>
      <c r="DV852" s="12"/>
      <c r="DW852" s="12"/>
      <c r="DX852" s="12"/>
      <c r="DY852" s="12"/>
      <c r="DZ852" s="12"/>
      <c r="EA852" s="12"/>
      <c r="EB852" s="12"/>
      <c r="EC852" s="12"/>
      <c r="ED852" s="12"/>
      <c r="EE852" s="12"/>
      <c r="EF852" s="12"/>
      <c r="EG852" s="12"/>
      <c r="EH852" s="12"/>
      <c r="EI852" s="12"/>
      <c r="EJ852" s="12"/>
      <c r="EK852" s="12"/>
      <c r="EL852" s="12"/>
      <c r="EM852" s="12"/>
      <c r="EN852" s="12"/>
      <c r="EO852" s="12"/>
      <c r="EP852" s="12"/>
      <c r="EQ852" s="12"/>
      <c r="ER852" s="12"/>
      <c r="ES852" s="12"/>
      <c r="ET852" s="12"/>
      <c r="EU852" s="12"/>
      <c r="EV852" s="12"/>
      <c r="EW852" s="12"/>
      <c r="EX852" s="12"/>
      <c r="EY852" s="12"/>
      <c r="EZ852" s="12"/>
      <c r="FA852" s="12"/>
      <c r="FB852" s="12"/>
      <c r="FC852" s="12"/>
    </row>
    <row r="853" spans="3:159" ht="13" customHeight="1">
      <c r="J853" s="1033" t="s">
        <v>1598</v>
      </c>
      <c r="K853" s="4"/>
      <c r="L853" s="4"/>
      <c r="M853" s="4"/>
      <c r="N853" s="4"/>
      <c r="O853" s="4"/>
      <c r="P853" s="4"/>
      <c r="Q853" s="4"/>
      <c r="R853" s="4"/>
      <c r="S853" s="4"/>
      <c r="T853" s="4"/>
      <c r="U853" s="4"/>
      <c r="V853" s="1034"/>
      <c r="W853" s="1682">
        <v>26300</v>
      </c>
      <c r="X853" s="1682"/>
      <c r="Y853" s="1682"/>
      <c r="Z853" s="1682"/>
      <c r="AA853" s="1682"/>
      <c r="AB853" s="1682"/>
      <c r="AC853" s="1682"/>
      <c r="AZ853" s="24"/>
      <c r="BA853" s="24"/>
      <c r="BB853" s="12"/>
      <c r="BC853" s="12"/>
      <c r="BD853" s="12"/>
      <c r="BE853" s="12"/>
      <c r="BF853" s="12"/>
      <c r="BG853" s="12"/>
      <c r="BH853" s="12"/>
      <c r="BI853" s="12"/>
      <c r="BJ853" s="12"/>
      <c r="BK853" s="12"/>
      <c r="BL853" s="12"/>
      <c r="BM853" s="12"/>
      <c r="BN853" s="12"/>
      <c r="BO853" s="115" t="s">
        <v>1049</v>
      </c>
      <c r="BP853" s="217">
        <v>384234</v>
      </c>
      <c r="BQ853" s="217">
        <v>443018</v>
      </c>
      <c r="BR853" s="217">
        <v>534400</v>
      </c>
      <c r="BS853" s="217">
        <v>684032</v>
      </c>
      <c r="BT853" s="217">
        <v>762054</v>
      </c>
      <c r="BU853" s="12"/>
      <c r="BV853" s="115" t="s">
        <v>1049</v>
      </c>
      <c r="BW853" s="217">
        <v>384234</v>
      </c>
      <c r="BX853" s="217">
        <v>443018</v>
      </c>
      <c r="BY853" s="217">
        <v>534400</v>
      </c>
      <c r="BZ853" s="217">
        <v>684032</v>
      </c>
      <c r="CA853" s="217">
        <v>762054</v>
      </c>
      <c r="CB853" s="12"/>
      <c r="CC853" s="12"/>
      <c r="CD853" s="12"/>
      <c r="CE853" s="12"/>
      <c r="CF853" s="12"/>
      <c r="CG853" s="12"/>
      <c r="CH853" s="12"/>
      <c r="CI853" s="12"/>
      <c r="CJ853" s="12"/>
      <c r="CK853" s="12"/>
      <c r="CL853" s="12"/>
      <c r="CM853" s="12"/>
      <c r="CN853" s="12"/>
      <c r="CO853" s="12"/>
      <c r="CP853" s="12"/>
      <c r="CQ853" s="12"/>
      <c r="CR853" s="12"/>
      <c r="CS853" s="12"/>
      <c r="CT853" s="12"/>
      <c r="CU853" s="12"/>
      <c r="CV853" s="12"/>
      <c r="CW853" s="12"/>
      <c r="CX853" s="12"/>
      <c r="CY853" s="12"/>
      <c r="CZ853" s="12"/>
      <c r="DA853" s="12"/>
      <c r="DB853" s="12"/>
      <c r="DC853" s="12"/>
      <c r="DD853" s="12"/>
      <c r="DE853" s="12"/>
      <c r="DF853" s="12"/>
      <c r="DG853" s="12"/>
      <c r="DH853" s="12"/>
      <c r="DI853" s="12"/>
      <c r="DJ853" s="12"/>
      <c r="DK853" s="12"/>
      <c r="DL853" s="12"/>
      <c r="DM853" s="12"/>
      <c r="DN853" s="12"/>
      <c r="DO853" s="12"/>
      <c r="DP853" s="12"/>
      <c r="DQ853" s="12"/>
      <c r="DR853" s="12"/>
      <c r="DS853" s="12"/>
      <c r="DT853" s="12"/>
      <c r="DU853" s="12"/>
      <c r="DV853" s="12"/>
      <c r="DW853" s="12"/>
      <c r="DX853" s="12"/>
      <c r="DY853" s="12"/>
      <c r="DZ853" s="12"/>
      <c r="EA853" s="12"/>
      <c r="EB853" s="12"/>
      <c r="EC853" s="12"/>
      <c r="ED853" s="12"/>
      <c r="EE853" s="12"/>
      <c r="EF853" s="12"/>
      <c r="EG853" s="12"/>
      <c r="EH853" s="12"/>
      <c r="EI853" s="12"/>
      <c r="EJ853" s="12"/>
      <c r="EK853" s="12"/>
      <c r="EL853" s="12"/>
      <c r="EM853" s="12"/>
      <c r="EN853" s="12"/>
      <c r="EO853" s="12"/>
      <c r="EP853" s="12"/>
      <c r="EQ853" s="12"/>
      <c r="ER853" s="12"/>
      <c r="ES853" s="12"/>
      <c r="ET853" s="12"/>
      <c r="EU853" s="12"/>
      <c r="EV853" s="12"/>
      <c r="EW853" s="12"/>
      <c r="EX853" s="12"/>
      <c r="EY853" s="12"/>
      <c r="EZ853" s="12"/>
      <c r="FA853" s="12"/>
      <c r="FB853" s="12"/>
      <c r="FC853" s="12"/>
    </row>
    <row r="854" spans="3:159" ht="13" customHeight="1">
      <c r="J854" s="1062" t="s">
        <v>1619</v>
      </c>
      <c r="K854" s="4"/>
      <c r="L854" s="4"/>
      <c r="M854" s="4"/>
      <c r="N854" s="4"/>
      <c r="O854" s="4"/>
      <c r="P854" s="4"/>
      <c r="Q854" s="4"/>
      <c r="R854" s="4"/>
      <c r="S854" s="4"/>
      <c r="T854" s="4"/>
      <c r="U854" s="4"/>
      <c r="V854" s="1034"/>
      <c r="W854" s="1682">
        <v>24000</v>
      </c>
      <c r="X854" s="1682"/>
      <c r="Y854" s="1682"/>
      <c r="Z854" s="1682"/>
      <c r="AA854" s="1682"/>
      <c r="AB854" s="1682"/>
      <c r="AC854" s="1682"/>
      <c r="AZ854" s="2"/>
      <c r="BA854" s="2"/>
      <c r="BB854" s="2"/>
      <c r="BC854" s="2"/>
      <c r="BD854" s="2"/>
      <c r="BE854" s="2"/>
      <c r="BF854" s="2"/>
      <c r="BG854" s="2"/>
      <c r="BH854" s="2"/>
      <c r="BI854" s="2"/>
      <c r="BJ854" s="2"/>
      <c r="BK854" s="2"/>
      <c r="BL854" s="2"/>
      <c r="BM854" s="2"/>
      <c r="BN854" s="2"/>
      <c r="BO854" s="115" t="s">
        <v>1055</v>
      </c>
      <c r="BP854" s="219">
        <v>384234</v>
      </c>
      <c r="BQ854" s="219">
        <v>443018</v>
      </c>
      <c r="BR854" s="219">
        <v>534400</v>
      </c>
      <c r="BS854" s="219">
        <v>684032</v>
      </c>
      <c r="BT854" s="219">
        <v>762054</v>
      </c>
      <c r="BU854" s="12"/>
      <c r="BV854" s="115" t="s">
        <v>1055</v>
      </c>
      <c r="BW854" s="219">
        <v>384234</v>
      </c>
      <c r="BX854" s="219">
        <v>443018</v>
      </c>
      <c r="BY854" s="219">
        <v>534400</v>
      </c>
      <c r="BZ854" s="219">
        <v>684032</v>
      </c>
      <c r="CA854" s="219">
        <v>762054</v>
      </c>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X854" s="12"/>
      <c r="DY854" s="12"/>
      <c r="DZ854" s="12"/>
      <c r="EA854" s="12"/>
      <c r="EB854" s="12"/>
      <c r="EC854" s="12"/>
      <c r="ED854" s="12"/>
      <c r="EE854" s="12"/>
      <c r="EF854" s="12"/>
      <c r="EG854" s="12"/>
      <c r="EH854" s="12"/>
      <c r="EI854" s="12"/>
      <c r="EJ854" s="12"/>
      <c r="EK854" s="12"/>
      <c r="EL854" s="12"/>
      <c r="EM854" s="12"/>
      <c r="EN854" s="12"/>
      <c r="EO854" s="12"/>
      <c r="EP854" s="12"/>
      <c r="EQ854" s="12"/>
      <c r="ER854" s="12"/>
      <c r="ES854" s="12"/>
      <c r="ET854" s="12"/>
      <c r="EU854" s="12"/>
      <c r="EV854" s="12"/>
      <c r="EW854" s="12"/>
      <c r="EX854" s="12"/>
      <c r="EY854" s="12"/>
      <c r="EZ854" s="12"/>
      <c r="FA854" s="12"/>
    </row>
    <row r="855" spans="3:159" ht="13" customHeight="1">
      <c r="J855" s="40"/>
      <c r="K855" s="33"/>
      <c r="L855" s="33"/>
      <c r="M855" s="33"/>
      <c r="N855" s="33"/>
      <c r="O855" s="33"/>
      <c r="P855" s="33"/>
      <c r="Q855" s="33"/>
      <c r="R855" s="33"/>
      <c r="S855" s="33"/>
      <c r="T855" s="33"/>
      <c r="U855" s="33"/>
      <c r="V855" s="1153" t="s">
        <v>1620</v>
      </c>
      <c r="W855" s="1687">
        <f>SUM(W851:AC854)</f>
        <v>50300</v>
      </c>
      <c r="X855" s="1687"/>
      <c r="Y855" s="1687"/>
      <c r="Z855" s="1687"/>
      <c r="AA855" s="1687"/>
      <c r="AB855" s="1687"/>
      <c r="AC855" s="1687"/>
      <c r="AZ855" s="2"/>
      <c r="BA855" s="2"/>
      <c r="BB855" s="2"/>
      <c r="BC855" s="2"/>
      <c r="BD855" s="2"/>
      <c r="BE855" s="2"/>
      <c r="BF855" s="2"/>
      <c r="BG855" s="2"/>
      <c r="BH855" s="2"/>
      <c r="BI855" s="2"/>
      <c r="BJ855" s="2"/>
      <c r="BK855" s="2"/>
      <c r="BL855" s="2"/>
      <c r="BM855" s="2"/>
      <c r="BN855" s="2"/>
      <c r="BO855" s="115" t="s">
        <v>1058</v>
      </c>
      <c r="BP855" s="217">
        <v>307732</v>
      </c>
      <c r="BQ855" s="217">
        <v>354812</v>
      </c>
      <c r="BR855" s="217">
        <v>428000</v>
      </c>
      <c r="BS855" s="217">
        <v>547840</v>
      </c>
      <c r="BT855" s="217">
        <v>610328</v>
      </c>
      <c r="BU855" s="12"/>
      <c r="BV855" s="115" t="s">
        <v>1058</v>
      </c>
      <c r="BW855" s="217">
        <v>307732</v>
      </c>
      <c r="BX855" s="217">
        <v>354812</v>
      </c>
      <c r="BY855" s="217">
        <v>428000</v>
      </c>
      <c r="BZ855" s="217">
        <v>547840</v>
      </c>
      <c r="CA855" s="217">
        <v>610328</v>
      </c>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X855" s="12"/>
      <c r="DY855" s="12"/>
      <c r="DZ855" s="12"/>
      <c r="EA855" s="12"/>
      <c r="EB855" s="12"/>
      <c r="EC855" s="12"/>
      <c r="ED855" s="12"/>
      <c r="EE855" s="12"/>
      <c r="EF855" s="12"/>
      <c r="EG855" s="12"/>
      <c r="EH855" s="12"/>
      <c r="EI855" s="12"/>
      <c r="EJ855" s="12"/>
      <c r="EK855" s="12"/>
      <c r="EL855" s="12"/>
      <c r="EM855" s="12"/>
      <c r="EN855" s="12"/>
      <c r="EO855" s="12"/>
      <c r="EP855" s="12"/>
      <c r="EQ855" s="12"/>
      <c r="ER855" s="12"/>
      <c r="ES855" s="12"/>
      <c r="ET855" s="12"/>
      <c r="EU855" s="12"/>
      <c r="EV855" s="12"/>
      <c r="EW855" s="12"/>
      <c r="EX855" s="12"/>
      <c r="EY855" s="12"/>
      <c r="EZ855" s="12"/>
      <c r="FA855" s="12"/>
    </row>
    <row r="856" spans="3:159" ht="13" customHeight="1">
      <c r="AZ856" s="2"/>
      <c r="BA856" s="2"/>
      <c r="BB856" s="2"/>
      <c r="BC856" s="2"/>
      <c r="BD856" s="2"/>
      <c r="BE856" s="2"/>
      <c r="BF856" s="2"/>
      <c r="BG856" s="2"/>
      <c r="BH856" s="2"/>
      <c r="BI856" s="2"/>
      <c r="BJ856" s="2"/>
      <c r="BK856" s="2"/>
      <c r="BL856" s="2"/>
      <c r="BM856" s="2"/>
      <c r="BN856" s="2"/>
      <c r="BO856" s="115" t="s">
        <v>1063</v>
      </c>
      <c r="BP856" s="219">
        <v>331890</v>
      </c>
      <c r="BQ856" s="219">
        <v>382666</v>
      </c>
      <c r="BR856" s="219">
        <v>461600</v>
      </c>
      <c r="BS856" s="219">
        <v>590848</v>
      </c>
      <c r="BT856" s="219">
        <v>658242</v>
      </c>
      <c r="BU856" s="12"/>
      <c r="BV856" s="115" t="s">
        <v>1063</v>
      </c>
      <c r="BW856" s="219">
        <v>331890</v>
      </c>
      <c r="BX856" s="219">
        <v>382666</v>
      </c>
      <c r="BY856" s="219">
        <v>461600</v>
      </c>
      <c r="BZ856" s="219">
        <v>590848</v>
      </c>
      <c r="CA856" s="219">
        <v>658242</v>
      </c>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X856" s="12"/>
      <c r="DY856" s="12"/>
      <c r="DZ856" s="12"/>
      <c r="EA856" s="12"/>
      <c r="EB856" s="12"/>
      <c r="EC856" s="12"/>
      <c r="ED856" s="12"/>
      <c r="EE856" s="12"/>
      <c r="EF856" s="12"/>
      <c r="EG856" s="12"/>
      <c r="EH856" s="12"/>
      <c r="EI856" s="12"/>
      <c r="EJ856" s="12"/>
      <c r="EK856" s="12"/>
      <c r="EL856" s="12"/>
      <c r="EM856" s="12"/>
      <c r="EN856" s="12"/>
      <c r="EO856" s="12"/>
      <c r="EP856" s="12"/>
      <c r="EQ856" s="12"/>
      <c r="ER856" s="12"/>
      <c r="ES856" s="12"/>
      <c r="ET856" s="12"/>
      <c r="EU856" s="12"/>
      <c r="EV856" s="12"/>
      <c r="EW856" s="12"/>
      <c r="EX856" s="12"/>
      <c r="EY856" s="12"/>
      <c r="EZ856" s="12"/>
      <c r="FA856" s="12"/>
    </row>
    <row r="857" spans="3:159" ht="13" customHeight="1">
      <c r="C857" s="1" t="s">
        <v>1621</v>
      </c>
      <c r="J857" s="1033" t="s">
        <v>1622</v>
      </c>
      <c r="K857" s="4"/>
      <c r="L857" s="4"/>
      <c r="M857" s="4"/>
      <c r="N857" s="4"/>
      <c r="O857" s="4"/>
      <c r="P857" s="4"/>
      <c r="Q857" s="4"/>
      <c r="R857" s="4"/>
      <c r="S857" s="4"/>
      <c r="T857" s="4"/>
      <c r="U857" s="4"/>
      <c r="V857" s="1034"/>
      <c r="W857" s="1588">
        <v>72000</v>
      </c>
      <c r="X857" s="1589"/>
      <c r="Y857" s="1589"/>
      <c r="Z857" s="1589"/>
      <c r="AA857" s="1589"/>
      <c r="AB857" s="1589"/>
      <c r="AC857" s="1590"/>
      <c r="AD857" s="397"/>
      <c r="AZ857" s="2"/>
      <c r="BA857" s="2"/>
      <c r="BB857" s="2"/>
      <c r="BC857" s="2"/>
      <c r="BD857" s="2"/>
      <c r="BE857" s="2"/>
      <c r="BF857" s="2"/>
      <c r="BG857" s="2"/>
      <c r="BH857" s="2"/>
      <c r="BI857" s="2"/>
      <c r="BJ857" s="2"/>
      <c r="BK857" s="2"/>
      <c r="BL857" s="2"/>
      <c r="BM857" s="2"/>
      <c r="BN857" s="2"/>
      <c r="BO857" s="115" t="s">
        <v>1067</v>
      </c>
      <c r="BP857" s="217">
        <v>352022</v>
      </c>
      <c r="BQ857" s="217">
        <v>405878</v>
      </c>
      <c r="BR857" s="217">
        <v>489600</v>
      </c>
      <c r="BS857" s="217">
        <v>626688</v>
      </c>
      <c r="BT857" s="217">
        <v>698170</v>
      </c>
      <c r="BU857" s="12"/>
      <c r="BV857" s="115" t="s">
        <v>1067</v>
      </c>
      <c r="BW857" s="217">
        <v>352022</v>
      </c>
      <c r="BX857" s="217">
        <v>405878</v>
      </c>
      <c r="BY857" s="217">
        <v>489600</v>
      </c>
      <c r="BZ857" s="217">
        <v>626688</v>
      </c>
      <c r="CA857" s="217">
        <v>698170</v>
      </c>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X857" s="12"/>
      <c r="DY857" s="12"/>
      <c r="DZ857" s="12"/>
      <c r="EA857" s="12"/>
      <c r="EB857" s="12"/>
      <c r="EC857" s="12"/>
      <c r="ED857" s="12"/>
      <c r="EE857" s="12"/>
      <c r="EF857" s="12"/>
      <c r="EG857" s="12"/>
      <c r="EH857" s="12"/>
      <c r="EI857" s="12"/>
      <c r="EJ857" s="12"/>
      <c r="EK857" s="12"/>
      <c r="EL857" s="12"/>
      <c r="EM857" s="12"/>
      <c r="EN857" s="12"/>
      <c r="EO857" s="12"/>
      <c r="EP857" s="12"/>
      <c r="EQ857" s="12"/>
      <c r="ER857" s="12"/>
      <c r="ES857" s="12"/>
      <c r="ET857" s="12"/>
      <c r="EU857" s="12"/>
      <c r="EV857" s="12"/>
      <c r="EW857" s="12"/>
      <c r="EX857" s="12"/>
      <c r="EY857" s="12"/>
      <c r="EZ857" s="12"/>
      <c r="FA857" s="12"/>
    </row>
    <row r="858" spans="3:159" ht="13" customHeight="1">
      <c r="C858" s="1" t="s">
        <v>1623</v>
      </c>
      <c r="J858" s="1035" t="s">
        <v>1624</v>
      </c>
      <c r="K858" s="4"/>
      <c r="L858" s="4"/>
      <c r="M858" s="4"/>
      <c r="N858" s="4"/>
      <c r="O858" s="4"/>
      <c r="P858" s="4"/>
      <c r="Q858" s="4"/>
      <c r="R858" s="4"/>
      <c r="S858" s="4"/>
      <c r="T858" s="1692"/>
      <c r="U858" s="1668"/>
      <c r="V858" s="1693"/>
      <c r="W858" s="1030"/>
      <c r="X858" s="1031"/>
      <c r="Y858" s="1031"/>
      <c r="Z858" s="1031"/>
      <c r="AA858" s="1031"/>
      <c r="AB858" s="1031"/>
      <c r="AC858" s="1032"/>
      <c r="AD858" s="397"/>
      <c r="AZ858" s="2"/>
      <c r="BA858" s="2"/>
      <c r="BB858" s="2"/>
      <c r="BC858" s="2"/>
      <c r="BD858" s="2"/>
      <c r="BE858" s="2"/>
      <c r="BF858" s="2"/>
      <c r="BG858" s="2"/>
      <c r="BH858" s="2"/>
      <c r="BI858" s="2"/>
      <c r="BJ858" s="2"/>
      <c r="BK858" s="2"/>
      <c r="BL858" s="2"/>
      <c r="BM858" s="2"/>
      <c r="BN858" s="2"/>
      <c r="BO858" s="115" t="s">
        <v>1070</v>
      </c>
      <c r="BP858" s="219">
        <v>352022</v>
      </c>
      <c r="BQ858" s="219">
        <v>405878</v>
      </c>
      <c r="BR858" s="219">
        <v>489600</v>
      </c>
      <c r="BS858" s="219">
        <v>626688</v>
      </c>
      <c r="BT858" s="219">
        <v>698170</v>
      </c>
      <c r="BU858" s="12"/>
      <c r="BV858" s="115" t="s">
        <v>1070</v>
      </c>
      <c r="BW858" s="219">
        <v>352022</v>
      </c>
      <c r="BX858" s="219">
        <v>405878</v>
      </c>
      <c r="BY858" s="219">
        <v>489600</v>
      </c>
      <c r="BZ858" s="219">
        <v>626688</v>
      </c>
      <c r="CA858" s="219">
        <v>698170</v>
      </c>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X858" s="12"/>
      <c r="DY858" s="12"/>
      <c r="DZ858" s="12"/>
      <c r="EA858" s="12"/>
      <c r="EB858" s="12"/>
      <c r="EC858" s="12"/>
      <c r="ED858" s="12"/>
      <c r="EE858" s="12"/>
      <c r="EF858" s="12"/>
      <c r="EG858" s="12"/>
      <c r="EH858" s="12"/>
      <c r="EI858" s="12"/>
      <c r="EJ858" s="12"/>
      <c r="EK858" s="12"/>
      <c r="EL858" s="12"/>
      <c r="EM858" s="12"/>
      <c r="EN858" s="12"/>
      <c r="EO858" s="12"/>
      <c r="EP858" s="12"/>
      <c r="EQ858" s="12"/>
      <c r="ER858" s="12"/>
      <c r="ES858" s="12"/>
      <c r="ET858" s="12"/>
      <c r="EU858" s="12"/>
      <c r="EV858" s="12"/>
      <c r="EW858" s="12"/>
      <c r="EX858" s="12"/>
      <c r="EY858" s="12"/>
      <c r="EZ858" s="12"/>
      <c r="FA858" s="12"/>
    </row>
    <row r="859" spans="3:159" ht="13" customHeight="1">
      <c r="C859" s="1"/>
      <c r="J859" s="1033" t="s">
        <v>1625</v>
      </c>
      <c r="K859" s="4"/>
      <c r="L859" s="4"/>
      <c r="M859" s="4"/>
      <c r="N859" s="4"/>
      <c r="O859" s="4"/>
      <c r="P859" s="4"/>
      <c r="Q859" s="4"/>
      <c r="R859" s="4"/>
      <c r="S859" s="4"/>
      <c r="T859" s="4"/>
      <c r="U859" s="4"/>
      <c r="V859" s="1034"/>
      <c r="W859" s="1588">
        <v>45700</v>
      </c>
      <c r="X859" s="1589"/>
      <c r="Y859" s="1589"/>
      <c r="Z859" s="1589"/>
      <c r="AA859" s="1589"/>
      <c r="AB859" s="1589"/>
      <c r="AC859" s="1590"/>
      <c r="AD859" s="402"/>
      <c r="AZ859" s="2"/>
      <c r="BA859" s="2"/>
      <c r="BB859" s="2"/>
      <c r="BC859" s="2"/>
      <c r="BD859" s="2"/>
      <c r="BE859" s="2"/>
      <c r="BF859" s="2"/>
      <c r="BG859" s="2"/>
      <c r="BH859" s="2"/>
      <c r="BI859" s="2"/>
      <c r="BJ859" s="2"/>
      <c r="BK859" s="2"/>
      <c r="BL859" s="2"/>
      <c r="BM859" s="2"/>
      <c r="BN859" s="2"/>
      <c r="BO859" s="115" t="s">
        <v>1074</v>
      </c>
      <c r="BP859" s="217">
        <v>307732</v>
      </c>
      <c r="BQ859" s="217">
        <v>354812</v>
      </c>
      <c r="BR859" s="217">
        <v>428000</v>
      </c>
      <c r="BS859" s="217">
        <v>547840</v>
      </c>
      <c r="BT859" s="217">
        <v>610328</v>
      </c>
      <c r="BU859" s="12"/>
      <c r="BV859" s="115" t="s">
        <v>1074</v>
      </c>
      <c r="BW859" s="217">
        <v>307732</v>
      </c>
      <c r="BX859" s="217">
        <v>354812</v>
      </c>
      <c r="BY859" s="217">
        <v>428000</v>
      </c>
      <c r="BZ859" s="217">
        <v>547840</v>
      </c>
      <c r="CA859" s="217">
        <v>610328</v>
      </c>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X859" s="12"/>
      <c r="DY859" s="12"/>
      <c r="DZ859" s="12"/>
      <c r="EA859" s="12"/>
      <c r="EB859" s="12"/>
      <c r="EC859" s="12"/>
      <c r="ED859" s="12"/>
      <c r="EE859" s="12"/>
      <c r="EF859" s="12"/>
      <c r="EG859" s="12"/>
      <c r="EH859" s="12"/>
      <c r="EI859" s="12"/>
      <c r="EJ859" s="12"/>
      <c r="EK859" s="12"/>
      <c r="EL859" s="12"/>
      <c r="EM859" s="12"/>
      <c r="EN859" s="12"/>
      <c r="EO859" s="12"/>
      <c r="EP859" s="12"/>
      <c r="EQ859" s="12"/>
      <c r="ER859" s="12"/>
      <c r="ES859" s="12"/>
      <c r="ET859" s="12"/>
      <c r="EU859" s="12"/>
      <c r="EV859" s="12"/>
      <c r="EW859" s="12"/>
      <c r="EX859" s="12"/>
      <c r="EY859" s="12"/>
      <c r="EZ859" s="12"/>
      <c r="FA859" s="12"/>
    </row>
    <row r="860" spans="3:159" ht="13" customHeight="1">
      <c r="C860" s="1"/>
      <c r="J860" s="1035" t="s">
        <v>1626</v>
      </c>
      <c r="K860" s="4"/>
      <c r="L860" s="4"/>
      <c r="M860" s="4"/>
      <c r="N860" s="4"/>
      <c r="O860" s="4"/>
      <c r="P860" s="4"/>
      <c r="Q860" s="4"/>
      <c r="R860" s="4"/>
      <c r="S860" s="4"/>
      <c r="T860" s="1692"/>
      <c r="U860" s="1668"/>
      <c r="V860" s="1693"/>
      <c r="W860" s="1030"/>
      <c r="X860" s="1031"/>
      <c r="Y860" s="1031"/>
      <c r="Z860" s="1031"/>
      <c r="AA860" s="1031"/>
      <c r="AB860" s="1031"/>
      <c r="AC860" s="1032"/>
      <c r="AD860" s="402"/>
      <c r="AZ860" s="2"/>
      <c r="BA860" s="2"/>
      <c r="BB860" s="2"/>
      <c r="BC860" s="2"/>
      <c r="BD860" s="2"/>
      <c r="BE860" s="2"/>
      <c r="BF860" s="2"/>
      <c r="BG860" s="2"/>
      <c r="BH860" s="2"/>
      <c r="BI860" s="2"/>
      <c r="BJ860" s="2"/>
      <c r="BK860" s="2"/>
      <c r="BL860" s="2"/>
      <c r="BM860" s="2"/>
      <c r="BN860" s="2"/>
      <c r="BO860" s="115" t="s">
        <v>1076</v>
      </c>
      <c r="BP860" s="219">
        <v>352022</v>
      </c>
      <c r="BQ860" s="219">
        <v>405878</v>
      </c>
      <c r="BR860" s="219">
        <v>489600</v>
      </c>
      <c r="BS860" s="219">
        <v>626688</v>
      </c>
      <c r="BT860" s="219">
        <v>698170</v>
      </c>
      <c r="BU860" s="12"/>
      <c r="BV860" s="115" t="s">
        <v>1076</v>
      </c>
      <c r="BW860" s="219">
        <v>352022</v>
      </c>
      <c r="BX860" s="219">
        <v>405878</v>
      </c>
      <c r="BY860" s="219">
        <v>489600</v>
      </c>
      <c r="BZ860" s="219">
        <v>626688</v>
      </c>
      <c r="CA860" s="219">
        <v>698170</v>
      </c>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X860" s="12"/>
      <c r="DY860" s="12"/>
      <c r="DZ860" s="12"/>
      <c r="EA860" s="12"/>
      <c r="EB860" s="12"/>
      <c r="EC860" s="12"/>
      <c r="ED860" s="12"/>
      <c r="EE860" s="12"/>
      <c r="EF860" s="12"/>
      <c r="EG860" s="12"/>
      <c r="EH860" s="12"/>
      <c r="EI860" s="12"/>
      <c r="EJ860" s="12"/>
      <c r="EK860" s="12"/>
      <c r="EL860" s="12"/>
      <c r="EM860" s="12"/>
      <c r="EN860" s="12"/>
      <c r="EO860" s="12"/>
      <c r="EP860" s="12"/>
      <c r="EQ860" s="12"/>
      <c r="ER860" s="12"/>
      <c r="ES860" s="12"/>
      <c r="ET860" s="12"/>
      <c r="EU860" s="12"/>
      <c r="EV860" s="12"/>
      <c r="EW860" s="12"/>
      <c r="EX860" s="12"/>
      <c r="EY860" s="12"/>
      <c r="EZ860" s="12"/>
      <c r="FA860" s="12"/>
    </row>
    <row r="861" spans="3:159" ht="13" customHeight="1">
      <c r="J861" s="1033" t="s">
        <v>232</v>
      </c>
      <c r="K861" s="4"/>
      <c r="L861" s="4"/>
      <c r="M861" s="1336" t="s">
        <v>1627</v>
      </c>
      <c r="N861" s="1337"/>
      <c r="O861" s="1337"/>
      <c r="P861" s="1337"/>
      <c r="Q861" s="1337"/>
      <c r="R861" s="1337"/>
      <c r="S861" s="1337"/>
      <c r="T861" s="1337"/>
      <c r="U861" s="1337"/>
      <c r="V861" s="1338"/>
      <c r="W861" s="1588">
        <v>47900</v>
      </c>
      <c r="X861" s="1589"/>
      <c r="Y861" s="1589"/>
      <c r="Z861" s="1589"/>
      <c r="AA861" s="1589"/>
      <c r="AB861" s="1589"/>
      <c r="AC861" s="1590"/>
      <c r="AD861" s="397"/>
      <c r="AU861" s="12"/>
      <c r="AZ861" s="2"/>
      <c r="BA861" s="2"/>
      <c r="BB861" s="2"/>
      <c r="BC861" s="2"/>
      <c r="BD861" s="2"/>
      <c r="BE861" s="2"/>
      <c r="BF861" s="2"/>
      <c r="BG861" s="2"/>
      <c r="BH861" s="2"/>
      <c r="BI861" s="2"/>
      <c r="BJ861" s="2"/>
      <c r="BK861" s="2"/>
      <c r="BL861" s="2"/>
      <c r="BM861" s="2"/>
      <c r="BN861" s="2"/>
      <c r="BO861" s="115" t="s">
        <v>1080</v>
      </c>
      <c r="BP861" s="217">
        <v>387110</v>
      </c>
      <c r="BQ861" s="217">
        <v>446334</v>
      </c>
      <c r="BR861" s="217">
        <v>538400</v>
      </c>
      <c r="BS861" s="217">
        <v>689152</v>
      </c>
      <c r="BT861" s="217">
        <v>767758</v>
      </c>
      <c r="BU861" s="12"/>
      <c r="BV861" s="115" t="s">
        <v>1080</v>
      </c>
      <c r="BW861" s="217">
        <v>387110</v>
      </c>
      <c r="BX861" s="217">
        <v>446334</v>
      </c>
      <c r="BY861" s="217">
        <v>538400</v>
      </c>
      <c r="BZ861" s="217">
        <v>689152</v>
      </c>
      <c r="CA861" s="217">
        <v>767758</v>
      </c>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X861" s="12"/>
      <c r="DY861" s="12"/>
      <c r="DZ861" s="12"/>
      <c r="EA861" s="12"/>
      <c r="EB861" s="12"/>
      <c r="EC861" s="12"/>
      <c r="ED861" s="12"/>
      <c r="EE861" s="12"/>
      <c r="EF861" s="12"/>
      <c r="EG861" s="12"/>
      <c r="EH861" s="12"/>
      <c r="EI861" s="12"/>
      <c r="EJ861" s="12"/>
      <c r="EK861" s="12"/>
      <c r="EL861" s="12"/>
      <c r="EM861" s="12"/>
      <c r="EN861" s="12"/>
      <c r="EO861" s="12"/>
      <c r="EP861" s="12"/>
      <c r="EQ861" s="12"/>
      <c r="ER861" s="12"/>
      <c r="ES861" s="12"/>
      <c r="ET861" s="12"/>
      <c r="EU861" s="12"/>
      <c r="EV861" s="12"/>
      <c r="EW861" s="12"/>
      <c r="EX861" s="12"/>
      <c r="EY861" s="12"/>
      <c r="EZ861" s="12"/>
      <c r="FA861" s="12"/>
    </row>
    <row r="862" spans="3:159" ht="13" customHeight="1">
      <c r="J862" s="1033"/>
      <c r="K862" s="4"/>
      <c r="L862" s="4"/>
      <c r="M862" s="4"/>
      <c r="N862" s="4"/>
      <c r="O862" s="4"/>
      <c r="P862" s="4"/>
      <c r="Q862" s="4"/>
      <c r="R862" s="4"/>
      <c r="S862" s="4"/>
      <c r="T862" s="4"/>
      <c r="U862" s="4"/>
      <c r="V862" s="1153" t="s">
        <v>1628</v>
      </c>
      <c r="W862" s="1694">
        <f>SUM(W857:AC861)</f>
        <v>165600</v>
      </c>
      <c r="X862" s="1695"/>
      <c r="Y862" s="1695"/>
      <c r="Z862" s="1695"/>
      <c r="AA862" s="1695"/>
      <c r="AB862" s="1695"/>
      <c r="AC862" s="1696"/>
      <c r="AD862" s="402"/>
      <c r="AU862" s="12"/>
      <c r="AZ862" s="2"/>
      <c r="BA862" s="2"/>
      <c r="BB862" s="2"/>
      <c r="BC862" s="2"/>
      <c r="BD862" s="2"/>
      <c r="BE862" s="2"/>
      <c r="BF862" s="2"/>
      <c r="BG862" s="2"/>
      <c r="BH862" s="2"/>
      <c r="BI862" s="2"/>
      <c r="BJ862" s="2"/>
      <c r="BK862" s="2"/>
      <c r="BL862" s="2"/>
      <c r="BM862" s="2"/>
      <c r="BN862" s="2"/>
      <c r="BO862" s="115" t="s">
        <v>1084</v>
      </c>
      <c r="BP862" s="219">
        <v>331890</v>
      </c>
      <c r="BQ862" s="219">
        <v>382666</v>
      </c>
      <c r="BR862" s="219">
        <v>461600</v>
      </c>
      <c r="BS862" s="219">
        <v>590848</v>
      </c>
      <c r="BT862" s="219">
        <v>658242</v>
      </c>
      <c r="BU862" s="12"/>
      <c r="BV862" s="115" t="s">
        <v>1084</v>
      </c>
      <c r="BW862" s="219">
        <v>331890</v>
      </c>
      <c r="BX862" s="219">
        <v>382666</v>
      </c>
      <c r="BY862" s="219">
        <v>461600</v>
      </c>
      <c r="BZ862" s="219">
        <v>590848</v>
      </c>
      <c r="CA862" s="219">
        <v>658242</v>
      </c>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X862" s="12"/>
      <c r="DY862" s="12"/>
      <c r="DZ862" s="12"/>
      <c r="EA862" s="12"/>
      <c r="EB862" s="12"/>
      <c r="EC862" s="12"/>
      <c r="ED862" s="12"/>
      <c r="EE862" s="12"/>
      <c r="EF862" s="12"/>
      <c r="EG862" s="12"/>
      <c r="EH862" s="12"/>
      <c r="EI862" s="12"/>
      <c r="EJ862" s="12"/>
      <c r="EK862" s="12"/>
      <c r="EL862" s="12"/>
      <c r="EM862" s="12"/>
      <c r="EN862" s="12"/>
      <c r="EO862" s="12"/>
      <c r="EP862" s="12"/>
      <c r="EQ862" s="12"/>
      <c r="ER862" s="12"/>
      <c r="ES862" s="12"/>
      <c r="ET862" s="12"/>
      <c r="EU862" s="12"/>
      <c r="EV862" s="12"/>
      <c r="EW862" s="12"/>
      <c r="EX862" s="12"/>
      <c r="EY862" s="12"/>
      <c r="EZ862" s="12"/>
      <c r="FA862" s="12"/>
    </row>
    <row r="863" spans="3:159" ht="13" customHeight="1">
      <c r="J863" s="1033"/>
      <c r="K863" s="4"/>
      <c r="L863" s="4"/>
      <c r="M863" s="4"/>
      <c r="N863" s="4"/>
      <c r="O863" s="4"/>
      <c r="P863" s="4"/>
      <c r="Q863" s="4"/>
      <c r="R863" s="4"/>
      <c r="S863" s="4"/>
      <c r="T863" s="4"/>
      <c r="U863" s="4"/>
      <c r="V863" s="1153" t="s">
        <v>1629</v>
      </c>
      <c r="W863" s="1588">
        <v>49700</v>
      </c>
      <c r="X863" s="1589"/>
      <c r="Y863" s="1589"/>
      <c r="Z863" s="1589"/>
      <c r="AA863" s="1589"/>
      <c r="AB863" s="1589"/>
      <c r="AC863" s="1590"/>
      <c r="AU863" s="12"/>
      <c r="AZ863" s="2"/>
      <c r="BA863" s="2"/>
      <c r="BB863" s="2"/>
      <c r="BC863" s="2"/>
      <c r="BD863" s="2"/>
      <c r="BE863" s="2"/>
      <c r="BF863" s="2"/>
      <c r="BG863" s="2"/>
      <c r="BH863" s="2"/>
      <c r="BI863" s="2"/>
      <c r="BJ863" s="2"/>
      <c r="BK863" s="2"/>
      <c r="BL863" s="2"/>
      <c r="BM863" s="2"/>
      <c r="BN863" s="2"/>
      <c r="BO863" s="115" t="s">
        <v>1088</v>
      </c>
      <c r="BP863" s="217">
        <v>331890</v>
      </c>
      <c r="BQ863" s="217">
        <v>382666</v>
      </c>
      <c r="BR863" s="217">
        <v>461600</v>
      </c>
      <c r="BS863" s="217">
        <v>590848</v>
      </c>
      <c r="BT863" s="217">
        <v>658242</v>
      </c>
      <c r="BU863" s="12"/>
      <c r="BV863" s="115" t="s">
        <v>1088</v>
      </c>
      <c r="BW863" s="217">
        <v>331890</v>
      </c>
      <c r="BX863" s="217">
        <v>382666</v>
      </c>
      <c r="BY863" s="217">
        <v>461600</v>
      </c>
      <c r="BZ863" s="217">
        <v>590848</v>
      </c>
      <c r="CA863" s="217">
        <v>658242</v>
      </c>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X863" s="12"/>
      <c r="DY863" s="12"/>
      <c r="DZ863" s="12"/>
      <c r="EA863" s="12"/>
      <c r="EB863" s="12"/>
      <c r="EC863" s="12"/>
      <c r="ED863" s="12"/>
      <c r="EE863" s="12"/>
      <c r="EF863" s="12"/>
      <c r="EG863" s="12"/>
      <c r="EH863" s="12"/>
      <c r="EI863" s="12"/>
      <c r="EJ863" s="12"/>
      <c r="EK863" s="12"/>
      <c r="EL863" s="12"/>
      <c r="EM863" s="12"/>
      <c r="EN863" s="12"/>
      <c r="EO863" s="12"/>
      <c r="EP863" s="12"/>
      <c r="EQ863" s="12"/>
      <c r="ER863" s="12"/>
      <c r="ES863" s="12"/>
      <c r="ET863" s="12"/>
      <c r="EU863" s="12"/>
      <c r="EV863" s="12"/>
      <c r="EW863" s="12"/>
      <c r="EX863" s="12"/>
      <c r="EY863" s="12"/>
      <c r="EZ863" s="12"/>
      <c r="FA863" s="12"/>
    </row>
    <row r="864" spans="3:159" ht="13" customHeight="1">
      <c r="J864" s="383"/>
      <c r="AU864" s="12"/>
      <c r="AZ864" s="2"/>
      <c r="BA864" s="2"/>
      <c r="BB864" s="2"/>
      <c r="BC864" s="2"/>
      <c r="BD864" s="2"/>
      <c r="BE864" s="2"/>
      <c r="BF864" s="2"/>
      <c r="BG864" s="2"/>
      <c r="BH864" s="2"/>
      <c r="BI864" s="2"/>
      <c r="BJ864" s="2"/>
      <c r="BK864" s="2"/>
      <c r="BL864" s="2"/>
      <c r="BM864" s="2"/>
      <c r="BN864" s="2"/>
      <c r="BU864" s="1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row>
    <row r="865" spans="3:110" ht="13" customHeight="1">
      <c r="C865" s="1" t="s">
        <v>231</v>
      </c>
      <c r="J865" s="1033" t="s">
        <v>1630</v>
      </c>
      <c r="K865" s="4"/>
      <c r="L865" s="4"/>
      <c r="M865" s="4"/>
      <c r="N865" s="4"/>
      <c r="O865" s="4"/>
      <c r="P865" s="4"/>
      <c r="Q865" s="4"/>
      <c r="R865" s="4"/>
      <c r="S865" s="4"/>
      <c r="T865" s="4"/>
      <c r="U865" s="4"/>
      <c r="V865" s="1034"/>
      <c r="W865" s="1473">
        <v>10300</v>
      </c>
      <c r="X865" s="1473"/>
      <c r="Y865" s="1473"/>
      <c r="Z865" s="1473"/>
      <c r="AA865" s="1473"/>
      <c r="AB865" s="1473"/>
      <c r="AC865" s="1473"/>
      <c r="AU865" s="12"/>
      <c r="AZ865" s="2"/>
      <c r="BA865" s="2"/>
      <c r="BB865" s="2"/>
      <c r="BC865" s="2"/>
      <c r="BD865" s="2"/>
      <c r="BE865" s="2"/>
      <c r="BF865" s="2"/>
      <c r="BG865" s="2"/>
      <c r="BH865" s="2"/>
      <c r="BI865" s="2"/>
      <c r="BJ865" s="2"/>
      <c r="BK865" s="2"/>
      <c r="BL865" s="2"/>
      <c r="BM865" s="2"/>
      <c r="BN865" s="2"/>
      <c r="BU865" s="1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row>
    <row r="866" spans="3:110" ht="13" customHeight="1">
      <c r="J866" s="1033" t="s">
        <v>1631</v>
      </c>
      <c r="K866" s="4"/>
      <c r="L866" s="4"/>
      <c r="M866" s="4"/>
      <c r="N866" s="4"/>
      <c r="O866" s="4"/>
      <c r="P866" s="4"/>
      <c r="Q866" s="4"/>
      <c r="R866" s="4"/>
      <c r="S866" s="4"/>
      <c r="T866" s="4"/>
      <c r="U866" s="4"/>
      <c r="V866" s="1034"/>
      <c r="W866" s="1473">
        <v>7500</v>
      </c>
      <c r="X866" s="1473"/>
      <c r="Y866" s="1473"/>
      <c r="Z866" s="1473"/>
      <c r="AA866" s="1473"/>
      <c r="AB866" s="1473"/>
      <c r="AC866" s="1473"/>
      <c r="AU866" s="2"/>
      <c r="AZ866" s="2"/>
      <c r="BA866" s="2"/>
      <c r="BB866" s="2"/>
      <c r="BC866" s="2"/>
      <c r="BD866" s="2"/>
      <c r="BE866" s="2"/>
      <c r="BF866" s="2"/>
      <c r="BG866" s="2"/>
      <c r="BH866" s="2"/>
      <c r="BI866" s="2"/>
      <c r="BJ866" s="2"/>
      <c r="BK866" s="2"/>
      <c r="BL866" s="2"/>
      <c r="BM866" s="2"/>
      <c r="BN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row>
    <row r="867" spans="3:110" ht="13" customHeight="1">
      <c r="J867" s="1033" t="s">
        <v>1632</v>
      </c>
      <c r="K867" s="4"/>
      <c r="L867" s="4"/>
      <c r="M867" s="4"/>
      <c r="N867" s="4"/>
      <c r="O867" s="4"/>
      <c r="P867" s="4"/>
      <c r="Q867" s="4"/>
      <c r="R867" s="4"/>
      <c r="S867" s="4"/>
      <c r="T867" s="4"/>
      <c r="U867" s="4"/>
      <c r="V867" s="1034"/>
      <c r="W867" s="1473">
        <v>8000</v>
      </c>
      <c r="X867" s="1473"/>
      <c r="Y867" s="1473"/>
      <c r="Z867" s="1473"/>
      <c r="AA867" s="1473"/>
      <c r="AB867" s="1473"/>
      <c r="AC867" s="1473"/>
      <c r="AU867" s="2"/>
      <c r="AZ867" s="2"/>
      <c r="BA867" s="2"/>
      <c r="BB867" s="2"/>
      <c r="BC867" s="2"/>
      <c r="BD867" s="2"/>
      <c r="BE867" s="2"/>
      <c r="BF867" s="2"/>
      <c r="BG867" s="2"/>
      <c r="BH867" s="2"/>
      <c r="BI867" s="2"/>
      <c r="BJ867" s="2"/>
      <c r="BK867" s="2"/>
      <c r="BL867" s="2"/>
      <c r="BM867" s="2"/>
      <c r="BN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row>
    <row r="868" spans="3:110" ht="13" customHeight="1">
      <c r="J868" s="1033" t="s">
        <v>1633</v>
      </c>
      <c r="K868" s="4"/>
      <c r="L868" s="4"/>
      <c r="M868" s="4"/>
      <c r="N868" s="4"/>
      <c r="O868" s="4"/>
      <c r="P868" s="4"/>
      <c r="Q868" s="4"/>
      <c r="R868" s="4"/>
      <c r="S868" s="4"/>
      <c r="T868" s="4"/>
      <c r="U868" s="4"/>
      <c r="V868" s="1034"/>
      <c r="W868" s="1473">
        <v>8700</v>
      </c>
      <c r="X868" s="1473"/>
      <c r="Y868" s="1473"/>
      <c r="Z868" s="1473"/>
      <c r="AA868" s="1473"/>
      <c r="AB868" s="1473"/>
      <c r="AC868" s="1473"/>
      <c r="AU868" s="2"/>
      <c r="AZ868" s="2"/>
      <c r="BA868" s="2"/>
      <c r="BB868" s="2"/>
      <c r="BC868" s="2"/>
      <c r="BD868" s="2"/>
      <c r="BE868" s="2"/>
      <c r="BF868" s="2"/>
      <c r="BG868" s="2"/>
      <c r="BH868" s="2"/>
      <c r="BI868" s="2"/>
      <c r="BJ868" s="2"/>
      <c r="BK868" s="2"/>
      <c r="BL868" s="2"/>
      <c r="BM868" s="2"/>
      <c r="BN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row>
    <row r="869" spans="3:110" ht="13" customHeight="1">
      <c r="J869" s="1033" t="s">
        <v>1634</v>
      </c>
      <c r="K869" s="4"/>
      <c r="L869" s="4"/>
      <c r="M869" s="4"/>
      <c r="N869" s="4"/>
      <c r="O869" s="4"/>
      <c r="P869" s="4"/>
      <c r="Q869" s="4"/>
      <c r="R869" s="4"/>
      <c r="S869" s="4"/>
      <c r="T869" s="4"/>
      <c r="U869" s="4"/>
      <c r="V869" s="1034"/>
      <c r="W869" s="1473">
        <v>9200</v>
      </c>
      <c r="X869" s="1473"/>
      <c r="Y869" s="1473"/>
      <c r="Z869" s="1473"/>
      <c r="AA869" s="1473"/>
      <c r="AB869" s="1473"/>
      <c r="AC869" s="1473"/>
      <c r="AU869" s="2"/>
      <c r="AZ869" s="2"/>
      <c r="BA869" s="2"/>
      <c r="BB869" s="2"/>
      <c r="BC869" s="2"/>
      <c r="BD869" s="2"/>
      <c r="BE869" s="2"/>
      <c r="BF869" s="2"/>
      <c r="BG869" s="2"/>
      <c r="BH869" s="2"/>
      <c r="BI869" s="2"/>
      <c r="BJ869" s="2"/>
      <c r="BK869" s="2"/>
      <c r="BL869" s="2"/>
      <c r="BM869" s="2"/>
      <c r="BN869" s="2"/>
      <c r="BU869" s="1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row>
    <row r="870" spans="3:110" ht="13" customHeight="1">
      <c r="J870" s="1033" t="s">
        <v>1635</v>
      </c>
      <c r="K870" s="4"/>
      <c r="L870" s="4"/>
      <c r="M870" s="4"/>
      <c r="N870" s="4"/>
      <c r="O870" s="4"/>
      <c r="P870" s="4"/>
      <c r="Q870" s="4"/>
      <c r="R870" s="4"/>
      <c r="S870" s="4"/>
      <c r="T870" s="4"/>
      <c r="U870" s="4"/>
      <c r="V870" s="1034"/>
      <c r="W870" s="1473"/>
      <c r="X870" s="1473"/>
      <c r="Y870" s="1473"/>
      <c r="Z870" s="1473"/>
      <c r="AA870" s="1473"/>
      <c r="AB870" s="1473"/>
      <c r="AC870" s="1473"/>
      <c r="AU870" s="2"/>
      <c r="AZ870" s="2"/>
      <c r="BA870" s="2"/>
      <c r="BB870" s="2"/>
      <c r="BC870" s="2"/>
      <c r="BD870" s="2"/>
      <c r="BE870" s="2"/>
      <c r="BF870" s="2"/>
      <c r="BG870" s="2"/>
      <c r="BH870" s="2"/>
      <c r="BI870" s="2"/>
      <c r="BJ870" s="2"/>
      <c r="BK870" s="2"/>
      <c r="BL870" s="2"/>
      <c r="BM870" s="2"/>
      <c r="BN870" s="2"/>
      <c r="BU870" s="1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row>
    <row r="871" spans="3:110" ht="13" customHeight="1">
      <c r="J871" s="1033" t="s">
        <v>232</v>
      </c>
      <c r="K871" s="4"/>
      <c r="L871" s="4"/>
      <c r="M871" s="1336" t="s">
        <v>1402</v>
      </c>
      <c r="N871" s="1337"/>
      <c r="O871" s="1337"/>
      <c r="P871" s="1337"/>
      <c r="Q871" s="1337"/>
      <c r="R871" s="1337"/>
      <c r="S871" s="1337"/>
      <c r="T871" s="1337"/>
      <c r="U871" s="1337"/>
      <c r="V871" s="1338"/>
      <c r="W871" s="1473"/>
      <c r="X871" s="1473"/>
      <c r="Y871" s="1473"/>
      <c r="Z871" s="1473"/>
      <c r="AA871" s="1473"/>
      <c r="AB871" s="1473"/>
      <c r="AC871" s="1473"/>
      <c r="AD871" s="402"/>
      <c r="AU871" s="2"/>
      <c r="AV871" s="12"/>
      <c r="AW871" s="12"/>
      <c r="AX871" s="12"/>
      <c r="AY871" s="1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row>
    <row r="872" spans="3:110" ht="13" customHeight="1">
      <c r="J872" s="1033"/>
      <c r="K872" s="4"/>
      <c r="L872" s="4"/>
      <c r="M872" s="4"/>
      <c r="N872" s="4"/>
      <c r="O872" s="4"/>
      <c r="P872" s="4"/>
      <c r="Q872" s="4"/>
      <c r="R872" s="4"/>
      <c r="S872" s="4"/>
      <c r="T872" s="4"/>
      <c r="U872" s="4"/>
      <c r="V872" s="1153" t="s">
        <v>1636</v>
      </c>
      <c r="W872" s="1679">
        <f>SUM(W865:AC871)</f>
        <v>43700</v>
      </c>
      <c r="X872" s="1679"/>
      <c r="Y872" s="1679"/>
      <c r="Z872" s="1679"/>
      <c r="AA872" s="1679"/>
      <c r="AB872" s="1679"/>
      <c r="AC872" s="1679"/>
      <c r="AU872" s="2"/>
      <c r="AV872" s="12"/>
      <c r="AW872" s="12"/>
      <c r="AX872" s="12"/>
      <c r="AY872" s="1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row>
    <row r="873" spans="3:110" ht="13" customHeight="1">
      <c r="AU873" s="2"/>
      <c r="AV873" s="12"/>
      <c r="AW873" s="12"/>
      <c r="AX873" s="12"/>
      <c r="AY873" s="1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row>
    <row r="874" spans="3:110" ht="13" customHeight="1">
      <c r="C874" s="1" t="s">
        <v>1637</v>
      </c>
      <c r="J874" s="1033" t="s">
        <v>232</v>
      </c>
      <c r="K874" s="4"/>
      <c r="L874" s="4"/>
      <c r="M874" s="1336" t="s">
        <v>1402</v>
      </c>
      <c r="N874" s="1337"/>
      <c r="O874" s="1337"/>
      <c r="P874" s="1337"/>
      <c r="Q874" s="1337"/>
      <c r="R874" s="1337"/>
      <c r="S874" s="1337"/>
      <c r="T874" s="1337"/>
      <c r="U874" s="1337"/>
      <c r="V874" s="1338"/>
      <c r="W874" s="1435"/>
      <c r="X874" s="1436"/>
      <c r="Y874" s="1436"/>
      <c r="Z874" s="1436"/>
      <c r="AA874" s="1436"/>
      <c r="AB874" s="1436"/>
      <c r="AC874" s="1437"/>
      <c r="AD874" s="402"/>
      <c r="AV874" s="12"/>
      <c r="AW874" s="12"/>
      <c r="AX874" s="12"/>
      <c r="AY874" s="1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row>
    <row r="875" spans="3:110" ht="13" customHeight="1">
      <c r="C875" s="1" t="s">
        <v>1638</v>
      </c>
      <c r="J875" s="1033" t="s">
        <v>232</v>
      </c>
      <c r="K875" s="4"/>
      <c r="L875" s="4"/>
      <c r="M875" s="1336" t="s">
        <v>1402</v>
      </c>
      <c r="N875" s="1337"/>
      <c r="O875" s="1337"/>
      <c r="P875" s="1337"/>
      <c r="Q875" s="1337"/>
      <c r="R875" s="1337"/>
      <c r="S875" s="1337"/>
      <c r="T875" s="1337"/>
      <c r="U875" s="1337"/>
      <c r="V875" s="1338"/>
      <c r="W875" s="1435"/>
      <c r="X875" s="1436"/>
      <c r="Y875" s="1436"/>
      <c r="Z875" s="1436"/>
      <c r="AA875" s="1436"/>
      <c r="AB875" s="1436"/>
      <c r="AC875" s="1437"/>
      <c r="AD875" s="402"/>
      <c r="AV875" s="12"/>
      <c r="AW875" s="12"/>
      <c r="AX875" s="12"/>
      <c r="AY875" s="1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row>
    <row r="876" spans="3:110" ht="13" customHeight="1">
      <c r="J876" s="1033" t="s">
        <v>232</v>
      </c>
      <c r="K876" s="4"/>
      <c r="L876" s="4"/>
      <c r="M876" s="1336" t="s">
        <v>1402</v>
      </c>
      <c r="N876" s="1337"/>
      <c r="O876" s="1337"/>
      <c r="P876" s="1337"/>
      <c r="Q876" s="1337"/>
      <c r="R876" s="1337"/>
      <c r="S876" s="1337"/>
      <c r="T876" s="1337"/>
      <c r="U876" s="1337"/>
      <c r="V876" s="1338"/>
      <c r="W876" s="1435"/>
      <c r="X876" s="1436"/>
      <c r="Y876" s="1436"/>
      <c r="Z876" s="1436"/>
      <c r="AA876" s="1436"/>
      <c r="AB876" s="1436"/>
      <c r="AC876" s="1437"/>
      <c r="AL876" s="12"/>
      <c r="AM876" s="12"/>
      <c r="AN876" s="12"/>
      <c r="AO876" s="12"/>
      <c r="AP876" s="12"/>
      <c r="AQ876" s="12"/>
      <c r="AR876" s="12"/>
      <c r="AS876" s="12"/>
      <c r="AT876" s="1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row>
    <row r="877" spans="3:110" ht="13" customHeight="1">
      <c r="J877" s="1033" t="s">
        <v>232</v>
      </c>
      <c r="K877" s="4"/>
      <c r="L877" s="4"/>
      <c r="M877" s="1336" t="s">
        <v>1402</v>
      </c>
      <c r="N877" s="1337"/>
      <c r="O877" s="1337"/>
      <c r="P877" s="1337"/>
      <c r="Q877" s="1337"/>
      <c r="R877" s="1337"/>
      <c r="S877" s="1337"/>
      <c r="T877" s="1337"/>
      <c r="U877" s="1337"/>
      <c r="V877" s="1338"/>
      <c r="W877" s="1435"/>
      <c r="X877" s="1436"/>
      <c r="Y877" s="1436"/>
      <c r="Z877" s="1436"/>
      <c r="AA877" s="1436"/>
      <c r="AB877" s="1436"/>
      <c r="AC877" s="1437"/>
      <c r="AL877" s="12"/>
      <c r="AM877" s="12"/>
      <c r="AN877" s="12"/>
      <c r="AO877" s="12"/>
      <c r="AP877" s="12"/>
      <c r="AQ877" s="12"/>
      <c r="AR877" s="12"/>
      <c r="AS877" s="12"/>
      <c r="AT877" s="1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row>
    <row r="878" spans="3:110" ht="13" customHeight="1">
      <c r="J878" s="1033" t="s">
        <v>232</v>
      </c>
      <c r="K878" s="4"/>
      <c r="L878" s="4"/>
      <c r="M878" s="1336" t="s">
        <v>1402</v>
      </c>
      <c r="N878" s="1337"/>
      <c r="O878" s="1337"/>
      <c r="P878" s="1337"/>
      <c r="Q878" s="1337"/>
      <c r="R878" s="1337"/>
      <c r="S878" s="1337"/>
      <c r="T878" s="1337"/>
      <c r="U878" s="1337"/>
      <c r="V878" s="1338"/>
      <c r="W878" s="1435"/>
      <c r="X878" s="1436"/>
      <c r="Y878" s="1436"/>
      <c r="Z878" s="1436"/>
      <c r="AA878" s="1436"/>
      <c r="AB878" s="1436"/>
      <c r="AC878" s="1437"/>
      <c r="AL878" s="12"/>
      <c r="AM878" s="12"/>
      <c r="AN878" s="12"/>
      <c r="AO878" s="12"/>
      <c r="AP878" s="12"/>
      <c r="AQ878" s="12"/>
      <c r="AR878" s="12"/>
      <c r="AS878" s="12"/>
      <c r="AT878" s="1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row>
    <row r="879" spans="3:110" ht="13" customHeight="1">
      <c r="J879" s="1033"/>
      <c r="K879" s="4"/>
      <c r="L879" s="4"/>
      <c r="M879" s="4"/>
      <c r="N879" s="4"/>
      <c r="O879" s="4"/>
      <c r="P879" s="4"/>
      <c r="Q879" s="4"/>
      <c r="R879" s="4"/>
      <c r="S879" s="4"/>
      <c r="T879" s="4"/>
      <c r="U879" s="4"/>
      <c r="V879" s="1153" t="s">
        <v>1639</v>
      </c>
      <c r="W879" s="1565">
        <f>SUM(W874:AC878)</f>
        <v>0</v>
      </c>
      <c r="X879" s="1566"/>
      <c r="Y879" s="1566"/>
      <c r="Z879" s="1566"/>
      <c r="AA879" s="1566"/>
      <c r="AB879" s="1566"/>
      <c r="AC879" s="1567"/>
      <c r="AL879" s="12"/>
      <c r="AM879" s="12"/>
      <c r="AN879" s="12"/>
      <c r="AO879" s="12"/>
      <c r="AP879" s="12"/>
      <c r="AQ879" s="12"/>
      <c r="AR879" s="12"/>
      <c r="AS879" s="12"/>
      <c r="AT879" s="1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row>
    <row r="880" spans="3:110" ht="13" customHeight="1">
      <c r="E880" s="383"/>
      <c r="V880" s="38"/>
      <c r="W880" s="41"/>
      <c r="X880" s="41"/>
      <c r="Y880" s="41"/>
      <c r="Z880" s="41"/>
      <c r="AA880" s="41"/>
      <c r="AB880" s="41"/>
      <c r="AL880" s="12"/>
      <c r="AM880" s="12"/>
      <c r="AN880" s="12"/>
      <c r="AO880" s="12"/>
      <c r="AP880" s="12"/>
      <c r="AQ880" s="12"/>
      <c r="AR880" s="12"/>
      <c r="AS880" s="12"/>
      <c r="AT880" s="1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row>
    <row r="881" spans="1:110" ht="13" customHeight="1">
      <c r="C881" s="1" t="s">
        <v>1640</v>
      </c>
      <c r="I881" s="402"/>
      <c r="J881" s="402"/>
      <c r="V881" s="38"/>
      <c r="W881" s="41"/>
      <c r="X881" s="41"/>
      <c r="Y881" s="41"/>
      <c r="Z881" s="41"/>
      <c r="AA881" s="41"/>
      <c r="AB881" s="41"/>
      <c r="AL881" s="2"/>
      <c r="AM881" s="2"/>
      <c r="AN881" s="2"/>
      <c r="AO881" s="2"/>
      <c r="AP881" s="2"/>
      <c r="AQ881" s="2"/>
      <c r="AR881" s="2"/>
      <c r="AS881" s="2"/>
      <c r="AT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row>
    <row r="882" spans="1:110" ht="13" customHeight="1">
      <c r="E882" s="383"/>
      <c r="V882" s="38"/>
      <c r="W882" s="41"/>
      <c r="X882" s="41"/>
      <c r="Y882" s="41"/>
      <c r="Z882" s="41"/>
      <c r="AA882" s="41"/>
      <c r="AB882" s="41"/>
      <c r="AL882" s="2"/>
      <c r="AM882" s="2"/>
      <c r="AN882" s="2"/>
      <c r="AO882" s="2"/>
      <c r="AP882" s="2"/>
      <c r="AQ882" s="2"/>
      <c r="AR882" s="2"/>
      <c r="AS882" s="2"/>
      <c r="AT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row>
    <row r="883" spans="1:110" ht="13" customHeight="1">
      <c r="C883" s="30"/>
      <c r="D883" s="31"/>
      <c r="E883" s="31"/>
      <c r="F883" s="31"/>
      <c r="G883" s="31"/>
      <c r="H883" s="31"/>
      <c r="I883" s="31"/>
      <c r="J883" s="31"/>
      <c r="K883" s="31"/>
      <c r="L883" s="31"/>
      <c r="M883" s="31"/>
      <c r="N883" s="31"/>
      <c r="O883" s="31"/>
      <c r="P883" s="31"/>
      <c r="Q883" s="31"/>
      <c r="R883" s="31"/>
      <c r="S883" s="31"/>
      <c r="T883" s="31"/>
      <c r="U883" s="31"/>
      <c r="V883" s="31"/>
      <c r="W883" s="31"/>
      <c r="X883" s="31"/>
      <c r="Y883" s="31"/>
      <c r="Z883" s="31"/>
      <c r="AA883" s="31"/>
      <c r="AB883" s="1167" t="s">
        <v>1641</v>
      </c>
      <c r="AC883" s="1566">
        <f>W847+W855+W862+W863+W872+W879+W849</f>
        <v>432500</v>
      </c>
      <c r="AD883" s="1566"/>
      <c r="AE883" s="1566"/>
      <c r="AF883" s="1566"/>
      <c r="AG883" s="1566"/>
      <c r="AH883" s="1567"/>
      <c r="AL883" s="2"/>
      <c r="AM883" s="2"/>
      <c r="AN883" s="2"/>
      <c r="AO883" s="2"/>
      <c r="AP883" s="2"/>
      <c r="AQ883" s="2"/>
      <c r="AR883" s="2"/>
      <c r="AS883" s="2"/>
      <c r="AT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row>
    <row r="884" spans="1:110" ht="13" customHeight="1">
      <c r="C884" s="30"/>
      <c r="D884" s="31"/>
      <c r="E884" s="31"/>
      <c r="F884" s="31"/>
      <c r="G884" s="31"/>
      <c r="H884" s="31"/>
      <c r="I884" s="31"/>
      <c r="J884" s="31"/>
      <c r="K884" s="31"/>
      <c r="L884" s="31"/>
      <c r="M884" s="31"/>
      <c r="N884" s="31"/>
      <c r="O884" s="31"/>
      <c r="P884" s="31"/>
      <c r="Q884" s="31"/>
      <c r="R884" s="31"/>
      <c r="S884" s="31"/>
      <c r="T884" s="31"/>
      <c r="U884" s="31"/>
      <c r="V884" s="31"/>
      <c r="W884" s="31"/>
      <c r="X884" s="31"/>
      <c r="Y884" s="31"/>
      <c r="Z884" s="31"/>
      <c r="AA884" s="31"/>
      <c r="AB884" s="1167" t="s">
        <v>1642</v>
      </c>
      <c r="AC884" s="1680">
        <f>O797+O777+G753</f>
        <v>53</v>
      </c>
      <c r="AD884" s="1680"/>
      <c r="AE884" s="1680"/>
      <c r="AF884" s="1680"/>
      <c r="AG884" s="1680"/>
      <c r="AH884" s="1681"/>
      <c r="AL884" s="2"/>
      <c r="AM884" s="2"/>
      <c r="AN884" s="2"/>
      <c r="AO884" s="2"/>
      <c r="AP884" s="2"/>
      <c r="AQ884" s="2"/>
      <c r="AR884" s="2"/>
      <c r="AS884" s="2"/>
      <c r="AT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row>
    <row r="885" spans="1:110" ht="13" customHeight="1">
      <c r="C885" s="30"/>
      <c r="D885" s="31"/>
      <c r="E885" s="1607" t="s">
        <v>1643</v>
      </c>
      <c r="F885" s="1607"/>
      <c r="G885" s="1607"/>
      <c r="H885" s="1607"/>
      <c r="I885" s="1607"/>
      <c r="J885" s="1607"/>
      <c r="K885" s="1607"/>
      <c r="L885" s="1607"/>
      <c r="M885" s="1607"/>
      <c r="N885" s="1607"/>
      <c r="O885" s="1607"/>
      <c r="P885" s="1607"/>
      <c r="Q885" s="1607"/>
      <c r="R885" s="1607"/>
      <c r="S885" s="1607"/>
      <c r="T885" s="1607"/>
      <c r="U885" s="1607"/>
      <c r="V885" s="1607"/>
      <c r="W885" s="1607"/>
      <c r="X885" s="1607"/>
      <c r="Y885" s="1607"/>
      <c r="Z885" s="1607"/>
      <c r="AA885" s="1607"/>
      <c r="AB885" s="1608"/>
      <c r="AC885" s="1679">
        <f>IF(ISERROR((ROUNDDOWN(AC883/AC884,0))),0,(ROUNDDOWN(AC883/AC884,0)))</f>
        <v>8160</v>
      </c>
      <c r="AD885" s="1679"/>
      <c r="AE885" s="1679"/>
      <c r="AF885" s="1679"/>
      <c r="AG885" s="1679"/>
      <c r="AH885" s="1679"/>
      <c r="AL885" s="2"/>
      <c r="AM885" s="2"/>
      <c r="AN885" s="2"/>
      <c r="AO885" s="2"/>
      <c r="AP885" s="2"/>
      <c r="AQ885" s="2"/>
      <c r="AR885" s="2"/>
      <c r="AS885" s="2"/>
      <c r="AT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row>
    <row r="886" spans="1:110" ht="13" customHeight="1">
      <c r="C886" s="1033"/>
      <c r="D886" s="4"/>
      <c r="E886" s="4"/>
      <c r="F886" s="4"/>
      <c r="G886" s="4"/>
      <c r="H886" s="4"/>
      <c r="I886" s="4"/>
      <c r="J886" s="4"/>
      <c r="K886" s="4"/>
      <c r="L886" s="4"/>
      <c r="M886" s="4"/>
      <c r="N886" s="4"/>
      <c r="O886" s="4"/>
      <c r="P886" s="4"/>
      <c r="Q886" s="4"/>
      <c r="R886" s="4"/>
      <c r="S886" s="4"/>
      <c r="T886" s="4"/>
      <c r="U886" s="4"/>
      <c r="V886" s="4"/>
      <c r="W886" s="4"/>
      <c r="X886" s="4"/>
      <c r="Y886" s="4"/>
      <c r="Z886" s="4"/>
      <c r="AA886" s="4"/>
      <c r="AB886" s="1153" t="s">
        <v>1644</v>
      </c>
      <c r="AC886" s="1683">
        <v>381230</v>
      </c>
      <c r="AD886" s="1684"/>
      <c r="AE886" s="1684"/>
      <c r="AF886" s="1684"/>
      <c r="AG886" s="1684"/>
      <c r="AH886" s="1684"/>
      <c r="AL886" s="2"/>
      <c r="AM886" s="2"/>
      <c r="AN886" s="2"/>
      <c r="AO886" s="2"/>
      <c r="AP886" s="2"/>
      <c r="AQ886" s="2"/>
      <c r="AR886" s="2"/>
      <c r="AS886" s="2"/>
      <c r="AT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row>
    <row r="887" spans="1:110" ht="13" customHeight="1">
      <c r="C887" s="1033"/>
      <c r="D887" s="4"/>
      <c r="E887" s="4"/>
      <c r="F887" s="4"/>
      <c r="G887" s="4"/>
      <c r="H887" s="4"/>
      <c r="I887" s="4"/>
      <c r="J887" s="4"/>
      <c r="K887" s="4"/>
      <c r="L887" s="4"/>
      <c r="M887" s="4"/>
      <c r="N887" s="4"/>
      <c r="O887" s="4"/>
      <c r="P887" s="4"/>
      <c r="Q887" s="4"/>
      <c r="R887" s="4"/>
      <c r="S887" s="4"/>
      <c r="T887" s="4"/>
      <c r="U887" s="4"/>
      <c r="V887" s="4"/>
      <c r="W887" s="4"/>
      <c r="X887" s="4"/>
      <c r="Y887" s="4"/>
      <c r="Z887" s="4"/>
      <c r="AA887" s="4"/>
      <c r="AB887" s="1153" t="s">
        <v>1645</v>
      </c>
      <c r="AC887" s="1437"/>
      <c r="AD887" s="1473"/>
      <c r="AE887" s="1473"/>
      <c r="AF887" s="1473"/>
      <c r="AG887" s="1473"/>
      <c r="AH887" s="1473"/>
      <c r="AL887" s="2"/>
      <c r="AM887" s="2"/>
      <c r="AN887" s="2"/>
      <c r="AO887" s="2"/>
      <c r="AP887" s="2"/>
      <c r="AQ887" s="2"/>
      <c r="AR887" s="2"/>
      <c r="AS887" s="2"/>
      <c r="AT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row>
    <row r="888" spans="1:110" ht="13" customHeight="1">
      <c r="C888" s="1033"/>
      <c r="D888" s="4"/>
      <c r="E888" s="4"/>
      <c r="F888" s="4"/>
      <c r="G888" s="4"/>
      <c r="H888" s="4"/>
      <c r="I888" s="4"/>
      <c r="J888" s="4"/>
      <c r="K888" s="4"/>
      <c r="L888" s="4"/>
      <c r="M888" s="4"/>
      <c r="N888" s="4"/>
      <c r="O888" s="4"/>
      <c r="P888" s="4"/>
      <c r="Q888" s="4"/>
      <c r="R888" s="4"/>
      <c r="S888" s="4"/>
      <c r="T888" s="4"/>
      <c r="U888" s="4"/>
      <c r="V888" s="4"/>
      <c r="W888" s="4"/>
      <c r="X888" s="4"/>
      <c r="Y888" s="4"/>
      <c r="Z888" s="4"/>
      <c r="AA888" s="4"/>
      <c r="AB888" s="1153" t="s">
        <v>1646</v>
      </c>
      <c r="AC888" s="1436">
        <v>18000</v>
      </c>
      <c r="AD888" s="1436"/>
      <c r="AE888" s="1436"/>
      <c r="AF888" s="1436"/>
      <c r="AG888" s="1436"/>
      <c r="AH888" s="1437"/>
      <c r="AL888" s="2"/>
      <c r="AM888" s="2"/>
      <c r="AN888" s="2"/>
      <c r="AO888" s="2"/>
      <c r="AP888" s="2"/>
      <c r="AQ888" s="2"/>
      <c r="AR888" s="2"/>
      <c r="AS888" s="2"/>
      <c r="AT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row>
    <row r="889" spans="1:110" ht="13" customHeight="1">
      <c r="C889" s="1033"/>
      <c r="D889" s="4"/>
      <c r="E889" s="4"/>
      <c r="F889" s="4"/>
      <c r="G889" s="4"/>
      <c r="H889" s="4"/>
      <c r="I889" s="4"/>
      <c r="J889" s="4"/>
      <c r="K889" s="4"/>
      <c r="L889" s="4"/>
      <c r="M889" s="4"/>
      <c r="N889" s="4"/>
      <c r="O889" s="4"/>
      <c r="P889" s="4"/>
      <c r="Q889" s="4"/>
      <c r="R889" s="4"/>
      <c r="S889" s="4"/>
      <c r="T889" s="4"/>
      <c r="U889" s="4"/>
      <c r="V889" s="4"/>
      <c r="W889" s="4"/>
      <c r="X889" s="4"/>
      <c r="Y889" s="4"/>
      <c r="Z889" s="4"/>
      <c r="AA889" s="4"/>
      <c r="AB889" s="1153" t="s">
        <v>1647</v>
      </c>
      <c r="AC889" s="1436">
        <v>26500</v>
      </c>
      <c r="AD889" s="1436"/>
      <c r="AE889" s="1436"/>
      <c r="AF889" s="1436"/>
      <c r="AG889" s="1436"/>
      <c r="AH889" s="1437"/>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row>
    <row r="890" spans="1:110" ht="13" customHeight="1">
      <c r="C890" s="1033"/>
      <c r="D890" s="4"/>
      <c r="E890" s="4"/>
      <c r="F890" s="4"/>
      <c r="G890" s="4"/>
      <c r="H890" s="4"/>
      <c r="I890" s="4"/>
      <c r="J890" s="4"/>
      <c r="K890" s="4"/>
      <c r="L890" s="4"/>
      <c r="M890" s="4"/>
      <c r="N890" s="4"/>
      <c r="O890" s="4"/>
      <c r="P890" s="4"/>
      <c r="Q890" s="4"/>
      <c r="R890" s="4"/>
      <c r="S890" s="4"/>
      <c r="T890" s="4"/>
      <c r="U890" s="4"/>
      <c r="V890" s="4"/>
      <c r="W890" s="4"/>
      <c r="X890" s="4"/>
      <c r="Y890" s="4"/>
      <c r="Z890" s="4"/>
      <c r="AA890" s="4"/>
      <c r="AB890" s="1153" t="s">
        <v>1648</v>
      </c>
      <c r="AC890" s="1399">
        <v>7500</v>
      </c>
      <c r="AD890" s="1400"/>
      <c r="AE890" s="1400"/>
      <c r="AF890" s="1400"/>
      <c r="AG890" s="1400"/>
      <c r="AH890" s="1401"/>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row>
    <row r="891" spans="1:110" ht="13" customHeight="1">
      <c r="C891" s="1033"/>
      <c r="D891" s="4"/>
      <c r="E891" s="4"/>
      <c r="F891" s="4"/>
      <c r="G891" s="4"/>
      <c r="H891" s="4"/>
      <c r="I891" s="4"/>
      <c r="J891" s="4"/>
      <c r="K891" s="4"/>
      <c r="L891" s="4"/>
      <c r="M891" s="4"/>
      <c r="N891" s="4"/>
      <c r="O891" s="4"/>
      <c r="P891" s="4"/>
      <c r="Q891" s="4"/>
      <c r="R891" s="4"/>
      <c r="S891" s="4"/>
      <c r="T891" s="4"/>
      <c r="U891" s="4"/>
      <c r="V891" s="4"/>
      <c r="W891" s="4"/>
      <c r="X891" s="4"/>
      <c r="Y891" s="4"/>
      <c r="Z891" s="4"/>
      <c r="AA891" s="4"/>
      <c r="AB891" s="1153" t="s">
        <v>1649</v>
      </c>
      <c r="AC891" s="1436"/>
      <c r="AD891" s="1436"/>
      <c r="AE891" s="1436"/>
      <c r="AF891" s="1436"/>
      <c r="AG891" s="1436"/>
      <c r="AH891" s="1437"/>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row>
    <row r="892" spans="1:110" ht="13" customHeight="1">
      <c r="C892" s="1033"/>
      <c r="D892" s="4"/>
      <c r="E892" s="4"/>
      <c r="F892" s="4"/>
      <c r="G892" s="4"/>
      <c r="H892" s="4"/>
      <c r="I892" s="4"/>
      <c r="J892" s="4"/>
      <c r="K892" s="4"/>
      <c r="L892" s="4"/>
      <c r="M892" s="4"/>
      <c r="N892" s="4"/>
      <c r="O892" s="4"/>
      <c r="P892" s="4"/>
      <c r="Q892" s="4"/>
      <c r="R892" s="4"/>
      <c r="S892" s="4"/>
      <c r="T892" s="4"/>
      <c r="U892" s="4"/>
      <c r="V892" s="4"/>
      <c r="W892" s="4"/>
      <c r="X892" s="4"/>
      <c r="Y892" s="4"/>
      <c r="Z892" s="4"/>
      <c r="AA892" s="4"/>
      <c r="AB892" s="1153" t="s">
        <v>1650</v>
      </c>
      <c r="AC892" s="1436"/>
      <c r="AD892" s="1436"/>
      <c r="AE892" s="1436"/>
      <c r="AF892" s="1436"/>
      <c r="AG892" s="1436"/>
      <c r="AH892" s="1437"/>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row>
    <row r="893" spans="1:110" ht="13" customHeight="1">
      <c r="C893" s="1591" t="s">
        <v>1651</v>
      </c>
      <c r="D893" s="1592"/>
      <c r="E893" s="1592"/>
      <c r="F893" s="1592"/>
      <c r="G893" s="1592"/>
      <c r="H893" s="1592"/>
      <c r="I893" s="1592"/>
      <c r="J893" s="1592"/>
      <c r="K893" s="1592"/>
      <c r="L893" s="1592"/>
      <c r="M893" s="1592"/>
      <c r="N893" s="1592"/>
      <c r="O893" s="1592"/>
      <c r="P893" s="1592"/>
      <c r="Q893" s="1592"/>
      <c r="R893" s="1592"/>
      <c r="S893" s="1592"/>
      <c r="T893" s="1592"/>
      <c r="U893" s="1592"/>
      <c r="V893" s="1592"/>
      <c r="W893" s="1592"/>
      <c r="X893" s="1592"/>
      <c r="Y893" s="1592"/>
      <c r="Z893" s="1592"/>
      <c r="AA893" s="1592"/>
      <c r="AB893" s="1593"/>
      <c r="AC893" s="1473"/>
      <c r="AD893" s="1473"/>
      <c r="AE893" s="1473"/>
      <c r="AF893" s="1473"/>
      <c r="AG893" s="1473"/>
      <c r="AH893" s="1473"/>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row>
    <row r="894" spans="1:110" ht="13" customHeight="1">
      <c r="C894" s="1591" t="s">
        <v>1651</v>
      </c>
      <c r="D894" s="1592"/>
      <c r="E894" s="1592"/>
      <c r="F894" s="1592"/>
      <c r="G894" s="1592"/>
      <c r="H894" s="1592"/>
      <c r="I894" s="1592"/>
      <c r="J894" s="1592"/>
      <c r="K894" s="1592"/>
      <c r="L894" s="1592"/>
      <c r="M894" s="1592"/>
      <c r="N894" s="1592"/>
      <c r="O894" s="1592"/>
      <c r="P894" s="1592"/>
      <c r="Q894" s="1592"/>
      <c r="R894" s="1592"/>
      <c r="S894" s="1592"/>
      <c r="T894" s="1592"/>
      <c r="U894" s="1592"/>
      <c r="V894" s="1592"/>
      <c r="W894" s="1592"/>
      <c r="X894" s="1592"/>
      <c r="Y894" s="1592"/>
      <c r="Z894" s="1592"/>
      <c r="AA894" s="1592"/>
      <c r="AB894" s="1593"/>
      <c r="AC894" s="1473"/>
      <c r="AD894" s="1473"/>
      <c r="AE894" s="1473"/>
      <c r="AF894" s="1473"/>
      <c r="AG894" s="1473"/>
      <c r="AH894" s="1473"/>
      <c r="AU894" s="54"/>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row>
    <row r="895" spans="1:110" ht="13" customHeight="1">
      <c r="E895" s="383"/>
      <c r="AB895" s="38"/>
      <c r="AC895" s="71"/>
      <c r="AD895" s="71"/>
      <c r="AE895" s="71"/>
      <c r="AF895" s="71"/>
      <c r="AG895" s="71"/>
      <c r="AH895" s="71"/>
      <c r="AU895" s="54"/>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row>
    <row r="896" spans="1:110" ht="13" customHeight="1">
      <c r="A896" s="1" t="s">
        <v>1347</v>
      </c>
      <c r="C896" s="1" t="s">
        <v>1652</v>
      </c>
      <c r="X896" s="11"/>
      <c r="Y896" s="11"/>
      <c r="Z896" s="11"/>
      <c r="AA896" s="11"/>
      <c r="AB896" s="11"/>
      <c r="AC896" s="11"/>
      <c r="AD896" s="11"/>
      <c r="AU896" s="54"/>
      <c r="AZ896" s="2"/>
      <c r="BB896" s="24"/>
      <c r="BC896" s="24"/>
      <c r="BD896" s="12"/>
      <c r="BE896" s="12"/>
      <c r="BF896" s="1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row>
    <row r="897" spans="1:110" ht="13" customHeight="1">
      <c r="X897" s="11"/>
      <c r="Y897" s="11"/>
      <c r="Z897" s="11"/>
      <c r="AA897" s="11"/>
      <c r="AB897" s="11"/>
      <c r="AC897" s="11"/>
      <c r="AD897" s="11"/>
      <c r="AF897" s="402"/>
      <c r="AG897" s="1138"/>
      <c r="AH897" s="1138"/>
      <c r="AI897" s="1138"/>
      <c r="AU897" s="54"/>
      <c r="AZ897" s="2"/>
      <c r="BB897" s="24"/>
      <c r="BC897" s="24"/>
      <c r="BD897" s="12"/>
      <c r="BE897" s="12"/>
      <c r="BF897" s="1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row>
    <row r="898" spans="1:110" ht="13" customHeight="1">
      <c r="B898" s="1"/>
      <c r="H898" s="1035" t="s">
        <v>1653</v>
      </c>
      <c r="I898" s="4"/>
      <c r="J898" s="4"/>
      <c r="K898" s="4"/>
      <c r="L898" s="4"/>
      <c r="M898" s="4"/>
      <c r="N898" s="4"/>
      <c r="O898" s="4"/>
      <c r="P898" s="4"/>
      <c r="Q898" s="4"/>
      <c r="R898" s="4"/>
      <c r="S898" s="4"/>
      <c r="T898" s="4"/>
      <c r="U898" s="4"/>
      <c r="V898" s="4"/>
      <c r="W898" s="4"/>
      <c r="X898" s="4"/>
      <c r="Y898" s="1034"/>
      <c r="Z898" s="1435"/>
      <c r="AA898" s="1436"/>
      <c r="AB898" s="1436"/>
      <c r="AC898" s="1436"/>
      <c r="AD898" s="1436"/>
      <c r="AE898" s="1437"/>
      <c r="AF898" s="402"/>
      <c r="AZ898" s="2"/>
      <c r="BB898" s="24"/>
      <c r="BC898" s="666"/>
      <c r="BD898" s="1610"/>
      <c r="BE898" s="1610"/>
      <c r="BF898" s="1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row>
    <row r="899" spans="1:110" ht="13" customHeight="1">
      <c r="H899" s="1035" t="s">
        <v>1654</v>
      </c>
      <c r="I899" s="4"/>
      <c r="J899" s="4"/>
      <c r="K899" s="4"/>
      <c r="L899" s="4"/>
      <c r="M899" s="4"/>
      <c r="N899" s="4"/>
      <c r="O899" s="4"/>
      <c r="P899" s="4"/>
      <c r="Q899" s="4"/>
      <c r="R899" s="4"/>
      <c r="S899" s="4"/>
      <c r="T899" s="4"/>
      <c r="U899" s="4"/>
      <c r="V899" s="4"/>
      <c r="W899" s="4"/>
      <c r="X899" s="4"/>
      <c r="Y899" s="4"/>
      <c r="Z899" s="1435"/>
      <c r="AA899" s="1436"/>
      <c r="AB899" s="1436"/>
      <c r="AC899" s="1436"/>
      <c r="AD899" s="1436"/>
      <c r="AE899" s="1437"/>
      <c r="AZ899" s="2"/>
      <c r="BB899" s="24"/>
      <c r="BC899" s="666"/>
      <c r="BD899" s="1610"/>
      <c r="BE899" s="1610"/>
      <c r="BF899" s="1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row>
    <row r="900" spans="1:110" ht="13" customHeight="1">
      <c r="H900" s="1035" t="s">
        <v>1655</v>
      </c>
      <c r="I900" s="4"/>
      <c r="J900" s="4"/>
      <c r="K900" s="4"/>
      <c r="L900" s="4"/>
      <c r="M900" s="4"/>
      <c r="N900" s="4"/>
      <c r="O900" s="4"/>
      <c r="P900" s="4"/>
      <c r="Q900" s="4"/>
      <c r="R900" s="4"/>
      <c r="S900" s="4"/>
      <c r="T900" s="4"/>
      <c r="U900" s="4"/>
      <c r="V900" s="4"/>
      <c r="W900" s="4"/>
      <c r="X900" s="4"/>
      <c r="Y900" s="4"/>
      <c r="Z900" s="1435"/>
      <c r="AA900" s="1436"/>
      <c r="AB900" s="1436"/>
      <c r="AC900" s="1436"/>
      <c r="AD900" s="1436"/>
      <c r="AE900" s="1437"/>
      <c r="AZ900" s="2"/>
      <c r="BB900" s="24"/>
      <c r="BC900" s="666"/>
      <c r="BD900" s="1600"/>
      <c r="BE900" s="1600"/>
      <c r="BF900" s="1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row>
    <row r="901" spans="1:110" ht="13" customHeight="1">
      <c r="H901" s="1033"/>
      <c r="I901" s="4"/>
      <c r="J901" s="4"/>
      <c r="K901" s="4"/>
      <c r="L901" s="4"/>
      <c r="M901" s="4"/>
      <c r="N901" s="4"/>
      <c r="O901" s="4"/>
      <c r="P901" s="4"/>
      <c r="Q901" s="4"/>
      <c r="R901" s="4"/>
      <c r="S901" s="4"/>
      <c r="T901" s="4"/>
      <c r="U901" s="4"/>
      <c r="V901" s="4"/>
      <c r="W901" s="4"/>
      <c r="X901" s="4"/>
      <c r="Y901" s="106" t="s">
        <v>1656</v>
      </c>
      <c r="Z901" s="1565">
        <f>Z898-(Z899+Z900)</f>
        <v>0</v>
      </c>
      <c r="AA901" s="1566"/>
      <c r="AB901" s="1566"/>
      <c r="AC901" s="1566"/>
      <c r="AD901" s="1566"/>
      <c r="AE901" s="1567"/>
      <c r="AZ901" s="2"/>
      <c r="BB901" s="24"/>
      <c r="BC901" s="666"/>
      <c r="BD901" s="1600"/>
      <c r="BE901" s="1600"/>
      <c r="BF901" s="1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row>
    <row r="902" spans="1:110" ht="13" customHeight="1">
      <c r="C902" s="383"/>
      <c r="D902" s="1148"/>
      <c r="E902" s="1138"/>
      <c r="F902" s="1138"/>
      <c r="G902" s="1138"/>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1138"/>
      <c r="AZ902" s="2"/>
      <c r="BB902" s="24"/>
      <c r="BC902" s="666"/>
      <c r="BD902" s="1600"/>
      <c r="BE902" s="1600"/>
      <c r="BF902" s="1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row>
    <row r="903" spans="1:110" ht="13" customHeight="1">
      <c r="C903" t="s">
        <v>1657</v>
      </c>
      <c r="D903" s="13"/>
      <c r="E903" s="1138"/>
      <c r="F903" s="1138"/>
      <c r="G903" s="1138"/>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1138"/>
      <c r="AZ903" s="2"/>
      <c r="BB903" s="24"/>
      <c r="BC903" s="666"/>
      <c r="BD903" s="1610"/>
      <c r="BE903" s="1600"/>
      <c r="BF903" s="1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row>
    <row r="904" spans="1:110" ht="13" customHeight="1">
      <c r="C904" s="107" t="s">
        <v>1658</v>
      </c>
      <c r="D904" s="13"/>
      <c r="E904" s="1138"/>
      <c r="F904" s="1138"/>
      <c r="G904" s="1138"/>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1138"/>
      <c r="AV904" s="54"/>
      <c r="AW904" s="54"/>
      <c r="AX904" s="54"/>
      <c r="AY904" s="54"/>
      <c r="AZ904" s="2"/>
      <c r="BB904" s="24"/>
      <c r="BC904" s="666"/>
      <c r="BD904" s="1615"/>
      <c r="BE904" s="1615"/>
      <c r="BF904" s="1615"/>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row>
    <row r="905" spans="1:110" ht="13" customHeight="1">
      <c r="C905" s="107" t="s">
        <v>1659</v>
      </c>
      <c r="D905" s="13"/>
      <c r="E905" s="1138"/>
      <c r="F905" s="1138"/>
      <c r="G905" s="1138"/>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1138"/>
      <c r="AV905" s="54"/>
      <c r="AW905" s="54"/>
      <c r="AX905" s="54"/>
      <c r="AY905" s="54"/>
      <c r="AZ905" s="2"/>
      <c r="BB905" s="24"/>
      <c r="BC905" s="666"/>
      <c r="BD905" s="1614"/>
      <c r="BE905" s="1614"/>
      <c r="BF905" s="1614"/>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row>
    <row r="906" spans="1:110" ht="13" customHeight="1">
      <c r="C906" s="232" t="s">
        <v>1660</v>
      </c>
      <c r="D906" s="13"/>
      <c r="E906" s="1138"/>
      <c r="F906" s="1138"/>
      <c r="G906" s="1138"/>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1138"/>
      <c r="AV906" s="54"/>
      <c r="AW906" s="54"/>
      <c r="AX906" s="54"/>
      <c r="AY906" s="54"/>
      <c r="AZ906" s="2"/>
      <c r="BB906" s="24"/>
      <c r="BC906" s="666"/>
      <c r="BD906" s="1600"/>
      <c r="BE906" s="1600"/>
      <c r="BF906" s="1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row>
    <row r="907" spans="1:110" ht="13" customHeight="1">
      <c r="D907" s="13"/>
      <c r="E907" s="1179"/>
      <c r="F907" s="1179"/>
      <c r="G907" s="1179"/>
      <c r="H907" s="1179"/>
      <c r="I907" s="1179"/>
      <c r="J907" s="1179"/>
      <c r="K907" s="1179"/>
      <c r="L907" s="1179"/>
      <c r="M907" s="1179"/>
      <c r="N907" s="1179"/>
      <c r="O907" s="1179"/>
      <c r="P907" s="1179"/>
      <c r="Q907" s="1179"/>
      <c r="R907" s="1179"/>
      <c r="S907" s="1179"/>
      <c r="T907" s="1179"/>
      <c r="U907" s="1179"/>
      <c r="V907" s="1179"/>
      <c r="W907" s="1179"/>
      <c r="X907" s="1179"/>
      <c r="Y907" s="1179"/>
      <c r="Z907" s="1179"/>
      <c r="AA907" s="1179"/>
      <c r="AB907" s="1179"/>
      <c r="AC907" s="1179"/>
      <c r="AD907" s="1179"/>
      <c r="AE907" s="1179"/>
      <c r="AF907" s="1179"/>
      <c r="AG907" s="1179"/>
      <c r="AH907" s="1179"/>
      <c r="AI907" s="1179"/>
      <c r="AV907" s="54"/>
      <c r="AW907" s="54"/>
      <c r="AX907" s="54"/>
      <c r="AY907" s="54"/>
      <c r="AZ907" s="2"/>
      <c r="BB907" s="24"/>
      <c r="BC907" s="666"/>
      <c r="BD907" s="1610"/>
      <c r="BE907" s="1600"/>
      <c r="BF907" s="1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row>
    <row r="908" spans="1:110" ht="13" customHeight="1">
      <c r="AZ908" s="2"/>
      <c r="BB908" s="24"/>
      <c r="BC908" s="666"/>
      <c r="BG908" s="1166"/>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row>
    <row r="909" spans="1:110" ht="13" customHeight="1">
      <c r="A909" s="1389" t="s">
        <v>1661</v>
      </c>
      <c r="B909" s="1389"/>
      <c r="C909" s="1389"/>
      <c r="D909" s="1389"/>
      <c r="E909" s="1389"/>
      <c r="F909" s="1389"/>
      <c r="G909" s="1389"/>
      <c r="H909" s="1389"/>
      <c r="I909" s="1389"/>
      <c r="J909" s="1389"/>
      <c r="K909" s="1389"/>
      <c r="L909" s="1389"/>
      <c r="M909" s="1389"/>
      <c r="N909" s="1389"/>
      <c r="O909" s="1389"/>
      <c r="P909" s="1389"/>
      <c r="Q909" s="1389"/>
      <c r="R909" s="1389"/>
      <c r="S909" s="1389"/>
      <c r="T909" s="1389"/>
      <c r="U909" s="1389"/>
      <c r="V909" s="1389"/>
      <c r="W909" s="1389"/>
      <c r="X909" s="1389"/>
      <c r="Y909" s="1389"/>
      <c r="Z909" s="1389"/>
      <c r="AA909" s="1389"/>
      <c r="AB909" s="1389"/>
      <c r="AC909" s="1389"/>
      <c r="AD909" s="1389"/>
      <c r="AE909" s="1389"/>
      <c r="AF909" s="1389"/>
      <c r="AG909" s="1389"/>
      <c r="AH909" s="1389"/>
      <c r="AI909" s="1389"/>
      <c r="AJ909" s="1389"/>
      <c r="AK909" s="1389"/>
      <c r="AL909" s="1389"/>
      <c r="AM909" s="1389"/>
      <c r="AN909" s="1389"/>
      <c r="AO909" s="1389"/>
      <c r="AP909" s="1389"/>
      <c r="AQ909" s="1389"/>
      <c r="AR909" s="1389"/>
      <c r="AS909" s="1389"/>
      <c r="AT909" s="1389"/>
      <c r="AZ909" s="2"/>
      <c r="BA909" s="2"/>
      <c r="BB909" s="24"/>
      <c r="BC909" s="24"/>
      <c r="BD909" s="1610"/>
      <c r="BE909" s="1600"/>
      <c r="BF909" s="738"/>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row>
    <row r="910" spans="1:110" ht="13" customHeight="1">
      <c r="A910" s="1389"/>
      <c r="B910" s="1389"/>
      <c r="C910" s="1389"/>
      <c r="D910" s="1389"/>
      <c r="E910" s="1389"/>
      <c r="F910" s="1389"/>
      <c r="G910" s="1389"/>
      <c r="H910" s="1389"/>
      <c r="I910" s="1389"/>
      <c r="J910" s="1389"/>
      <c r="K910" s="1389"/>
      <c r="L910" s="1389"/>
      <c r="M910" s="1389"/>
      <c r="N910" s="1389"/>
      <c r="O910" s="1389"/>
      <c r="P910" s="1389"/>
      <c r="Q910" s="1389"/>
      <c r="R910" s="1389"/>
      <c r="S910" s="1389"/>
      <c r="T910" s="1389"/>
      <c r="U910" s="1389"/>
      <c r="V910" s="1389"/>
      <c r="W910" s="1389"/>
      <c r="X910" s="1389"/>
      <c r="Y910" s="1389"/>
      <c r="Z910" s="1389"/>
      <c r="AA910" s="1389"/>
      <c r="AB910" s="1389"/>
      <c r="AC910" s="1389"/>
      <c r="AD910" s="1389"/>
      <c r="AE910" s="1389"/>
      <c r="AF910" s="1389"/>
      <c r="AG910" s="1389"/>
      <c r="AH910" s="1389"/>
      <c r="AI910" s="1389"/>
      <c r="AJ910" s="1389"/>
      <c r="AK910" s="1389"/>
      <c r="AL910" s="1389"/>
      <c r="AM910" s="1389"/>
      <c r="AN910" s="1389"/>
      <c r="AO910" s="1389"/>
      <c r="AP910" s="1389"/>
      <c r="AQ910" s="1389"/>
      <c r="AR910" s="1389"/>
      <c r="AS910" s="1389"/>
      <c r="AT910" s="1389"/>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row>
    <row r="911" spans="1:110" ht="13" customHeight="1">
      <c r="D911" s="54"/>
      <c r="E911" s="54"/>
      <c r="F911" s="54"/>
      <c r="G911" s="54"/>
      <c r="H911" s="54"/>
      <c r="I911" s="54"/>
      <c r="J911" s="54"/>
      <c r="K911" s="54"/>
      <c r="L911" s="54"/>
      <c r="M911" s="54"/>
      <c r="N911" s="54"/>
      <c r="O911" s="54"/>
      <c r="P911" s="54"/>
      <c r="Q911" s="54"/>
      <c r="R911" s="54"/>
      <c r="S911" s="54"/>
      <c r="T911" s="54"/>
      <c r="U911" s="54"/>
      <c r="V911" s="54"/>
      <c r="W911" s="54"/>
      <c r="X911" s="54"/>
      <c r="Y911" s="54"/>
      <c r="Z911" s="54"/>
      <c r="AA911" s="54"/>
      <c r="AB911" s="54"/>
      <c r="AC911" s="54"/>
      <c r="AD911" s="54"/>
      <c r="AE911" s="54"/>
      <c r="AF911" s="54"/>
      <c r="AG911" s="54"/>
      <c r="AH911" s="54"/>
      <c r="AI911" s="54"/>
      <c r="AJ911" s="54"/>
      <c r="AK911" s="54"/>
      <c r="AL911" s="54"/>
      <c r="AM911" s="54"/>
      <c r="AN911" s="54"/>
      <c r="AO911" s="54"/>
      <c r="AP911" s="54"/>
      <c r="AQ911" s="54"/>
      <c r="AR911" s="54"/>
      <c r="AS911" s="54"/>
      <c r="AT911" s="54"/>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row>
    <row r="912" spans="1:110" ht="13" customHeight="1">
      <c r="A912" s="1" t="s">
        <v>922</v>
      </c>
      <c r="C912" s="1" t="s">
        <v>241</v>
      </c>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c r="AO912" s="54"/>
      <c r="AP912" s="54"/>
      <c r="AQ912" s="54"/>
      <c r="AR912" s="54"/>
      <c r="AS912" s="54"/>
      <c r="AT912" s="54"/>
      <c r="AZ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row>
    <row r="913" spans="2:110" ht="13" customHeight="1">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row>
    <row r="914" spans="2:110" ht="13" customHeight="1">
      <c r="F914" s="1470" t="s">
        <v>1662</v>
      </c>
      <c r="G914" s="1471"/>
      <c r="H914" s="1471"/>
      <c r="I914" s="1471"/>
      <c r="J914" s="1471"/>
      <c r="K914" s="1471"/>
      <c r="L914" s="1471"/>
      <c r="M914" s="1471"/>
      <c r="N914" s="1471"/>
      <c r="O914" s="1471"/>
      <c r="P914" s="1471"/>
      <c r="Q914" s="1471"/>
      <c r="R914" s="1471"/>
      <c r="S914" s="1471"/>
      <c r="T914" s="1472"/>
      <c r="U914" s="1686" t="s">
        <v>1663</v>
      </c>
      <c r="V914" s="1595"/>
      <c r="W914" s="1595"/>
      <c r="X914" s="1595"/>
      <c r="Y914" s="1595"/>
      <c r="Z914" s="1595"/>
      <c r="AA914" s="1174"/>
      <c r="AB914" s="205"/>
      <c r="AC914" s="205"/>
      <c r="AD914" s="205"/>
      <c r="AE914" s="205"/>
      <c r="AF914" s="1063"/>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row>
    <row r="915" spans="2:110" ht="13" customHeight="1">
      <c r="B915" s="1"/>
      <c r="F915" s="1571" t="s">
        <v>1664</v>
      </c>
      <c r="G915" s="1572"/>
      <c r="H915" s="1572"/>
      <c r="I915" s="1572"/>
      <c r="J915" s="1572"/>
      <c r="K915" s="1572"/>
      <c r="L915" s="1572"/>
      <c r="M915" s="1572"/>
      <c r="N915" s="1572"/>
      <c r="O915" s="1572"/>
      <c r="P915" s="1572"/>
      <c r="Q915" s="1572"/>
      <c r="R915" s="1572"/>
      <c r="S915" s="1572"/>
      <c r="T915" s="1573"/>
      <c r="U915" s="1571"/>
      <c r="V915" s="1572"/>
      <c r="W915" s="1572"/>
      <c r="X915" s="1572"/>
      <c r="Y915" s="1572"/>
      <c r="Z915" s="1572"/>
      <c r="AA915" s="1173"/>
      <c r="AB915" s="2"/>
      <c r="AC915" s="2"/>
      <c r="AD915" s="2"/>
      <c r="AE915" s="2"/>
      <c r="AF915" s="1064"/>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row>
    <row r="916" spans="2:110" ht="13" customHeight="1">
      <c r="B916" s="1"/>
      <c r="F916" s="1574"/>
      <c r="G916" s="1575"/>
      <c r="H916" s="1575"/>
      <c r="I916" s="1575"/>
      <c r="J916" s="1575"/>
      <c r="K916" s="1575"/>
      <c r="L916" s="1575"/>
      <c r="M916" s="1575"/>
      <c r="N916" s="1575"/>
      <c r="O916" s="1575"/>
      <c r="P916" s="1575"/>
      <c r="Q916" s="1575"/>
      <c r="R916" s="1575"/>
      <c r="S916" s="1575"/>
      <c r="T916" s="1576"/>
      <c r="U916" s="1574"/>
      <c r="V916" s="1575"/>
      <c r="W916" s="1575"/>
      <c r="X916" s="1575"/>
      <c r="Y916" s="1575"/>
      <c r="Z916" s="1575"/>
      <c r="AA916" s="730"/>
      <c r="AB916" s="1609" t="s">
        <v>1665</v>
      </c>
      <c r="AC916" s="1609"/>
      <c r="AD916" s="1609"/>
      <c r="AE916" s="1609"/>
      <c r="AF916" s="1065"/>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row>
    <row r="917" spans="2:110" ht="13" customHeight="1">
      <c r="B917" s="1"/>
      <c r="F917" s="1033" t="s">
        <v>1666</v>
      </c>
      <c r="G917" s="33"/>
      <c r="H917" s="33"/>
      <c r="I917" s="33"/>
      <c r="J917" s="33"/>
      <c r="K917" s="33"/>
      <c r="L917" s="33"/>
      <c r="M917" s="33"/>
      <c r="N917" s="33"/>
      <c r="O917" s="33"/>
      <c r="P917" s="33"/>
      <c r="Q917" s="33"/>
      <c r="R917" s="33"/>
      <c r="S917" s="33"/>
      <c r="T917" s="34"/>
      <c r="U917" s="1488" t="s">
        <v>837</v>
      </c>
      <c r="V917" s="1489"/>
      <c r="W917" s="1489"/>
      <c r="X917" s="1489"/>
      <c r="Y917" s="1489"/>
      <c r="Z917" s="1490"/>
      <c r="AA917" s="1474">
        <v>22460019</v>
      </c>
      <c r="AB917" s="1475"/>
      <c r="AC917" s="1475"/>
      <c r="AD917" s="1475"/>
      <c r="AE917" s="1475"/>
      <c r="AF917" s="1476"/>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row>
    <row r="918" spans="2:110" ht="13" customHeight="1">
      <c r="B918" s="1"/>
      <c r="F918" s="1035" t="s">
        <v>1667</v>
      </c>
      <c r="G918" s="33"/>
      <c r="H918" s="33"/>
      <c r="I918" s="33"/>
      <c r="J918" s="33"/>
      <c r="K918" s="33"/>
      <c r="L918" s="33"/>
      <c r="M918" s="33"/>
      <c r="N918" s="33"/>
      <c r="O918" s="33"/>
      <c r="P918" s="33"/>
      <c r="Q918" s="33"/>
      <c r="R918" s="33"/>
      <c r="S918" s="33"/>
      <c r="T918" s="34"/>
      <c r="U918" s="1488" t="s">
        <v>837</v>
      </c>
      <c r="V918" s="1489"/>
      <c r="W918" s="1489"/>
      <c r="X918" s="1489"/>
      <c r="Y918" s="1489"/>
      <c r="Z918" s="1490"/>
      <c r="AA918" s="1474">
        <v>12391045</v>
      </c>
      <c r="AB918" s="1475"/>
      <c r="AC918" s="1475"/>
      <c r="AD918" s="1475"/>
      <c r="AE918" s="1475"/>
      <c r="AF918" s="1476"/>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row>
    <row r="919" spans="2:110" ht="13" customHeight="1">
      <c r="F919" s="1033" t="s">
        <v>1668</v>
      </c>
      <c r="G919" s="4"/>
      <c r="H919" s="4"/>
      <c r="I919" s="4"/>
      <c r="J919" s="4"/>
      <c r="K919" s="4"/>
      <c r="L919" s="4"/>
      <c r="M919" s="4"/>
      <c r="N919" s="4"/>
      <c r="O919" s="4"/>
      <c r="P919" s="4"/>
      <c r="Q919" s="4"/>
      <c r="R919" s="4"/>
      <c r="S919" s="4"/>
      <c r="T919" s="1034"/>
      <c r="U919" s="1488" t="s">
        <v>299</v>
      </c>
      <c r="V919" s="1489"/>
      <c r="W919" s="1489"/>
      <c r="X919" s="1489"/>
      <c r="Y919" s="1489"/>
      <c r="Z919" s="1490"/>
      <c r="AA919" s="1474"/>
      <c r="AB919" s="1475"/>
      <c r="AC919" s="1475"/>
      <c r="AD919" s="1475"/>
      <c r="AE919" s="1475"/>
      <c r="AF919" s="1476"/>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row>
    <row r="920" spans="2:110" ht="13" customHeight="1">
      <c r="F920" s="1033" t="s">
        <v>1669</v>
      </c>
      <c r="G920" s="4"/>
      <c r="H920" s="4"/>
      <c r="I920" s="4"/>
      <c r="J920" s="4"/>
      <c r="K920" s="4"/>
      <c r="L920" s="4"/>
      <c r="M920" s="4"/>
      <c r="N920" s="4"/>
      <c r="O920" s="4"/>
      <c r="P920" s="4"/>
      <c r="Q920" s="4"/>
      <c r="R920" s="4"/>
      <c r="S920" s="4"/>
      <c r="T920" s="1034"/>
      <c r="U920" s="1488" t="s">
        <v>299</v>
      </c>
      <c r="V920" s="1489"/>
      <c r="W920" s="1489"/>
      <c r="X920" s="1489"/>
      <c r="Y920" s="1489"/>
      <c r="Z920" s="1490"/>
      <c r="AA920" s="1474"/>
      <c r="AB920" s="1475"/>
      <c r="AC920" s="1475"/>
      <c r="AD920" s="1475"/>
      <c r="AE920" s="1475"/>
      <c r="AF920" s="1476"/>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row>
    <row r="921" spans="2:110" ht="13" customHeight="1">
      <c r="F921" s="1035" t="s">
        <v>1670</v>
      </c>
      <c r="G921" s="4"/>
      <c r="H921" s="4"/>
      <c r="I921" s="4"/>
      <c r="J921" s="4"/>
      <c r="K921" s="4"/>
      <c r="L921" s="4"/>
      <c r="M921" s="4"/>
      <c r="N921" s="4"/>
      <c r="O921" s="4"/>
      <c r="P921" s="4"/>
      <c r="Q921" s="4"/>
      <c r="R921" s="4"/>
      <c r="S921" s="4"/>
      <c r="T921" s="1034"/>
      <c r="U921" s="1488" t="s">
        <v>299</v>
      </c>
      <c r="V921" s="1489"/>
      <c r="W921" s="1489"/>
      <c r="X921" s="1489"/>
      <c r="Y921" s="1489"/>
      <c r="Z921" s="1490"/>
      <c r="AA921" s="1474"/>
      <c r="AB921" s="1475"/>
      <c r="AC921" s="1475"/>
      <c r="AD921" s="1475"/>
      <c r="AE921" s="1475"/>
      <c r="AF921" s="1476"/>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row>
    <row r="922" spans="2:110" ht="13" customHeight="1">
      <c r="F922" s="1035" t="s">
        <v>1671</v>
      </c>
      <c r="G922" s="4"/>
      <c r="H922" s="4"/>
      <c r="I922" s="4"/>
      <c r="J922" s="4"/>
      <c r="K922" s="4"/>
      <c r="L922" s="4"/>
      <c r="M922" s="4"/>
      <c r="N922" s="4"/>
      <c r="O922" s="4"/>
      <c r="P922" s="4"/>
      <c r="Q922" s="4"/>
      <c r="R922" s="4"/>
      <c r="S922" s="4"/>
      <c r="T922" s="1034"/>
      <c r="U922" s="1488" t="s">
        <v>299</v>
      </c>
      <c r="V922" s="1489"/>
      <c r="W922" s="1489"/>
      <c r="X922" s="1489"/>
      <c r="Y922" s="1489"/>
      <c r="Z922" s="1490"/>
      <c r="AA922" s="1474"/>
      <c r="AB922" s="1475"/>
      <c r="AC922" s="1475"/>
      <c r="AD922" s="1475"/>
      <c r="AE922" s="1475"/>
      <c r="AF922" s="1476"/>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row>
    <row r="923" spans="2:110" ht="13" customHeight="1">
      <c r="F923" s="1035" t="s">
        <v>1672</v>
      </c>
      <c r="G923" s="4"/>
      <c r="H923" s="4"/>
      <c r="I923" s="4"/>
      <c r="J923" s="4"/>
      <c r="K923" s="4"/>
      <c r="L923" s="4"/>
      <c r="M923" s="4"/>
      <c r="N923" s="4"/>
      <c r="O923" s="4"/>
      <c r="P923" s="4"/>
      <c r="Q923" s="4"/>
      <c r="R923" s="4"/>
      <c r="S923" s="4"/>
      <c r="T923" s="1034"/>
      <c r="U923" s="1488" t="s">
        <v>299</v>
      </c>
      <c r="V923" s="1489"/>
      <c r="W923" s="1489"/>
      <c r="X923" s="1489"/>
      <c r="Y923" s="1489"/>
      <c r="Z923" s="1490"/>
      <c r="AA923" s="1474"/>
      <c r="AB923" s="1475"/>
      <c r="AC923" s="1475"/>
      <c r="AD923" s="1475"/>
      <c r="AE923" s="1475"/>
      <c r="AF923" s="1476"/>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row>
    <row r="924" spans="2:110" ht="13" customHeight="1">
      <c r="F924" s="1033" t="s">
        <v>1673</v>
      </c>
      <c r="G924" s="4"/>
      <c r="H924" s="4"/>
      <c r="I924" s="4"/>
      <c r="J924" s="4"/>
      <c r="K924" s="4"/>
      <c r="L924" s="4"/>
      <c r="M924" s="4"/>
      <c r="N924" s="4"/>
      <c r="O924" s="4"/>
      <c r="P924" s="4"/>
      <c r="Q924" s="4"/>
      <c r="R924" s="4"/>
      <c r="S924" s="4"/>
      <c r="T924" s="1034"/>
      <c r="U924" s="1488" t="s">
        <v>299</v>
      </c>
      <c r="V924" s="1489"/>
      <c r="W924" s="1489"/>
      <c r="X924" s="1489"/>
      <c r="Y924" s="1489"/>
      <c r="Z924" s="1490"/>
      <c r="AA924" s="1474"/>
      <c r="AB924" s="1475"/>
      <c r="AC924" s="1475"/>
      <c r="AD924" s="1475"/>
      <c r="AE924" s="1475"/>
      <c r="AF924" s="1476"/>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row>
    <row r="925" spans="2:110" ht="13" customHeight="1">
      <c r="F925" s="1568" t="s">
        <v>1674</v>
      </c>
      <c r="G925" s="1569"/>
      <c r="H925" s="1569"/>
      <c r="I925" s="1569"/>
      <c r="J925" s="1569"/>
      <c r="K925" s="1569"/>
      <c r="L925" s="1569"/>
      <c r="M925" s="1569"/>
      <c r="N925" s="1569"/>
      <c r="O925" s="1569"/>
      <c r="P925" s="1569"/>
      <c r="Q925" s="1569"/>
      <c r="R925" s="1569"/>
      <c r="S925" s="1569"/>
      <c r="T925" s="1570"/>
      <c r="U925" s="1488" t="s">
        <v>299</v>
      </c>
      <c r="V925" s="1489"/>
      <c r="W925" s="1489"/>
      <c r="X925" s="1489"/>
      <c r="Y925" s="1489"/>
      <c r="Z925" s="1490"/>
      <c r="AA925" s="1474"/>
      <c r="AB925" s="1475"/>
      <c r="AC925" s="1475"/>
      <c r="AD925" s="1475"/>
      <c r="AE925" s="1475"/>
      <c r="AF925" s="1476"/>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row>
    <row r="926" spans="2:110" ht="13" customHeight="1">
      <c r="F926" s="1568" t="s">
        <v>1675</v>
      </c>
      <c r="G926" s="1569"/>
      <c r="H926" s="1569"/>
      <c r="I926" s="1569"/>
      <c r="J926" s="1569"/>
      <c r="K926" s="1569"/>
      <c r="L926" s="1569"/>
      <c r="M926" s="1569"/>
      <c r="N926" s="1569"/>
      <c r="O926" s="1569"/>
      <c r="P926" s="1569"/>
      <c r="Q926" s="1569"/>
      <c r="R926" s="1569"/>
      <c r="S926" s="1569"/>
      <c r="T926" s="1570"/>
      <c r="U926" s="1488" t="s">
        <v>299</v>
      </c>
      <c r="V926" s="1489"/>
      <c r="W926" s="1489"/>
      <c r="X926" s="1489"/>
      <c r="Y926" s="1489"/>
      <c r="Z926" s="1490"/>
      <c r="AA926" s="1474"/>
      <c r="AB926" s="1475"/>
      <c r="AC926" s="1475"/>
      <c r="AD926" s="1475"/>
      <c r="AE926" s="1475"/>
      <c r="AF926" s="1476"/>
      <c r="AU926" s="1"/>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row>
    <row r="927" spans="2:110" ht="13" customHeight="1">
      <c r="F927" s="1568" t="s">
        <v>1676</v>
      </c>
      <c r="G927" s="1569"/>
      <c r="H927" s="1569"/>
      <c r="I927" s="1569"/>
      <c r="J927" s="1569"/>
      <c r="K927" s="1569"/>
      <c r="L927" s="1569"/>
      <c r="M927" s="1569"/>
      <c r="N927" s="1569"/>
      <c r="O927" s="1569"/>
      <c r="P927" s="1569"/>
      <c r="Q927" s="1569"/>
      <c r="R927" s="1569"/>
      <c r="S927" s="1569"/>
      <c r="T927" s="1570"/>
      <c r="U927" s="1488" t="s">
        <v>299</v>
      </c>
      <c r="V927" s="1489"/>
      <c r="W927" s="1489"/>
      <c r="X927" s="1489"/>
      <c r="Y927" s="1489"/>
      <c r="Z927" s="1490"/>
      <c r="AA927" s="1474"/>
      <c r="AB927" s="1475"/>
      <c r="AC927" s="1475"/>
      <c r="AD927" s="1475"/>
      <c r="AE927" s="1475"/>
      <c r="AF927" s="1476"/>
      <c r="AU927" s="1"/>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row>
    <row r="928" spans="2:110" ht="13" customHeight="1">
      <c r="F928" s="1568" t="s">
        <v>1677</v>
      </c>
      <c r="G928" s="1569"/>
      <c r="H928" s="1569"/>
      <c r="I928" s="1569"/>
      <c r="J928" s="1569"/>
      <c r="K928" s="1569"/>
      <c r="L928" s="1569"/>
      <c r="M928" s="1569"/>
      <c r="N928" s="1569"/>
      <c r="O928" s="1569"/>
      <c r="P928" s="1569"/>
      <c r="Q928" s="1569"/>
      <c r="R928" s="1569"/>
      <c r="S928" s="1569"/>
      <c r="T928" s="1570"/>
      <c r="U928" s="1488" t="s">
        <v>299</v>
      </c>
      <c r="V928" s="1489"/>
      <c r="W928" s="1489"/>
      <c r="X928" s="1489"/>
      <c r="Y928" s="1489"/>
      <c r="Z928" s="1490"/>
      <c r="AA928" s="1474"/>
      <c r="AB928" s="1475"/>
      <c r="AC928" s="1475"/>
      <c r="AD928" s="1475"/>
      <c r="AE928" s="1475"/>
      <c r="AF928" s="1476"/>
      <c r="AU928" s="1"/>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row>
    <row r="929" spans="6:110" ht="13" customHeight="1">
      <c r="F929" s="1568" t="s">
        <v>1678</v>
      </c>
      <c r="G929" s="1569"/>
      <c r="H929" s="1569"/>
      <c r="I929" s="1569"/>
      <c r="J929" s="1569"/>
      <c r="K929" s="1569"/>
      <c r="L929" s="1569"/>
      <c r="M929" s="1569"/>
      <c r="N929" s="1569"/>
      <c r="O929" s="1569"/>
      <c r="P929" s="1569"/>
      <c r="Q929" s="1569"/>
      <c r="R929" s="1569"/>
      <c r="S929" s="1569"/>
      <c r="T929" s="1570"/>
      <c r="U929" s="1488" t="s">
        <v>299</v>
      </c>
      <c r="V929" s="1489"/>
      <c r="W929" s="1489"/>
      <c r="X929" s="1489"/>
      <c r="Y929" s="1489"/>
      <c r="Z929" s="1490"/>
      <c r="AA929" s="1474"/>
      <c r="AB929" s="1475"/>
      <c r="AC929" s="1475"/>
      <c r="AD929" s="1475"/>
      <c r="AE929" s="1475"/>
      <c r="AF929" s="1476"/>
      <c r="AU929" s="1"/>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row>
    <row r="930" spans="6:110" ht="13" customHeight="1">
      <c r="F930" s="1568" t="s">
        <v>1679</v>
      </c>
      <c r="G930" s="1569"/>
      <c r="H930" s="1569"/>
      <c r="I930" s="1569"/>
      <c r="J930" s="1569"/>
      <c r="K930" s="1569"/>
      <c r="L930" s="1569"/>
      <c r="M930" s="1569"/>
      <c r="N930" s="1569"/>
      <c r="O930" s="1569"/>
      <c r="P930" s="1569"/>
      <c r="Q930" s="1569"/>
      <c r="R930" s="1569"/>
      <c r="S930" s="1569"/>
      <c r="T930" s="1570"/>
      <c r="U930" s="1488" t="s">
        <v>299</v>
      </c>
      <c r="V930" s="1489"/>
      <c r="W930" s="1489"/>
      <c r="X930" s="1489"/>
      <c r="Y930" s="1489"/>
      <c r="Z930" s="1490"/>
      <c r="AA930" s="1474"/>
      <c r="AB930" s="1475"/>
      <c r="AC930" s="1475"/>
      <c r="AD930" s="1475"/>
      <c r="AE930" s="1475"/>
      <c r="AF930" s="1476"/>
      <c r="AU930" s="1"/>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row>
    <row r="931" spans="6:110" ht="13" customHeight="1">
      <c r="F931" s="1568" t="s">
        <v>1680</v>
      </c>
      <c r="G931" s="1569"/>
      <c r="H931" s="1569"/>
      <c r="I931" s="1569"/>
      <c r="J931" s="1569"/>
      <c r="K931" s="1569"/>
      <c r="L931" s="1569"/>
      <c r="M931" s="1569"/>
      <c r="N931" s="1569"/>
      <c r="O931" s="1569"/>
      <c r="P931" s="1569"/>
      <c r="Q931" s="1569"/>
      <c r="R931" s="1569"/>
      <c r="S931" s="1569"/>
      <c r="T931" s="1570"/>
      <c r="U931" s="1488" t="s">
        <v>299</v>
      </c>
      <c r="V931" s="1489"/>
      <c r="W931" s="1489"/>
      <c r="X931" s="1489"/>
      <c r="Y931" s="1489"/>
      <c r="Z931" s="1490"/>
      <c r="AA931" s="1474"/>
      <c r="AB931" s="1475"/>
      <c r="AC931" s="1475"/>
      <c r="AD931" s="1475"/>
      <c r="AE931" s="1475"/>
      <c r="AF931" s="1476"/>
      <c r="AZ931" s="24"/>
      <c r="BA931" s="24"/>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row>
    <row r="932" spans="6:110" ht="13" customHeight="1">
      <c r="F932" s="104" t="s">
        <v>1681</v>
      </c>
      <c r="G932" s="4"/>
      <c r="H932" s="4"/>
      <c r="I932" s="4"/>
      <c r="J932" s="4"/>
      <c r="K932" s="4"/>
      <c r="L932" s="4"/>
      <c r="M932" s="4"/>
      <c r="N932" s="4"/>
      <c r="O932" s="4"/>
      <c r="P932" s="4"/>
      <c r="Q932" s="4"/>
      <c r="R932" s="4"/>
      <c r="S932" s="4"/>
      <c r="T932" s="1034"/>
      <c r="U932" s="1488" t="s">
        <v>299</v>
      </c>
      <c r="V932" s="1489"/>
      <c r="W932" s="1489"/>
      <c r="X932" s="1489"/>
      <c r="Y932" s="1489"/>
      <c r="Z932" s="1490"/>
      <c r="AA932" s="1474"/>
      <c r="AB932" s="1475"/>
      <c r="AC932" s="1475"/>
      <c r="AD932" s="1475"/>
      <c r="AE932" s="1475"/>
      <c r="AF932" s="1476"/>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row>
    <row r="933" spans="6:110" ht="13" customHeight="1">
      <c r="F933" s="1035" t="s">
        <v>1682</v>
      </c>
      <c r="G933" s="4"/>
      <c r="H933" s="4"/>
      <c r="I933" s="4"/>
      <c r="J933" s="4"/>
      <c r="K933" s="4"/>
      <c r="L933" s="4"/>
      <c r="M933" s="4"/>
      <c r="N933" s="4"/>
      <c r="O933" s="4"/>
      <c r="P933" s="4"/>
      <c r="Q933" s="4"/>
      <c r="R933" s="4"/>
      <c r="S933" s="4"/>
      <c r="T933" s="1034"/>
      <c r="U933" s="1488" t="s">
        <v>299</v>
      </c>
      <c r="V933" s="1489"/>
      <c r="W933" s="1489"/>
      <c r="X933" s="1489"/>
      <c r="Y933" s="1489"/>
      <c r="Z933" s="1490"/>
      <c r="AA933" s="1474"/>
      <c r="AB933" s="1475"/>
      <c r="AC933" s="1475"/>
      <c r="AD933" s="1475"/>
      <c r="AE933" s="1475"/>
      <c r="AF933" s="1476"/>
      <c r="AZ933" s="24"/>
      <c r="BA933" s="1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row>
    <row r="934" spans="6:110" ht="13" customHeight="1">
      <c r="F934" s="1035" t="s">
        <v>1683</v>
      </c>
      <c r="G934" s="4"/>
      <c r="H934" s="4"/>
      <c r="I934" s="4"/>
      <c r="J934" s="4"/>
      <c r="K934" s="4"/>
      <c r="L934" s="4"/>
      <c r="M934" s="4"/>
      <c r="N934" s="4"/>
      <c r="O934" s="4"/>
      <c r="P934" s="4"/>
      <c r="Q934" s="4"/>
      <c r="R934" s="4"/>
      <c r="S934" s="4"/>
      <c r="T934" s="1034"/>
      <c r="U934" s="1488" t="s">
        <v>299</v>
      </c>
      <c r="V934" s="1489"/>
      <c r="W934" s="1489"/>
      <c r="X934" s="1489"/>
      <c r="Y934" s="1489"/>
      <c r="Z934" s="1490"/>
      <c r="AA934" s="1474"/>
      <c r="AB934" s="1475"/>
      <c r="AC934" s="1475"/>
      <c r="AD934" s="1475"/>
      <c r="AE934" s="1475"/>
      <c r="AF934" s="1476"/>
      <c r="AZ934" s="24"/>
      <c r="BA934" s="1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row>
    <row r="935" spans="6:110" ht="13" customHeight="1">
      <c r="F935" s="1688" t="s">
        <v>1684</v>
      </c>
      <c r="G935" s="1689"/>
      <c r="H935" s="1689"/>
      <c r="I935" s="1689"/>
      <c r="J935" s="1689"/>
      <c r="K935" s="1689"/>
      <c r="L935" s="1689"/>
      <c r="M935" s="1689"/>
      <c r="N935" s="1689"/>
      <c r="O935" s="1689"/>
      <c r="P935" s="1689"/>
      <c r="Q935" s="1689"/>
      <c r="R935" s="1689"/>
      <c r="S935" s="1689"/>
      <c r="T935" s="1690"/>
      <c r="U935" s="1488" t="s">
        <v>299</v>
      </c>
      <c r="V935" s="1489"/>
      <c r="W935" s="1489"/>
      <c r="X935" s="1489"/>
      <c r="Y935" s="1489"/>
      <c r="Z935" s="1490"/>
      <c r="AA935" s="1474"/>
      <c r="AB935" s="1475"/>
      <c r="AC935" s="1475"/>
      <c r="AD935" s="1475"/>
      <c r="AE935" s="1475"/>
      <c r="AF935" s="1476"/>
      <c r="AZ935" s="24"/>
      <c r="BA935" s="1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row>
    <row r="936" spans="6:110" ht="13" customHeight="1">
      <c r="F936" s="1688" t="s">
        <v>1685</v>
      </c>
      <c r="G936" s="1689"/>
      <c r="H936" s="1689"/>
      <c r="I936" s="1689"/>
      <c r="J936" s="1689"/>
      <c r="K936" s="1689"/>
      <c r="L936" s="1689"/>
      <c r="M936" s="1689"/>
      <c r="N936" s="1689"/>
      <c r="O936" s="1689"/>
      <c r="P936" s="1689"/>
      <c r="Q936" s="1689"/>
      <c r="R936" s="1689"/>
      <c r="S936" s="1689"/>
      <c r="T936" s="1690"/>
      <c r="U936" s="1488" t="s">
        <v>299</v>
      </c>
      <c r="V936" s="1489"/>
      <c r="W936" s="1489"/>
      <c r="X936" s="1489"/>
      <c r="Y936" s="1489"/>
      <c r="Z936" s="1490"/>
      <c r="AA936" s="1474"/>
      <c r="AB936" s="1475"/>
      <c r="AC936" s="1475"/>
      <c r="AD936" s="1475"/>
      <c r="AE936" s="1475"/>
      <c r="AF936" s="1476"/>
      <c r="AZ936" s="24"/>
      <c r="BA936" s="24"/>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row>
    <row r="937" spans="6:110" ht="13" customHeight="1">
      <c r="F937" s="1568" t="s">
        <v>1686</v>
      </c>
      <c r="G937" s="1569"/>
      <c r="H937" s="1569"/>
      <c r="I937" s="1569"/>
      <c r="J937" s="1569"/>
      <c r="K937" s="1569"/>
      <c r="L937" s="1569"/>
      <c r="M937" s="1569"/>
      <c r="N937" s="1569"/>
      <c r="O937" s="1569"/>
      <c r="P937" s="1569"/>
      <c r="Q937" s="1569"/>
      <c r="R937" s="1569"/>
      <c r="S937" s="1569"/>
      <c r="T937" s="1570"/>
      <c r="U937" s="1488" t="s">
        <v>299</v>
      </c>
      <c r="V937" s="1489"/>
      <c r="W937" s="1489"/>
      <c r="X937" s="1489"/>
      <c r="Y937" s="1489"/>
      <c r="Z937" s="1490"/>
      <c r="AA937" s="1474"/>
      <c r="AB937" s="1475"/>
      <c r="AC937" s="1475"/>
      <c r="AD937" s="1475"/>
      <c r="AE937" s="1475"/>
      <c r="AF937" s="1476"/>
      <c r="AZ937" s="24"/>
      <c r="BA937" s="24"/>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row>
    <row r="938" spans="6:110" ht="13" customHeight="1">
      <c r="F938" s="1568" t="s">
        <v>1687</v>
      </c>
      <c r="G938" s="1569"/>
      <c r="H938" s="1569"/>
      <c r="I938" s="1569"/>
      <c r="J938" s="1569"/>
      <c r="K938" s="1569"/>
      <c r="L938" s="1569"/>
      <c r="M938" s="1569"/>
      <c r="N938" s="1569"/>
      <c r="O938" s="1569"/>
      <c r="P938" s="1569"/>
      <c r="Q938" s="1569"/>
      <c r="R938" s="1569"/>
      <c r="S938" s="1569"/>
      <c r="T938" s="1570"/>
      <c r="U938" s="1488" t="s">
        <v>299</v>
      </c>
      <c r="V938" s="1489"/>
      <c r="W938" s="1489"/>
      <c r="X938" s="1489"/>
      <c r="Y938" s="1489"/>
      <c r="Z938" s="1490"/>
      <c r="AA938" s="1474"/>
      <c r="AB938" s="1475"/>
      <c r="AC938" s="1475"/>
      <c r="AD938" s="1475"/>
      <c r="AE938" s="1475"/>
      <c r="AF938" s="1476"/>
      <c r="AZ938" s="24"/>
      <c r="BA938" s="24"/>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row>
    <row r="939" spans="6:110" ht="13" customHeight="1">
      <c r="F939" s="1568" t="s">
        <v>1688</v>
      </c>
      <c r="G939" s="1569"/>
      <c r="H939" s="1569"/>
      <c r="I939" s="1569"/>
      <c r="J939" s="1569"/>
      <c r="K939" s="1569"/>
      <c r="L939" s="1569"/>
      <c r="M939" s="1569"/>
      <c r="N939" s="1569"/>
      <c r="O939" s="1569"/>
      <c r="P939" s="1569"/>
      <c r="Q939" s="1569"/>
      <c r="R939" s="1569"/>
      <c r="S939" s="1569"/>
      <c r="T939" s="1570"/>
      <c r="U939" s="1488" t="s">
        <v>299</v>
      </c>
      <c r="V939" s="1489"/>
      <c r="W939" s="1489"/>
      <c r="X939" s="1489"/>
      <c r="Y939" s="1489"/>
      <c r="Z939" s="1490"/>
      <c r="AA939" s="1474"/>
      <c r="AB939" s="1475"/>
      <c r="AC939" s="1475"/>
      <c r="AD939" s="1475"/>
      <c r="AE939" s="1475"/>
      <c r="AF939" s="1476"/>
      <c r="AZ939" s="2"/>
      <c r="BA939" s="2"/>
      <c r="BB939" s="12"/>
      <c r="BC939" s="12"/>
      <c r="BD939" s="12"/>
      <c r="BE939" s="1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row>
    <row r="940" spans="6:110" ht="13" customHeight="1">
      <c r="F940" s="1035" t="s">
        <v>1689</v>
      </c>
      <c r="G940" s="4"/>
      <c r="H940" s="4"/>
      <c r="I940" s="4"/>
      <c r="J940" s="4"/>
      <c r="K940" s="4"/>
      <c r="L940" s="4"/>
      <c r="M940" s="4"/>
      <c r="N940" s="4"/>
      <c r="O940" s="4"/>
      <c r="P940" s="4"/>
      <c r="Q940" s="4"/>
      <c r="R940" s="4"/>
      <c r="S940" s="4"/>
      <c r="T940" s="1034"/>
      <c r="U940" s="1488" t="s">
        <v>299</v>
      </c>
      <c r="V940" s="1489"/>
      <c r="W940" s="1489"/>
      <c r="X940" s="1489"/>
      <c r="Y940" s="1489"/>
      <c r="Z940" s="1490"/>
      <c r="AA940" s="1474"/>
      <c r="AB940" s="1475"/>
      <c r="AC940" s="1475"/>
      <c r="AD940" s="1475"/>
      <c r="AE940" s="1475"/>
      <c r="AF940" s="1476"/>
      <c r="AZ940" s="2"/>
      <c r="BA940" s="2"/>
      <c r="BB940" s="12"/>
      <c r="BC940" s="12"/>
      <c r="BD940" s="12"/>
      <c r="BE940" s="1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row>
    <row r="941" spans="6:110" ht="13" customHeight="1">
      <c r="F941" s="1688" t="s">
        <v>1690</v>
      </c>
      <c r="G941" s="1689"/>
      <c r="H941" s="1689"/>
      <c r="I941" s="1689"/>
      <c r="J941" s="1689"/>
      <c r="K941" s="1689"/>
      <c r="L941" s="1689"/>
      <c r="M941" s="1689"/>
      <c r="N941" s="1689"/>
      <c r="O941" s="1689"/>
      <c r="P941" s="1689"/>
      <c r="Q941" s="1689"/>
      <c r="R941" s="1689"/>
      <c r="S941" s="1689"/>
      <c r="T941" s="1690"/>
      <c r="U941" s="1488" t="s">
        <v>299</v>
      </c>
      <c r="V941" s="1489"/>
      <c r="W941" s="1489"/>
      <c r="X941" s="1489"/>
      <c r="Y941" s="1489"/>
      <c r="Z941" s="1490"/>
      <c r="AA941" s="1474"/>
      <c r="AB941" s="1475"/>
      <c r="AC941" s="1475"/>
      <c r="AD941" s="1475"/>
      <c r="AE941" s="1475"/>
      <c r="AF941" s="1476"/>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row>
    <row r="942" spans="6:110" ht="13" customHeight="1">
      <c r="F942" s="1035" t="s">
        <v>1691</v>
      </c>
      <c r="G942" s="4"/>
      <c r="H942" s="4"/>
      <c r="I942" s="4"/>
      <c r="J942" s="4"/>
      <c r="K942" s="4"/>
      <c r="L942" s="4"/>
      <c r="M942" s="4"/>
      <c r="N942" s="4"/>
      <c r="O942" s="4"/>
      <c r="P942" s="4"/>
      <c r="Q942" s="4"/>
      <c r="R942" s="4"/>
      <c r="S942" s="4"/>
      <c r="T942" s="1034"/>
      <c r="U942" s="1488" t="s">
        <v>299</v>
      </c>
      <c r="V942" s="1489"/>
      <c r="W942" s="1489"/>
      <c r="X942" s="1489"/>
      <c r="Y942" s="1489"/>
      <c r="Z942" s="1490"/>
      <c r="AA942" s="1474"/>
      <c r="AB942" s="1475"/>
      <c r="AC942" s="1475"/>
      <c r="AD942" s="1475"/>
      <c r="AE942" s="1475"/>
      <c r="AF942" s="1476"/>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row>
    <row r="943" spans="6:110" ht="13" customHeight="1">
      <c r="F943" s="1688" t="s">
        <v>1692</v>
      </c>
      <c r="G943" s="1689"/>
      <c r="H943" s="1689"/>
      <c r="I943" s="1689"/>
      <c r="J943" s="1689"/>
      <c r="K943" s="1689"/>
      <c r="L943" s="1689"/>
      <c r="M943" s="1689"/>
      <c r="N943" s="1689"/>
      <c r="O943" s="1689"/>
      <c r="P943" s="1689"/>
      <c r="Q943" s="1689"/>
      <c r="R943" s="1689"/>
      <c r="S943" s="1689"/>
      <c r="T943" s="1690"/>
      <c r="U943" s="1488" t="s">
        <v>299</v>
      </c>
      <c r="V943" s="1489"/>
      <c r="W943" s="1489"/>
      <c r="X943" s="1489"/>
      <c r="Y943" s="1489"/>
      <c r="Z943" s="1490"/>
      <c r="AA943" s="1474"/>
      <c r="AB943" s="1475"/>
      <c r="AC943" s="1475"/>
      <c r="AD943" s="1475"/>
      <c r="AE943" s="1475"/>
      <c r="AF943" s="1476"/>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row>
    <row r="944" spans="6:110" ht="13" customHeight="1">
      <c r="F944" s="1033" t="s">
        <v>1693</v>
      </c>
      <c r="G944" s="4"/>
      <c r="H944" s="4"/>
      <c r="I944" s="4"/>
      <c r="J944" s="4"/>
      <c r="K944" s="4"/>
      <c r="L944" s="4"/>
      <c r="M944" s="4"/>
      <c r="N944" s="4"/>
      <c r="O944" s="4"/>
      <c r="P944" s="1488" t="s">
        <v>895</v>
      </c>
      <c r="Q944" s="1489"/>
      <c r="R944" s="1489"/>
      <c r="S944" s="1489"/>
      <c r="T944" s="1490"/>
      <c r="U944" s="1488" t="s">
        <v>299</v>
      </c>
      <c r="V944" s="1489"/>
      <c r="W944" s="1489"/>
      <c r="X944" s="1489"/>
      <c r="Y944" s="1489"/>
      <c r="Z944" s="1490"/>
      <c r="AA944" s="1474"/>
      <c r="AB944" s="1475"/>
      <c r="AC944" s="1475"/>
      <c r="AD944" s="1475"/>
      <c r="AE944" s="1475"/>
      <c r="AF944" s="1476"/>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row>
    <row r="945" spans="1:110" ht="13" customHeight="1">
      <c r="F945" s="1568" t="s">
        <v>1694</v>
      </c>
      <c r="G945" s="1569"/>
      <c r="H945" s="1570"/>
      <c r="I945" s="1336" t="s">
        <v>1695</v>
      </c>
      <c r="J945" s="1337"/>
      <c r="K945" s="1337"/>
      <c r="L945" s="1337"/>
      <c r="M945" s="1337"/>
      <c r="N945" s="1337"/>
      <c r="O945" s="1337"/>
      <c r="P945" s="1337"/>
      <c r="Q945" s="1337"/>
      <c r="R945" s="1337"/>
      <c r="S945" s="1337"/>
      <c r="T945" s="1338"/>
      <c r="U945" s="1488" t="s">
        <v>837</v>
      </c>
      <c r="V945" s="1489"/>
      <c r="W945" s="1489"/>
      <c r="X945" s="1489"/>
      <c r="Y945" s="1489"/>
      <c r="Z945" s="1490"/>
      <c r="AA945" s="1474">
        <v>18826987</v>
      </c>
      <c r="AB945" s="1475"/>
      <c r="AC945" s="1475"/>
      <c r="AD945" s="1475"/>
      <c r="AE945" s="1475"/>
      <c r="AF945" s="1476"/>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row>
    <row r="946" spans="1:110" ht="13" customHeight="1">
      <c r="F946" s="1033" t="s">
        <v>1116</v>
      </c>
      <c r="G946" s="33"/>
      <c r="H946" s="33"/>
      <c r="I946" s="1336" t="s">
        <v>1695</v>
      </c>
      <c r="J946" s="1337"/>
      <c r="K946" s="1337"/>
      <c r="L946" s="1337"/>
      <c r="M946" s="1337"/>
      <c r="N946" s="1337"/>
      <c r="O946" s="1337"/>
      <c r="P946" s="1337"/>
      <c r="Q946" s="1337"/>
      <c r="R946" s="1337"/>
      <c r="S946" s="1337"/>
      <c r="T946" s="1338"/>
      <c r="U946" s="1488" t="s">
        <v>837</v>
      </c>
      <c r="V946" s="1489"/>
      <c r="W946" s="1489"/>
      <c r="X946" s="1489"/>
      <c r="Y946" s="1489"/>
      <c r="Z946" s="1490"/>
      <c r="AA946" s="1474">
        <v>4581532</v>
      </c>
      <c r="AB946" s="1475"/>
      <c r="AC946" s="1475"/>
      <c r="AD946" s="1475"/>
      <c r="AE946" s="1475"/>
      <c r="AF946" s="1476"/>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row>
    <row r="947" spans="1:110" ht="13" customHeight="1">
      <c r="F947" s="1033" t="s">
        <v>1696</v>
      </c>
      <c r="G947" s="33"/>
      <c r="H947" s="33"/>
      <c r="I947" s="1336" t="s">
        <v>1402</v>
      </c>
      <c r="J947" s="1337"/>
      <c r="K947" s="1337"/>
      <c r="L947" s="1337"/>
      <c r="M947" s="1337"/>
      <c r="N947" s="1337"/>
      <c r="O947" s="1337"/>
      <c r="P947" s="1337"/>
      <c r="Q947" s="1337"/>
      <c r="R947" s="1337"/>
      <c r="S947" s="1337"/>
      <c r="T947" s="1338"/>
      <c r="U947" s="1488" t="s">
        <v>299</v>
      </c>
      <c r="V947" s="1489"/>
      <c r="W947" s="1489"/>
      <c r="X947" s="1489"/>
      <c r="Y947" s="1489"/>
      <c r="Z947" s="1490"/>
      <c r="AA947" s="1474"/>
      <c r="AB947" s="1475"/>
      <c r="AC947" s="1475"/>
      <c r="AD947" s="1475"/>
      <c r="AE947" s="1475"/>
      <c r="AF947" s="1476"/>
      <c r="AV947" s="1"/>
      <c r="AW947" s="1"/>
      <c r="AX947" s="1"/>
      <c r="AY947" s="1"/>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row>
    <row r="948" spans="1:110" ht="13" customHeight="1">
      <c r="F948" s="32" t="s">
        <v>232</v>
      </c>
      <c r="G948" s="33"/>
      <c r="H948" s="33"/>
      <c r="I948" s="1336" t="s">
        <v>1499</v>
      </c>
      <c r="J948" s="1337"/>
      <c r="K948" s="1337"/>
      <c r="L948" s="1337"/>
      <c r="M948" s="1337"/>
      <c r="N948" s="1337"/>
      <c r="O948" s="1337"/>
      <c r="P948" s="1337"/>
      <c r="Q948" s="1337"/>
      <c r="R948" s="1337"/>
      <c r="S948" s="1337"/>
      <c r="T948" s="1338"/>
      <c r="U948" s="1488" t="s">
        <v>837</v>
      </c>
      <c r="V948" s="1489"/>
      <c r="W948" s="1489"/>
      <c r="X948" s="1489"/>
      <c r="Y948" s="1489"/>
      <c r="Z948" s="1490"/>
      <c r="AA948" s="1474">
        <f>AO628</f>
        <v>11000000</v>
      </c>
      <c r="AB948" s="1475"/>
      <c r="AC948" s="1475"/>
      <c r="AD948" s="1475"/>
      <c r="AE948" s="1475"/>
      <c r="AF948" s="1476"/>
      <c r="AU948" s="1"/>
      <c r="AZ948" s="2"/>
      <c r="BA948" s="2"/>
      <c r="BB948" s="2"/>
      <c r="BC948" s="2"/>
      <c r="BD948" s="2"/>
      <c r="BE948" s="2"/>
      <c r="BF948" s="2"/>
      <c r="BG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row>
    <row r="949" spans="1:110" ht="13" customHeight="1">
      <c r="F949" s="32" t="s">
        <v>232</v>
      </c>
      <c r="G949" s="33"/>
      <c r="H949" s="33"/>
      <c r="I949" s="1336" t="s">
        <v>1402</v>
      </c>
      <c r="J949" s="1337"/>
      <c r="K949" s="1337"/>
      <c r="L949" s="1337"/>
      <c r="M949" s="1337"/>
      <c r="N949" s="1337"/>
      <c r="O949" s="1337"/>
      <c r="P949" s="1337"/>
      <c r="Q949" s="1337"/>
      <c r="R949" s="1337"/>
      <c r="S949" s="1337"/>
      <c r="T949" s="1338"/>
      <c r="U949" s="1488" t="s">
        <v>299</v>
      </c>
      <c r="V949" s="1489"/>
      <c r="W949" s="1489"/>
      <c r="X949" s="1489"/>
      <c r="Y949" s="1489"/>
      <c r="Z949" s="1490"/>
      <c r="AA949" s="1474"/>
      <c r="AB949" s="1475"/>
      <c r="AC949" s="1475"/>
      <c r="AD949" s="1475"/>
      <c r="AE949" s="1475"/>
      <c r="AF949" s="1476"/>
      <c r="AU949" s="1"/>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row>
    <row r="950" spans="1:110" ht="13" customHeight="1">
      <c r="AU950" s="1"/>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row>
    <row r="951" spans="1:110" ht="13" customHeight="1">
      <c r="A951" s="1" t="s">
        <v>963</v>
      </c>
      <c r="C951" s="1" t="s">
        <v>246</v>
      </c>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row>
    <row r="952" spans="1:110" ht="13" customHeight="1">
      <c r="B952" s="1"/>
      <c r="C952" s="18" t="s">
        <v>1697</v>
      </c>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row>
    <row r="953" spans="1:110" ht="13" customHeight="1">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row>
    <row r="954" spans="1:110" ht="13" customHeight="1">
      <c r="C954" s="1035" t="s">
        <v>1698</v>
      </c>
      <c r="D954" s="4"/>
      <c r="E954" s="4"/>
      <c r="F954" s="4"/>
      <c r="G954" s="4"/>
      <c r="H954" s="4"/>
      <c r="I954" s="4"/>
      <c r="J954" s="4"/>
      <c r="K954" s="4"/>
      <c r="L954" s="1034"/>
      <c r="M954" s="1597">
        <v>45329</v>
      </c>
      <c r="N954" s="1598"/>
      <c r="O954" s="1598"/>
      <c r="P954" s="1598"/>
      <c r="Q954" s="1598"/>
      <c r="R954" s="1598"/>
      <c r="S954" s="1599"/>
      <c r="U954" s="1035" t="s">
        <v>1698</v>
      </c>
      <c r="V954" s="4"/>
      <c r="W954" s="4"/>
      <c r="X954" s="4"/>
      <c r="Y954" s="4"/>
      <c r="Z954" s="4"/>
      <c r="AA954" s="4"/>
      <c r="AB954" s="4"/>
      <c r="AC954" s="4"/>
      <c r="AD954" s="1034"/>
      <c r="AE954" s="1597"/>
      <c r="AF954" s="1598"/>
      <c r="AG954" s="1598"/>
      <c r="AH954" s="1598"/>
      <c r="AI954" s="1598"/>
      <c r="AJ954" s="1598"/>
      <c r="AK954" s="1599"/>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row>
    <row r="955" spans="1:110" ht="13" customHeight="1">
      <c r="C955" s="1035" t="s">
        <v>1699</v>
      </c>
      <c r="D955" s="4"/>
      <c r="E955" s="4"/>
      <c r="F955" s="4"/>
      <c r="G955" s="4"/>
      <c r="H955" s="4"/>
      <c r="I955" s="4"/>
      <c r="J955" s="4"/>
      <c r="K955" s="4"/>
      <c r="L955" s="1034"/>
      <c r="M955" s="1480" t="s">
        <v>1700</v>
      </c>
      <c r="N955" s="1394"/>
      <c r="O955" s="1394"/>
      <c r="P955" s="1394"/>
      <c r="Q955" s="1394"/>
      <c r="R955" s="1394"/>
      <c r="S955" s="1481"/>
      <c r="U955" s="1035" t="s">
        <v>1699</v>
      </c>
      <c r="V955" s="4"/>
      <c r="W955" s="4"/>
      <c r="X955" s="4"/>
      <c r="Y955" s="4"/>
      <c r="Z955" s="4"/>
      <c r="AA955" s="4"/>
      <c r="AB955" s="4"/>
      <c r="AC955" s="4"/>
      <c r="AD955" s="1034"/>
      <c r="AE955" s="1480"/>
      <c r="AF955" s="1394"/>
      <c r="AG955" s="1394"/>
      <c r="AH955" s="1394"/>
      <c r="AI955" s="1394"/>
      <c r="AJ955" s="1394"/>
      <c r="AK955" s="1481"/>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row>
    <row r="956" spans="1:110" ht="13" customHeight="1">
      <c r="C956" s="1035" t="s">
        <v>1701</v>
      </c>
      <c r="D956" s="4"/>
      <c r="E956" s="4"/>
      <c r="J956" s="1485" t="s">
        <v>1702</v>
      </c>
      <c r="K956" s="1486"/>
      <c r="L956" s="1486"/>
      <c r="M956" s="1486"/>
      <c r="N956" s="1486"/>
      <c r="O956" s="1486"/>
      <c r="P956" s="1486"/>
      <c r="Q956" s="1486"/>
      <c r="R956" s="1486"/>
      <c r="S956" s="1487"/>
      <c r="U956" s="1035" t="s">
        <v>1701</v>
      </c>
      <c r="V956" s="4"/>
      <c r="W956" s="4"/>
      <c r="AB956" s="1485" t="s">
        <v>294</v>
      </c>
      <c r="AC956" s="1486"/>
      <c r="AD956" s="1486"/>
      <c r="AE956" s="1486"/>
      <c r="AF956" s="1486"/>
      <c r="AG956" s="1486"/>
      <c r="AH956" s="1486"/>
      <c r="AI956" s="1486"/>
      <c r="AJ956" s="1486"/>
      <c r="AK956" s="1487"/>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row>
    <row r="957" spans="1:110" ht="13" customHeight="1">
      <c r="C957" s="1035" t="s">
        <v>1703</v>
      </c>
      <c r="D957" s="4"/>
      <c r="E957" s="4"/>
      <c r="F957" s="4"/>
      <c r="G957" s="4"/>
      <c r="H957" s="4"/>
      <c r="I957" s="4"/>
      <c r="J957" s="4"/>
      <c r="K957" s="4"/>
      <c r="L957" s="1034"/>
      <c r="M957" s="1678">
        <v>0.47</v>
      </c>
      <c r="N957" s="1612"/>
      <c r="O957" s="1612"/>
      <c r="P957" s="1612"/>
      <c r="Q957" s="1612"/>
      <c r="R957" s="1612"/>
      <c r="S957" s="1613"/>
      <c r="U957" s="1035" t="s">
        <v>1703</v>
      </c>
      <c r="V957" s="4"/>
      <c r="W957" s="4"/>
      <c r="X957" s="4"/>
      <c r="Y957" s="4"/>
      <c r="Z957" s="4"/>
      <c r="AA957" s="4"/>
      <c r="AB957" s="4"/>
      <c r="AC957" s="4"/>
      <c r="AD957" s="1034"/>
      <c r="AE957" s="1611"/>
      <c r="AF957" s="1612"/>
      <c r="AG957" s="1612"/>
      <c r="AH957" s="1612"/>
      <c r="AI957" s="1612"/>
      <c r="AJ957" s="1612"/>
      <c r="AK957" s="1613"/>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row>
    <row r="958" spans="1:110" ht="13" customHeight="1">
      <c r="C958" s="1035" t="s">
        <v>1704</v>
      </c>
      <c r="D958" s="4"/>
      <c r="E958" s="4"/>
      <c r="F958" s="4"/>
      <c r="G958" s="4"/>
      <c r="H958" s="4"/>
      <c r="I958" s="4"/>
      <c r="J958" s="4"/>
      <c r="K958" s="4"/>
      <c r="L958" s="1034"/>
      <c r="M958" s="1601">
        <v>25</v>
      </c>
      <c r="N958" s="1602"/>
      <c r="O958" s="1602"/>
      <c r="P958" s="1602"/>
      <c r="Q958" s="1602"/>
      <c r="R958" s="1602"/>
      <c r="S958" s="1603"/>
      <c r="U958" s="1035" t="s">
        <v>1704</v>
      </c>
      <c r="V958" s="4"/>
      <c r="W958" s="4"/>
      <c r="X958" s="4"/>
      <c r="Y958" s="4"/>
      <c r="Z958" s="4"/>
      <c r="AA958" s="4"/>
      <c r="AB958" s="4"/>
      <c r="AC958" s="4"/>
      <c r="AD958" s="1034"/>
      <c r="AE958" s="1601"/>
      <c r="AF958" s="1602"/>
      <c r="AG958" s="1602"/>
      <c r="AH958" s="1602"/>
      <c r="AI958" s="1602"/>
      <c r="AJ958" s="1602"/>
      <c r="AK958" s="1603"/>
      <c r="AV958" s="1"/>
      <c r="AW958" s="1"/>
      <c r="AX958" s="1"/>
      <c r="AY958" s="1"/>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row>
    <row r="959" spans="1:110" ht="13" customHeight="1">
      <c r="C959" s="1035" t="s">
        <v>1705</v>
      </c>
      <c r="D959" s="4"/>
      <c r="E959" s="4"/>
      <c r="F959" s="4"/>
      <c r="G959" s="4"/>
      <c r="H959" s="4"/>
      <c r="I959" s="4"/>
      <c r="J959" s="4"/>
      <c r="K959" s="4"/>
      <c r="L959" s="1034"/>
      <c r="M959" s="1474">
        <v>583500</v>
      </c>
      <c r="N959" s="1475"/>
      <c r="O959" s="1475"/>
      <c r="P959" s="1475"/>
      <c r="Q959" s="1475"/>
      <c r="R959" s="1475"/>
      <c r="S959" s="1476"/>
      <c r="U959" s="1035" t="s">
        <v>1705</v>
      </c>
      <c r="V959" s="4"/>
      <c r="W959" s="4"/>
      <c r="X959" s="4"/>
      <c r="Y959" s="4"/>
      <c r="Z959" s="4"/>
      <c r="AA959" s="4"/>
      <c r="AB959" s="4"/>
      <c r="AC959" s="4"/>
      <c r="AD959" s="1034"/>
      <c r="AE959" s="1474"/>
      <c r="AF959" s="1475"/>
      <c r="AG959" s="1475"/>
      <c r="AH959" s="1475"/>
      <c r="AI959" s="1475"/>
      <c r="AJ959" s="1475"/>
      <c r="AK959" s="1476"/>
      <c r="AV959" s="1"/>
      <c r="AW959" s="1"/>
      <c r="AX959" s="1"/>
      <c r="AY959" s="1"/>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row>
    <row r="960" spans="1:110" ht="13" customHeight="1">
      <c r="C960" s="1035" t="s">
        <v>1706</v>
      </c>
      <c r="D960" s="4"/>
      <c r="E960" s="4"/>
      <c r="F960" s="4"/>
      <c r="G960" s="4"/>
      <c r="H960" s="4"/>
      <c r="I960" s="4"/>
      <c r="J960" s="4"/>
      <c r="K960" s="4"/>
      <c r="L960" s="1034"/>
      <c r="M960" s="1474">
        <f>M959*M961</f>
        <v>8752500</v>
      </c>
      <c r="N960" s="1475"/>
      <c r="O960" s="1475"/>
      <c r="P960" s="1475"/>
      <c r="Q960" s="1475"/>
      <c r="R960" s="1475"/>
      <c r="S960" s="1476"/>
      <c r="U960" s="1035" t="s">
        <v>1706</v>
      </c>
      <c r="V960" s="4"/>
      <c r="W960" s="4"/>
      <c r="X960" s="4"/>
      <c r="Y960" s="4"/>
      <c r="Z960" s="4"/>
      <c r="AA960" s="4"/>
      <c r="AB960" s="4"/>
      <c r="AC960" s="4"/>
      <c r="AD960" s="1034"/>
      <c r="AE960" s="1474"/>
      <c r="AF960" s="1475"/>
      <c r="AG960" s="1475"/>
      <c r="AH960" s="1475"/>
      <c r="AI960" s="1475"/>
      <c r="AJ960" s="1475"/>
      <c r="AK960" s="1476"/>
      <c r="AV960" s="1"/>
      <c r="AW960" s="1"/>
      <c r="AX960" s="1"/>
      <c r="AY960" s="1"/>
      <c r="AZ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row>
    <row r="961" spans="1:159" ht="13" customHeight="1">
      <c r="C961" s="1035" t="s">
        <v>1297</v>
      </c>
      <c r="D961" s="4"/>
      <c r="E961" s="4"/>
      <c r="F961" s="4"/>
      <c r="G961" s="4"/>
      <c r="H961" s="4"/>
      <c r="I961" s="4"/>
      <c r="J961" s="4"/>
      <c r="K961" s="4"/>
      <c r="L961" s="1034"/>
      <c r="M961" s="1491">
        <v>15</v>
      </c>
      <c r="N961" s="1492"/>
      <c r="O961" s="1492"/>
      <c r="P961" s="1492"/>
      <c r="Q961" s="1492"/>
      <c r="R961" s="1492"/>
      <c r="S961" s="1493"/>
      <c r="U961" s="1035" t="s">
        <v>1297</v>
      </c>
      <c r="V961" s="4"/>
      <c r="W961" s="4"/>
      <c r="X961" s="4"/>
      <c r="Y961" s="4"/>
      <c r="Z961" s="4"/>
      <c r="AA961" s="4"/>
      <c r="AB961" s="4"/>
      <c r="AC961" s="4"/>
      <c r="AD961" s="1034"/>
      <c r="AE961" s="1491"/>
      <c r="AF961" s="1492"/>
      <c r="AG961" s="1492"/>
      <c r="AH961" s="1492"/>
      <c r="AI961" s="1492"/>
      <c r="AJ961" s="1492"/>
      <c r="AK961" s="1493"/>
      <c r="AZ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row>
    <row r="962" spans="1:159" ht="13" customHeight="1">
      <c r="AZ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row>
    <row r="963" spans="1:159" ht="13" customHeight="1">
      <c r="A963" s="1" t="s">
        <v>1042</v>
      </c>
      <c r="C963" s="1" t="s">
        <v>1707</v>
      </c>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54"/>
      <c r="AZ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row>
    <row r="964" spans="1:159" s="12" customFormat="1" ht="13" customHeight="1">
      <c r="A964"/>
      <c r="B964" s="1"/>
      <c r="C964" s="18" t="s">
        <v>1708</v>
      </c>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54"/>
      <c r="AV964"/>
      <c r="AW964"/>
      <c r="AX964"/>
      <c r="AY964"/>
      <c r="AZ964" s="2"/>
      <c r="BA964"/>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2" customFormat="1" ht="13" customHeight="1">
      <c r="A965"/>
      <c r="B965" s="1"/>
      <c r="C965" s="18"/>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066"/>
      <c r="AV965"/>
      <c r="AW965"/>
      <c r="AX965"/>
      <c r="AY965"/>
      <c r="AZ965" s="2"/>
      <c r="BA965"/>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2" customFormat="1" ht="13" customHeight="1">
      <c r="A966"/>
      <c r="B966"/>
      <c r="C966"/>
      <c r="D966"/>
      <c r="E966"/>
      <c r="F966" s="1033" t="s">
        <v>1709</v>
      </c>
      <c r="G966" s="4"/>
      <c r="H966" s="4"/>
      <c r="I966" s="4"/>
      <c r="J966" s="4"/>
      <c r="K966" s="4"/>
      <c r="L966" s="1034"/>
      <c r="M966" s="1467"/>
      <c r="N966" s="1468"/>
      <c r="O966" s="1468"/>
      <c r="P966" s="1468"/>
      <c r="Q966" s="1468"/>
      <c r="R966" s="1468"/>
      <c r="S966" s="1469"/>
      <c r="T966" s="1035" t="s">
        <v>1710</v>
      </c>
      <c r="U966" s="4"/>
      <c r="V966" s="4"/>
      <c r="W966" s="4"/>
      <c r="X966" s="4"/>
      <c r="Y966" s="4"/>
      <c r="Z966" s="1034"/>
      <c r="AA966" s="1467"/>
      <c r="AB966" s="1468"/>
      <c r="AC966" s="1468"/>
      <c r="AD966" s="1468"/>
      <c r="AE966" s="1468"/>
      <c r="AF966" s="1468"/>
      <c r="AG966" s="1469"/>
      <c r="AH966"/>
      <c r="AI966"/>
      <c r="AJ966"/>
      <c r="AK966"/>
      <c r="AL966"/>
      <c r="AM966"/>
      <c r="AN966"/>
      <c r="AO966"/>
      <c r="AP966"/>
      <c r="AQ966"/>
      <c r="AR966"/>
      <c r="AS966"/>
      <c r="AT966"/>
      <c r="AU966" s="1066"/>
      <c r="AV966"/>
      <c r="AW966"/>
      <c r="AX966"/>
      <c r="AY966"/>
      <c r="AZ966" s="2"/>
      <c r="BA966"/>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2" customFormat="1" ht="13" customHeight="1">
      <c r="A967"/>
      <c r="B967"/>
      <c r="C967"/>
      <c r="D967"/>
      <c r="E967"/>
      <c r="F967" s="1033" t="s">
        <v>1711</v>
      </c>
      <c r="G967" s="4"/>
      <c r="H967" s="4"/>
      <c r="I967" s="4"/>
      <c r="J967" s="4"/>
      <c r="K967" s="4"/>
      <c r="L967" s="1034"/>
      <c r="M967" s="1467"/>
      <c r="N967" s="1468"/>
      <c r="O967" s="1468"/>
      <c r="P967" s="1468"/>
      <c r="Q967" s="1468"/>
      <c r="R967" s="1468"/>
      <c r="S967" s="1469"/>
      <c r="T967" s="1035" t="s">
        <v>1712</v>
      </c>
      <c r="U967" s="4"/>
      <c r="V967" s="4"/>
      <c r="W967" s="4"/>
      <c r="X967" s="4"/>
      <c r="Y967" s="4"/>
      <c r="Z967" s="1034"/>
      <c r="AA967" s="1467"/>
      <c r="AB967" s="1468"/>
      <c r="AC967" s="1468"/>
      <c r="AD967" s="1468"/>
      <c r="AE967" s="1468"/>
      <c r="AF967" s="1468"/>
      <c r="AG967" s="1469"/>
      <c r="AH967"/>
      <c r="AI967"/>
      <c r="AJ967"/>
      <c r="AK967"/>
      <c r="AL967"/>
      <c r="AM967"/>
      <c r="AN967"/>
      <c r="AO967"/>
      <c r="AP967"/>
      <c r="AQ967"/>
      <c r="AR967"/>
      <c r="AS967"/>
      <c r="AT967"/>
      <c r="AU967" s="1066"/>
      <c r="AV967"/>
      <c r="AW967"/>
      <c r="AX967"/>
      <c r="AY967"/>
      <c r="AZ967" s="2"/>
      <c r="BA967"/>
      <c r="BB967" s="2"/>
      <c r="BC967" s="2"/>
      <c r="BD967" s="2"/>
      <c r="BE967" s="2"/>
      <c r="BF967"/>
      <c r="BG967"/>
      <c r="BH967"/>
      <c r="BI967"/>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2" customFormat="1" ht="13" customHeight="1">
      <c r="A968"/>
      <c r="B968"/>
      <c r="C968"/>
      <c r="D968"/>
      <c r="E968"/>
      <c r="F968" s="1033" t="s">
        <v>1713</v>
      </c>
      <c r="G968" s="4"/>
      <c r="H968" s="4"/>
      <c r="I968" s="4"/>
      <c r="J968" s="4"/>
      <c r="K968" s="4"/>
      <c r="L968" s="1034"/>
      <c r="M968" s="1585" t="s">
        <v>299</v>
      </c>
      <c r="N968" s="1586"/>
      <c r="O968" s="1586"/>
      <c r="P968" s="1586"/>
      <c r="Q968" s="1586"/>
      <c r="R968" s="1586"/>
      <c r="S968" s="1587"/>
      <c r="T968" s="1033" t="s">
        <v>1714</v>
      </c>
      <c r="U968" s="4"/>
      <c r="V968" s="4"/>
      <c r="W968" s="4"/>
      <c r="X968" s="4"/>
      <c r="Y968" s="4"/>
      <c r="Z968" s="1034"/>
      <c r="AA968" s="1467"/>
      <c r="AB968" s="1468"/>
      <c r="AC968" s="1468"/>
      <c r="AD968" s="1468"/>
      <c r="AE968" s="1468"/>
      <c r="AF968" s="1468"/>
      <c r="AG968" s="1469"/>
      <c r="AH968"/>
      <c r="AI968"/>
      <c r="AJ968"/>
      <c r="AK968"/>
      <c r="AL968"/>
      <c r="AM968"/>
      <c r="AN968"/>
      <c r="AO968"/>
      <c r="AP968"/>
      <c r="AQ968"/>
      <c r="AR968"/>
      <c r="AS968"/>
      <c r="AT968"/>
      <c r="AU968" s="1066"/>
      <c r="AV968"/>
      <c r="AW968"/>
      <c r="AX968"/>
      <c r="AY968"/>
      <c r="AZ968" s="2"/>
      <c r="BA968"/>
      <c r="BB968" s="2"/>
      <c r="BC968" s="2"/>
      <c r="BD968" s="2"/>
      <c r="BE968" s="2"/>
      <c r="BF968"/>
      <c r="BG968"/>
      <c r="BH968"/>
      <c r="BI968"/>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2" customFormat="1" ht="13" customHeight="1">
      <c r="A969"/>
      <c r="B969"/>
      <c r="C969"/>
      <c r="D969"/>
      <c r="E969"/>
      <c r="F969" s="1033" t="s">
        <v>1715</v>
      </c>
      <c r="G969" s="4"/>
      <c r="H969" s="4"/>
      <c r="I969" s="4"/>
      <c r="J969" s="4"/>
      <c r="K969" s="4"/>
      <c r="L969" s="1034"/>
      <c r="M969" s="1467"/>
      <c r="N969" s="1468"/>
      <c r="O969" s="1468"/>
      <c r="P969" s="1468"/>
      <c r="Q969" s="1468"/>
      <c r="R969" s="1468"/>
      <c r="S969" s="1469"/>
      <c r="T969" s="1033" t="s">
        <v>1716</v>
      </c>
      <c r="U969" s="4"/>
      <c r="V969" s="4"/>
      <c r="W969" s="4"/>
      <c r="X969" s="4"/>
      <c r="Y969" s="4"/>
      <c r="Z969" s="1034"/>
      <c r="AA969" s="1467"/>
      <c r="AB969" s="1468"/>
      <c r="AC969" s="1468"/>
      <c r="AD969" s="1468"/>
      <c r="AE969" s="1468"/>
      <c r="AF969" s="1468"/>
      <c r="AG969" s="1469"/>
      <c r="AH969"/>
      <c r="AI969"/>
      <c r="AJ969"/>
      <c r="AK969"/>
      <c r="AL969"/>
      <c r="AM969"/>
      <c r="AN969"/>
      <c r="AO969"/>
      <c r="AP969"/>
      <c r="AQ969"/>
      <c r="AR969"/>
      <c r="AS969"/>
      <c r="AT969"/>
      <c r="AU969" s="1066"/>
      <c r="AV969"/>
      <c r="AW969"/>
      <c r="AX969"/>
      <c r="AY969"/>
      <c r="AZ969" s="2"/>
      <c r="BA969"/>
      <c r="BB969" s="2"/>
      <c r="BC969" s="2"/>
      <c r="BD969" s="2"/>
      <c r="BE969" s="2"/>
      <c r="BF969"/>
      <c r="BG969"/>
      <c r="BH969"/>
      <c r="BI969"/>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2" customFormat="1" ht="13" customHeight="1">
      <c r="A970"/>
      <c r="B970"/>
      <c r="C970"/>
      <c r="D970"/>
      <c r="E970"/>
      <c r="F970" s="1033" t="s">
        <v>1717</v>
      </c>
      <c r="G970" s="4"/>
      <c r="H970" s="4"/>
      <c r="I970" s="4"/>
      <c r="J970" s="4"/>
      <c r="K970" s="4"/>
      <c r="L970" s="1034"/>
      <c r="M970" s="1467"/>
      <c r="N970" s="1468"/>
      <c r="O970" s="1468"/>
      <c r="P970" s="1468"/>
      <c r="Q970" s="1468"/>
      <c r="R970" s="1468"/>
      <c r="S970" s="1469"/>
      <c r="T970" s="1033" t="s">
        <v>1718</v>
      </c>
      <c r="U970" s="4"/>
      <c r="V970" s="4"/>
      <c r="W970" s="4"/>
      <c r="X970" s="4"/>
      <c r="Y970" s="4"/>
      <c r="Z970" s="1034"/>
      <c r="AA970" s="1467"/>
      <c r="AB970" s="1468"/>
      <c r="AC970" s="1468"/>
      <c r="AD970" s="1468"/>
      <c r="AE970" s="1468"/>
      <c r="AF970" s="1468"/>
      <c r="AG970" s="1469"/>
      <c r="AH970"/>
      <c r="AI970"/>
      <c r="AJ970"/>
      <c r="AK970"/>
      <c r="AL970"/>
      <c r="AM970"/>
      <c r="AN970"/>
      <c r="AO970"/>
      <c r="AP970"/>
      <c r="AQ970"/>
      <c r="AR970"/>
      <c r="AS970"/>
      <c r="AT970"/>
      <c r="AU970" s="1066"/>
      <c r="AV970"/>
      <c r="AW970"/>
      <c r="AX970"/>
      <c r="AY970"/>
      <c r="AZ970" s="2"/>
      <c r="BA970"/>
      <c r="BB970" s="2"/>
      <c r="BC970" s="2"/>
      <c r="BD970" s="2"/>
      <c r="BE970" s="2"/>
      <c r="BF970"/>
      <c r="BG970"/>
      <c r="BH970"/>
      <c r="BI970"/>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2" customFormat="1" ht="13" customHeight="1">
      <c r="A971"/>
      <c r="B971"/>
      <c r="C971"/>
      <c r="D971"/>
      <c r="E971"/>
      <c r="F971" s="1067" t="s">
        <v>1701</v>
      </c>
      <c r="G971" s="31"/>
      <c r="H971" s="31"/>
      <c r="I971" s="31"/>
      <c r="J971" s="31"/>
      <c r="K971" s="31"/>
      <c r="L971" s="39"/>
      <c r="M971" s="1485" t="s">
        <v>294</v>
      </c>
      <c r="N971" s="1486"/>
      <c r="O971" s="1486"/>
      <c r="P971" s="1486"/>
      <c r="Q971" s="1486"/>
      <c r="R971" s="1486"/>
      <c r="S971" s="1487"/>
      <c r="T971" s="1581"/>
      <c r="U971" s="1582"/>
      <c r="V971" s="1582"/>
      <c r="W971" s="1582"/>
      <c r="X971" s="1582"/>
      <c r="Y971" s="1582"/>
      <c r="Z971" s="1583"/>
      <c r="AA971" s="1467"/>
      <c r="AB971" s="1468"/>
      <c r="AC971" s="1468"/>
      <c r="AD971" s="1468"/>
      <c r="AE971" s="1468"/>
      <c r="AF971" s="1468"/>
      <c r="AG971" s="1469"/>
      <c r="AH971"/>
      <c r="AI971"/>
      <c r="AJ971"/>
      <c r="AK971"/>
      <c r="AL971"/>
      <c r="AM971"/>
      <c r="AN971"/>
      <c r="AO971"/>
      <c r="AP971"/>
      <c r="AQ971"/>
      <c r="AR971"/>
      <c r="AS971"/>
      <c r="AT971"/>
      <c r="AU971" s="1066"/>
      <c r="AV971"/>
      <c r="AW971"/>
      <c r="AX971"/>
      <c r="AY971"/>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2" customFormat="1" ht="13" customHeight="1">
      <c r="A972"/>
      <c r="B972"/>
      <c r="C972"/>
      <c r="D972"/>
      <c r="E972"/>
      <c r="F972" s="30" t="s">
        <v>1719</v>
      </c>
      <c r="G972" s="31"/>
      <c r="H972" s="31"/>
      <c r="I972" s="31"/>
      <c r="J972" s="31"/>
      <c r="K972" s="31"/>
      <c r="L972" s="39"/>
      <c r="M972" s="1467"/>
      <c r="N972" s="1468"/>
      <c r="O972" s="1468"/>
      <c r="P972" s="1468"/>
      <c r="Q972" s="1468"/>
      <c r="R972" s="1468"/>
      <c r="S972" s="1469"/>
      <c r="T972" s="1581"/>
      <c r="U972" s="1582"/>
      <c r="V972" s="1582"/>
      <c r="W972" s="1582"/>
      <c r="X972" s="1582"/>
      <c r="Y972" s="1582"/>
      <c r="Z972" s="1583"/>
      <c r="AA972" s="1467"/>
      <c r="AB972" s="1468"/>
      <c r="AC972" s="1468"/>
      <c r="AD972" s="1468"/>
      <c r="AE972" s="1468"/>
      <c r="AF972" s="1468"/>
      <c r="AG972" s="1469"/>
      <c r="AH972"/>
      <c r="AI972"/>
      <c r="AJ972"/>
      <c r="AK972"/>
      <c r="AL972"/>
      <c r="AM972"/>
      <c r="AN972"/>
      <c r="AO972"/>
      <c r="AP972"/>
      <c r="AQ972"/>
      <c r="AR972"/>
      <c r="AS972"/>
      <c r="AT972"/>
      <c r="AU972" s="1066"/>
      <c r="AV972"/>
      <c r="AW972"/>
      <c r="AX972"/>
      <c r="AY97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30" t="s">
        <v>1720</v>
      </c>
      <c r="G973" s="31"/>
      <c r="H973" s="31"/>
      <c r="I973" s="31"/>
      <c r="J973" s="31"/>
      <c r="K973" s="31"/>
      <c r="L973" s="31"/>
      <c r="M973" s="31"/>
      <c r="N973" s="31"/>
      <c r="O973" s="1659" t="s">
        <v>895</v>
      </c>
      <c r="P973" s="1640"/>
      <c r="Q973" s="52"/>
      <c r="R973" s="52"/>
      <c r="S973" s="53"/>
      <c r="T973" s="30" t="s">
        <v>232</v>
      </c>
      <c r="U973" s="31"/>
      <c r="V973" s="31"/>
      <c r="W973" s="1604" t="s">
        <v>1402</v>
      </c>
      <c r="X973" s="1605"/>
      <c r="Y973" s="1605"/>
      <c r="Z973" s="1605"/>
      <c r="AA973" s="1605"/>
      <c r="AB973" s="1605"/>
      <c r="AC973" s="1605"/>
      <c r="AD973" s="1605"/>
      <c r="AE973" s="1605"/>
      <c r="AF973" s="1605"/>
      <c r="AG973" s="1606"/>
      <c r="AU973" s="1066"/>
      <c r="AV973" s="54"/>
      <c r="AW973" s="54"/>
      <c r="AX973" s="54"/>
      <c r="AY973" s="54"/>
      <c r="AZ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row>
    <row r="974" spans="1:159" ht="13" customHeight="1">
      <c r="F974" s="1685" t="s">
        <v>1721</v>
      </c>
      <c r="G974" s="1395"/>
      <c r="H974" s="1395"/>
      <c r="I974" s="1395"/>
      <c r="J974" s="1395"/>
      <c r="K974" s="1395"/>
      <c r="L974" s="1395"/>
      <c r="M974" s="1467"/>
      <c r="N974" s="1468"/>
      <c r="O974" s="1468"/>
      <c r="P974" s="1468"/>
      <c r="Q974" s="1468"/>
      <c r="R974" s="1468"/>
      <c r="S974" s="1469"/>
      <c r="T974" s="32"/>
      <c r="U974" s="33"/>
      <c r="V974" s="33"/>
      <c r="W974" s="33"/>
      <c r="X974" s="33"/>
      <c r="Y974" s="33"/>
      <c r="Z974" s="72" t="s">
        <v>1722</v>
      </c>
      <c r="AA974" s="1494"/>
      <c r="AB974" s="1495"/>
      <c r="AC974" s="1495"/>
      <c r="AD974" s="1495"/>
      <c r="AE974" s="1495"/>
      <c r="AF974" s="1495"/>
      <c r="AG974" s="1496"/>
      <c r="AU974" s="1066"/>
      <c r="AV974" s="54"/>
      <c r="AW974" s="54"/>
      <c r="AX974" s="54"/>
      <c r="AY974" s="54"/>
      <c r="AZ974" s="12"/>
      <c r="BA974" s="12"/>
      <c r="BB974" s="2"/>
      <c r="BC974" s="2"/>
      <c r="BD974" s="2"/>
      <c r="BE974" s="2"/>
      <c r="BF974" s="2"/>
      <c r="BG974" s="12"/>
      <c r="BH974" s="12"/>
      <c r="BI974" s="12"/>
      <c r="BJ974" s="12"/>
      <c r="BK974" s="12"/>
      <c r="BL974" s="12"/>
      <c r="BM974" s="12"/>
      <c r="BN974" s="12"/>
      <c r="BO974" s="12"/>
      <c r="BP974" s="12"/>
      <c r="BQ974" s="12"/>
      <c r="BR974" s="12"/>
      <c r="BS974" s="12"/>
      <c r="BT974" s="12"/>
      <c r="BU974" s="12"/>
      <c r="BV974" s="12"/>
      <c r="BW974" s="12"/>
      <c r="BX974" s="12"/>
      <c r="BY974" s="12"/>
      <c r="BZ974" s="12"/>
      <c r="CA974" s="12"/>
      <c r="CB974" s="12"/>
      <c r="CC974" s="12"/>
      <c r="CD974" s="12"/>
      <c r="CE974" s="12"/>
      <c r="CF974" s="12"/>
      <c r="CG974" s="12"/>
      <c r="CH974" s="12"/>
      <c r="CI974" s="12"/>
      <c r="CJ974" s="12"/>
      <c r="CK974" s="12"/>
      <c r="CL974" s="12"/>
      <c r="CM974" s="12"/>
      <c r="CN974" s="12"/>
      <c r="CO974" s="12"/>
      <c r="CP974" s="12"/>
      <c r="CQ974" s="12"/>
      <c r="CR974" s="12"/>
      <c r="CS974" s="12"/>
      <c r="CT974" s="12"/>
      <c r="CU974" s="12"/>
      <c r="CV974" s="12"/>
      <c r="CW974" s="12"/>
      <c r="CX974" s="12"/>
      <c r="CY974" s="12"/>
      <c r="CZ974" s="12"/>
      <c r="DA974" s="12"/>
      <c r="DB974" s="12"/>
      <c r="DC974" s="12"/>
      <c r="DD974" s="12"/>
      <c r="DE974" s="12"/>
      <c r="DF974" s="12"/>
      <c r="DG974" s="12"/>
      <c r="DH974" s="12"/>
      <c r="DI974" s="12"/>
      <c r="DJ974" s="12"/>
      <c r="DK974" s="12"/>
      <c r="DL974" s="12"/>
      <c r="DM974" s="12"/>
      <c r="DN974" s="12"/>
      <c r="DO974" s="12"/>
      <c r="DP974" s="12"/>
      <c r="DQ974" s="12"/>
      <c r="DR974" s="12"/>
      <c r="DS974" s="12"/>
      <c r="DT974" s="12"/>
      <c r="DU974" s="12"/>
      <c r="DV974" s="12"/>
      <c r="DW974" s="12"/>
      <c r="FB974" s="12"/>
      <c r="FC974" s="12"/>
    </row>
    <row r="975" spans="1:159" ht="13" customHeight="1">
      <c r="AU975" s="1066"/>
      <c r="AV975" s="1066"/>
      <c r="AW975" s="1066"/>
      <c r="AX975" s="1066"/>
      <c r="AY975" s="1066"/>
      <c r="AZ975" s="12"/>
      <c r="BA975" s="12"/>
      <c r="BB975" s="12"/>
      <c r="BC975" s="12"/>
      <c r="BD975" s="12"/>
      <c r="BE975" s="12"/>
      <c r="BF975" s="12"/>
      <c r="BG975" s="1600"/>
      <c r="BH975" s="1600"/>
      <c r="BI975" s="1600"/>
      <c r="BJ975" s="1600"/>
      <c r="BK975" s="1600"/>
      <c r="BL975" s="1600"/>
      <c r="BM975" s="12"/>
      <c r="BN975" s="12"/>
      <c r="BO975" s="12"/>
      <c r="BP975" s="12"/>
      <c r="BQ975" s="12"/>
      <c r="BR975" s="12"/>
      <c r="BS975" s="12"/>
      <c r="BT975" s="12"/>
      <c r="BU975" s="12"/>
      <c r="BV975" s="12"/>
      <c r="BW975" s="12"/>
      <c r="BX975" s="12"/>
      <c r="BY975" s="12"/>
      <c r="BZ975" s="12"/>
      <c r="CA975" s="12"/>
      <c r="CB975" s="12"/>
      <c r="CC975" s="12"/>
      <c r="CD975" s="12"/>
      <c r="CE975" s="12"/>
      <c r="CF975" s="12"/>
      <c r="CG975" s="12"/>
      <c r="CH975" s="12"/>
      <c r="CI975" s="12"/>
      <c r="CJ975" s="12"/>
      <c r="CK975" s="12"/>
      <c r="CL975" s="12"/>
      <c r="CM975" s="12"/>
      <c r="CN975" s="12"/>
      <c r="CO975" s="12"/>
      <c r="CP975" s="12"/>
      <c r="CQ975" s="12"/>
      <c r="CR975" s="12"/>
      <c r="CS975" s="12"/>
      <c r="CT975" s="12"/>
      <c r="CU975" s="12"/>
      <c r="CV975" s="12"/>
      <c r="CW975" s="12"/>
      <c r="CX975" s="12"/>
      <c r="CY975" s="12"/>
      <c r="CZ975" s="12"/>
      <c r="DA975" s="12"/>
      <c r="DB975" s="12"/>
      <c r="DC975" s="12"/>
      <c r="DD975" s="12"/>
      <c r="DE975" s="12"/>
      <c r="DF975" s="12"/>
      <c r="DG975" s="12"/>
      <c r="DH975" s="12"/>
      <c r="DI975" s="12"/>
      <c r="DJ975" s="12"/>
      <c r="DK975" s="12"/>
      <c r="DL975" s="12"/>
      <c r="DM975" s="12"/>
      <c r="DN975" s="12"/>
      <c r="DO975" s="12"/>
      <c r="DP975" s="12"/>
      <c r="DQ975" s="12"/>
      <c r="DR975" s="12"/>
      <c r="DS975" s="12"/>
      <c r="DT975" s="12"/>
      <c r="DU975" s="12"/>
      <c r="DV975" s="12"/>
      <c r="DW975" s="12"/>
      <c r="FB975" s="12"/>
      <c r="FC975" s="12"/>
    </row>
    <row r="976" spans="1:159" ht="13" customHeight="1">
      <c r="AU976" s="1066"/>
      <c r="AV976" s="1066"/>
      <c r="AW976" s="1066"/>
      <c r="AX976" s="1066"/>
      <c r="AY976" s="1066"/>
      <c r="AZ976" s="12"/>
      <c r="BA976" s="12"/>
      <c r="BB976" s="739"/>
      <c r="BC976" s="739"/>
      <c r="BD976" s="12"/>
      <c r="BE976" s="12"/>
      <c r="BF976" s="12"/>
      <c r="BG976" s="12"/>
      <c r="BH976" s="12"/>
      <c r="BI976" s="12"/>
      <c r="BJ976" s="12"/>
      <c r="BK976" s="12"/>
      <c r="BL976" s="12"/>
      <c r="BM976" s="12"/>
      <c r="BN976" s="12"/>
      <c r="BO976" s="12"/>
      <c r="BP976" s="12"/>
      <c r="BQ976" s="12"/>
      <c r="BR976" s="12"/>
      <c r="BS976" s="12"/>
      <c r="BT976" s="12"/>
      <c r="BU976" s="12"/>
      <c r="BV976" s="12"/>
      <c r="BW976" s="12"/>
      <c r="BX976" s="12"/>
      <c r="BY976" s="12"/>
      <c r="BZ976" s="12"/>
      <c r="CA976" s="12"/>
      <c r="CB976" s="12"/>
      <c r="CC976" s="12"/>
      <c r="CD976" s="12"/>
      <c r="CE976" s="12"/>
      <c r="CF976" s="12"/>
      <c r="CG976" s="12"/>
      <c r="CH976" s="12"/>
      <c r="CI976" s="12"/>
      <c r="CJ976" s="12"/>
      <c r="CK976" s="12"/>
      <c r="CL976" s="12"/>
      <c r="CM976" s="12"/>
      <c r="CN976" s="12"/>
      <c r="CO976" s="12"/>
      <c r="CP976" s="12"/>
      <c r="CQ976" s="12"/>
      <c r="CR976" s="12"/>
      <c r="CS976" s="12"/>
      <c r="CT976" s="12"/>
      <c r="CU976" s="12"/>
      <c r="CV976" s="12"/>
      <c r="CW976" s="12"/>
      <c r="CX976" s="12"/>
      <c r="CY976" s="12"/>
      <c r="CZ976" s="12"/>
      <c r="DA976" s="12"/>
      <c r="DB976" s="12"/>
      <c r="DC976" s="12"/>
      <c r="DD976" s="12"/>
      <c r="DE976" s="12"/>
      <c r="DF976" s="12"/>
      <c r="DG976" s="12"/>
      <c r="DH976" s="12"/>
      <c r="DI976" s="12"/>
      <c r="DJ976" s="12"/>
      <c r="DK976" s="12"/>
      <c r="DL976" s="12"/>
      <c r="DM976" s="12"/>
      <c r="DN976" s="12"/>
      <c r="DO976" s="12"/>
      <c r="DP976" s="12"/>
      <c r="DQ976" s="12"/>
      <c r="DR976" s="12"/>
      <c r="DS976" s="12"/>
      <c r="DT976" s="12"/>
      <c r="DU976" s="12"/>
      <c r="DV976" s="12"/>
      <c r="DW976" s="12"/>
      <c r="FB976" s="12"/>
      <c r="FC976" s="12"/>
    </row>
    <row r="977" spans="1:159" ht="13" customHeight="1">
      <c r="AU977" s="1066"/>
      <c r="AV977" s="1066"/>
      <c r="AW977" s="1066"/>
      <c r="AX977" s="1066"/>
      <c r="AY977" s="1066"/>
      <c r="AZ977" s="12"/>
      <c r="BA977" s="12"/>
      <c r="BB977" s="739"/>
      <c r="BC977" s="739"/>
      <c r="BD977" s="12"/>
      <c r="BE977" s="12"/>
      <c r="BF977" s="12"/>
      <c r="BG977" s="12"/>
      <c r="BH977" s="12"/>
      <c r="BI977" s="12"/>
      <c r="BJ977" s="12"/>
      <c r="BK977" s="12"/>
      <c r="BL977" s="12"/>
      <c r="BM977" s="12"/>
      <c r="BN977" s="12"/>
      <c r="BO977" s="12"/>
      <c r="BP977" s="12"/>
      <c r="BQ977" s="12"/>
      <c r="BR977" s="12"/>
      <c r="BS977" s="12"/>
      <c r="BT977" s="12"/>
      <c r="BU977" s="12"/>
      <c r="BV977" s="12"/>
      <c r="BW977" s="12"/>
      <c r="BX977" s="12"/>
      <c r="BY977" s="12"/>
      <c r="BZ977" s="12"/>
      <c r="CA977" s="12"/>
      <c r="CB977" s="12"/>
      <c r="CC977" s="12"/>
      <c r="CD977" s="12"/>
      <c r="CE977" s="12"/>
      <c r="CF977" s="12"/>
      <c r="CG977" s="12"/>
      <c r="CH977" s="12"/>
      <c r="CI977" s="12"/>
      <c r="CJ977" s="12"/>
      <c r="CK977" s="12"/>
      <c r="CL977" s="12"/>
      <c r="CM977" s="12"/>
      <c r="CN977" s="12"/>
      <c r="CO977" s="12"/>
      <c r="CP977" s="12"/>
      <c r="CQ977" s="12"/>
      <c r="CR977" s="12"/>
      <c r="CS977" s="12"/>
      <c r="CT977" s="12"/>
      <c r="CU977" s="12"/>
      <c r="CV977" s="12"/>
      <c r="CW977" s="12"/>
      <c r="CX977" s="12"/>
      <c r="CY977" s="12"/>
      <c r="CZ977" s="12"/>
      <c r="DA977" s="12"/>
      <c r="DB977" s="12"/>
      <c r="DC977" s="12"/>
      <c r="DD977" s="12"/>
      <c r="DE977" s="12"/>
      <c r="DF977" s="12"/>
      <c r="DG977" s="12"/>
      <c r="DH977" s="12"/>
      <c r="DI977" s="12"/>
      <c r="DJ977" s="12"/>
      <c r="DK977" s="12"/>
      <c r="DL977" s="12"/>
      <c r="DM977" s="12"/>
      <c r="DN977" s="12"/>
      <c r="DO977" s="12"/>
      <c r="DP977" s="12"/>
      <c r="DQ977" s="12"/>
      <c r="DR977" s="12"/>
      <c r="DS977" s="12"/>
      <c r="DT977" s="12"/>
      <c r="DU977" s="12"/>
      <c r="DV977" s="12"/>
      <c r="DW977" s="12"/>
      <c r="FB977" s="12"/>
      <c r="FC977" s="12"/>
    </row>
    <row r="978" spans="1:159" ht="13" customHeight="1">
      <c r="A978" s="1389" t="s">
        <v>1723</v>
      </c>
      <c r="B978" s="1389"/>
      <c r="C978" s="1389"/>
      <c r="D978" s="1389"/>
      <c r="E978" s="1389"/>
      <c r="F978" s="1389"/>
      <c r="G978" s="1389"/>
      <c r="H978" s="1389"/>
      <c r="I978" s="1389"/>
      <c r="J978" s="1389"/>
      <c r="K978" s="1389"/>
      <c r="L978" s="1389"/>
      <c r="M978" s="1389"/>
      <c r="N978" s="1389"/>
      <c r="O978" s="1389"/>
      <c r="P978" s="1389"/>
      <c r="Q978" s="1389"/>
      <c r="R978" s="1389"/>
      <c r="S978" s="1389"/>
      <c r="T978" s="1389"/>
      <c r="U978" s="1389"/>
      <c r="V978" s="1389"/>
      <c r="W978" s="1389"/>
      <c r="X978" s="1389"/>
      <c r="Y978" s="1389"/>
      <c r="Z978" s="1389"/>
      <c r="AA978" s="1389"/>
      <c r="AB978" s="1389"/>
      <c r="AC978" s="1389"/>
      <c r="AD978" s="1389"/>
      <c r="AE978" s="1389"/>
      <c r="AF978" s="1389"/>
      <c r="AG978" s="1389"/>
      <c r="AH978" s="1389"/>
      <c r="AI978" s="1389"/>
      <c r="AJ978" s="1389"/>
      <c r="AK978" s="1389"/>
      <c r="AL978" s="1389"/>
      <c r="AM978" s="1389"/>
      <c r="AN978" s="1389"/>
      <c r="AO978" s="1389"/>
      <c r="AP978" s="1389"/>
      <c r="AQ978" s="1389"/>
      <c r="AR978" s="1389"/>
      <c r="AS978" s="1389"/>
      <c r="AT978" s="1389"/>
      <c r="AU978" s="1066"/>
      <c r="AV978" s="1066"/>
      <c r="AW978" s="1066"/>
      <c r="AX978" s="1066"/>
      <c r="AY978" s="1066"/>
      <c r="AZ978" s="12"/>
      <c r="BA978" s="12"/>
      <c r="BB978" s="739"/>
      <c r="BC978" s="739"/>
      <c r="BD978" s="12"/>
      <c r="BE978" s="12"/>
      <c r="BF978" s="12"/>
      <c r="BG978" s="12"/>
      <c r="BH978" s="12"/>
      <c r="BI978" s="12"/>
      <c r="BJ978" s="12"/>
      <c r="BK978" s="12"/>
      <c r="BL978" s="12"/>
      <c r="BM978" s="12"/>
      <c r="BN978" s="12"/>
      <c r="BO978" s="12"/>
      <c r="BP978" s="12"/>
      <c r="BQ978" s="12"/>
      <c r="BR978" s="12"/>
      <c r="BS978" s="12"/>
      <c r="BT978" s="12"/>
      <c r="BU978" s="12"/>
      <c r="BV978" s="12"/>
      <c r="BW978" s="12"/>
      <c r="BX978" s="12"/>
      <c r="BY978" s="12"/>
      <c r="BZ978" s="12"/>
      <c r="CA978" s="12"/>
      <c r="CB978" s="12"/>
      <c r="CC978" s="12"/>
      <c r="CD978" s="12"/>
      <c r="CE978" s="12"/>
      <c r="CF978" s="12"/>
      <c r="CG978" s="12"/>
      <c r="CH978" s="12"/>
      <c r="CI978" s="12"/>
      <c r="CJ978" s="12"/>
      <c r="CK978" s="12"/>
      <c r="CL978" s="12"/>
      <c r="CM978" s="12"/>
      <c r="CN978" s="12"/>
      <c r="CO978" s="12"/>
      <c r="CP978" s="12"/>
      <c r="CQ978" s="12"/>
      <c r="CR978" s="12"/>
      <c r="CS978" s="12"/>
      <c r="CT978" s="12"/>
      <c r="CU978" s="12"/>
      <c r="CV978" s="12"/>
      <c r="CW978" s="12"/>
      <c r="CX978" s="12"/>
      <c r="CY978" s="12"/>
      <c r="CZ978" s="12"/>
      <c r="DA978" s="12"/>
      <c r="DB978" s="12"/>
      <c r="DC978" s="12"/>
      <c r="DD978" s="12"/>
      <c r="DE978" s="12"/>
      <c r="DF978" s="12"/>
      <c r="DG978" s="12"/>
      <c r="DH978" s="12"/>
      <c r="DI978" s="12"/>
      <c r="DJ978" s="12"/>
      <c r="DK978" s="12"/>
      <c r="DL978" s="12"/>
      <c r="DM978" s="12"/>
      <c r="DN978" s="12"/>
      <c r="DO978" s="12"/>
      <c r="DP978" s="12"/>
      <c r="DQ978" s="12"/>
      <c r="DR978" s="12"/>
      <c r="DS978" s="12"/>
      <c r="DT978" s="12"/>
      <c r="DU978" s="12"/>
      <c r="DV978" s="12"/>
      <c r="DW978" s="12"/>
      <c r="FB978" s="12"/>
      <c r="FC978" s="12"/>
    </row>
    <row r="979" spans="1:159" ht="13" customHeight="1">
      <c r="A979" s="1389"/>
      <c r="B979" s="1389"/>
      <c r="C979" s="1389"/>
      <c r="D979" s="1389"/>
      <c r="E979" s="1389"/>
      <c r="F979" s="1389"/>
      <c r="G979" s="1389"/>
      <c r="H979" s="1389"/>
      <c r="I979" s="1389"/>
      <c r="J979" s="1389"/>
      <c r="K979" s="1389"/>
      <c r="L979" s="1389"/>
      <c r="M979" s="1389"/>
      <c r="N979" s="1389"/>
      <c r="O979" s="1389"/>
      <c r="P979" s="1389"/>
      <c r="Q979" s="1389"/>
      <c r="R979" s="1389"/>
      <c r="S979" s="1389"/>
      <c r="T979" s="1389"/>
      <c r="U979" s="1389"/>
      <c r="V979" s="1389"/>
      <c r="W979" s="1389"/>
      <c r="X979" s="1389"/>
      <c r="Y979" s="1389"/>
      <c r="Z979" s="1389"/>
      <c r="AA979" s="1389"/>
      <c r="AB979" s="1389"/>
      <c r="AC979" s="1389"/>
      <c r="AD979" s="1389"/>
      <c r="AE979" s="1389"/>
      <c r="AF979" s="1389"/>
      <c r="AG979" s="1389"/>
      <c r="AH979" s="1389"/>
      <c r="AI979" s="1389"/>
      <c r="AJ979" s="1389"/>
      <c r="AK979" s="1389"/>
      <c r="AL979" s="1389"/>
      <c r="AM979" s="1389"/>
      <c r="AN979" s="1389"/>
      <c r="AO979" s="1389"/>
      <c r="AP979" s="1389"/>
      <c r="AQ979" s="1389"/>
      <c r="AR979" s="1389"/>
      <c r="AS979" s="1389"/>
      <c r="AT979" s="1389"/>
      <c r="AU979" s="1066"/>
      <c r="AV979" s="1066"/>
      <c r="AW979" s="1066"/>
      <c r="AX979" s="1066"/>
      <c r="AY979" s="1066"/>
      <c r="AZ979" s="24"/>
      <c r="BA979" s="12"/>
      <c r="BB979" s="12"/>
      <c r="BC979" s="12"/>
      <c r="BD979" s="12"/>
      <c r="BE979" s="12"/>
      <c r="BF979" s="12"/>
      <c r="BG979" s="12"/>
      <c r="BH979" s="12"/>
      <c r="BI979" s="12"/>
      <c r="BJ979" s="12"/>
      <c r="BK979" s="12"/>
      <c r="BL979" s="12"/>
      <c r="BM979" s="12"/>
      <c r="BN979" s="12"/>
      <c r="BO979" s="12"/>
      <c r="BP979" s="12"/>
      <c r="BQ979" s="12"/>
      <c r="BR979" s="12"/>
      <c r="BS979" s="12"/>
      <c r="BT979" s="12"/>
      <c r="BU979" s="12"/>
      <c r="BV979" s="12"/>
      <c r="BW979" s="12"/>
      <c r="BX979" s="12"/>
      <c r="BY979" s="12"/>
      <c r="BZ979" s="12"/>
      <c r="CA979" s="12"/>
      <c r="CB979" s="12"/>
      <c r="CC979" s="12"/>
      <c r="CD979" s="12"/>
      <c r="CE979" s="12"/>
      <c r="CF979" s="12"/>
      <c r="CG979" s="12"/>
      <c r="CH979" s="12"/>
      <c r="CI979" s="12"/>
      <c r="CJ979" s="12"/>
      <c r="CK979" s="12"/>
      <c r="CL979" s="12"/>
      <c r="CM979" s="12"/>
      <c r="CN979" s="12"/>
      <c r="CO979" s="12"/>
      <c r="CP979" s="12"/>
      <c r="CQ979" s="12"/>
      <c r="CR979" s="12"/>
      <c r="CS979" s="12"/>
      <c r="CT979" s="12"/>
      <c r="CU979" s="12"/>
      <c r="CV979" s="12"/>
      <c r="CW979" s="12"/>
      <c r="CX979" s="12"/>
      <c r="CY979" s="12"/>
      <c r="CZ979" s="12"/>
      <c r="DA979" s="12"/>
      <c r="DB979" s="12"/>
      <c r="DC979" s="12"/>
      <c r="DD979" s="12"/>
      <c r="DE979" s="12"/>
      <c r="DF979" s="12"/>
      <c r="DG979" s="12"/>
      <c r="DH979" s="12"/>
      <c r="DI979" s="12"/>
      <c r="DJ979" s="12"/>
      <c r="DK979" s="12"/>
      <c r="DL979" s="12"/>
      <c r="DM979" s="12"/>
      <c r="DN979" s="12"/>
      <c r="DO979" s="12"/>
      <c r="DP979" s="12"/>
      <c r="DQ979" s="12"/>
      <c r="DR979" s="12"/>
      <c r="DS979" s="12"/>
      <c r="DT979" s="12"/>
      <c r="DU979" s="12"/>
      <c r="DV979" s="12"/>
      <c r="DW979" s="12"/>
      <c r="FB979" s="12"/>
      <c r="FC979" s="12"/>
    </row>
    <row r="980" spans="1:159" ht="13" customHeight="1">
      <c r="A980" s="1389"/>
      <c r="B980" s="1389"/>
      <c r="C980" s="1389"/>
      <c r="D980" s="1389"/>
      <c r="E980" s="1389"/>
      <c r="F980" s="1389"/>
      <c r="G980" s="1389"/>
      <c r="H980" s="1389"/>
      <c r="I980" s="1389"/>
      <c r="J980" s="1389"/>
      <c r="K980" s="1389"/>
      <c r="L980" s="1389"/>
      <c r="M980" s="1389"/>
      <c r="N980" s="1389"/>
      <c r="O980" s="1389"/>
      <c r="P980" s="1389"/>
      <c r="Q980" s="1389"/>
      <c r="R980" s="1389"/>
      <c r="S980" s="1389"/>
      <c r="T980" s="1389"/>
      <c r="U980" s="1389"/>
      <c r="V980" s="1389"/>
      <c r="W980" s="1389"/>
      <c r="X980" s="1389"/>
      <c r="Y980" s="1389"/>
      <c r="Z980" s="1389"/>
      <c r="AA980" s="1389"/>
      <c r="AB980" s="1389"/>
      <c r="AC980" s="1389"/>
      <c r="AD980" s="1389"/>
      <c r="AE980" s="1389"/>
      <c r="AF980" s="1389"/>
      <c r="AG980" s="1389"/>
      <c r="AH980" s="1389"/>
      <c r="AI980" s="1389"/>
      <c r="AJ980" s="1389"/>
      <c r="AK980" s="1389"/>
      <c r="AL980" s="1389"/>
      <c r="AM980" s="1389"/>
      <c r="AN980" s="1389"/>
      <c r="AO980" s="1389"/>
      <c r="AP980" s="1389"/>
      <c r="AQ980" s="1389"/>
      <c r="AR980" s="1389"/>
      <c r="AS980" s="1389"/>
      <c r="AT980" s="1389"/>
      <c r="AU980" s="1066"/>
      <c r="AV980" s="1066"/>
      <c r="AW980" s="1066"/>
      <c r="AX980" s="1066"/>
      <c r="AY980" s="1066"/>
      <c r="AZ980" s="24"/>
      <c r="BA980" s="12"/>
      <c r="BB980" s="12"/>
      <c r="BC980" s="12"/>
      <c r="BD980" s="12"/>
      <c r="BE980" s="12"/>
      <c r="BF980" s="12"/>
      <c r="BG980" s="12"/>
      <c r="BH980" s="12"/>
      <c r="BI980" s="12"/>
      <c r="BJ980" s="12"/>
      <c r="BK980" s="12"/>
      <c r="BL980" s="12"/>
      <c r="BM980" s="12"/>
      <c r="BN980" s="12"/>
      <c r="BO980" s="12"/>
      <c r="BP980" s="12"/>
      <c r="BQ980" s="12"/>
      <c r="BR980" s="12"/>
      <c r="BS980" s="12"/>
      <c r="BT980" s="12"/>
      <c r="BU980" s="12"/>
      <c r="BV980" s="12"/>
      <c r="BW980" s="12"/>
      <c r="BX980" s="12"/>
      <c r="BY980" s="12"/>
      <c r="BZ980" s="12"/>
      <c r="CA980" s="12"/>
      <c r="CB980" s="12"/>
      <c r="CC980" s="12"/>
      <c r="CD980" s="12"/>
      <c r="CE980" s="12"/>
      <c r="CF980" s="12"/>
      <c r="CG980" s="12"/>
      <c r="CH980" s="12"/>
      <c r="CI980" s="12"/>
      <c r="CJ980" s="12"/>
      <c r="CK980" s="12"/>
      <c r="CL980" s="12"/>
      <c r="CM980" s="12"/>
      <c r="CN980" s="12"/>
      <c r="CO980" s="12"/>
      <c r="CP980" s="12"/>
      <c r="CQ980" s="12"/>
      <c r="CR980" s="12"/>
      <c r="CS980" s="12"/>
      <c r="CT980" s="12"/>
      <c r="CU980" s="12"/>
      <c r="CV980" s="12"/>
      <c r="CW980" s="12"/>
      <c r="CX980" s="12"/>
      <c r="CY980" s="12"/>
      <c r="CZ980" s="12"/>
      <c r="DA980" s="12"/>
      <c r="DB980" s="12"/>
      <c r="DC980" s="12"/>
      <c r="DD980" s="12"/>
      <c r="DE980" s="12"/>
      <c r="DF980" s="12"/>
      <c r="DG980" s="12"/>
      <c r="DH980" s="12"/>
      <c r="DI980" s="12"/>
      <c r="DJ980" s="12"/>
      <c r="DK980" s="12"/>
      <c r="DL980" s="12"/>
      <c r="DM980" s="12"/>
      <c r="DN980" s="12"/>
      <c r="DO980" s="12"/>
      <c r="DP980" s="12"/>
      <c r="DQ980" s="12"/>
      <c r="DR980" s="12"/>
      <c r="DS980" s="12"/>
      <c r="DT980" s="12"/>
      <c r="DU980" s="12"/>
      <c r="DV980" s="12"/>
      <c r="DW980" s="12"/>
      <c r="FB980" s="12"/>
      <c r="FC980" s="12"/>
    </row>
    <row r="981" spans="1:159" ht="13" customHeight="1">
      <c r="A981" s="12"/>
      <c r="B981" s="12"/>
      <c r="C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066"/>
      <c r="AM981" s="1066"/>
      <c r="AN981" s="1066"/>
      <c r="AO981" s="1066"/>
      <c r="AP981" s="1066"/>
      <c r="AQ981" s="1066"/>
      <c r="AR981" s="1066"/>
      <c r="AS981" s="1066"/>
      <c r="AT981" s="1066"/>
      <c r="AU981" s="1066"/>
      <c r="AV981" s="1066"/>
      <c r="AW981" s="1066"/>
      <c r="AX981" s="1066"/>
      <c r="AY981" s="1066"/>
      <c r="AZ981" s="12"/>
      <c r="BA981" s="12"/>
      <c r="BB981" s="12"/>
      <c r="BC981" s="12"/>
      <c r="BD981" s="12"/>
      <c r="BE981" s="12"/>
      <c r="BF981" s="12"/>
      <c r="BG981" s="12"/>
      <c r="BH981" s="12"/>
      <c r="BI981" s="12"/>
      <c r="BJ981" s="12"/>
      <c r="BK981" s="12"/>
      <c r="BL981" s="12"/>
      <c r="BM981" s="12"/>
      <c r="BN981" s="12"/>
      <c r="BO981" s="12"/>
      <c r="BP981" s="12"/>
      <c r="BQ981" s="12"/>
      <c r="BR981" s="12"/>
      <c r="BS981" s="12"/>
      <c r="BT981" s="12"/>
      <c r="BU981" s="12"/>
      <c r="BV981" s="12"/>
      <c r="BW981" s="12"/>
      <c r="BX981" s="12"/>
      <c r="BY981" s="12"/>
      <c r="BZ981" s="12"/>
      <c r="CA981" s="12"/>
      <c r="CB981" s="12"/>
      <c r="CC981" s="12"/>
      <c r="CD981" s="12"/>
      <c r="CE981" s="12"/>
      <c r="CF981" s="12"/>
      <c r="CG981" s="12"/>
      <c r="CH981" s="12"/>
      <c r="CI981" s="12"/>
      <c r="CJ981" s="12"/>
      <c r="CK981" s="12"/>
      <c r="CL981" s="12"/>
      <c r="CM981" s="12"/>
      <c r="CN981" s="12"/>
      <c r="CO981" s="12"/>
      <c r="CP981" s="12"/>
      <c r="CQ981" s="12"/>
      <c r="CR981" s="12"/>
      <c r="CS981" s="12"/>
      <c r="CT981" s="12"/>
      <c r="CU981" s="12"/>
      <c r="CV981" s="12"/>
      <c r="CW981" s="12"/>
      <c r="CX981" s="12"/>
      <c r="CY981" s="12"/>
      <c r="CZ981" s="12"/>
      <c r="DA981" s="12"/>
      <c r="DB981" s="12"/>
      <c r="DC981" s="12"/>
      <c r="DD981" s="12"/>
      <c r="DE981" s="12"/>
      <c r="DF981" s="12"/>
      <c r="DG981" s="12"/>
      <c r="DH981" s="12"/>
      <c r="DI981" s="12"/>
      <c r="DJ981" s="12"/>
      <c r="DK981" s="12"/>
      <c r="DL981" s="12"/>
      <c r="DM981" s="12"/>
      <c r="DN981" s="12"/>
      <c r="DO981" s="12"/>
      <c r="DP981" s="12"/>
      <c r="DQ981" s="12"/>
      <c r="DR981" s="12"/>
      <c r="DS981" s="12"/>
      <c r="DT981" s="12"/>
      <c r="DU981" s="12"/>
      <c r="DV981" s="12"/>
      <c r="DW981" s="12"/>
      <c r="FB981" s="12"/>
      <c r="FC981" s="12"/>
    </row>
    <row r="982" spans="1:159" ht="13" customHeight="1">
      <c r="A982" s="1" t="s">
        <v>922</v>
      </c>
      <c r="C982" s="1" t="s">
        <v>252</v>
      </c>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066"/>
      <c r="AM982" s="1066"/>
      <c r="AN982" s="1066"/>
      <c r="AO982" s="1066"/>
      <c r="AP982" s="1066"/>
      <c r="AQ982" s="1066"/>
      <c r="AR982" s="1066"/>
      <c r="AS982" s="1066"/>
      <c r="AT982" s="1066"/>
      <c r="AU982" s="1066"/>
      <c r="AV982" s="1066"/>
      <c r="AW982" s="1066"/>
      <c r="AX982" s="1066"/>
      <c r="AY982" s="1066"/>
      <c r="AZ982" s="12"/>
      <c r="BA982" s="12"/>
      <c r="BB982" s="12"/>
      <c r="BC982" s="12"/>
      <c r="BD982" s="12"/>
      <c r="BE982" s="12"/>
      <c r="BF982" s="12"/>
      <c r="BG982" s="12"/>
      <c r="BH982" s="12"/>
      <c r="BI982" s="12"/>
      <c r="BJ982" s="12"/>
      <c r="BK982" s="12"/>
      <c r="BL982" s="12"/>
      <c r="BM982" s="12"/>
      <c r="BN982" s="12"/>
      <c r="BO982" s="12"/>
      <c r="BP982" s="12"/>
      <c r="BQ982" s="12"/>
      <c r="BR982" s="12"/>
      <c r="BS982" s="12"/>
      <c r="BT982" s="12"/>
      <c r="BU982" s="12"/>
      <c r="BV982" s="12"/>
      <c r="BW982" s="12"/>
      <c r="BX982" s="12"/>
      <c r="BY982" s="12"/>
      <c r="BZ982" s="12"/>
      <c r="CA982" s="12"/>
      <c r="CB982" s="12"/>
      <c r="CC982" s="12"/>
      <c r="CD982" s="12"/>
      <c r="CE982" s="12"/>
      <c r="CF982" s="12"/>
      <c r="CG982" s="12"/>
      <c r="CH982" s="12"/>
      <c r="CI982" s="12"/>
      <c r="CJ982" s="12"/>
      <c r="CK982" s="12"/>
      <c r="CL982" s="12"/>
      <c r="CM982" s="12"/>
      <c r="CN982" s="12"/>
      <c r="CO982" s="12"/>
      <c r="CP982" s="12"/>
      <c r="CQ982" s="12"/>
      <c r="CR982" s="12"/>
      <c r="CS982" s="12"/>
      <c r="CT982" s="12"/>
      <c r="CU982" s="12"/>
      <c r="CV982" s="12"/>
      <c r="CW982" s="12"/>
      <c r="CX982" s="12"/>
      <c r="CY982" s="12"/>
      <c r="CZ982" s="12"/>
      <c r="DA982" s="12"/>
      <c r="DB982" s="12"/>
      <c r="DC982" s="12"/>
      <c r="DD982" s="12"/>
      <c r="DE982" s="12"/>
      <c r="DF982" s="12"/>
      <c r="DG982" s="12"/>
      <c r="DH982" s="12"/>
      <c r="DI982" s="12"/>
      <c r="DJ982" s="12"/>
      <c r="DK982" s="12"/>
      <c r="DL982" s="12"/>
      <c r="DM982" s="12"/>
      <c r="DN982" s="12"/>
      <c r="DO982" s="12"/>
      <c r="DP982" s="12"/>
      <c r="DQ982" s="12"/>
      <c r="DR982" s="12"/>
      <c r="DS982" s="12"/>
      <c r="DT982" s="12"/>
      <c r="DU982" s="12"/>
      <c r="DV982" s="12"/>
      <c r="DW982" s="12"/>
      <c r="FB982" s="12"/>
      <c r="FC982" s="12"/>
    </row>
    <row r="983" spans="1:159" ht="13" customHeight="1">
      <c r="A983" s="1"/>
      <c r="C983" s="1"/>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066"/>
      <c r="AM983" s="1066"/>
      <c r="AN983" s="1066"/>
      <c r="AO983" s="1066"/>
      <c r="AP983" s="1066"/>
      <c r="AQ983" s="1066"/>
      <c r="AR983" s="1066"/>
      <c r="AS983" s="1066"/>
      <c r="AT983" s="1066"/>
      <c r="AU983" s="1066"/>
      <c r="AV983" s="1066"/>
      <c r="AW983" s="1066"/>
      <c r="AX983" s="1066"/>
      <c r="AY983" s="1066"/>
      <c r="AZ983" s="12"/>
      <c r="BA983" s="12"/>
      <c r="BB983" s="12"/>
      <c r="BC983" s="12"/>
      <c r="BD983" s="12"/>
      <c r="BE983" s="12"/>
      <c r="BF983" s="12"/>
      <c r="BG983" s="12"/>
      <c r="BH983" s="12"/>
      <c r="BI983" s="12"/>
      <c r="BJ983" s="12"/>
      <c r="BK983" s="12"/>
      <c r="BL983" s="12"/>
      <c r="BM983" s="12"/>
      <c r="BN983" s="12"/>
      <c r="BO983" s="12"/>
      <c r="BP983" s="12"/>
      <c r="BQ983" s="12"/>
      <c r="BR983" s="12"/>
      <c r="BS983" s="12"/>
      <c r="BT983" s="12"/>
      <c r="BU983" s="12"/>
      <c r="BV983" s="12"/>
      <c r="BW983" s="12"/>
      <c r="BX983" s="12"/>
      <c r="BY983" s="12"/>
      <c r="BZ983" s="12"/>
      <c r="CA983" s="12"/>
      <c r="CB983" s="12"/>
      <c r="CC983" s="12"/>
      <c r="CD983" s="12"/>
      <c r="CE983" s="12"/>
      <c r="CF983" s="12"/>
      <c r="CG983" s="12"/>
      <c r="CH983" s="12"/>
      <c r="CI983" s="12"/>
      <c r="CJ983" s="12"/>
      <c r="CK983" s="12"/>
      <c r="CL983" s="12"/>
      <c r="CM983" s="12"/>
      <c r="CN983" s="12"/>
      <c r="CO983" s="12"/>
      <c r="CP983" s="12"/>
      <c r="CQ983" s="12"/>
      <c r="CR983" s="12"/>
      <c r="CS983" s="12"/>
      <c r="CT983" s="12"/>
      <c r="CU983" s="12"/>
      <c r="CV983" s="12"/>
      <c r="CW983" s="12"/>
      <c r="CX983" s="12"/>
      <c r="CY983" s="12"/>
      <c r="CZ983" s="12"/>
      <c r="DA983" s="12"/>
      <c r="DB983" s="12"/>
      <c r="DC983" s="12"/>
      <c r="DD983" s="12"/>
      <c r="DE983" s="12"/>
      <c r="DF983" s="12"/>
      <c r="DG983" s="12"/>
      <c r="DH983" s="12"/>
      <c r="DI983" s="12"/>
      <c r="DJ983" s="12"/>
      <c r="DK983" s="12"/>
      <c r="DL983" s="12"/>
      <c r="DM983" s="12"/>
      <c r="DN983" s="12"/>
      <c r="DO983" s="12"/>
      <c r="DP983" s="12"/>
      <c r="DQ983" s="12"/>
      <c r="DR983" s="12"/>
      <c r="DS983" s="12"/>
      <c r="DT983" s="12"/>
      <c r="DU983" s="12"/>
      <c r="DV983" s="12"/>
      <c r="DW983" s="12"/>
      <c r="FB983" s="12"/>
      <c r="FC983" s="12"/>
    </row>
    <row r="984" spans="1:159" ht="13" customHeight="1">
      <c r="A984" s="12"/>
      <c r="B984" s="47"/>
      <c r="C984" s="1068"/>
      <c r="D984" s="1477" t="s">
        <v>1724</v>
      </c>
      <c r="E984" s="1478"/>
      <c r="F984" s="1478"/>
      <c r="G984" s="1478"/>
      <c r="H984" s="1478"/>
      <c r="I984" s="1478"/>
      <c r="J984" s="1478"/>
      <c r="K984" s="1478"/>
      <c r="L984" s="1478"/>
      <c r="M984" s="1478"/>
      <c r="N984" s="1478"/>
      <c r="O984" s="1478"/>
      <c r="P984" s="1478"/>
      <c r="Q984" s="1479"/>
      <c r="R984" s="1477" t="s">
        <v>1725</v>
      </c>
      <c r="S984" s="1478"/>
      <c r="T984" s="1478"/>
      <c r="U984" s="1478"/>
      <c r="V984" s="1478"/>
      <c r="W984" s="1478"/>
      <c r="X984" s="1478"/>
      <c r="Y984" s="1478"/>
      <c r="Z984" s="1478"/>
      <c r="AA984" s="1479"/>
      <c r="AB984" s="1477" t="s">
        <v>1726</v>
      </c>
      <c r="AC984" s="1478"/>
      <c r="AD984" s="1478"/>
      <c r="AE984" s="1478"/>
      <c r="AF984" s="1478"/>
      <c r="AG984" s="1478"/>
      <c r="AH984" s="1478"/>
      <c r="AI984" s="1479"/>
      <c r="AJ984" s="1477" t="s">
        <v>1727</v>
      </c>
      <c r="AK984" s="1478"/>
      <c r="AL984" s="1478"/>
      <c r="AM984" s="1478"/>
      <c r="AN984" s="1478"/>
      <c r="AO984" s="1478"/>
      <c r="AP984" s="1478"/>
      <c r="AQ984" s="1479"/>
      <c r="AR984" s="1066"/>
      <c r="AS984" s="1066"/>
      <c r="AT984" s="1066"/>
      <c r="AU984" s="1066"/>
      <c r="AV984" s="1066"/>
      <c r="AW984" s="1066"/>
      <c r="AX984" s="1066"/>
      <c r="AY984" s="1066"/>
      <c r="AZ984" s="24"/>
      <c r="BB984" s="12"/>
      <c r="BC984" s="12"/>
      <c r="BD984" s="12"/>
      <c r="BE984" s="12"/>
      <c r="BF984" s="12"/>
      <c r="BG984" s="12"/>
      <c r="BH984" s="12"/>
      <c r="BI984" s="12"/>
      <c r="BJ984" s="12"/>
      <c r="BK984" s="12"/>
      <c r="BL984" s="12"/>
      <c r="BM984" s="12"/>
      <c r="BN984" s="1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row>
    <row r="985" spans="1:159" ht="13" customHeight="1">
      <c r="A985" s="12"/>
      <c r="B985" s="44"/>
      <c r="C985" s="754"/>
      <c r="D985" s="1358" t="s">
        <v>1490</v>
      </c>
      <c r="E985" s="1359"/>
      <c r="F985" s="1359"/>
      <c r="G985" s="1359"/>
      <c r="H985" s="1359"/>
      <c r="I985" s="1359"/>
      <c r="J985" s="1359"/>
      <c r="K985" s="1359"/>
      <c r="L985" s="1359"/>
      <c r="M985" s="1359"/>
      <c r="N985" s="1359"/>
      <c r="O985" s="1359"/>
      <c r="P985" s="1359"/>
      <c r="Q985" s="1360"/>
      <c r="R985" s="1514">
        <f>IF(ISNA(IF($BN$796="4%",(INDEX($BP$806:$BT$863,MATCH($CB$796,$BO$806:$BO$863,0),MATCH(D985,$BP$805:$BT$805,0))),(INDEX($BW$806:$CA$863,MATCH($CB$796,$BV$806:$BV$863,0),MATCH(D985,$BW$805:$CA$805,0))))),0,IF($BN$796="4%",(INDEX($BP$806:$BT$863,MATCH($CB$796,$BO$806:$BO$863,0),MATCH(D985,$BP$805:$BT$805,0))),(INDEX($BW$806:$CA$863,MATCH($CB$796,$BV$806:$BV$863,0),MATCH(D985,$BW$805:$CA$805,0)))))</f>
        <v>352022</v>
      </c>
      <c r="S985" s="1514"/>
      <c r="T985" s="1514"/>
      <c r="U985" s="1514"/>
      <c r="V985" s="1514"/>
      <c r="W985" s="1514"/>
      <c r="X985" s="1514"/>
      <c r="Y985" s="1514"/>
      <c r="Z985" s="1514"/>
      <c r="AA985" s="1514"/>
      <c r="AB985" s="1361">
        <f>BN660</f>
        <v>0</v>
      </c>
      <c r="AC985" s="1362"/>
      <c r="AD985" s="1362"/>
      <c r="AE985" s="1362"/>
      <c r="AF985" s="1362"/>
      <c r="AG985" s="1362"/>
      <c r="AH985" s="1362"/>
      <c r="AI985" s="1363"/>
      <c r="AJ985" s="1442">
        <f>IF(ISERROR((R985*AB985)),0,(R985*AB985))</f>
        <v>0</v>
      </c>
      <c r="AK985" s="1443"/>
      <c r="AL985" s="1443"/>
      <c r="AM985" s="1443"/>
      <c r="AN985" s="1443"/>
      <c r="AO985" s="1443"/>
      <c r="AP985" s="1443"/>
      <c r="AQ985" s="1444"/>
      <c r="AR985" s="1066"/>
      <c r="AS985" s="1066"/>
      <c r="AT985" s="1066"/>
      <c r="AU985" s="1066"/>
      <c r="AV985" s="1066"/>
      <c r="AW985" s="1066"/>
      <c r="AX985" s="1066"/>
      <c r="AY985" s="1066"/>
      <c r="AZ985" s="24"/>
      <c r="BB985" s="12"/>
      <c r="BC985" s="12"/>
      <c r="BD985" s="12"/>
      <c r="BE985" s="12"/>
      <c r="BF985" s="12"/>
      <c r="BG985" s="12"/>
      <c r="BH985" s="12"/>
      <c r="BI985" s="12"/>
      <c r="BJ985" s="12"/>
      <c r="BK985" s="12"/>
      <c r="BL985" s="12"/>
      <c r="BM985" s="12"/>
      <c r="BN985" s="1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X985" s="12"/>
      <c r="DY985" s="12"/>
      <c r="DZ985" s="12"/>
      <c r="EA985" s="12"/>
      <c r="EB985" s="12"/>
      <c r="EC985" s="12"/>
      <c r="ED985" s="12"/>
      <c r="EE985" s="12"/>
      <c r="EF985" s="12"/>
      <c r="EG985" s="12"/>
      <c r="EH985" s="12"/>
      <c r="EI985" s="12"/>
      <c r="EJ985" s="12"/>
      <c r="EK985" s="12"/>
      <c r="EL985" s="12"/>
      <c r="EM985" s="12"/>
      <c r="EN985" s="12"/>
      <c r="EO985" s="12"/>
      <c r="EP985" s="12"/>
      <c r="EQ985" s="12"/>
      <c r="ER985" s="12"/>
      <c r="ES985" s="12"/>
      <c r="ET985" s="12"/>
      <c r="EU985" s="12"/>
      <c r="EV985" s="12"/>
      <c r="EW985" s="12"/>
      <c r="EX985" s="12"/>
      <c r="EY985" s="12"/>
      <c r="EZ985" s="12"/>
      <c r="FA985" s="12"/>
    </row>
    <row r="986" spans="1:159" ht="13" customHeight="1">
      <c r="A986" s="12"/>
      <c r="B986" s="44"/>
      <c r="C986" s="48"/>
      <c r="D986" s="1358" t="s">
        <v>1378</v>
      </c>
      <c r="E986" s="1359"/>
      <c r="F986" s="1359"/>
      <c r="G986" s="1359"/>
      <c r="H986" s="1359"/>
      <c r="I986" s="1359"/>
      <c r="J986" s="1359"/>
      <c r="K986" s="1359"/>
      <c r="L986" s="1359"/>
      <c r="M986" s="1359"/>
      <c r="N986" s="1359"/>
      <c r="O986" s="1359"/>
      <c r="P986" s="1359"/>
      <c r="Q986" s="1360"/>
      <c r="R986" s="1514">
        <f>IF(ISNA(IF($BN$796="4%",(INDEX($BP$806:$BT$863,MATCH($CB$796,$BO$806:$BO$863,0),MATCH(D986,$BP$805:$BT$805,0))),(INDEX($BW$806:$CA$863,MATCH($CB$796,$BV$806:$BV$863,0),MATCH(D986,$BW$805:$CA$805,0))))),0,IF($BN$796="4%",(INDEX($BP$806:$BT$863,MATCH($CB$796,$BO$806:$BO$863,0),MATCH(D986,$BP$805:$BT$805,0))),(INDEX($BW$806:$CA$863,MATCH($CB$796,$BV$806:$BV$863,0),MATCH(D986,$BW$805:$CA$805,0)))))</f>
        <v>405878</v>
      </c>
      <c r="S986" s="1514"/>
      <c r="T986" s="1514"/>
      <c r="U986" s="1514"/>
      <c r="V986" s="1514"/>
      <c r="W986" s="1514"/>
      <c r="X986" s="1514"/>
      <c r="Y986" s="1514"/>
      <c r="Z986" s="1514"/>
      <c r="AA986" s="1514"/>
      <c r="AB986" s="1361">
        <f>BS660</f>
        <v>6</v>
      </c>
      <c r="AC986" s="1362"/>
      <c r="AD986" s="1362"/>
      <c r="AE986" s="1362"/>
      <c r="AF986" s="1362"/>
      <c r="AG986" s="1362"/>
      <c r="AH986" s="1362"/>
      <c r="AI986" s="1363"/>
      <c r="AJ986" s="1442">
        <f>IF(ISERROR((R986*AB986)),0,(R986*AB986))</f>
        <v>2435268</v>
      </c>
      <c r="AK986" s="1443"/>
      <c r="AL986" s="1443"/>
      <c r="AM986" s="1443"/>
      <c r="AN986" s="1443"/>
      <c r="AO986" s="1443"/>
      <c r="AP986" s="1443"/>
      <c r="AQ986" s="1444"/>
      <c r="AR986" s="1066"/>
      <c r="AS986" s="1066"/>
      <c r="AT986" s="1066"/>
      <c r="AU986" s="1066"/>
      <c r="AV986" s="1066"/>
      <c r="AW986" s="1066"/>
      <c r="AX986" s="1066"/>
      <c r="AY986" s="1066"/>
      <c r="AZ986" s="24"/>
      <c r="BB986" s="12"/>
      <c r="BC986" s="12"/>
      <c r="BD986" s="12"/>
      <c r="BE986" s="12"/>
      <c r="BF986" s="12"/>
      <c r="BG986" s="12"/>
      <c r="BH986" s="12"/>
      <c r="BI986" s="12"/>
      <c r="BJ986" s="12"/>
      <c r="BK986" s="12"/>
      <c r="BL986" s="12"/>
      <c r="BM986" s="12"/>
      <c r="BN986" s="1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X986" s="12"/>
      <c r="DY986" s="12"/>
      <c r="DZ986" s="12"/>
      <c r="EA986" s="12"/>
      <c r="EB986" s="12"/>
      <c r="EC986" s="12"/>
      <c r="ED986" s="12"/>
      <c r="EE986" s="12"/>
      <c r="EF986" s="12"/>
      <c r="EG986" s="12"/>
      <c r="EH986" s="12"/>
      <c r="EI986" s="12"/>
      <c r="EJ986" s="12"/>
      <c r="EK986" s="12"/>
      <c r="EL986" s="12"/>
      <c r="EM986" s="12"/>
      <c r="EN986" s="12"/>
      <c r="EO986" s="12"/>
      <c r="EP986" s="12"/>
      <c r="EQ986" s="12"/>
      <c r="ER986" s="12"/>
      <c r="ES986" s="12"/>
      <c r="ET986" s="12"/>
      <c r="EU986" s="12"/>
      <c r="EV986" s="12"/>
      <c r="EW986" s="12"/>
      <c r="EX986" s="12"/>
      <c r="EY986" s="12"/>
      <c r="EZ986" s="12"/>
      <c r="FA986" s="12"/>
    </row>
    <row r="987" spans="1:159" ht="13" customHeight="1">
      <c r="A987" s="12"/>
      <c r="B987" s="44"/>
      <c r="C987" s="48"/>
      <c r="D987" s="1358" t="s">
        <v>1379</v>
      </c>
      <c r="E987" s="1359"/>
      <c r="F987" s="1359"/>
      <c r="G987" s="1359"/>
      <c r="H987" s="1359"/>
      <c r="I987" s="1359"/>
      <c r="J987" s="1359"/>
      <c r="K987" s="1359"/>
      <c r="L987" s="1359"/>
      <c r="M987" s="1359"/>
      <c r="N987" s="1359"/>
      <c r="O987" s="1359"/>
      <c r="P987" s="1359"/>
      <c r="Q987" s="1360"/>
      <c r="R987" s="1514">
        <f>IF(ISNA(IF($BN$796="4%",(INDEX($BP$806:$BT$863,MATCH($CB$796,$BO$806:$BO$863,0),MATCH(D987,$BP$805:$BT$805,0))),(INDEX($BW$806:$CA$863,MATCH($CB$796,$BV$806:$BV$863,0),MATCH(D987,$BW$805:$CA$805,0))))),0,IF($BN$796="4%",(INDEX($BP$806:$BT$863,MATCH($CB$796,$BO$806:$BO$863,0),MATCH(D987,$BP$805:$BT$805,0))),(INDEX($BW$806:$CA$863,MATCH($CB$796,$BV$806:$BV$863,0),MATCH(D987,$BW$805:$CA$805,0)))))</f>
        <v>489600</v>
      </c>
      <c r="S987" s="1514"/>
      <c r="T987" s="1514"/>
      <c r="U987" s="1514"/>
      <c r="V987" s="1514"/>
      <c r="W987" s="1514"/>
      <c r="X987" s="1514"/>
      <c r="Y987" s="1514"/>
      <c r="Z987" s="1514"/>
      <c r="AA987" s="1514"/>
      <c r="AB987" s="1361">
        <f>BX660</f>
        <v>24</v>
      </c>
      <c r="AC987" s="1362"/>
      <c r="AD987" s="1362"/>
      <c r="AE987" s="1362"/>
      <c r="AF987" s="1362"/>
      <c r="AG987" s="1362"/>
      <c r="AH987" s="1362"/>
      <c r="AI987" s="1363"/>
      <c r="AJ987" s="1442">
        <f>IF(ISERROR((R987*AB987)),0,(R987*AB987))</f>
        <v>11750400</v>
      </c>
      <c r="AK987" s="1443"/>
      <c r="AL987" s="1443"/>
      <c r="AM987" s="1443"/>
      <c r="AN987" s="1443"/>
      <c r="AO987" s="1443"/>
      <c r="AP987" s="1443"/>
      <c r="AQ987" s="1444"/>
      <c r="AR987" s="1066"/>
      <c r="AS987" s="1066"/>
      <c r="AT987" s="1066"/>
      <c r="AU987" s="1066"/>
      <c r="AV987" s="1066"/>
      <c r="AW987" s="1066"/>
      <c r="AX987" s="1066"/>
      <c r="AY987" s="1066"/>
      <c r="AZ987" s="24"/>
      <c r="BB987" s="12"/>
      <c r="BC987" s="12"/>
      <c r="BD987" s="12"/>
      <c r="BE987" s="12"/>
      <c r="BF987" s="12"/>
      <c r="BG987" s="12"/>
      <c r="BH987" s="12"/>
      <c r="BI987" s="12"/>
      <c r="BJ987" s="12"/>
      <c r="BK987" s="12"/>
      <c r="BL987" s="12"/>
      <c r="BM987" s="12"/>
      <c r="BN987" s="1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X987" s="12"/>
      <c r="DY987" s="12"/>
      <c r="DZ987" s="12"/>
      <c r="EA987" s="12"/>
      <c r="EB987" s="12"/>
      <c r="EC987" s="12"/>
      <c r="ED987" s="12"/>
      <c r="EE987" s="12"/>
      <c r="EF987" s="12"/>
      <c r="EG987" s="12"/>
      <c r="EH987" s="12"/>
      <c r="EI987" s="12"/>
      <c r="EJ987" s="12"/>
      <c r="EK987" s="12"/>
      <c r="EL987" s="12"/>
      <c r="EM987" s="12"/>
      <c r="EN987" s="12"/>
      <c r="EO987" s="12"/>
      <c r="EP987" s="12"/>
      <c r="EQ987" s="12"/>
      <c r="ER987" s="12"/>
      <c r="ES987" s="12"/>
      <c r="ET987" s="12"/>
      <c r="EU987" s="12"/>
      <c r="EV987" s="12"/>
      <c r="EW987" s="12"/>
      <c r="EX987" s="12"/>
      <c r="EY987" s="12"/>
      <c r="EZ987" s="12"/>
      <c r="FA987" s="12"/>
    </row>
    <row r="988" spans="1:159" ht="13" customHeight="1">
      <c r="A988" s="12"/>
      <c r="B988" s="44"/>
      <c r="C988" s="48"/>
      <c r="D988" s="1358" t="s">
        <v>1380</v>
      </c>
      <c r="E988" s="1359"/>
      <c r="F988" s="1359"/>
      <c r="G988" s="1359"/>
      <c r="H988" s="1359"/>
      <c r="I988" s="1359"/>
      <c r="J988" s="1359"/>
      <c r="K988" s="1359"/>
      <c r="L988" s="1359"/>
      <c r="M988" s="1359"/>
      <c r="N988" s="1359"/>
      <c r="O988" s="1359"/>
      <c r="P988" s="1359"/>
      <c r="Q988" s="1360"/>
      <c r="R988" s="1514">
        <f>IF(ISNA(IF($BN$796="4%",(INDEX($BP$806:$BT$863,MATCH($CB$796,$BO$806:$BO$863,0),MATCH(D988,$BP$805:$BT$805,0))),(INDEX($BW$806:$CA$863,MATCH($CB$796,$BV$806:$BV$863,0),MATCH(D988,$BW$805:$CA$805,0))))),0,IF($BN$796="4%",(INDEX($BP$806:$BT$863,MATCH($CB$796,$BO$806:$BO$863,0),MATCH(D988,$BP$805:$BT$805,0))),(INDEX($BW$806:$CA$863,MATCH($CB$796,$BV$806:$BV$863,0),MATCH(D988,$BW$805:$CA$805,0)))))</f>
        <v>626688</v>
      </c>
      <c r="S988" s="1514"/>
      <c r="T988" s="1514"/>
      <c r="U988" s="1514"/>
      <c r="V988" s="1514"/>
      <c r="W988" s="1514"/>
      <c r="X988" s="1514"/>
      <c r="Y988" s="1514"/>
      <c r="Z988" s="1514"/>
      <c r="AA988" s="1514"/>
      <c r="AB988" s="1361">
        <f>CC660</f>
        <v>23</v>
      </c>
      <c r="AC988" s="1362"/>
      <c r="AD988" s="1362"/>
      <c r="AE988" s="1362"/>
      <c r="AF988" s="1362"/>
      <c r="AG988" s="1362"/>
      <c r="AH988" s="1362"/>
      <c r="AI988" s="1363"/>
      <c r="AJ988" s="1442">
        <f>IF(ISERROR((R988*AB988)),0,(R988*AB988))</f>
        <v>14413824</v>
      </c>
      <c r="AK988" s="1443"/>
      <c r="AL988" s="1443"/>
      <c r="AM988" s="1443"/>
      <c r="AN988" s="1443"/>
      <c r="AO988" s="1443"/>
      <c r="AP988" s="1443"/>
      <c r="AQ988" s="1444"/>
      <c r="AR988" s="1066"/>
      <c r="AS988" s="1066"/>
      <c r="AT988" s="1066"/>
      <c r="AU988" s="1066"/>
      <c r="AV988" s="1066"/>
      <c r="AW988" s="1066"/>
      <c r="AX988" s="1066"/>
      <c r="AY988" s="1066"/>
      <c r="AZ988" s="24"/>
      <c r="BA988" s="2"/>
      <c r="BB988" s="12"/>
      <c r="BC988" s="12"/>
      <c r="BD988" s="12"/>
      <c r="BE988" s="12"/>
      <c r="BF988" s="12"/>
      <c r="BG988" s="12"/>
      <c r="BH988" s="12"/>
      <c r="BI988" s="12"/>
      <c r="BJ988" s="12"/>
      <c r="BK988" s="12"/>
      <c r="BL988" s="12"/>
      <c r="BM988" s="12"/>
      <c r="BN988" s="1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X988" s="12"/>
      <c r="DY988" s="12"/>
      <c r="DZ988" s="12"/>
      <c r="EA988" s="12"/>
      <c r="EB988" s="12"/>
      <c r="EC988" s="12"/>
      <c r="ED988" s="12"/>
      <c r="EE988" s="12"/>
      <c r="EF988" s="12"/>
      <c r="EG988" s="12"/>
      <c r="EH988" s="12"/>
      <c r="EI988" s="12"/>
      <c r="EJ988" s="12"/>
      <c r="EK988" s="12"/>
      <c r="EL988" s="12"/>
      <c r="EM988" s="12"/>
      <c r="EN988" s="12"/>
      <c r="EO988" s="12"/>
      <c r="EP988" s="12"/>
      <c r="EQ988" s="12"/>
      <c r="ER988" s="12"/>
      <c r="ES988" s="12"/>
      <c r="ET988" s="12"/>
      <c r="EU988" s="12"/>
      <c r="EV988" s="12"/>
      <c r="EW988" s="12"/>
      <c r="EX988" s="12"/>
      <c r="EY988" s="12"/>
      <c r="EZ988" s="12"/>
      <c r="FA988" s="12"/>
    </row>
    <row r="989" spans="1:159" ht="13" customHeight="1">
      <c r="A989" s="12"/>
      <c r="B989" s="32"/>
      <c r="C989" s="46"/>
      <c r="D989" s="1358" t="s">
        <v>1491</v>
      </c>
      <c r="E989" s="1359"/>
      <c r="F989" s="1359"/>
      <c r="G989" s="1359"/>
      <c r="H989" s="1359"/>
      <c r="I989" s="1359"/>
      <c r="J989" s="1359"/>
      <c r="K989" s="1359"/>
      <c r="L989" s="1359"/>
      <c r="M989" s="1359"/>
      <c r="N989" s="1359"/>
      <c r="O989" s="1359"/>
      <c r="P989" s="1359"/>
      <c r="Q989" s="1360"/>
      <c r="R989" s="1514">
        <f>IF(ISNA(IF($BN$796="4%",(INDEX($BP$806:$BT$863,MATCH($CB$796,$BO$806:$BO$863,0),MATCH(D989,$BP$805:$BT$805,0))),(INDEX($BW$806:$CA$863,MATCH($CB$796,$BV$806:$BV$863,0),MATCH(D989,$BW$805:$CA$805,0))))),0,IF($BN$796="4%",(INDEX($BP$806:$BT$863,MATCH($CB$796,$BO$806:$BO$863,0),MATCH(D989,$BP$805:$BT$805,0))),(INDEX($BW$806:$CA$863,MATCH($CB$796,$BV$806:$BV$863,0),MATCH(D989,$BW$805:$CA$805,0)))))</f>
        <v>698170</v>
      </c>
      <c r="S989" s="1514"/>
      <c r="T989" s="1514"/>
      <c r="U989" s="1514"/>
      <c r="V989" s="1514"/>
      <c r="W989" s="1514"/>
      <c r="X989" s="1514"/>
      <c r="Y989" s="1514"/>
      <c r="Z989" s="1514"/>
      <c r="AA989" s="1514"/>
      <c r="AB989" s="1361">
        <f>CM660+CH660</f>
        <v>0</v>
      </c>
      <c r="AC989" s="1362"/>
      <c r="AD989" s="1362"/>
      <c r="AE989" s="1362"/>
      <c r="AF989" s="1362"/>
      <c r="AG989" s="1362"/>
      <c r="AH989" s="1362"/>
      <c r="AI989" s="1363"/>
      <c r="AJ989" s="1442">
        <f>IF(ISERROR((R989*AB989)),0,(R989*AB989))</f>
        <v>0</v>
      </c>
      <c r="AK989" s="1443"/>
      <c r="AL989" s="1443"/>
      <c r="AM989" s="1443"/>
      <c r="AN989" s="1443"/>
      <c r="AO989" s="1443"/>
      <c r="AP989" s="1443"/>
      <c r="AQ989" s="1444"/>
      <c r="AR989" s="1066"/>
      <c r="AS989" s="1066"/>
      <c r="AT989" s="1066"/>
      <c r="AU989" s="1066"/>
      <c r="AV989" s="1066"/>
      <c r="AW989" s="1066"/>
      <c r="AX989" s="1066"/>
      <c r="AY989" s="1066"/>
      <c r="AZ989" s="24"/>
      <c r="BB989" s="12"/>
      <c r="BC989" s="12"/>
      <c r="BD989" s="12"/>
      <c r="BE989" s="12"/>
      <c r="BF989" s="12"/>
      <c r="BG989" s="12"/>
      <c r="BH989" s="12"/>
      <c r="BI989" s="12"/>
      <c r="BJ989" s="12"/>
      <c r="BK989" s="12"/>
      <c r="BL989" s="12"/>
      <c r="BM989" s="12"/>
      <c r="BN989" s="1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X989" s="12"/>
      <c r="DY989" s="12"/>
      <c r="DZ989" s="12"/>
      <c r="EA989" s="12"/>
      <c r="EB989" s="12"/>
      <c r="EC989" s="12"/>
      <c r="ED989" s="12"/>
      <c r="EE989" s="12"/>
      <c r="EF989" s="12"/>
      <c r="EG989" s="12"/>
      <c r="EH989" s="12"/>
      <c r="EI989" s="12"/>
      <c r="EJ989" s="12"/>
      <c r="EK989" s="12"/>
      <c r="EL989" s="12"/>
      <c r="EM989" s="12"/>
      <c r="EN989" s="12"/>
      <c r="EO989" s="12"/>
      <c r="EP989" s="12"/>
      <c r="EQ989" s="12"/>
      <c r="ER989" s="12"/>
      <c r="ES989" s="12"/>
      <c r="ET989" s="12"/>
      <c r="EU989" s="12"/>
      <c r="EV989" s="12"/>
      <c r="EW989" s="12"/>
      <c r="EX989" s="12"/>
      <c r="EY989" s="12"/>
      <c r="EZ989" s="12"/>
      <c r="FA989" s="12"/>
    </row>
    <row r="990" spans="1:159" ht="13" customHeight="1">
      <c r="A990" s="12"/>
      <c r="B990" s="1515" t="s">
        <v>1728</v>
      </c>
      <c r="C990" s="1516"/>
      <c r="D990" s="1516"/>
      <c r="E990" s="1516"/>
      <c r="F990" s="1516"/>
      <c r="G990" s="1516"/>
      <c r="H990" s="1516"/>
      <c r="I990" s="1516"/>
      <c r="J990" s="1516"/>
      <c r="K990" s="1516"/>
      <c r="L990" s="1516"/>
      <c r="M990" s="1516"/>
      <c r="N990" s="1516"/>
      <c r="O990" s="1516"/>
      <c r="P990" s="1516"/>
      <c r="Q990" s="1516"/>
      <c r="R990" s="1516"/>
      <c r="S990" s="1516"/>
      <c r="T990" s="1516"/>
      <c r="U990" s="1516"/>
      <c r="V990" s="1516"/>
      <c r="W990" s="1516"/>
      <c r="X990" s="1516"/>
      <c r="Y990" s="1516"/>
      <c r="Z990" s="1516"/>
      <c r="AA990" s="1517"/>
      <c r="AB990" s="1361">
        <f>SUM(AB985:AI989)</f>
        <v>53</v>
      </c>
      <c r="AC990" s="1362"/>
      <c r="AD990" s="1362"/>
      <c r="AE990" s="1362"/>
      <c r="AF990" s="1362"/>
      <c r="AG990" s="1362"/>
      <c r="AH990" s="1362"/>
      <c r="AI990" s="1363"/>
      <c r="AJ990" s="1442"/>
      <c r="AK990" s="1443"/>
      <c r="AL990" s="1443"/>
      <c r="AM990" s="1443"/>
      <c r="AN990" s="1443"/>
      <c r="AO990" s="1443"/>
      <c r="AP990" s="1443"/>
      <c r="AQ990" s="1444"/>
      <c r="AR990" s="1066"/>
      <c r="AS990" s="1066"/>
      <c r="AT990" s="1066"/>
      <c r="AU990" s="1066"/>
      <c r="AV990" s="1066"/>
      <c r="AW990" s="1066"/>
      <c r="AX990" s="1066"/>
      <c r="AY990" s="1066"/>
      <c r="AZ990" s="2"/>
      <c r="BA990" s="2"/>
      <c r="BB990" s="12"/>
      <c r="BC990" s="12"/>
      <c r="BD990" s="12"/>
      <c r="BE990" s="12"/>
      <c r="BF990" s="1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X990" s="12"/>
      <c r="DY990" s="12"/>
      <c r="DZ990" s="12"/>
      <c r="EA990" s="12"/>
      <c r="EB990" s="12"/>
      <c r="EC990" s="12"/>
      <c r="ED990" s="12"/>
      <c r="EE990" s="12"/>
      <c r="EF990" s="12"/>
      <c r="EG990" s="12"/>
      <c r="EH990" s="12"/>
      <c r="EI990" s="12"/>
      <c r="EJ990" s="12"/>
      <c r="EK990" s="12"/>
      <c r="EL990" s="12"/>
      <c r="EM990" s="12"/>
      <c r="EN990" s="12"/>
      <c r="EO990" s="12"/>
      <c r="EP990" s="12"/>
      <c r="EQ990" s="12"/>
      <c r="ER990" s="12"/>
      <c r="ES990" s="12"/>
      <c r="ET990" s="12"/>
      <c r="EU990" s="12"/>
      <c r="EV990" s="12"/>
      <c r="EW990" s="12"/>
      <c r="EX990" s="12"/>
      <c r="EY990" s="12"/>
      <c r="EZ990" s="12"/>
      <c r="FA990" s="12"/>
    </row>
    <row r="991" spans="1:159" ht="13" customHeight="1">
      <c r="A991" s="12"/>
      <c r="B991" s="1511" t="s">
        <v>1729</v>
      </c>
      <c r="C991" s="1512"/>
      <c r="D991" s="1512"/>
      <c r="E991" s="1512"/>
      <c r="F991" s="1512"/>
      <c r="G991" s="1512"/>
      <c r="H991" s="1512"/>
      <c r="I991" s="1512"/>
      <c r="J991" s="1512"/>
      <c r="K991" s="1512"/>
      <c r="L991" s="1512"/>
      <c r="M991" s="1512"/>
      <c r="N991" s="1512"/>
      <c r="O991" s="1512"/>
      <c r="P991" s="1512"/>
      <c r="Q991" s="1512"/>
      <c r="R991" s="1512"/>
      <c r="S991" s="1512"/>
      <c r="T991" s="1512"/>
      <c r="U991" s="1512"/>
      <c r="V991" s="1512"/>
      <c r="W991" s="1512"/>
      <c r="X991" s="1512"/>
      <c r="Y991" s="1512"/>
      <c r="Z991" s="1512"/>
      <c r="AA991" s="1512"/>
      <c r="AB991" s="1512"/>
      <c r="AC991" s="1512"/>
      <c r="AD991" s="1512"/>
      <c r="AE991" s="1512"/>
      <c r="AF991" s="1512"/>
      <c r="AG991" s="1512"/>
      <c r="AH991" s="1512"/>
      <c r="AI991" s="1513"/>
      <c r="AJ991" s="1442">
        <f>SUM(AJ985:AQ989)</f>
        <v>28599492</v>
      </c>
      <c r="AK991" s="1443"/>
      <c r="AL991" s="1443"/>
      <c r="AM991" s="1443"/>
      <c r="AN991" s="1443"/>
      <c r="AO991" s="1443"/>
      <c r="AP991" s="1443"/>
      <c r="AQ991" s="1444"/>
      <c r="AR991" s="1066"/>
      <c r="AS991" s="1066"/>
      <c r="AT991" s="1066"/>
      <c r="AU991" s="1066"/>
      <c r="AV991" s="1066"/>
      <c r="AW991" s="1066"/>
      <c r="AX991" s="1066"/>
      <c r="AY991" s="1066"/>
      <c r="AZ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X991" s="12"/>
      <c r="DY991" s="12"/>
      <c r="DZ991" s="12"/>
      <c r="EA991" s="12"/>
      <c r="EB991" s="12"/>
      <c r="EC991" s="12"/>
      <c r="ED991" s="12"/>
      <c r="EE991" s="12"/>
      <c r="EF991" s="12"/>
      <c r="EG991" s="12"/>
      <c r="EH991" s="12"/>
      <c r="EI991" s="12"/>
      <c r="EJ991" s="12"/>
      <c r="EK991" s="12"/>
      <c r="EL991" s="12"/>
      <c r="EM991" s="12"/>
      <c r="EN991" s="12"/>
      <c r="EO991" s="12"/>
      <c r="EP991" s="12"/>
      <c r="EQ991" s="12"/>
      <c r="ER991" s="12"/>
      <c r="ES991" s="12"/>
      <c r="ET991" s="12"/>
      <c r="EU991" s="12"/>
      <c r="EV991" s="12"/>
      <c r="EW991" s="12"/>
      <c r="EX991" s="12"/>
      <c r="EY991" s="12"/>
      <c r="EZ991" s="12"/>
      <c r="FA991" s="12"/>
    </row>
    <row r="992" spans="1:159" ht="13" customHeight="1">
      <c r="A992" s="12"/>
      <c r="B992" s="1445"/>
      <c r="C992" s="1446"/>
      <c r="D992" s="1446"/>
      <c r="E992" s="1446"/>
      <c r="F992" s="1446"/>
      <c r="G992" s="1446"/>
      <c r="H992" s="1446"/>
      <c r="I992" s="1446"/>
      <c r="J992" s="1446"/>
      <c r="K992" s="1446"/>
      <c r="L992" s="1446"/>
      <c r="M992" s="1446"/>
      <c r="N992" s="1446"/>
      <c r="O992" s="1446"/>
      <c r="P992" s="1446"/>
      <c r="Q992" s="1446"/>
      <c r="R992" s="1446"/>
      <c r="S992" s="1446"/>
      <c r="T992" s="1446"/>
      <c r="U992" s="1446"/>
      <c r="V992" s="1446"/>
      <c r="W992" s="1446"/>
      <c r="X992" s="1446"/>
      <c r="Y992" s="1446"/>
      <c r="Z992" s="1446"/>
      <c r="AA992" s="1446"/>
      <c r="AB992" s="1446"/>
      <c r="AC992" s="1446"/>
      <c r="AD992" s="1446"/>
      <c r="AE992" s="1447"/>
      <c r="AF992" s="1451" t="s">
        <v>1730</v>
      </c>
      <c r="AG992" s="1452"/>
      <c r="AH992" s="1452"/>
      <c r="AI992" s="1453"/>
      <c r="AJ992" s="1445"/>
      <c r="AK992" s="1446"/>
      <c r="AL992" s="1446"/>
      <c r="AM992" s="1446"/>
      <c r="AN992" s="1446"/>
      <c r="AO992" s="1446"/>
      <c r="AP992" s="1446"/>
      <c r="AQ992" s="1447"/>
      <c r="AR992" s="1066"/>
      <c r="AS992" s="1066"/>
      <c r="AT992" s="1066"/>
      <c r="AU992" s="1066"/>
      <c r="AV992" s="1066"/>
      <c r="AW992" s="1066"/>
      <c r="AX992" s="1066"/>
      <c r="AY992" s="1066"/>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X992" s="12"/>
      <c r="DY992" s="12"/>
      <c r="DZ992" s="12"/>
      <c r="EA992" s="12"/>
      <c r="EB992" s="12"/>
      <c r="EC992" s="12"/>
      <c r="ED992" s="12"/>
      <c r="EE992" s="12"/>
      <c r="EF992" s="12"/>
      <c r="EG992" s="12"/>
      <c r="EH992" s="12"/>
      <c r="EI992" s="12"/>
      <c r="EJ992" s="12"/>
      <c r="EK992" s="12"/>
      <c r="EL992" s="12"/>
      <c r="EM992" s="12"/>
      <c r="EN992" s="12"/>
      <c r="EO992" s="12"/>
      <c r="EP992" s="12"/>
      <c r="EQ992" s="12"/>
      <c r="ER992" s="12"/>
      <c r="ES992" s="12"/>
      <c r="ET992" s="12"/>
      <c r="EU992" s="12"/>
      <c r="EV992" s="12"/>
      <c r="EW992" s="12"/>
      <c r="EX992" s="12"/>
      <c r="EY992" s="12"/>
      <c r="EZ992" s="12"/>
      <c r="FA992" s="12"/>
    </row>
    <row r="993" spans="1:157" ht="13" customHeight="1">
      <c r="A993" s="12"/>
      <c r="B993" s="44"/>
      <c r="C993" s="1069" t="s">
        <v>1731</v>
      </c>
      <c r="D993" s="1458" t="s">
        <v>1732</v>
      </c>
      <c r="E993" s="1459"/>
      <c r="F993" s="1459"/>
      <c r="G993" s="1459"/>
      <c r="H993" s="1459"/>
      <c r="I993" s="1459"/>
      <c r="J993" s="1459"/>
      <c r="K993" s="1459"/>
      <c r="L993" s="1459"/>
      <c r="M993" s="1459"/>
      <c r="N993" s="1459"/>
      <c r="O993" s="1459"/>
      <c r="P993" s="1459"/>
      <c r="Q993" s="1459"/>
      <c r="R993" s="1459"/>
      <c r="S993" s="1459"/>
      <c r="T993" s="1459"/>
      <c r="U993" s="1459"/>
      <c r="V993" s="1459"/>
      <c r="W993" s="1459"/>
      <c r="X993" s="1459"/>
      <c r="Y993" s="1459"/>
      <c r="Z993" s="1459"/>
      <c r="AA993" s="1459"/>
      <c r="AB993" s="1459"/>
      <c r="AC993" s="1459"/>
      <c r="AD993" s="1459"/>
      <c r="AE993" s="1460"/>
      <c r="AF993" s="47"/>
      <c r="AG993" s="1454" t="s">
        <v>837</v>
      </c>
      <c r="AH993" s="1455"/>
      <c r="AI993" s="50"/>
      <c r="AJ993" s="1366">
        <f>ROUND(IF(AND(AG993="yes",D999&gt;0),AJ991*0.2,0),0)</f>
        <v>5719898</v>
      </c>
      <c r="AK993" s="1367"/>
      <c r="AL993" s="1367"/>
      <c r="AM993" s="1367"/>
      <c r="AN993" s="1367"/>
      <c r="AO993" s="1367"/>
      <c r="AP993" s="1367"/>
      <c r="AQ993" s="1368"/>
      <c r="AR993" s="1066"/>
      <c r="AS993" s="1066"/>
      <c r="AT993" s="1066"/>
      <c r="AU993" s="1066"/>
      <c r="AV993" s="1066"/>
      <c r="AW993" s="1066"/>
      <c r="AX993" s="1066"/>
      <c r="AY993" s="1066"/>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X993" s="12"/>
      <c r="DY993" s="12"/>
      <c r="DZ993" s="12"/>
      <c r="EA993" s="12"/>
      <c r="EB993" s="12"/>
      <c r="EC993" s="12"/>
      <c r="ED993" s="12"/>
      <c r="EE993" s="12"/>
      <c r="EF993" s="12"/>
      <c r="EG993" s="12"/>
      <c r="EH993" s="12"/>
      <c r="EI993" s="12"/>
      <c r="EJ993" s="12"/>
      <c r="EK993" s="12"/>
      <c r="EL993" s="12"/>
      <c r="EM993" s="12"/>
      <c r="EN993" s="12"/>
      <c r="EO993" s="12"/>
      <c r="EP993" s="12"/>
      <c r="EQ993" s="12"/>
      <c r="ER993" s="12"/>
      <c r="ES993" s="12"/>
      <c r="ET993" s="12"/>
      <c r="EU993" s="12"/>
      <c r="EV993" s="12"/>
      <c r="EW993" s="12"/>
      <c r="EX993" s="12"/>
      <c r="EY993" s="12"/>
      <c r="EZ993" s="12"/>
      <c r="FA993" s="12"/>
    </row>
    <row r="994" spans="1:157" ht="13" customHeight="1">
      <c r="A994" s="12"/>
      <c r="B994" s="1070"/>
      <c r="C994" s="1071"/>
      <c r="D994" s="1524" t="s">
        <v>1733</v>
      </c>
      <c r="E994" s="1525"/>
      <c r="F994" s="1525"/>
      <c r="G994" s="1525"/>
      <c r="H994" s="1525"/>
      <c r="I994" s="1525"/>
      <c r="J994" s="1525"/>
      <c r="K994" s="1525"/>
      <c r="L994" s="1525"/>
      <c r="M994" s="1525"/>
      <c r="N994" s="1525"/>
      <c r="O994" s="1525"/>
      <c r="P994" s="1525"/>
      <c r="Q994" s="1525"/>
      <c r="R994" s="1525"/>
      <c r="S994" s="1525"/>
      <c r="T994" s="1525"/>
      <c r="U994" s="1525"/>
      <c r="V994" s="1525"/>
      <c r="W994" s="1525"/>
      <c r="X994" s="1525"/>
      <c r="Y994" s="1525"/>
      <c r="Z994" s="1525"/>
      <c r="AA994" s="1525"/>
      <c r="AB994" s="1525"/>
      <c r="AC994" s="1525"/>
      <c r="AD994" s="1525"/>
      <c r="AE994" s="1526"/>
      <c r="AF994" s="44"/>
      <c r="AG994" s="12"/>
      <c r="AH994" s="12"/>
      <c r="AI994" s="48"/>
      <c r="AJ994" s="1369"/>
      <c r="AK994" s="1370"/>
      <c r="AL994" s="1370"/>
      <c r="AM994" s="1370"/>
      <c r="AN994" s="1370"/>
      <c r="AO994" s="1370"/>
      <c r="AP994" s="1370"/>
      <c r="AQ994" s="1371"/>
      <c r="AR994" s="1066"/>
      <c r="AS994" s="1066"/>
      <c r="AT994" s="1066"/>
      <c r="AU994" s="1066"/>
      <c r="AV994" s="1066"/>
      <c r="AW994" s="1066"/>
      <c r="AX994" s="1066"/>
      <c r="AY994" s="1066"/>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X994" s="12"/>
      <c r="DY994" s="12"/>
      <c r="DZ994" s="12"/>
      <c r="EA994" s="12"/>
      <c r="EB994" s="12"/>
      <c r="EC994" s="12"/>
      <c r="ED994" s="12"/>
      <c r="EE994" s="12"/>
      <c r="EF994" s="12"/>
      <c r="EG994" s="12"/>
      <c r="EH994" s="12"/>
      <c r="EI994" s="12"/>
      <c r="EJ994" s="12"/>
      <c r="EK994" s="12"/>
      <c r="EL994" s="12"/>
      <c r="EM994" s="12"/>
      <c r="EN994" s="12"/>
      <c r="EO994" s="12"/>
      <c r="EP994" s="12"/>
      <c r="EQ994" s="12"/>
      <c r="ER994" s="12"/>
      <c r="ES994" s="12"/>
      <c r="ET994" s="12"/>
      <c r="EU994" s="12"/>
      <c r="EV994" s="12"/>
      <c r="EW994" s="12"/>
      <c r="EX994" s="12"/>
      <c r="EY994" s="12"/>
      <c r="EZ994" s="12"/>
      <c r="FA994" s="12"/>
    </row>
    <row r="995" spans="1:157" ht="13" customHeight="1">
      <c r="A995" s="12"/>
      <c r="B995" s="1070"/>
      <c r="C995" s="1071"/>
      <c r="D995" s="1524"/>
      <c r="E995" s="1525"/>
      <c r="F995" s="1525"/>
      <c r="G995" s="1525"/>
      <c r="H995" s="1525"/>
      <c r="I995" s="1525"/>
      <c r="J995" s="1525"/>
      <c r="K995" s="1525"/>
      <c r="L995" s="1525"/>
      <c r="M995" s="1525"/>
      <c r="N995" s="1525"/>
      <c r="O995" s="1525"/>
      <c r="P995" s="1525"/>
      <c r="Q995" s="1525"/>
      <c r="R995" s="1525"/>
      <c r="S995" s="1525"/>
      <c r="T995" s="1525"/>
      <c r="U995" s="1525"/>
      <c r="V995" s="1525"/>
      <c r="W995" s="1525"/>
      <c r="X995" s="1525"/>
      <c r="Y995" s="1525"/>
      <c r="Z995" s="1525"/>
      <c r="AA995" s="1525"/>
      <c r="AB995" s="1525"/>
      <c r="AC995" s="1525"/>
      <c r="AD995" s="1525"/>
      <c r="AE995" s="1526"/>
      <c r="AF995" s="44"/>
      <c r="AG995" s="12"/>
      <c r="AH995" s="12"/>
      <c r="AI995" s="48"/>
      <c r="AJ995" s="1369"/>
      <c r="AK995" s="1370"/>
      <c r="AL995" s="1370"/>
      <c r="AM995" s="1370"/>
      <c r="AN995" s="1370"/>
      <c r="AO995" s="1370"/>
      <c r="AP995" s="1370"/>
      <c r="AQ995" s="1371"/>
      <c r="AR995" s="1066"/>
      <c r="AS995" s="1066"/>
      <c r="AT995" s="1066"/>
      <c r="AU995" s="1066"/>
      <c r="AV995" s="1066"/>
      <c r="AW995" s="1066"/>
      <c r="AX995" s="1066"/>
      <c r="AY995" s="1066"/>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X995" s="12"/>
      <c r="DY995" s="12"/>
      <c r="DZ995" s="12"/>
      <c r="EA995" s="12"/>
      <c r="EB995" s="12"/>
      <c r="EC995" s="12"/>
      <c r="ED995" s="12"/>
      <c r="EE995" s="12"/>
      <c r="EF995" s="12"/>
      <c r="EG995" s="12"/>
      <c r="EH995" s="12"/>
      <c r="EI995" s="12"/>
      <c r="EJ995" s="12"/>
      <c r="EK995" s="12"/>
      <c r="EL995" s="12"/>
      <c r="EM995" s="12"/>
      <c r="EN995" s="12"/>
      <c r="EO995" s="12"/>
      <c r="EP995" s="12"/>
      <c r="EQ995" s="12"/>
      <c r="ER995" s="12"/>
      <c r="ES995" s="12"/>
      <c r="ET995" s="12"/>
      <c r="EU995" s="12"/>
      <c r="EV995" s="12"/>
      <c r="EW995" s="12"/>
      <c r="EX995" s="12"/>
      <c r="EY995" s="12"/>
      <c r="EZ995" s="12"/>
      <c r="FA995" s="12"/>
    </row>
    <row r="996" spans="1:157" ht="13" customHeight="1">
      <c r="A996" s="12"/>
      <c r="B996" s="1070"/>
      <c r="C996" s="1071"/>
      <c r="D996" s="1524"/>
      <c r="E996" s="1525"/>
      <c r="F996" s="1525"/>
      <c r="G996" s="1525"/>
      <c r="H996" s="1525"/>
      <c r="I996" s="1525"/>
      <c r="J996" s="1525"/>
      <c r="K996" s="1525"/>
      <c r="L996" s="1525"/>
      <c r="M996" s="1525"/>
      <c r="N996" s="1525"/>
      <c r="O996" s="1525"/>
      <c r="P996" s="1525"/>
      <c r="Q996" s="1525"/>
      <c r="R996" s="1525"/>
      <c r="S996" s="1525"/>
      <c r="T996" s="1525"/>
      <c r="U996" s="1525"/>
      <c r="V996" s="1525"/>
      <c r="W996" s="1525"/>
      <c r="X996" s="1525"/>
      <c r="Y996" s="1525"/>
      <c r="Z996" s="1525"/>
      <c r="AA996" s="1525"/>
      <c r="AB996" s="1525"/>
      <c r="AC996" s="1525"/>
      <c r="AD996" s="1525"/>
      <c r="AE996" s="1526"/>
      <c r="AF996" s="44"/>
      <c r="AG996" s="12"/>
      <c r="AH996" s="12"/>
      <c r="AI996" s="48"/>
      <c r="AJ996" s="1369"/>
      <c r="AK996" s="1370"/>
      <c r="AL996" s="1370"/>
      <c r="AM996" s="1370"/>
      <c r="AN996" s="1370"/>
      <c r="AO996" s="1370"/>
      <c r="AP996" s="1370"/>
      <c r="AQ996" s="1371"/>
      <c r="AR996" s="1066"/>
      <c r="AS996" s="1066"/>
      <c r="AT996" s="1066"/>
      <c r="AU996" s="1066"/>
      <c r="AV996" s="1066"/>
      <c r="AW996" s="1066"/>
      <c r="AX996" s="1066"/>
      <c r="AY996" s="1066"/>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X996" s="12"/>
      <c r="DY996" s="12"/>
      <c r="DZ996" s="12"/>
      <c r="EA996" s="12"/>
      <c r="EB996" s="12"/>
      <c r="EC996" s="12"/>
      <c r="ED996" s="12"/>
      <c r="EE996" s="12"/>
      <c r="EF996" s="12"/>
      <c r="EG996" s="12"/>
      <c r="EH996" s="12"/>
      <c r="EI996" s="12"/>
      <c r="EJ996" s="12"/>
      <c r="EK996" s="12"/>
      <c r="EL996" s="12"/>
      <c r="EM996" s="12"/>
      <c r="EN996" s="12"/>
      <c r="EO996" s="12"/>
      <c r="EP996" s="12"/>
      <c r="EQ996" s="12"/>
      <c r="ER996" s="12"/>
      <c r="ES996" s="12"/>
      <c r="ET996" s="12"/>
      <c r="EU996" s="12"/>
      <c r="EV996" s="12"/>
      <c r="EW996" s="12"/>
      <c r="EX996" s="12"/>
      <c r="EY996" s="12"/>
      <c r="EZ996" s="12"/>
      <c r="FA996" s="12"/>
    </row>
    <row r="997" spans="1:157" ht="13" customHeight="1">
      <c r="A997" s="12"/>
      <c r="B997" s="1070"/>
      <c r="C997" s="1071"/>
      <c r="D997" s="1524"/>
      <c r="E997" s="1525"/>
      <c r="F997" s="1525"/>
      <c r="G997" s="1525"/>
      <c r="H997" s="1525"/>
      <c r="I997" s="1525"/>
      <c r="J997" s="1525"/>
      <c r="K997" s="1525"/>
      <c r="L997" s="1525"/>
      <c r="M997" s="1525"/>
      <c r="N997" s="1525"/>
      <c r="O997" s="1525"/>
      <c r="P997" s="1525"/>
      <c r="Q997" s="1525"/>
      <c r="R997" s="1525"/>
      <c r="S997" s="1525"/>
      <c r="T997" s="1525"/>
      <c r="U997" s="1525"/>
      <c r="V997" s="1525"/>
      <c r="W997" s="1525"/>
      <c r="X997" s="1525"/>
      <c r="Y997" s="1525"/>
      <c r="Z997" s="1525"/>
      <c r="AA997" s="1525"/>
      <c r="AB997" s="1525"/>
      <c r="AC997" s="1525"/>
      <c r="AD997" s="1525"/>
      <c r="AE997" s="1526"/>
      <c r="AF997" s="44"/>
      <c r="AG997" s="12"/>
      <c r="AH997" s="12"/>
      <c r="AI997" s="48"/>
      <c r="AJ997" s="1369"/>
      <c r="AK997" s="1370"/>
      <c r="AL997" s="1370"/>
      <c r="AM997" s="1370"/>
      <c r="AN997" s="1370"/>
      <c r="AO997" s="1370"/>
      <c r="AP997" s="1370"/>
      <c r="AQ997" s="1371"/>
      <c r="AR997" s="1066"/>
      <c r="AS997" s="1066"/>
      <c r="AT997" s="1066"/>
      <c r="AU997" s="1066"/>
      <c r="AV997" s="1066"/>
      <c r="AW997" s="1066"/>
      <c r="AX997" s="1066"/>
      <c r="AY997" s="1066"/>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X997" s="12"/>
      <c r="DY997" s="12"/>
      <c r="DZ997" s="12"/>
      <c r="EA997" s="12"/>
      <c r="EB997" s="12"/>
      <c r="EC997" s="12"/>
      <c r="ED997" s="12"/>
      <c r="EE997" s="12"/>
      <c r="EF997" s="12"/>
      <c r="EG997" s="12"/>
      <c r="EH997" s="12"/>
      <c r="EI997" s="12"/>
      <c r="EJ997" s="12"/>
      <c r="EK997" s="12"/>
      <c r="EL997" s="12"/>
      <c r="EM997" s="12"/>
      <c r="EN997" s="12"/>
      <c r="EO997" s="12"/>
      <c r="EP997" s="12"/>
      <c r="EQ997" s="12"/>
      <c r="ER997" s="12"/>
      <c r="ES997" s="12"/>
      <c r="ET997" s="12"/>
      <c r="EU997" s="12"/>
      <c r="EV997" s="12"/>
      <c r="EW997" s="12"/>
      <c r="EX997" s="12"/>
      <c r="EY997" s="12"/>
      <c r="EZ997" s="12"/>
      <c r="FA997" s="12"/>
    </row>
    <row r="998" spans="1:157" ht="13" customHeight="1">
      <c r="A998" s="12"/>
      <c r="B998" s="1070"/>
      <c r="C998" s="1071"/>
      <c r="D998" s="1527" t="s">
        <v>1734</v>
      </c>
      <c r="E998" s="1528"/>
      <c r="F998" s="1528"/>
      <c r="G998" s="1528"/>
      <c r="H998" s="1528"/>
      <c r="I998" s="1528"/>
      <c r="J998" s="1528"/>
      <c r="K998" s="1528"/>
      <c r="L998" s="1528"/>
      <c r="M998" s="1528"/>
      <c r="N998" s="1528"/>
      <c r="O998" s="1528"/>
      <c r="P998" s="1528"/>
      <c r="Q998" s="1528"/>
      <c r="R998" s="1528"/>
      <c r="S998" s="1528"/>
      <c r="T998" s="1528"/>
      <c r="U998" s="1528"/>
      <c r="V998" s="1528"/>
      <c r="W998" s="1528"/>
      <c r="X998" s="1528"/>
      <c r="Y998" s="1528"/>
      <c r="Z998" s="1528"/>
      <c r="AA998" s="1528"/>
      <c r="AB998" s="1528"/>
      <c r="AC998" s="1528"/>
      <c r="AD998" s="1528"/>
      <c r="AE998" s="1529"/>
      <c r="AF998" s="44"/>
      <c r="AG998" s="12"/>
      <c r="AH998" s="12"/>
      <c r="AI998" s="48"/>
      <c r="AJ998" s="1369"/>
      <c r="AK998" s="1370"/>
      <c r="AL998" s="1370"/>
      <c r="AM998" s="1370"/>
      <c r="AN998" s="1370"/>
      <c r="AO998" s="1370"/>
      <c r="AP998" s="1370"/>
      <c r="AQ998" s="1371"/>
      <c r="AR998" s="1066"/>
      <c r="AS998" s="1066"/>
      <c r="AT998" s="1066"/>
      <c r="AU998" s="1066"/>
      <c r="AV998" s="1066"/>
      <c r="AW998" s="1066"/>
      <c r="AX998" s="1066"/>
      <c r="AY998" s="1066"/>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row>
    <row r="999" spans="1:157" ht="13" customHeight="1">
      <c r="A999" s="12"/>
      <c r="B999" s="1070"/>
      <c r="C999" s="1071"/>
      <c r="D999" s="1518" t="s">
        <v>1735</v>
      </c>
      <c r="E999" s="1519"/>
      <c r="F999" s="1519"/>
      <c r="G999" s="1519"/>
      <c r="H999" s="1519"/>
      <c r="I999" s="1519"/>
      <c r="J999" s="1519"/>
      <c r="K999" s="1519"/>
      <c r="L999" s="1519"/>
      <c r="M999" s="1519"/>
      <c r="N999" s="1519"/>
      <c r="O999" s="1519"/>
      <c r="P999" s="1519"/>
      <c r="Q999" s="1519"/>
      <c r="R999" s="1519"/>
      <c r="S999" s="1519"/>
      <c r="T999" s="1519"/>
      <c r="U999" s="1519"/>
      <c r="V999" s="1519"/>
      <c r="W999" s="1519"/>
      <c r="X999" s="1519"/>
      <c r="Y999" s="1519"/>
      <c r="Z999" s="1519"/>
      <c r="AA999" s="1519"/>
      <c r="AB999" s="1519"/>
      <c r="AC999" s="1519"/>
      <c r="AD999" s="1519"/>
      <c r="AE999" s="1520"/>
      <c r="AF999" s="45"/>
      <c r="AG999" s="6"/>
      <c r="AH999" s="6"/>
      <c r="AI999" s="46"/>
      <c r="AJ999" s="1372"/>
      <c r="AK999" s="1373"/>
      <c r="AL999" s="1373"/>
      <c r="AM999" s="1373"/>
      <c r="AN999" s="1373"/>
      <c r="AO999" s="1373"/>
      <c r="AP999" s="1373"/>
      <c r="AQ999" s="1374"/>
      <c r="AR999" s="1066"/>
      <c r="AS999" s="1066"/>
      <c r="AT999" s="1066"/>
      <c r="AU999" s="1066"/>
      <c r="AV999" s="1066"/>
      <c r="AW999" s="1066"/>
      <c r="AX999" s="1066"/>
      <c r="AY999" s="1066"/>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row>
    <row r="1000" spans="1:157" ht="13" customHeight="1">
      <c r="A1000" s="12"/>
      <c r="B1000" s="1072"/>
      <c r="C1000" s="1073"/>
      <c r="D1000" s="1448" t="s">
        <v>1736</v>
      </c>
      <c r="E1000" s="1449"/>
      <c r="F1000" s="1449"/>
      <c r="G1000" s="1449"/>
      <c r="H1000" s="1449"/>
      <c r="I1000" s="1449"/>
      <c r="J1000" s="1449"/>
      <c r="K1000" s="1449"/>
      <c r="L1000" s="1449"/>
      <c r="M1000" s="1449"/>
      <c r="N1000" s="1449"/>
      <c r="O1000" s="1449"/>
      <c r="P1000" s="1449"/>
      <c r="Q1000" s="1449"/>
      <c r="R1000" s="1449"/>
      <c r="S1000" s="1449"/>
      <c r="T1000" s="1449"/>
      <c r="U1000" s="1449"/>
      <c r="V1000" s="1449"/>
      <c r="W1000" s="1449"/>
      <c r="X1000" s="1449"/>
      <c r="Y1000" s="1449"/>
      <c r="Z1000" s="1449"/>
      <c r="AA1000" s="1449"/>
      <c r="AB1000" s="1449"/>
      <c r="AC1000" s="1449"/>
      <c r="AD1000" s="1449"/>
      <c r="AE1000" s="1450"/>
      <c r="AF1000" s="47"/>
      <c r="AG1000" s="1456" t="s">
        <v>895</v>
      </c>
      <c r="AH1000" s="1457"/>
      <c r="AI1000" s="50"/>
      <c r="AJ1000" s="1366">
        <f>ROUND(IF(AG1000="yes",AJ991*0.05,0),0)</f>
        <v>0</v>
      </c>
      <c r="AK1000" s="1367"/>
      <c r="AL1000" s="1367"/>
      <c r="AM1000" s="1367"/>
      <c r="AN1000" s="1367"/>
      <c r="AO1000" s="1367"/>
      <c r="AP1000" s="1367"/>
      <c r="AQ1000" s="1368"/>
      <c r="AR1000" s="1066"/>
      <c r="AS1000" s="1066"/>
      <c r="AT1000" s="1066"/>
      <c r="AU1000" s="1066"/>
      <c r="AV1000" s="1066"/>
      <c r="AW1000" s="1066"/>
      <c r="AX1000" s="1066"/>
      <c r="AY1000" s="1066"/>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row>
    <row r="1001" spans="1:157" ht="13" customHeight="1">
      <c r="A1001" s="12"/>
      <c r="B1001" s="1070"/>
      <c r="C1001" s="1074"/>
      <c r="D1001" s="1524" t="s">
        <v>1737</v>
      </c>
      <c r="E1001" s="1525"/>
      <c r="F1001" s="1525"/>
      <c r="G1001" s="1525"/>
      <c r="H1001" s="1525"/>
      <c r="I1001" s="1525"/>
      <c r="J1001" s="1525"/>
      <c r="K1001" s="1525"/>
      <c r="L1001" s="1525"/>
      <c r="M1001" s="1525"/>
      <c r="N1001" s="1525"/>
      <c r="O1001" s="1525"/>
      <c r="P1001" s="1525"/>
      <c r="Q1001" s="1525"/>
      <c r="R1001" s="1525"/>
      <c r="S1001" s="1525"/>
      <c r="T1001" s="1525"/>
      <c r="U1001" s="1525"/>
      <c r="V1001" s="1525"/>
      <c r="W1001" s="1525"/>
      <c r="X1001" s="1525"/>
      <c r="Y1001" s="1525"/>
      <c r="Z1001" s="1525"/>
      <c r="AA1001" s="1525"/>
      <c r="AB1001" s="1525"/>
      <c r="AC1001" s="1525"/>
      <c r="AD1001" s="1525"/>
      <c r="AE1001" s="1526"/>
      <c r="AF1001" s="44"/>
      <c r="AG1001" s="12"/>
      <c r="AH1001" s="12"/>
      <c r="AI1001" s="48"/>
      <c r="AJ1001" s="1369"/>
      <c r="AK1001" s="1370"/>
      <c r="AL1001" s="1370"/>
      <c r="AM1001" s="1370"/>
      <c r="AN1001" s="1370"/>
      <c r="AO1001" s="1370"/>
      <c r="AP1001" s="1370"/>
      <c r="AQ1001" s="1371"/>
      <c r="AR1001" s="1066"/>
      <c r="AS1001" s="1066"/>
      <c r="AT1001" s="1066"/>
      <c r="AU1001" s="1066"/>
      <c r="AV1001" s="1066"/>
      <c r="AW1001" s="1066"/>
      <c r="AX1001" s="1066"/>
      <c r="AY1001" s="2"/>
      <c r="AZ1001" s="2"/>
      <c r="BB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row>
    <row r="1002" spans="1:157" ht="13" customHeight="1">
      <c r="A1002" s="12"/>
      <c r="B1002" s="1070"/>
      <c r="C1002" s="1074"/>
      <c r="D1002" s="1524"/>
      <c r="E1002" s="1525"/>
      <c r="F1002" s="1525"/>
      <c r="G1002" s="1525"/>
      <c r="H1002" s="1525"/>
      <c r="I1002" s="1525"/>
      <c r="J1002" s="1525"/>
      <c r="K1002" s="1525"/>
      <c r="L1002" s="1525"/>
      <c r="M1002" s="1525"/>
      <c r="N1002" s="1525"/>
      <c r="O1002" s="1525"/>
      <c r="P1002" s="1525"/>
      <c r="Q1002" s="1525"/>
      <c r="R1002" s="1525"/>
      <c r="S1002" s="1525"/>
      <c r="T1002" s="1525"/>
      <c r="U1002" s="1525"/>
      <c r="V1002" s="1525"/>
      <c r="W1002" s="1525"/>
      <c r="X1002" s="1525"/>
      <c r="Y1002" s="1525"/>
      <c r="Z1002" s="1525"/>
      <c r="AA1002" s="1525"/>
      <c r="AB1002" s="1525"/>
      <c r="AC1002" s="1525"/>
      <c r="AD1002" s="1525"/>
      <c r="AE1002" s="1526"/>
      <c r="AF1002" s="44"/>
      <c r="AG1002" s="12"/>
      <c r="AH1002" s="12"/>
      <c r="AI1002" s="48"/>
      <c r="AJ1002" s="1369"/>
      <c r="AK1002" s="1370"/>
      <c r="AL1002" s="1370"/>
      <c r="AM1002" s="1370"/>
      <c r="AN1002" s="1370"/>
      <c r="AO1002" s="1370"/>
      <c r="AP1002" s="1370"/>
      <c r="AQ1002" s="1371"/>
      <c r="AR1002" s="1066"/>
      <c r="AS1002" s="1066"/>
      <c r="AT1002" s="1066"/>
      <c r="AU1002" s="1066"/>
      <c r="AV1002" s="1066"/>
      <c r="AW1002" s="1066"/>
      <c r="AX1002" s="1066"/>
      <c r="AY1002" s="741">
        <f>G753+O797</f>
        <v>52</v>
      </c>
      <c r="AZ1002" s="2"/>
      <c r="BB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row>
    <row r="1003" spans="1:157" ht="13" customHeight="1">
      <c r="A1003" s="12"/>
      <c r="B1003" s="1070"/>
      <c r="C1003" s="1074"/>
      <c r="D1003" s="1524"/>
      <c r="E1003" s="1525"/>
      <c r="F1003" s="1525"/>
      <c r="G1003" s="1525"/>
      <c r="H1003" s="1525"/>
      <c r="I1003" s="1525"/>
      <c r="J1003" s="1525"/>
      <c r="K1003" s="1525"/>
      <c r="L1003" s="1525"/>
      <c r="M1003" s="1525"/>
      <c r="N1003" s="1525"/>
      <c r="O1003" s="1525"/>
      <c r="P1003" s="1525"/>
      <c r="Q1003" s="1525"/>
      <c r="R1003" s="1525"/>
      <c r="S1003" s="1525"/>
      <c r="T1003" s="1525"/>
      <c r="U1003" s="1525"/>
      <c r="V1003" s="1525"/>
      <c r="W1003" s="1525"/>
      <c r="X1003" s="1525"/>
      <c r="Y1003" s="1525"/>
      <c r="Z1003" s="1525"/>
      <c r="AA1003" s="1525"/>
      <c r="AB1003" s="1525"/>
      <c r="AC1003" s="1525"/>
      <c r="AD1003" s="1525"/>
      <c r="AE1003" s="1526"/>
      <c r="AF1003" s="44"/>
      <c r="AG1003" s="12"/>
      <c r="AH1003" s="12"/>
      <c r="AI1003" s="48"/>
      <c r="AJ1003" s="1369"/>
      <c r="AK1003" s="1370"/>
      <c r="AL1003" s="1370"/>
      <c r="AM1003" s="1370"/>
      <c r="AN1003" s="1370"/>
      <c r="AO1003" s="1370"/>
      <c r="AP1003" s="1370"/>
      <c r="AQ1003" s="1371"/>
      <c r="AR1003" s="1066"/>
      <c r="AS1003" s="1066"/>
      <c r="AT1003" s="1066"/>
      <c r="AU1003" s="1066"/>
      <c r="AV1003" s="1066"/>
      <c r="AW1003" s="1066"/>
      <c r="AX1003" s="1066"/>
      <c r="AY1003" s="12"/>
      <c r="AZ1003" s="2"/>
      <c r="BB1003" s="2"/>
      <c r="BD1003" s="2"/>
      <c r="BE1003" s="2"/>
      <c r="BF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row>
    <row r="1004" spans="1:157" ht="13" customHeight="1">
      <c r="A1004" s="12"/>
      <c r="B1004" s="1070"/>
      <c r="C1004" s="1074"/>
      <c r="D1004" s="1524"/>
      <c r="E1004" s="1525"/>
      <c r="F1004" s="1525"/>
      <c r="G1004" s="1525"/>
      <c r="H1004" s="1525"/>
      <c r="I1004" s="1525"/>
      <c r="J1004" s="1525"/>
      <c r="K1004" s="1525"/>
      <c r="L1004" s="1525"/>
      <c r="M1004" s="1525"/>
      <c r="N1004" s="1525"/>
      <c r="O1004" s="1525"/>
      <c r="P1004" s="1525"/>
      <c r="Q1004" s="1525"/>
      <c r="R1004" s="1525"/>
      <c r="S1004" s="1525"/>
      <c r="T1004" s="1525"/>
      <c r="U1004" s="1525"/>
      <c r="V1004" s="1525"/>
      <c r="W1004" s="1525"/>
      <c r="X1004" s="1525"/>
      <c r="Y1004" s="1525"/>
      <c r="Z1004" s="1525"/>
      <c r="AA1004" s="1525"/>
      <c r="AB1004" s="1525"/>
      <c r="AC1004" s="1525"/>
      <c r="AD1004" s="1525"/>
      <c r="AE1004" s="1526"/>
      <c r="AF1004" s="44"/>
      <c r="AG1004" s="12"/>
      <c r="AH1004" s="12"/>
      <c r="AI1004" s="48"/>
      <c r="AJ1004" s="1369"/>
      <c r="AK1004" s="1370"/>
      <c r="AL1004" s="1370"/>
      <c r="AM1004" s="1370"/>
      <c r="AN1004" s="1370"/>
      <c r="AO1004" s="1370"/>
      <c r="AP1004" s="1370"/>
      <c r="AQ1004" s="1371"/>
      <c r="AR1004" s="1066"/>
      <c r="AS1004" s="1066"/>
      <c r="AT1004" s="1066"/>
      <c r="AU1004" s="1066"/>
      <c r="AV1004" s="1066"/>
      <c r="AW1004" s="1066"/>
      <c r="AX1004" s="1066"/>
      <c r="AY1004" s="740">
        <f>ROUNDDOWN(X1047/I1047,2)</f>
        <v>0</v>
      </c>
      <c r="AZ1004" s="2"/>
      <c r="BB1004" s="2"/>
      <c r="BD1004" s="2"/>
      <c r="BE1004" s="2"/>
      <c r="BF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row>
    <row r="1005" spans="1:157" ht="13" customHeight="1">
      <c r="A1005" s="12"/>
      <c r="B1005" s="1075"/>
      <c r="C1005" s="1076"/>
      <c r="D1005" s="1527"/>
      <c r="E1005" s="1528"/>
      <c r="F1005" s="1528"/>
      <c r="G1005" s="1528"/>
      <c r="H1005" s="1528"/>
      <c r="I1005" s="1528"/>
      <c r="J1005" s="1528"/>
      <c r="K1005" s="1528"/>
      <c r="L1005" s="1528"/>
      <c r="M1005" s="1528"/>
      <c r="N1005" s="1528"/>
      <c r="O1005" s="1528"/>
      <c r="P1005" s="1528"/>
      <c r="Q1005" s="1528"/>
      <c r="R1005" s="1528"/>
      <c r="S1005" s="1528"/>
      <c r="T1005" s="1528"/>
      <c r="U1005" s="1528"/>
      <c r="V1005" s="1528"/>
      <c r="W1005" s="1528"/>
      <c r="X1005" s="1528"/>
      <c r="Y1005" s="1528"/>
      <c r="Z1005" s="1528"/>
      <c r="AA1005" s="1528"/>
      <c r="AB1005" s="1528"/>
      <c r="AC1005" s="1528"/>
      <c r="AD1005" s="1528"/>
      <c r="AE1005" s="1529"/>
      <c r="AF1005" s="45"/>
      <c r="AG1005" s="6"/>
      <c r="AH1005" s="6"/>
      <c r="AI1005" s="46"/>
      <c r="AJ1005" s="1372"/>
      <c r="AK1005" s="1373"/>
      <c r="AL1005" s="1373"/>
      <c r="AM1005" s="1373"/>
      <c r="AN1005" s="1373"/>
      <c r="AO1005" s="1373"/>
      <c r="AP1005" s="1373"/>
      <c r="AQ1005" s="1374"/>
      <c r="AR1005" s="1066"/>
      <c r="AS1005" s="1066"/>
      <c r="AT1005" s="1066"/>
      <c r="AU1005" s="1066"/>
      <c r="AV1005" s="1066"/>
      <c r="AW1005" s="1066"/>
      <c r="AX1005" s="1066"/>
      <c r="AY1005" s="740">
        <f>ROUNDDOWN(X1051/I1051,2)</f>
        <v>0.48</v>
      </c>
      <c r="AZ1005" s="2"/>
      <c r="BB1005" s="2"/>
      <c r="BD1005" s="2"/>
      <c r="BE1005" s="2"/>
      <c r="BF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row>
    <row r="1006" spans="1:157" ht="13" customHeight="1">
      <c r="A1006" s="12"/>
      <c r="B1006" s="1072"/>
      <c r="C1006" s="231" t="s">
        <v>1738</v>
      </c>
      <c r="D1006" s="1448" t="s">
        <v>1739</v>
      </c>
      <c r="E1006" s="1449"/>
      <c r="F1006" s="1449"/>
      <c r="G1006" s="1449"/>
      <c r="H1006" s="1449"/>
      <c r="I1006" s="1449"/>
      <c r="J1006" s="1449"/>
      <c r="K1006" s="1449"/>
      <c r="L1006" s="1449"/>
      <c r="M1006" s="1449"/>
      <c r="N1006" s="1449"/>
      <c r="O1006" s="1449"/>
      <c r="P1006" s="1449"/>
      <c r="Q1006" s="1449"/>
      <c r="R1006" s="1449"/>
      <c r="S1006" s="1449"/>
      <c r="T1006" s="1449"/>
      <c r="U1006" s="1449"/>
      <c r="V1006" s="1449"/>
      <c r="W1006" s="1449"/>
      <c r="X1006" s="1449"/>
      <c r="Y1006" s="1449"/>
      <c r="Z1006" s="1449"/>
      <c r="AA1006" s="1449"/>
      <c r="AB1006" s="1449"/>
      <c r="AC1006" s="1449"/>
      <c r="AD1006" s="1449"/>
      <c r="AE1006" s="1450"/>
      <c r="AF1006" s="49"/>
      <c r="AG1006" s="1456" t="s">
        <v>895</v>
      </c>
      <c r="AH1006" s="1457"/>
      <c r="AI1006" s="50"/>
      <c r="AJ1006" s="1366">
        <f>ROUND(IF(AG1006="yes",AJ991*0.1,0),0)</f>
        <v>0</v>
      </c>
      <c r="AK1006" s="1367"/>
      <c r="AL1006" s="1367"/>
      <c r="AM1006" s="1367"/>
      <c r="AN1006" s="1367"/>
      <c r="AO1006" s="1367"/>
      <c r="AP1006" s="1367"/>
      <c r="AQ1006" s="1368"/>
      <c r="AR1006" s="1066"/>
      <c r="AS1006" s="1066"/>
      <c r="AT1006" s="1066"/>
      <c r="AU1006" s="1066"/>
      <c r="AV1006" s="1066"/>
      <c r="AW1006" s="1066"/>
      <c r="AX1006" s="1066"/>
      <c r="BB1006" s="2"/>
      <c r="BD1006" s="2"/>
      <c r="BE1006" s="2"/>
      <c r="BF1006" s="2"/>
    </row>
    <row r="1007" spans="1:157" ht="13" customHeight="1">
      <c r="A1007" s="12"/>
      <c r="B1007" s="44"/>
      <c r="C1007" s="1077"/>
      <c r="D1007" s="1461" t="s">
        <v>1740</v>
      </c>
      <c r="E1007" s="1462"/>
      <c r="F1007" s="1462"/>
      <c r="G1007" s="1462"/>
      <c r="H1007" s="1462"/>
      <c r="I1007" s="1462"/>
      <c r="J1007" s="1462"/>
      <c r="K1007" s="1462"/>
      <c r="L1007" s="1462"/>
      <c r="M1007" s="1462"/>
      <c r="N1007" s="1462"/>
      <c r="O1007" s="1462"/>
      <c r="P1007" s="1462"/>
      <c r="Q1007" s="1462"/>
      <c r="R1007" s="1462"/>
      <c r="S1007" s="1462"/>
      <c r="T1007" s="1462"/>
      <c r="U1007" s="1462"/>
      <c r="V1007" s="1462"/>
      <c r="W1007" s="1462"/>
      <c r="X1007" s="1462"/>
      <c r="Y1007" s="1462"/>
      <c r="Z1007" s="1462"/>
      <c r="AA1007" s="1462"/>
      <c r="AB1007" s="1462"/>
      <c r="AC1007" s="1462"/>
      <c r="AD1007" s="1462"/>
      <c r="AE1007" s="1463"/>
      <c r="AF1007" s="44"/>
      <c r="AI1007" s="48"/>
      <c r="AJ1007" s="1369"/>
      <c r="AK1007" s="1370"/>
      <c r="AL1007" s="1370"/>
      <c r="AM1007" s="1370"/>
      <c r="AN1007" s="1370"/>
      <c r="AO1007" s="1370"/>
      <c r="AP1007" s="1370"/>
      <c r="AQ1007" s="1371"/>
      <c r="AR1007" s="1066"/>
      <c r="AS1007" s="1066"/>
      <c r="AT1007" s="1066"/>
      <c r="AU1007" s="1066"/>
      <c r="AV1007" s="1066"/>
      <c r="AW1007" s="1066"/>
      <c r="AX1007" s="1066"/>
    </row>
    <row r="1008" spans="1:157" ht="13" customHeight="1">
      <c r="A1008" s="12"/>
      <c r="B1008" s="44"/>
      <c r="C1008" s="1077"/>
      <c r="D1008" s="1461"/>
      <c r="E1008" s="1462"/>
      <c r="F1008" s="1462"/>
      <c r="G1008" s="1462"/>
      <c r="H1008" s="1462"/>
      <c r="I1008" s="1462"/>
      <c r="J1008" s="1462"/>
      <c r="K1008" s="1462"/>
      <c r="L1008" s="1462"/>
      <c r="M1008" s="1462"/>
      <c r="N1008" s="1462"/>
      <c r="O1008" s="1462"/>
      <c r="P1008" s="1462"/>
      <c r="Q1008" s="1462"/>
      <c r="R1008" s="1462"/>
      <c r="S1008" s="1462"/>
      <c r="T1008" s="1462"/>
      <c r="U1008" s="1462"/>
      <c r="V1008" s="1462"/>
      <c r="W1008" s="1462"/>
      <c r="X1008" s="1462"/>
      <c r="Y1008" s="1462"/>
      <c r="Z1008" s="1462"/>
      <c r="AA1008" s="1462"/>
      <c r="AB1008" s="1462"/>
      <c r="AC1008" s="1462"/>
      <c r="AD1008" s="1462"/>
      <c r="AE1008" s="1463"/>
      <c r="AF1008" s="44"/>
      <c r="AG1008" s="12"/>
      <c r="AH1008" s="12"/>
      <c r="AI1008" s="48"/>
      <c r="AJ1008" s="1369"/>
      <c r="AK1008" s="1370"/>
      <c r="AL1008" s="1370"/>
      <c r="AM1008" s="1370"/>
      <c r="AN1008" s="1370"/>
      <c r="AO1008" s="1370"/>
      <c r="AP1008" s="1370"/>
      <c r="AQ1008" s="1371"/>
      <c r="AR1008" s="1066"/>
      <c r="AS1008" s="1066"/>
      <c r="AT1008" s="1066"/>
      <c r="AU1008" s="1066"/>
      <c r="AV1008" s="1066"/>
      <c r="AW1008" s="1066"/>
      <c r="AX1008" s="1066"/>
    </row>
    <row r="1009" spans="1:51" ht="13" customHeight="1">
      <c r="A1009" s="12"/>
      <c r="B1009" s="1078"/>
      <c r="C1009" s="1076"/>
      <c r="D1009" s="1464"/>
      <c r="E1009" s="1465"/>
      <c r="F1009" s="1465"/>
      <c r="G1009" s="1465"/>
      <c r="H1009" s="1465"/>
      <c r="I1009" s="1465"/>
      <c r="J1009" s="1465"/>
      <c r="K1009" s="1465"/>
      <c r="L1009" s="1465"/>
      <c r="M1009" s="1465"/>
      <c r="N1009" s="1465"/>
      <c r="O1009" s="1465"/>
      <c r="P1009" s="1465"/>
      <c r="Q1009" s="1465"/>
      <c r="R1009" s="1465"/>
      <c r="S1009" s="1465"/>
      <c r="T1009" s="1465"/>
      <c r="U1009" s="1465"/>
      <c r="V1009" s="1465"/>
      <c r="W1009" s="1465"/>
      <c r="X1009" s="1465"/>
      <c r="Y1009" s="1465"/>
      <c r="Z1009" s="1465"/>
      <c r="AA1009" s="1465"/>
      <c r="AB1009" s="1465"/>
      <c r="AC1009" s="1465"/>
      <c r="AD1009" s="1465"/>
      <c r="AE1009" s="1466"/>
      <c r="AF1009" s="45"/>
      <c r="AG1009" s="6"/>
      <c r="AH1009" s="6"/>
      <c r="AI1009" s="46"/>
      <c r="AJ1009" s="1372"/>
      <c r="AK1009" s="1373"/>
      <c r="AL1009" s="1373"/>
      <c r="AM1009" s="1373"/>
      <c r="AN1009" s="1373"/>
      <c r="AO1009" s="1373"/>
      <c r="AP1009" s="1373"/>
      <c r="AQ1009" s="1374"/>
      <c r="AR1009" s="1066"/>
      <c r="AS1009" s="1066"/>
      <c r="AT1009" s="1066"/>
      <c r="AU1009" s="1066"/>
      <c r="AV1009" s="1066"/>
      <c r="AW1009" s="1066"/>
      <c r="AX1009" s="1066"/>
    </row>
    <row r="1010" spans="1:51" ht="13" customHeight="1">
      <c r="A1010" s="12"/>
      <c r="B1010" s="47"/>
      <c r="C1010" s="231" t="s">
        <v>1741</v>
      </c>
      <c r="D1010" s="1448" t="s">
        <v>1742</v>
      </c>
      <c r="E1010" s="1449"/>
      <c r="F1010" s="1449"/>
      <c r="G1010" s="1449"/>
      <c r="H1010" s="1449"/>
      <c r="I1010" s="1449"/>
      <c r="J1010" s="1449"/>
      <c r="K1010" s="1449"/>
      <c r="L1010" s="1449"/>
      <c r="M1010" s="1449"/>
      <c r="N1010" s="1449"/>
      <c r="O1010" s="1449"/>
      <c r="P1010" s="1449"/>
      <c r="Q1010" s="1449"/>
      <c r="R1010" s="1449"/>
      <c r="S1010" s="1449"/>
      <c r="T1010" s="1449"/>
      <c r="U1010" s="1449"/>
      <c r="V1010" s="1449"/>
      <c r="W1010" s="1449"/>
      <c r="X1010" s="1449"/>
      <c r="Y1010" s="1449"/>
      <c r="Z1010" s="1449"/>
      <c r="AA1010" s="1449"/>
      <c r="AB1010" s="1449"/>
      <c r="AC1010" s="1449"/>
      <c r="AD1010" s="1449"/>
      <c r="AE1010" s="1450"/>
      <c r="AF1010" s="47"/>
      <c r="AG1010" s="1456" t="s">
        <v>895</v>
      </c>
      <c r="AH1010" s="1457"/>
      <c r="AI1010" s="50"/>
      <c r="AJ1010" s="1366">
        <f>ROUND(IF(AG1010="yes",AJ991*0.02,0),0)</f>
        <v>0</v>
      </c>
      <c r="AK1010" s="1367"/>
      <c r="AL1010" s="1367"/>
      <c r="AM1010" s="1367"/>
      <c r="AN1010" s="1367"/>
      <c r="AO1010" s="1367"/>
      <c r="AP1010" s="1367"/>
      <c r="AQ1010" s="1368"/>
      <c r="AR1010" s="1066"/>
      <c r="AS1010" s="1066"/>
      <c r="AT1010" s="1066"/>
      <c r="AU1010" s="1066"/>
      <c r="AV1010" s="1066"/>
      <c r="AW1010" s="1066"/>
      <c r="AX1010" s="1066"/>
      <c r="AY1010" s="1079">
        <f>IF(SUM(AY1012:AY1020)&lt;=0.1,SUM(AY1012:AY1020),0.1)</f>
        <v>0</v>
      </c>
    </row>
    <row r="1011" spans="1:51" ht="14.25" customHeight="1">
      <c r="A1011" s="12"/>
      <c r="B1011" s="44"/>
      <c r="C1011" s="1077"/>
      <c r="D1011" s="1464" t="s">
        <v>1743</v>
      </c>
      <c r="E1011" s="1465"/>
      <c r="F1011" s="1465"/>
      <c r="G1011" s="1465"/>
      <c r="H1011" s="1465"/>
      <c r="I1011" s="1465"/>
      <c r="J1011" s="1465"/>
      <c r="K1011" s="1465"/>
      <c r="L1011" s="1465"/>
      <c r="M1011" s="1465"/>
      <c r="N1011" s="1465"/>
      <c r="O1011" s="1465"/>
      <c r="P1011" s="1465"/>
      <c r="Q1011" s="1465"/>
      <c r="R1011" s="1465"/>
      <c r="S1011" s="1465"/>
      <c r="T1011" s="1465"/>
      <c r="U1011" s="1465"/>
      <c r="V1011" s="1465"/>
      <c r="W1011" s="1465"/>
      <c r="X1011" s="1465"/>
      <c r="Y1011" s="1465"/>
      <c r="Z1011" s="1465"/>
      <c r="AA1011" s="1465"/>
      <c r="AB1011" s="1465"/>
      <c r="AC1011" s="1465"/>
      <c r="AD1011" s="1465"/>
      <c r="AE1011" s="1466"/>
      <c r="AF1011" s="45"/>
      <c r="AG1011" s="6"/>
      <c r="AH1011" s="6"/>
      <c r="AI1011" s="46"/>
      <c r="AJ1011" s="1372"/>
      <c r="AK1011" s="1373"/>
      <c r="AL1011" s="1373"/>
      <c r="AM1011" s="1373"/>
      <c r="AN1011" s="1373"/>
      <c r="AO1011" s="1373"/>
      <c r="AP1011" s="1373"/>
      <c r="AQ1011" s="1374"/>
      <c r="AR1011" s="1066"/>
      <c r="AS1011" s="1066"/>
      <c r="AT1011" s="1066"/>
      <c r="AU1011" s="1066"/>
      <c r="AV1011" s="1066"/>
      <c r="AW1011" s="1066"/>
      <c r="AX1011" s="1066"/>
    </row>
    <row r="1012" spans="1:51" ht="13" customHeight="1">
      <c r="A1012" s="12"/>
      <c r="B1012" s="47"/>
      <c r="C1012" s="231" t="s">
        <v>1744</v>
      </c>
      <c r="D1012" s="1448" t="s">
        <v>1745</v>
      </c>
      <c r="E1012" s="1449"/>
      <c r="F1012" s="1449"/>
      <c r="G1012" s="1449"/>
      <c r="H1012" s="1449"/>
      <c r="I1012" s="1449"/>
      <c r="J1012" s="1449"/>
      <c r="K1012" s="1449"/>
      <c r="L1012" s="1449"/>
      <c r="M1012" s="1449"/>
      <c r="N1012" s="1449"/>
      <c r="O1012" s="1449"/>
      <c r="P1012" s="1449"/>
      <c r="Q1012" s="1449"/>
      <c r="R1012" s="1449"/>
      <c r="S1012" s="1449"/>
      <c r="T1012" s="1449"/>
      <c r="U1012" s="1449"/>
      <c r="V1012" s="1449"/>
      <c r="W1012" s="1449"/>
      <c r="X1012" s="1449"/>
      <c r="Y1012" s="1449"/>
      <c r="Z1012" s="1449"/>
      <c r="AA1012" s="1449"/>
      <c r="AB1012" s="1449"/>
      <c r="AC1012" s="1449"/>
      <c r="AD1012" s="1449"/>
      <c r="AE1012" s="1450"/>
      <c r="AF1012" s="47"/>
      <c r="AG1012" s="1456" t="s">
        <v>895</v>
      </c>
      <c r="AH1012" s="1457"/>
      <c r="AI1012" s="47"/>
      <c r="AJ1012" s="1366">
        <f>ROUND(IF(AG1012="yes",AJ991*0.02,0),0)</f>
        <v>0</v>
      </c>
      <c r="AK1012" s="1367"/>
      <c r="AL1012" s="1367"/>
      <c r="AM1012" s="1367"/>
      <c r="AN1012" s="1367"/>
      <c r="AO1012" s="1367"/>
      <c r="AP1012" s="1367"/>
      <c r="AQ1012" s="1368"/>
      <c r="AR1012" s="1066"/>
      <c r="AS1012" s="1066"/>
      <c r="AT1012" s="1066"/>
      <c r="AU1012" s="1066"/>
      <c r="AV1012" s="1066"/>
      <c r="AW1012" s="1066"/>
      <c r="AX1012" s="1066"/>
      <c r="AY1012" s="1080">
        <f>IF(A1064="Yes",0.05,0)</f>
        <v>0</v>
      </c>
    </row>
    <row r="1013" spans="1:51" ht="13" customHeight="1">
      <c r="A1013" s="12"/>
      <c r="B1013" s="44"/>
      <c r="C1013" s="1077"/>
      <c r="D1013" s="1461" t="s">
        <v>1746</v>
      </c>
      <c r="E1013" s="1462"/>
      <c r="F1013" s="1462"/>
      <c r="G1013" s="1462"/>
      <c r="H1013" s="1462"/>
      <c r="I1013" s="1462"/>
      <c r="J1013" s="1462"/>
      <c r="K1013" s="1462"/>
      <c r="L1013" s="1462"/>
      <c r="M1013" s="1462"/>
      <c r="N1013" s="1462"/>
      <c r="O1013" s="1462"/>
      <c r="P1013" s="1462"/>
      <c r="Q1013" s="1462"/>
      <c r="R1013" s="1462"/>
      <c r="S1013" s="1462"/>
      <c r="T1013" s="1462"/>
      <c r="U1013" s="1462"/>
      <c r="V1013" s="1462"/>
      <c r="W1013" s="1462"/>
      <c r="X1013" s="1462"/>
      <c r="Y1013" s="1462"/>
      <c r="Z1013" s="1462"/>
      <c r="AA1013" s="1462"/>
      <c r="AB1013" s="1462"/>
      <c r="AC1013" s="1462"/>
      <c r="AD1013" s="1462"/>
      <c r="AE1013" s="1463"/>
      <c r="AF1013" s="1351" t="str">
        <f>IF(AND(AG1012="yes",AB212&lt;&gt;1),"The project may not be eligible for this boost","")</f>
        <v/>
      </c>
      <c r="AG1013" s="1352"/>
      <c r="AH1013" s="1352"/>
      <c r="AI1013" s="1353"/>
      <c r="AJ1013" s="1369"/>
      <c r="AK1013" s="1370"/>
      <c r="AL1013" s="1370"/>
      <c r="AM1013" s="1370"/>
      <c r="AN1013" s="1370"/>
      <c r="AO1013" s="1370"/>
      <c r="AP1013" s="1370"/>
      <c r="AQ1013" s="1371"/>
      <c r="AR1013" s="1066"/>
      <c r="AS1013" s="1066"/>
      <c r="AT1013" s="1066"/>
      <c r="AU1013" s="1066"/>
      <c r="AV1013" s="1066"/>
      <c r="AW1013" s="1066"/>
      <c r="AX1013" s="1066"/>
      <c r="AY1013" s="1080">
        <f>IF(A1070="Yes",0.02,0)</f>
        <v>0</v>
      </c>
    </row>
    <row r="1014" spans="1:51" ht="13" customHeight="1">
      <c r="A1014" s="12"/>
      <c r="B1014" s="1075"/>
      <c r="C1014" s="1076"/>
      <c r="D1014" s="1464"/>
      <c r="E1014" s="1465"/>
      <c r="F1014" s="1465"/>
      <c r="G1014" s="1465"/>
      <c r="H1014" s="1465"/>
      <c r="I1014" s="1465"/>
      <c r="J1014" s="1465"/>
      <c r="K1014" s="1465"/>
      <c r="L1014" s="1465"/>
      <c r="M1014" s="1465"/>
      <c r="N1014" s="1465"/>
      <c r="O1014" s="1465"/>
      <c r="P1014" s="1465"/>
      <c r="Q1014" s="1465"/>
      <c r="R1014" s="1465"/>
      <c r="S1014" s="1465"/>
      <c r="T1014" s="1465"/>
      <c r="U1014" s="1465"/>
      <c r="V1014" s="1465"/>
      <c r="W1014" s="1465"/>
      <c r="X1014" s="1465"/>
      <c r="Y1014" s="1465"/>
      <c r="Z1014" s="1465"/>
      <c r="AA1014" s="1465"/>
      <c r="AB1014" s="1465"/>
      <c r="AC1014" s="1465"/>
      <c r="AD1014" s="1465"/>
      <c r="AE1014" s="1466"/>
      <c r="AF1014" s="1354"/>
      <c r="AG1014" s="1355"/>
      <c r="AH1014" s="1355"/>
      <c r="AI1014" s="1356"/>
      <c r="AJ1014" s="1372"/>
      <c r="AK1014" s="1373"/>
      <c r="AL1014" s="1373"/>
      <c r="AM1014" s="1373"/>
      <c r="AN1014" s="1373"/>
      <c r="AO1014" s="1373"/>
      <c r="AP1014" s="1373"/>
      <c r="AQ1014" s="1374"/>
      <c r="AR1014" s="1066"/>
      <c r="AS1014" s="1066"/>
      <c r="AT1014" s="1066"/>
      <c r="AU1014" s="1066"/>
      <c r="AV1014" s="1066"/>
      <c r="AW1014" s="1066"/>
      <c r="AX1014" s="1066"/>
      <c r="AY1014" s="1080">
        <f>IF(A1076="Yes",0.04,0)</f>
        <v>0</v>
      </c>
    </row>
    <row r="1015" spans="1:51" ht="13" customHeight="1">
      <c r="A1015" s="12"/>
      <c r="B1015" s="47"/>
      <c r="C1015" s="231" t="s">
        <v>1747</v>
      </c>
      <c r="D1015" s="1458" t="s">
        <v>1748</v>
      </c>
      <c r="E1015" s="1459"/>
      <c r="F1015" s="1459"/>
      <c r="G1015" s="1459"/>
      <c r="H1015" s="1459"/>
      <c r="I1015" s="1459"/>
      <c r="J1015" s="1459"/>
      <c r="K1015" s="1459"/>
      <c r="L1015" s="1459"/>
      <c r="M1015" s="1459"/>
      <c r="N1015" s="1459"/>
      <c r="O1015" s="1459"/>
      <c r="P1015" s="1459"/>
      <c r="Q1015" s="1459"/>
      <c r="R1015" s="1459"/>
      <c r="S1015" s="1459"/>
      <c r="T1015" s="1459"/>
      <c r="U1015" s="1459"/>
      <c r="V1015" s="1459"/>
      <c r="W1015" s="1459"/>
      <c r="X1015" s="1459"/>
      <c r="Y1015" s="1459"/>
      <c r="Z1015" s="1459"/>
      <c r="AA1015" s="1459"/>
      <c r="AB1015" s="1459"/>
      <c r="AC1015" s="1459"/>
      <c r="AD1015" s="1459"/>
      <c r="AE1015" s="1460"/>
      <c r="AF1015" s="47"/>
      <c r="AG1015" s="1456" t="s">
        <v>895</v>
      </c>
      <c r="AH1015" s="1457"/>
      <c r="AI1015" s="50"/>
      <c r="AJ1015" s="1366">
        <f>IF(AG1015="yes",AJ991*AY1010,0)</f>
        <v>0</v>
      </c>
      <c r="AK1015" s="1367"/>
      <c r="AL1015" s="1367"/>
      <c r="AM1015" s="1367"/>
      <c r="AN1015" s="1367"/>
      <c r="AO1015" s="1367"/>
      <c r="AP1015" s="1367"/>
      <c r="AQ1015" s="1368"/>
      <c r="AR1015" s="1066"/>
      <c r="AS1015" s="1066"/>
      <c r="AT1015" s="1066"/>
      <c r="AU1015" s="1066"/>
      <c r="AV1015" s="1066"/>
      <c r="AW1015" s="1066"/>
      <c r="AX1015" s="1066"/>
      <c r="AY1015" s="1080">
        <f>IF(A1083="Yes",0.04,0)</f>
        <v>0</v>
      </c>
    </row>
    <row r="1016" spans="1:51" ht="13" customHeight="1">
      <c r="A1016" s="12"/>
      <c r="B1016" s="44"/>
      <c r="C1016" s="1077"/>
      <c r="D1016" s="1461" t="s">
        <v>1749</v>
      </c>
      <c r="E1016" s="1462"/>
      <c r="F1016" s="1462"/>
      <c r="G1016" s="1462"/>
      <c r="H1016" s="1462"/>
      <c r="I1016" s="1462"/>
      <c r="J1016" s="1462"/>
      <c r="K1016" s="1462"/>
      <c r="L1016" s="1462"/>
      <c r="M1016" s="1462"/>
      <c r="N1016" s="1462"/>
      <c r="O1016" s="1462"/>
      <c r="P1016" s="1462"/>
      <c r="Q1016" s="1462"/>
      <c r="R1016" s="1462"/>
      <c r="S1016" s="1462"/>
      <c r="T1016" s="1462"/>
      <c r="U1016" s="1462"/>
      <c r="V1016" s="1462"/>
      <c r="W1016" s="1462"/>
      <c r="X1016" s="1462"/>
      <c r="Y1016" s="1462"/>
      <c r="Z1016" s="1462"/>
      <c r="AA1016" s="1462"/>
      <c r="AB1016" s="1462"/>
      <c r="AC1016" s="1462"/>
      <c r="AD1016" s="1462"/>
      <c r="AE1016" s="1463"/>
      <c r="AF1016" s="1345" t="str">
        <f>IF(AND(AG1015="Yes",AY1010=0),AY1022,"")</f>
        <v/>
      </c>
      <c r="AG1016" s="1346"/>
      <c r="AH1016" s="1346"/>
      <c r="AI1016" s="1347"/>
      <c r="AJ1016" s="1369"/>
      <c r="AK1016" s="1370"/>
      <c r="AL1016" s="1370"/>
      <c r="AM1016" s="1370"/>
      <c r="AN1016" s="1370"/>
      <c r="AO1016" s="1370"/>
      <c r="AP1016" s="1370"/>
      <c r="AQ1016" s="1371"/>
      <c r="AR1016" s="1066"/>
      <c r="AS1016" s="1066"/>
      <c r="AT1016" s="1066"/>
      <c r="AU1016" s="1066"/>
      <c r="AV1016" s="1066"/>
      <c r="AW1016" s="1066"/>
      <c r="AX1016" s="1066"/>
      <c r="AY1016" s="1080">
        <f>IF(A1086="Yes",0.01,0)</f>
        <v>0</v>
      </c>
    </row>
    <row r="1017" spans="1:51" ht="13" customHeight="1">
      <c r="A1017" s="12"/>
      <c r="B1017" s="44"/>
      <c r="C1017" s="1077"/>
      <c r="D1017" s="1461"/>
      <c r="E1017" s="1462"/>
      <c r="F1017" s="1462"/>
      <c r="G1017" s="1462"/>
      <c r="H1017" s="1462"/>
      <c r="I1017" s="1462"/>
      <c r="J1017" s="1462"/>
      <c r="K1017" s="1462"/>
      <c r="L1017" s="1462"/>
      <c r="M1017" s="1462"/>
      <c r="N1017" s="1462"/>
      <c r="O1017" s="1462"/>
      <c r="P1017" s="1462"/>
      <c r="Q1017" s="1462"/>
      <c r="R1017" s="1462"/>
      <c r="S1017" s="1462"/>
      <c r="T1017" s="1462"/>
      <c r="U1017" s="1462"/>
      <c r="V1017" s="1462"/>
      <c r="W1017" s="1462"/>
      <c r="X1017" s="1462"/>
      <c r="Y1017" s="1462"/>
      <c r="Z1017" s="1462"/>
      <c r="AA1017" s="1462"/>
      <c r="AB1017" s="1462"/>
      <c r="AC1017" s="1462"/>
      <c r="AD1017" s="1462"/>
      <c r="AE1017" s="1463"/>
      <c r="AF1017" s="1345"/>
      <c r="AG1017" s="1346"/>
      <c r="AH1017" s="1346"/>
      <c r="AI1017" s="1347"/>
      <c r="AJ1017" s="1369"/>
      <c r="AK1017" s="1370"/>
      <c r="AL1017" s="1370"/>
      <c r="AM1017" s="1370"/>
      <c r="AN1017" s="1370"/>
      <c r="AO1017" s="1370"/>
      <c r="AP1017" s="1370"/>
      <c r="AQ1017" s="1371"/>
      <c r="AR1017" s="1066"/>
      <c r="AS1017" s="1066"/>
      <c r="AT1017" s="1066"/>
      <c r="AU1017" s="1066"/>
      <c r="AV1017" s="1066"/>
      <c r="AW1017" s="1066"/>
      <c r="AX1017" s="1066"/>
      <c r="AY1017" s="1080">
        <f>IF(A1091="Yes",0.01,0)</f>
        <v>0</v>
      </c>
    </row>
    <row r="1018" spans="1:51" ht="13" customHeight="1">
      <c r="A1018" s="12"/>
      <c r="B1018" s="1081"/>
      <c r="C1018" s="1074"/>
      <c r="D1018" s="1464"/>
      <c r="E1018" s="1465"/>
      <c r="F1018" s="1465"/>
      <c r="G1018" s="1465"/>
      <c r="H1018" s="1465"/>
      <c r="I1018" s="1465"/>
      <c r="J1018" s="1465"/>
      <c r="K1018" s="1465"/>
      <c r="L1018" s="1465"/>
      <c r="M1018" s="1465"/>
      <c r="N1018" s="1465"/>
      <c r="O1018" s="1465"/>
      <c r="P1018" s="1465"/>
      <c r="Q1018" s="1465"/>
      <c r="R1018" s="1465"/>
      <c r="S1018" s="1465"/>
      <c r="T1018" s="1465"/>
      <c r="U1018" s="1465"/>
      <c r="V1018" s="1465"/>
      <c r="W1018" s="1465"/>
      <c r="X1018" s="1465"/>
      <c r="Y1018" s="1465"/>
      <c r="Z1018" s="1465"/>
      <c r="AA1018" s="1465"/>
      <c r="AB1018" s="1465"/>
      <c r="AC1018" s="1465"/>
      <c r="AD1018" s="1465"/>
      <c r="AE1018" s="1466"/>
      <c r="AF1018" s="1348"/>
      <c r="AG1018" s="1349"/>
      <c r="AH1018" s="1349"/>
      <c r="AI1018" s="1350"/>
      <c r="AJ1018" s="1372"/>
      <c r="AK1018" s="1373"/>
      <c r="AL1018" s="1373"/>
      <c r="AM1018" s="1373"/>
      <c r="AN1018" s="1373"/>
      <c r="AO1018" s="1373"/>
      <c r="AP1018" s="1373"/>
      <c r="AQ1018" s="1374"/>
      <c r="AR1018" s="1066"/>
      <c r="AS1018" s="1066"/>
      <c r="AT1018" s="1066"/>
      <c r="AU1018" s="1066"/>
      <c r="AV1018" s="1066"/>
      <c r="AW1018" s="1066"/>
      <c r="AX1018" s="1066"/>
      <c r="AY1018" s="1080">
        <f>IF(A1094="Yes",0.01,0)</f>
        <v>0</v>
      </c>
    </row>
    <row r="1019" spans="1:51" ht="13" customHeight="1">
      <c r="A1019" s="12"/>
      <c r="B1019" s="47"/>
      <c r="C1019" s="231" t="s">
        <v>1750</v>
      </c>
      <c r="D1019" s="1505" t="s">
        <v>1751</v>
      </c>
      <c r="E1019" s="1506"/>
      <c r="F1019" s="1506"/>
      <c r="G1019" s="1506"/>
      <c r="H1019" s="1506"/>
      <c r="I1019" s="1506"/>
      <c r="J1019" s="1506"/>
      <c r="K1019" s="1506"/>
      <c r="L1019" s="1506"/>
      <c r="M1019" s="1506"/>
      <c r="N1019" s="1506"/>
      <c r="O1019" s="1506"/>
      <c r="P1019" s="1506"/>
      <c r="Q1019" s="1506"/>
      <c r="R1019" s="1506"/>
      <c r="S1019" s="1506"/>
      <c r="T1019" s="1506"/>
      <c r="U1019" s="1506"/>
      <c r="V1019" s="1506"/>
      <c r="W1019" s="1506"/>
      <c r="X1019" s="1506"/>
      <c r="Y1019" s="1506"/>
      <c r="Z1019" s="1506"/>
      <c r="AA1019" s="1506"/>
      <c r="AB1019" s="1506"/>
      <c r="AC1019" s="1506"/>
      <c r="AD1019" s="1506"/>
      <c r="AE1019" s="1507"/>
      <c r="AF1019" s="47"/>
      <c r="AG1019" s="1456" t="s">
        <v>895</v>
      </c>
      <c r="AH1019" s="1457"/>
      <c r="AI1019" s="50"/>
      <c r="AJ1019" s="1366">
        <f>ROUND(IF(AND(AG1019="Yes",J1023&lt;&gt;"N/A",AF1022&lt;&gt;""),MIN(AF1022,(0.15*AJ991)),0),0)</f>
        <v>0</v>
      </c>
      <c r="AK1019" s="1367"/>
      <c r="AL1019" s="1367"/>
      <c r="AM1019" s="1367"/>
      <c r="AN1019" s="1367"/>
      <c r="AO1019" s="1367"/>
      <c r="AP1019" s="1367"/>
      <c r="AQ1019" s="1368"/>
      <c r="AR1019" s="1066"/>
      <c r="AS1019" s="1066"/>
      <c r="AT1019" s="1066"/>
      <c r="AU1019" s="1066"/>
      <c r="AV1019" s="1066"/>
      <c r="AW1019" s="1066"/>
      <c r="AX1019" s="1066"/>
      <c r="AY1019" s="1080">
        <f>IF(A1098="Yes",0.02,0)</f>
        <v>0</v>
      </c>
    </row>
    <row r="1020" spans="1:51" ht="13" customHeight="1">
      <c r="A1020" s="12"/>
      <c r="B1020" s="1081"/>
      <c r="C1020" s="1082"/>
      <c r="D1020" s="1508"/>
      <c r="E1020" s="1509"/>
      <c r="F1020" s="1509"/>
      <c r="G1020" s="1509"/>
      <c r="H1020" s="1509"/>
      <c r="I1020" s="1509"/>
      <c r="J1020" s="1509"/>
      <c r="K1020" s="1509"/>
      <c r="L1020" s="1509"/>
      <c r="M1020" s="1509"/>
      <c r="N1020" s="1509"/>
      <c r="O1020" s="1509"/>
      <c r="P1020" s="1509"/>
      <c r="Q1020" s="1509"/>
      <c r="R1020" s="1509"/>
      <c r="S1020" s="1509"/>
      <c r="T1020" s="1509"/>
      <c r="U1020" s="1509"/>
      <c r="V1020" s="1509"/>
      <c r="W1020" s="1509"/>
      <c r="X1020" s="1509"/>
      <c r="Y1020" s="1509"/>
      <c r="Z1020" s="1509"/>
      <c r="AA1020" s="1509"/>
      <c r="AB1020" s="1509"/>
      <c r="AC1020" s="1509"/>
      <c r="AD1020" s="1509"/>
      <c r="AE1020" s="1510"/>
      <c r="AF1020" s="1538" t="str">
        <f>IF(AG1019="yes","Please Select Type and Enter Amount:","")</f>
        <v/>
      </c>
      <c r="AG1020" s="1539"/>
      <c r="AH1020" s="1539"/>
      <c r="AI1020" s="1540"/>
      <c r="AJ1020" s="1369"/>
      <c r="AK1020" s="1370"/>
      <c r="AL1020" s="1370"/>
      <c r="AM1020" s="1370"/>
      <c r="AN1020" s="1370"/>
      <c r="AO1020" s="1370"/>
      <c r="AP1020" s="1370"/>
      <c r="AQ1020" s="1371"/>
      <c r="AR1020" s="1066"/>
      <c r="AS1020" s="1066"/>
      <c r="AT1020" s="1066"/>
      <c r="AU1020" s="1066"/>
      <c r="AV1020" s="1066"/>
      <c r="AW1020" s="1066"/>
      <c r="AX1020" s="1066"/>
      <c r="AY1020" s="703">
        <f>IF(A1103="Yes",0.02,0)</f>
        <v>0</v>
      </c>
    </row>
    <row r="1021" spans="1:51" ht="13" customHeight="1">
      <c r="A1021" s="12"/>
      <c r="B1021" s="1081"/>
      <c r="C1021" s="1082"/>
      <c r="D1021" s="1461" t="s">
        <v>1752</v>
      </c>
      <c r="E1021" s="1462"/>
      <c r="F1021" s="1462"/>
      <c r="G1021" s="1462"/>
      <c r="H1021" s="1462"/>
      <c r="I1021" s="1462"/>
      <c r="J1021" s="1462"/>
      <c r="K1021" s="1462"/>
      <c r="L1021" s="1462"/>
      <c r="M1021" s="1462"/>
      <c r="N1021" s="1462"/>
      <c r="O1021" s="1462"/>
      <c r="P1021" s="1462"/>
      <c r="Q1021" s="1462"/>
      <c r="R1021" s="1462"/>
      <c r="S1021" s="1462"/>
      <c r="T1021" s="1462"/>
      <c r="U1021" s="1462"/>
      <c r="V1021" s="1462"/>
      <c r="W1021" s="1462"/>
      <c r="X1021" s="1462"/>
      <c r="Y1021" s="1462"/>
      <c r="Z1021" s="1462"/>
      <c r="AA1021" s="1462"/>
      <c r="AB1021" s="1462"/>
      <c r="AC1021" s="1462"/>
      <c r="AD1021" s="1462"/>
      <c r="AE1021" s="1463"/>
      <c r="AF1021" s="1538"/>
      <c r="AG1021" s="1539"/>
      <c r="AH1021" s="1539"/>
      <c r="AI1021" s="1540"/>
      <c r="AJ1021" s="1369"/>
      <c r="AK1021" s="1370"/>
      <c r="AL1021" s="1370"/>
      <c r="AM1021" s="1370"/>
      <c r="AN1021" s="1370"/>
      <c r="AO1021" s="1370"/>
      <c r="AP1021" s="1370"/>
      <c r="AQ1021" s="1371"/>
      <c r="AR1021" s="1066"/>
      <c r="AS1021" s="1066"/>
      <c r="AT1021" s="1066"/>
      <c r="AU1021" s="1066"/>
      <c r="AV1021" s="1066"/>
      <c r="AW1021" s="1066"/>
      <c r="AX1021" s="1066"/>
      <c r="AY1021" s="1066"/>
    </row>
    <row r="1022" spans="1:51" ht="13" customHeight="1">
      <c r="A1022" s="12"/>
      <c r="B1022" s="1081"/>
      <c r="C1022" s="1082"/>
      <c r="D1022" s="1461"/>
      <c r="E1022" s="1462"/>
      <c r="F1022" s="1462"/>
      <c r="G1022" s="1462"/>
      <c r="H1022" s="1462"/>
      <c r="I1022" s="1462"/>
      <c r="J1022" s="1462"/>
      <c r="K1022" s="1462"/>
      <c r="L1022" s="1462"/>
      <c r="M1022" s="1462"/>
      <c r="N1022" s="1462"/>
      <c r="O1022" s="1462"/>
      <c r="P1022" s="1462"/>
      <c r="Q1022" s="1462"/>
      <c r="R1022" s="1462"/>
      <c r="S1022" s="1462"/>
      <c r="T1022" s="1462"/>
      <c r="U1022" s="1462"/>
      <c r="V1022" s="1462"/>
      <c r="W1022" s="1462"/>
      <c r="X1022" s="1462"/>
      <c r="Y1022" s="1462"/>
      <c r="Z1022" s="1462"/>
      <c r="AA1022" s="1462"/>
      <c r="AB1022" s="1462"/>
      <c r="AC1022" s="1462"/>
      <c r="AD1022" s="1462"/>
      <c r="AE1022" s="1463"/>
      <c r="AF1022" s="1541"/>
      <c r="AG1022" s="1541"/>
      <c r="AH1022" s="1541"/>
      <c r="AI1022" s="1541"/>
      <c r="AJ1022" s="1369"/>
      <c r="AK1022" s="1370"/>
      <c r="AL1022" s="1370"/>
      <c r="AM1022" s="1370"/>
      <c r="AN1022" s="1370"/>
      <c r="AO1022" s="1370"/>
      <c r="AP1022" s="1370"/>
      <c r="AQ1022" s="1371"/>
      <c r="AR1022" s="1066"/>
      <c r="AS1022" s="1066"/>
      <c r="AT1022" s="1066"/>
      <c r="AU1022" s="1066"/>
      <c r="AV1022" s="1066"/>
      <c r="AW1022" s="1066"/>
      <c r="AX1022" s="1066"/>
      <c r="AY1022" s="1066" t="str">
        <f>"Select items beginning on row #"&amp;TEXT(ROW(A1060),"#")&amp;" to claim this boost"</f>
        <v>Select items beginning on row #1060 to claim this boost</v>
      </c>
    </row>
    <row r="1023" spans="1:51" ht="13" customHeight="1">
      <c r="A1023" s="12"/>
      <c r="B1023" s="1081"/>
      <c r="C1023" s="1082"/>
      <c r="D1023" s="395" t="s">
        <v>1753</v>
      </c>
      <c r="E1023" s="51"/>
      <c r="F1023" s="51"/>
      <c r="G1023" s="729"/>
      <c r="H1023" s="729"/>
      <c r="I1023" s="34"/>
      <c r="J1023" s="1482" t="s">
        <v>299</v>
      </c>
      <c r="K1023" s="1483"/>
      <c r="L1023" s="1483"/>
      <c r="M1023" s="1483"/>
      <c r="N1023" s="1483"/>
      <c r="O1023" s="1483"/>
      <c r="P1023" s="1483"/>
      <c r="Q1023" s="1483"/>
      <c r="R1023" s="1483"/>
      <c r="S1023" s="1483"/>
      <c r="T1023" s="1483"/>
      <c r="U1023" s="1483"/>
      <c r="V1023" s="1483"/>
      <c r="W1023" s="1483"/>
      <c r="X1023" s="1483"/>
      <c r="Y1023" s="1483"/>
      <c r="Z1023" s="1483"/>
      <c r="AA1023" s="1483"/>
      <c r="AB1023" s="1483"/>
      <c r="AC1023" s="1483"/>
      <c r="AD1023" s="1483"/>
      <c r="AE1023" s="1484"/>
      <c r="AF1023" s="1541"/>
      <c r="AG1023" s="1541"/>
      <c r="AH1023" s="1541"/>
      <c r="AI1023" s="1541"/>
      <c r="AJ1023" s="1372"/>
      <c r="AK1023" s="1373"/>
      <c r="AL1023" s="1373"/>
      <c r="AM1023" s="1373"/>
      <c r="AN1023" s="1373"/>
      <c r="AO1023" s="1373"/>
      <c r="AP1023" s="1373"/>
      <c r="AQ1023" s="1374"/>
      <c r="AR1023" s="1066"/>
      <c r="AS1023" s="1066"/>
      <c r="AT1023" s="1066"/>
      <c r="AU1023" s="1066"/>
      <c r="AV1023" s="1066"/>
      <c r="AW1023" s="1066"/>
      <c r="AX1023" s="1066"/>
      <c r="AY1023" s="1066"/>
    </row>
    <row r="1024" spans="1:51" ht="13" customHeight="1">
      <c r="A1024" s="12"/>
      <c r="B1024" s="47"/>
      <c r="C1024" s="231" t="s">
        <v>1754</v>
      </c>
      <c r="D1024" s="1448" t="s">
        <v>1755</v>
      </c>
      <c r="E1024" s="1449"/>
      <c r="F1024" s="1449"/>
      <c r="G1024" s="1449"/>
      <c r="H1024" s="1449"/>
      <c r="I1024" s="1449"/>
      <c r="J1024" s="1449"/>
      <c r="K1024" s="1449"/>
      <c r="L1024" s="1449"/>
      <c r="M1024" s="1449"/>
      <c r="N1024" s="1449"/>
      <c r="O1024" s="1449"/>
      <c r="P1024" s="1449"/>
      <c r="Q1024" s="1449"/>
      <c r="R1024" s="1449"/>
      <c r="S1024" s="1449"/>
      <c r="T1024" s="1449"/>
      <c r="U1024" s="1449"/>
      <c r="V1024" s="1449"/>
      <c r="W1024" s="1449"/>
      <c r="X1024" s="1449"/>
      <c r="Y1024" s="1449"/>
      <c r="Z1024" s="1449"/>
      <c r="AA1024" s="1449"/>
      <c r="AB1024" s="1449"/>
      <c r="AC1024" s="1449"/>
      <c r="AD1024" s="1449"/>
      <c r="AE1024" s="1450"/>
      <c r="AF1024" s="47"/>
      <c r="AG1024" s="1456" t="s">
        <v>837</v>
      </c>
      <c r="AH1024" s="1457"/>
      <c r="AI1024" s="50"/>
      <c r="AJ1024" s="1366">
        <f>ROUND(IF(AG1024="Yes",AF1026,0),0)</f>
        <v>2120000</v>
      </c>
      <c r="AK1024" s="1367"/>
      <c r="AL1024" s="1367"/>
      <c r="AM1024" s="1367"/>
      <c r="AN1024" s="1367"/>
      <c r="AO1024" s="1367"/>
      <c r="AP1024" s="1367"/>
      <c r="AQ1024" s="1368"/>
      <c r="AR1024" s="1066"/>
      <c r="AS1024" s="1066"/>
      <c r="AT1024" s="1066"/>
      <c r="AU1024" s="1066"/>
      <c r="AV1024" s="1066"/>
      <c r="AW1024" s="1066"/>
      <c r="AX1024" s="1066"/>
      <c r="AY1024" s="1066"/>
    </row>
    <row r="1025" spans="1:51" ht="13" customHeight="1">
      <c r="A1025" s="12"/>
      <c r="B1025" s="44"/>
      <c r="C1025" s="1077"/>
      <c r="D1025" s="1461" t="s">
        <v>1756</v>
      </c>
      <c r="E1025" s="1462"/>
      <c r="F1025" s="1462"/>
      <c r="G1025" s="1462"/>
      <c r="H1025" s="1462"/>
      <c r="I1025" s="1462"/>
      <c r="J1025" s="1462"/>
      <c r="K1025" s="1462"/>
      <c r="L1025" s="1462"/>
      <c r="M1025" s="1462"/>
      <c r="N1025" s="1462"/>
      <c r="O1025" s="1462"/>
      <c r="P1025" s="1462"/>
      <c r="Q1025" s="1462"/>
      <c r="R1025" s="1462"/>
      <c r="S1025" s="1462"/>
      <c r="T1025" s="1462"/>
      <c r="U1025" s="1462"/>
      <c r="V1025" s="1462"/>
      <c r="W1025" s="1462"/>
      <c r="X1025" s="1462"/>
      <c r="Y1025" s="1462"/>
      <c r="Z1025" s="1462"/>
      <c r="AA1025" s="1462"/>
      <c r="AB1025" s="1462"/>
      <c r="AC1025" s="1462"/>
      <c r="AD1025" s="1462"/>
      <c r="AE1025" s="1463"/>
      <c r="AF1025" s="1521" t="str">
        <f>IF(AG1024="yes","Enter Amount:","")</f>
        <v>Enter Amount:</v>
      </c>
      <c r="AG1025" s="1522"/>
      <c r="AH1025" s="1522"/>
      <c r="AI1025" s="1523"/>
      <c r="AJ1025" s="1369"/>
      <c r="AK1025" s="1370"/>
      <c r="AL1025" s="1370"/>
      <c r="AM1025" s="1370"/>
      <c r="AN1025" s="1370"/>
      <c r="AO1025" s="1370"/>
      <c r="AP1025" s="1370"/>
      <c r="AQ1025" s="1371"/>
      <c r="AR1025" s="1066"/>
      <c r="AS1025" s="1066"/>
      <c r="AT1025" s="1066"/>
      <c r="AU1025" s="1066"/>
      <c r="AV1025" s="1066"/>
      <c r="AW1025" s="1066"/>
      <c r="AX1025" s="1066"/>
      <c r="AY1025" s="1066"/>
    </row>
    <row r="1026" spans="1:51" ht="13" customHeight="1">
      <c r="A1026" s="12"/>
      <c r="B1026" s="44"/>
      <c r="C1026" s="1077"/>
      <c r="D1026" s="1461"/>
      <c r="E1026" s="1462"/>
      <c r="F1026" s="1462"/>
      <c r="G1026" s="1462"/>
      <c r="H1026" s="1462"/>
      <c r="I1026" s="1462"/>
      <c r="J1026" s="1462"/>
      <c r="K1026" s="1462"/>
      <c r="L1026" s="1462"/>
      <c r="M1026" s="1462"/>
      <c r="N1026" s="1462"/>
      <c r="O1026" s="1462"/>
      <c r="P1026" s="1462"/>
      <c r="Q1026" s="1462"/>
      <c r="R1026" s="1462"/>
      <c r="S1026" s="1462"/>
      <c r="T1026" s="1462"/>
      <c r="U1026" s="1462"/>
      <c r="V1026" s="1462"/>
      <c r="W1026" s="1462"/>
      <c r="X1026" s="1462"/>
      <c r="Y1026" s="1462"/>
      <c r="Z1026" s="1462"/>
      <c r="AA1026" s="1462"/>
      <c r="AB1026" s="1462"/>
      <c r="AC1026" s="1462"/>
      <c r="AD1026" s="1462"/>
      <c r="AE1026" s="1463"/>
      <c r="AF1026" s="1541">
        <v>2120000</v>
      </c>
      <c r="AG1026" s="1541"/>
      <c r="AH1026" s="1541"/>
      <c r="AI1026" s="1541"/>
      <c r="AJ1026" s="1369"/>
      <c r="AK1026" s="1370"/>
      <c r="AL1026" s="1370"/>
      <c r="AM1026" s="1370"/>
      <c r="AN1026" s="1370"/>
      <c r="AO1026" s="1370"/>
      <c r="AP1026" s="1370"/>
      <c r="AQ1026" s="1371"/>
      <c r="AR1026" s="1066"/>
      <c r="AS1026" s="1066"/>
      <c r="AT1026" s="1066"/>
      <c r="AU1026" s="1066"/>
      <c r="AV1026" s="1066"/>
      <c r="AW1026" s="1066"/>
      <c r="AX1026" s="1066"/>
      <c r="AY1026" s="1066"/>
    </row>
    <row r="1027" spans="1:51" ht="13" customHeight="1">
      <c r="A1027" s="12"/>
      <c r="B1027" s="1078"/>
      <c r="C1027" s="1082"/>
      <c r="D1027" s="1464"/>
      <c r="E1027" s="1465"/>
      <c r="F1027" s="1465"/>
      <c r="G1027" s="1465"/>
      <c r="H1027" s="1465"/>
      <c r="I1027" s="1465"/>
      <c r="J1027" s="1465"/>
      <c r="K1027" s="1465"/>
      <c r="L1027" s="1465"/>
      <c r="M1027" s="1465"/>
      <c r="N1027" s="1465"/>
      <c r="O1027" s="1465"/>
      <c r="P1027" s="1465"/>
      <c r="Q1027" s="1465"/>
      <c r="R1027" s="1465"/>
      <c r="S1027" s="1465"/>
      <c r="T1027" s="1465"/>
      <c r="U1027" s="1465"/>
      <c r="V1027" s="1465"/>
      <c r="W1027" s="1465"/>
      <c r="X1027" s="1465"/>
      <c r="Y1027" s="1465"/>
      <c r="Z1027" s="1465"/>
      <c r="AA1027" s="1465"/>
      <c r="AB1027" s="1465"/>
      <c r="AC1027" s="1465"/>
      <c r="AD1027" s="1465"/>
      <c r="AE1027" s="1466"/>
      <c r="AF1027" s="1541"/>
      <c r="AG1027" s="1541"/>
      <c r="AH1027" s="1541"/>
      <c r="AI1027" s="1541"/>
      <c r="AJ1027" s="1372"/>
      <c r="AK1027" s="1373"/>
      <c r="AL1027" s="1373"/>
      <c r="AM1027" s="1373"/>
      <c r="AN1027" s="1373"/>
      <c r="AO1027" s="1373"/>
      <c r="AP1027" s="1373"/>
      <c r="AQ1027" s="1374"/>
      <c r="AR1027" s="1066"/>
      <c r="AS1027" s="1066"/>
      <c r="AT1027" s="1066"/>
      <c r="AU1027" s="1066"/>
      <c r="AV1027" s="1066"/>
      <c r="AW1027" s="1066"/>
      <c r="AX1027" s="1066"/>
      <c r="AY1027" s="1066"/>
    </row>
    <row r="1028" spans="1:51" ht="13" customHeight="1">
      <c r="A1028" s="12"/>
      <c r="B1028" s="47"/>
      <c r="C1028" s="231" t="s">
        <v>1757</v>
      </c>
      <c r="D1028" s="1458" t="s">
        <v>1758</v>
      </c>
      <c r="E1028" s="1459"/>
      <c r="F1028" s="1459"/>
      <c r="G1028" s="1459"/>
      <c r="H1028" s="1459"/>
      <c r="I1028" s="1459"/>
      <c r="J1028" s="1459"/>
      <c r="K1028" s="1459"/>
      <c r="L1028" s="1459"/>
      <c r="M1028" s="1459"/>
      <c r="N1028" s="1459"/>
      <c r="O1028" s="1459"/>
      <c r="P1028" s="1459"/>
      <c r="Q1028" s="1459"/>
      <c r="R1028" s="1459"/>
      <c r="S1028" s="1459"/>
      <c r="T1028" s="1459"/>
      <c r="U1028" s="1459"/>
      <c r="V1028" s="1459"/>
      <c r="W1028" s="1459"/>
      <c r="X1028" s="1459"/>
      <c r="Y1028" s="1459"/>
      <c r="Z1028" s="1459"/>
      <c r="AA1028" s="1459"/>
      <c r="AB1028" s="1459"/>
      <c r="AC1028" s="1459"/>
      <c r="AD1028" s="1459"/>
      <c r="AE1028" s="1460"/>
      <c r="AF1028" s="47"/>
      <c r="AG1028" s="1456" t="s">
        <v>895</v>
      </c>
      <c r="AH1028" s="1457"/>
      <c r="AI1028" s="50"/>
      <c r="AJ1028" s="1366">
        <f>ROUND(IF(AG1028="yes",(AJ991*0.1),0),0)</f>
        <v>0</v>
      </c>
      <c r="AK1028" s="1367"/>
      <c r="AL1028" s="1367"/>
      <c r="AM1028" s="1367"/>
      <c r="AN1028" s="1367"/>
      <c r="AO1028" s="1367"/>
      <c r="AP1028" s="1367"/>
      <c r="AQ1028" s="1368"/>
      <c r="AR1028" s="1066"/>
      <c r="AS1028" s="1066"/>
      <c r="AT1028" s="1066"/>
      <c r="AU1028" s="1066"/>
      <c r="AV1028" s="1066"/>
      <c r="AW1028" s="1066"/>
      <c r="AX1028" s="1066"/>
      <c r="AY1028" s="1066"/>
    </row>
    <row r="1029" spans="1:51" ht="13" customHeight="1">
      <c r="A1029" s="12"/>
      <c r="B1029" s="44"/>
      <c r="C1029" s="1077"/>
      <c r="D1029" s="1461" t="s">
        <v>1759</v>
      </c>
      <c r="E1029" s="1462"/>
      <c r="F1029" s="1462"/>
      <c r="G1029" s="1462"/>
      <c r="H1029" s="1462"/>
      <c r="I1029" s="1462"/>
      <c r="J1029" s="1462"/>
      <c r="K1029" s="1462"/>
      <c r="L1029" s="1462"/>
      <c r="M1029" s="1462"/>
      <c r="N1029" s="1462"/>
      <c r="O1029" s="1462"/>
      <c r="P1029" s="1462"/>
      <c r="Q1029" s="1462"/>
      <c r="R1029" s="1462"/>
      <c r="S1029" s="1462"/>
      <c r="T1029" s="1462"/>
      <c r="U1029" s="1462"/>
      <c r="V1029" s="1462"/>
      <c r="W1029" s="1462"/>
      <c r="X1029" s="1462"/>
      <c r="Y1029" s="1462"/>
      <c r="Z1029" s="1462"/>
      <c r="AA1029" s="1462"/>
      <c r="AB1029" s="1462"/>
      <c r="AC1029" s="1462"/>
      <c r="AD1029" s="1462"/>
      <c r="AE1029" s="1463"/>
      <c r="AF1029" s="44"/>
      <c r="AG1029" s="12"/>
      <c r="AH1029" s="12"/>
      <c r="AI1029" s="48"/>
      <c r="AJ1029" s="1369"/>
      <c r="AK1029" s="1370"/>
      <c r="AL1029" s="1370"/>
      <c r="AM1029" s="1370"/>
      <c r="AN1029" s="1370"/>
      <c r="AO1029" s="1370"/>
      <c r="AP1029" s="1370"/>
      <c r="AQ1029" s="1371"/>
      <c r="AR1029" s="1066"/>
      <c r="AS1029" s="1066"/>
      <c r="AT1029" s="1066"/>
      <c r="AU1029" s="1066"/>
      <c r="AV1029" s="1066"/>
      <c r="AW1029" s="1066"/>
      <c r="AX1029" s="1066"/>
      <c r="AY1029" s="1066"/>
    </row>
    <row r="1030" spans="1:51" ht="13" customHeight="1">
      <c r="A1030" s="12"/>
      <c r="B1030" s="45"/>
      <c r="C1030" s="1077"/>
      <c r="D1030" s="1464"/>
      <c r="E1030" s="1465"/>
      <c r="F1030" s="1465"/>
      <c r="G1030" s="1465"/>
      <c r="H1030" s="1465"/>
      <c r="I1030" s="1465"/>
      <c r="J1030" s="1465"/>
      <c r="K1030" s="1465"/>
      <c r="L1030" s="1465"/>
      <c r="M1030" s="1465"/>
      <c r="N1030" s="1465"/>
      <c r="O1030" s="1465"/>
      <c r="P1030" s="1465"/>
      <c r="Q1030" s="1465"/>
      <c r="R1030" s="1465"/>
      <c r="S1030" s="1465"/>
      <c r="T1030" s="1465"/>
      <c r="U1030" s="1465"/>
      <c r="V1030" s="1465"/>
      <c r="W1030" s="1465"/>
      <c r="X1030" s="1465"/>
      <c r="Y1030" s="1465"/>
      <c r="Z1030" s="1465"/>
      <c r="AA1030" s="1465"/>
      <c r="AB1030" s="1465"/>
      <c r="AC1030" s="1465"/>
      <c r="AD1030" s="1465"/>
      <c r="AE1030" s="1466"/>
      <c r="AF1030" s="44"/>
      <c r="AG1030" s="12"/>
      <c r="AH1030" s="12"/>
      <c r="AI1030" s="48"/>
      <c r="AJ1030" s="1372"/>
      <c r="AK1030" s="1373"/>
      <c r="AL1030" s="1373"/>
      <c r="AM1030" s="1373"/>
      <c r="AN1030" s="1373"/>
      <c r="AO1030" s="1373"/>
      <c r="AP1030" s="1373"/>
      <c r="AQ1030" s="1374"/>
      <c r="AR1030" s="1066"/>
      <c r="AS1030" s="1066"/>
      <c r="AT1030" s="1066"/>
      <c r="AU1030" s="1066"/>
      <c r="AV1030" s="1066"/>
      <c r="AW1030" s="1066"/>
      <c r="AX1030" s="1066"/>
      <c r="AY1030" s="1066"/>
    </row>
    <row r="1031" spans="1:51" ht="13" customHeight="1">
      <c r="A1031" s="12"/>
      <c r="B1031" s="44"/>
      <c r="C1031" s="231" t="s">
        <v>21</v>
      </c>
      <c r="D1031" s="1448" t="s">
        <v>1760</v>
      </c>
      <c r="E1031" s="1449"/>
      <c r="F1031" s="1449"/>
      <c r="G1031" s="1449"/>
      <c r="H1031" s="1449"/>
      <c r="I1031" s="1449"/>
      <c r="J1031" s="1449"/>
      <c r="K1031" s="1449"/>
      <c r="L1031" s="1449"/>
      <c r="M1031" s="1449"/>
      <c r="N1031" s="1449"/>
      <c r="O1031" s="1449"/>
      <c r="P1031" s="1449"/>
      <c r="Q1031" s="1449"/>
      <c r="R1031" s="1449"/>
      <c r="S1031" s="1449"/>
      <c r="T1031" s="1449"/>
      <c r="U1031" s="1449"/>
      <c r="V1031" s="1449"/>
      <c r="W1031" s="1449"/>
      <c r="X1031" s="1449"/>
      <c r="Y1031" s="1449"/>
      <c r="Z1031" s="1449"/>
      <c r="AA1031" s="1449"/>
      <c r="AB1031" s="1449"/>
      <c r="AC1031" s="1449"/>
      <c r="AD1031" s="1449"/>
      <c r="AE1031" s="1450"/>
      <c r="AF1031" s="47"/>
      <c r="AG1031" s="1456" t="s">
        <v>895</v>
      </c>
      <c r="AH1031" s="1457"/>
      <c r="AI1031" s="50"/>
      <c r="AJ1031" s="1366">
        <f>ROUND(IF(AG1031="yes",(AJ991*0.15),0),0)</f>
        <v>0</v>
      </c>
      <c r="AK1031" s="1367"/>
      <c r="AL1031" s="1367"/>
      <c r="AM1031" s="1367"/>
      <c r="AN1031" s="1367"/>
      <c r="AO1031" s="1367"/>
      <c r="AP1031" s="1367"/>
      <c r="AQ1031" s="1368"/>
      <c r="AR1031" s="1066"/>
      <c r="AS1031" s="1066"/>
      <c r="AT1031" s="1066"/>
      <c r="AU1031" s="1066"/>
      <c r="AV1031" s="1066"/>
      <c r="AW1031" s="1066"/>
      <c r="AX1031" s="1066"/>
      <c r="AY1031" s="1066"/>
    </row>
    <row r="1032" spans="1:51" ht="13" customHeight="1">
      <c r="A1032" s="12"/>
      <c r="B1032" s="44"/>
      <c r="C1032" s="1077"/>
      <c r="D1032" s="1500" t="s">
        <v>1761</v>
      </c>
      <c r="E1032" s="1226"/>
      <c r="F1032" s="1226"/>
      <c r="G1032" s="1226"/>
      <c r="H1032" s="1226"/>
      <c r="I1032" s="1226"/>
      <c r="J1032" s="1226"/>
      <c r="K1032" s="1226"/>
      <c r="L1032" s="1226"/>
      <c r="M1032" s="1226"/>
      <c r="N1032" s="1226"/>
      <c r="O1032" s="1226"/>
      <c r="P1032" s="1226"/>
      <c r="Q1032" s="1226"/>
      <c r="R1032" s="1226"/>
      <c r="S1032" s="1226"/>
      <c r="T1032" s="1226"/>
      <c r="U1032" s="1226"/>
      <c r="V1032" s="1226"/>
      <c r="W1032" s="1226"/>
      <c r="X1032" s="1226"/>
      <c r="Y1032" s="1226"/>
      <c r="Z1032" s="1226"/>
      <c r="AA1032" s="1226"/>
      <c r="AB1032" s="1226"/>
      <c r="AC1032" s="1226"/>
      <c r="AD1032" s="1226"/>
      <c r="AE1032" s="1501"/>
      <c r="AF1032" s="742"/>
      <c r="AG1032" s="743"/>
      <c r="AH1032" s="743"/>
      <c r="AI1032" s="744"/>
      <c r="AJ1032" s="1369"/>
      <c r="AK1032" s="1370"/>
      <c r="AL1032" s="1370"/>
      <c r="AM1032" s="1370"/>
      <c r="AN1032" s="1370"/>
      <c r="AO1032" s="1370"/>
      <c r="AP1032" s="1370"/>
      <c r="AQ1032" s="1371"/>
      <c r="AR1032" s="1066"/>
      <c r="AS1032" s="1066"/>
      <c r="AT1032" s="1066"/>
      <c r="AU1032" s="1066"/>
      <c r="AV1032" s="1066"/>
      <c r="AW1032" s="1066"/>
      <c r="AX1032" s="1066"/>
      <c r="AY1032" s="1066"/>
    </row>
    <row r="1033" spans="1:51" ht="13" customHeight="1">
      <c r="A1033" s="12"/>
      <c r="B1033" s="44"/>
      <c r="C1033" s="1077"/>
      <c r="D1033" s="1500"/>
      <c r="E1033" s="1226"/>
      <c r="F1033" s="1226"/>
      <c r="G1033" s="1226"/>
      <c r="H1033" s="1226"/>
      <c r="I1033" s="1226"/>
      <c r="J1033" s="1226"/>
      <c r="K1033" s="1226"/>
      <c r="L1033" s="1226"/>
      <c r="M1033" s="1226"/>
      <c r="N1033" s="1226"/>
      <c r="O1033" s="1226"/>
      <c r="P1033" s="1226"/>
      <c r="Q1033" s="1226"/>
      <c r="R1033" s="1226"/>
      <c r="S1033" s="1226"/>
      <c r="T1033" s="1226"/>
      <c r="U1033" s="1226"/>
      <c r="V1033" s="1226"/>
      <c r="W1033" s="1226"/>
      <c r="X1033" s="1226"/>
      <c r="Y1033" s="1226"/>
      <c r="Z1033" s="1226"/>
      <c r="AA1033" s="1226"/>
      <c r="AB1033" s="1226"/>
      <c r="AC1033" s="1226"/>
      <c r="AD1033" s="1226"/>
      <c r="AE1033" s="1501"/>
      <c r="AF1033" s="742"/>
      <c r="AG1033" s="743"/>
      <c r="AH1033" s="743"/>
      <c r="AI1033" s="744"/>
      <c r="AJ1033" s="1369"/>
      <c r="AK1033" s="1370"/>
      <c r="AL1033" s="1370"/>
      <c r="AM1033" s="1370"/>
      <c r="AN1033" s="1370"/>
      <c r="AO1033" s="1370"/>
      <c r="AP1033" s="1370"/>
      <c r="AQ1033" s="1371"/>
      <c r="AR1033" s="1066"/>
      <c r="AS1033" s="1066"/>
      <c r="AT1033" s="1066"/>
      <c r="AU1033" s="1066"/>
      <c r="AV1033" s="1066"/>
      <c r="AW1033" s="1066"/>
      <c r="AX1033" s="1066"/>
      <c r="AY1033" s="1066"/>
    </row>
    <row r="1034" spans="1:51" ht="13" customHeight="1">
      <c r="A1034" s="12"/>
      <c r="B1034" s="44"/>
      <c r="C1034" s="1077"/>
      <c r="D1034" s="1502"/>
      <c r="E1034" s="1503"/>
      <c r="F1034" s="1503"/>
      <c r="G1034" s="1503"/>
      <c r="H1034" s="1503"/>
      <c r="I1034" s="1503"/>
      <c r="J1034" s="1503"/>
      <c r="K1034" s="1503"/>
      <c r="L1034" s="1503"/>
      <c r="M1034" s="1503"/>
      <c r="N1034" s="1503"/>
      <c r="O1034" s="1503"/>
      <c r="P1034" s="1503"/>
      <c r="Q1034" s="1503"/>
      <c r="R1034" s="1503"/>
      <c r="S1034" s="1503"/>
      <c r="T1034" s="1503"/>
      <c r="U1034" s="1503"/>
      <c r="V1034" s="1503"/>
      <c r="W1034" s="1503"/>
      <c r="X1034" s="1503"/>
      <c r="Y1034" s="1503"/>
      <c r="Z1034" s="1503"/>
      <c r="AA1034" s="1503"/>
      <c r="AB1034" s="1503"/>
      <c r="AC1034" s="1503"/>
      <c r="AD1034" s="1503"/>
      <c r="AE1034" s="1504"/>
      <c r="AF1034" s="745"/>
      <c r="AG1034" s="746"/>
      <c r="AH1034" s="746"/>
      <c r="AI1034" s="747"/>
      <c r="AJ1034" s="1372"/>
      <c r="AK1034" s="1373"/>
      <c r="AL1034" s="1373"/>
      <c r="AM1034" s="1373"/>
      <c r="AN1034" s="1373"/>
      <c r="AO1034" s="1373"/>
      <c r="AP1034" s="1373"/>
      <c r="AQ1034" s="1374"/>
      <c r="AR1034" s="1066"/>
      <c r="AS1034" s="1066"/>
      <c r="AT1034" s="1066"/>
      <c r="AU1034" s="1066"/>
      <c r="AV1034" s="1066"/>
      <c r="AW1034" s="1066"/>
      <c r="AX1034" s="1066"/>
      <c r="AY1034" s="1066"/>
    </row>
    <row r="1035" spans="1:51" ht="13" customHeight="1">
      <c r="A1035" s="12"/>
      <c r="B1035" s="44"/>
      <c r="C1035" s="231" t="s">
        <v>21</v>
      </c>
      <c r="D1035" s="1458" t="s">
        <v>1762</v>
      </c>
      <c r="E1035" s="1459"/>
      <c r="F1035" s="1459"/>
      <c r="G1035" s="1459"/>
      <c r="H1035" s="1459"/>
      <c r="I1035" s="1459"/>
      <c r="J1035" s="1459"/>
      <c r="K1035" s="1459"/>
      <c r="L1035" s="1459"/>
      <c r="M1035" s="1459"/>
      <c r="N1035" s="1459"/>
      <c r="O1035" s="1459"/>
      <c r="P1035" s="1459"/>
      <c r="Q1035" s="1459"/>
      <c r="R1035" s="1459"/>
      <c r="S1035" s="1459"/>
      <c r="T1035" s="1459"/>
      <c r="U1035" s="1459"/>
      <c r="V1035" s="1459"/>
      <c r="W1035" s="1459"/>
      <c r="X1035" s="1459"/>
      <c r="Y1035" s="1459"/>
      <c r="Z1035" s="1459"/>
      <c r="AA1035" s="1459"/>
      <c r="AB1035" s="1459"/>
      <c r="AC1035" s="1459"/>
      <c r="AD1035" s="1459"/>
      <c r="AE1035" s="1460"/>
      <c r="AF1035" s="44"/>
      <c r="AG1035" s="1536" t="s">
        <v>895</v>
      </c>
      <c r="AH1035" s="1537"/>
      <c r="AI1035" s="48"/>
      <c r="AJ1035" s="1366">
        <f>ROUND(IF(AND(AG1035="yes",AJ1031=0),(AJ991*0.1),0),0)</f>
        <v>0</v>
      </c>
      <c r="AK1035" s="1367"/>
      <c r="AL1035" s="1367"/>
      <c r="AM1035" s="1367"/>
      <c r="AN1035" s="1367"/>
      <c r="AO1035" s="1367"/>
      <c r="AP1035" s="1367"/>
      <c r="AQ1035" s="1368"/>
      <c r="AR1035" s="1066"/>
      <c r="AS1035" s="1066"/>
      <c r="AT1035" s="1066"/>
      <c r="AU1035" s="1066"/>
      <c r="AV1035" s="1066"/>
      <c r="AW1035" s="1066"/>
      <c r="AX1035" s="1066"/>
      <c r="AY1035" s="1066"/>
    </row>
    <row r="1036" spans="1:51" ht="13" customHeight="1">
      <c r="A1036" s="12"/>
      <c r="B1036" s="44"/>
      <c r="C1036" s="1077"/>
      <c r="D1036" s="1500" t="s">
        <v>1763</v>
      </c>
      <c r="E1036" s="1226"/>
      <c r="F1036" s="1226"/>
      <c r="G1036" s="1226"/>
      <c r="H1036" s="1226"/>
      <c r="I1036" s="1226"/>
      <c r="J1036" s="1226"/>
      <c r="K1036" s="1226"/>
      <c r="L1036" s="1226"/>
      <c r="M1036" s="1226"/>
      <c r="N1036" s="1226"/>
      <c r="O1036" s="1226"/>
      <c r="P1036" s="1226"/>
      <c r="Q1036" s="1226"/>
      <c r="R1036" s="1226"/>
      <c r="S1036" s="1226"/>
      <c r="T1036" s="1226"/>
      <c r="U1036" s="1226"/>
      <c r="V1036" s="1226"/>
      <c r="W1036" s="1226"/>
      <c r="X1036" s="1226"/>
      <c r="Y1036" s="1226"/>
      <c r="Z1036" s="1226"/>
      <c r="AA1036" s="1226"/>
      <c r="AB1036" s="1226"/>
      <c r="AC1036" s="1226"/>
      <c r="AD1036" s="1226"/>
      <c r="AE1036" s="1501"/>
      <c r="AF1036" s="44"/>
      <c r="AG1036" s="12"/>
      <c r="AH1036" s="12"/>
      <c r="AI1036" s="48"/>
      <c r="AJ1036" s="1369"/>
      <c r="AK1036" s="1370"/>
      <c r="AL1036" s="1370"/>
      <c r="AM1036" s="1370"/>
      <c r="AN1036" s="1370"/>
      <c r="AO1036" s="1370"/>
      <c r="AP1036" s="1370"/>
      <c r="AQ1036" s="1371"/>
      <c r="AR1036" s="1066"/>
      <c r="AS1036" s="1066"/>
      <c r="AT1036" s="1066"/>
      <c r="AU1036" s="1066"/>
      <c r="AV1036" s="1066"/>
      <c r="AW1036" s="1066"/>
      <c r="AX1036" s="1066"/>
      <c r="AY1036" s="1066"/>
    </row>
    <row r="1037" spans="1:51" ht="13" customHeight="1">
      <c r="A1037" s="12"/>
      <c r="B1037" s="44"/>
      <c r="C1037" s="1077"/>
      <c r="D1037" s="1500"/>
      <c r="E1037" s="1226"/>
      <c r="F1037" s="1226"/>
      <c r="G1037" s="1226"/>
      <c r="H1037" s="1226"/>
      <c r="I1037" s="1226"/>
      <c r="J1037" s="1226"/>
      <c r="K1037" s="1226"/>
      <c r="L1037" s="1226"/>
      <c r="M1037" s="1226"/>
      <c r="N1037" s="1226"/>
      <c r="O1037" s="1226"/>
      <c r="P1037" s="1226"/>
      <c r="Q1037" s="1226"/>
      <c r="R1037" s="1226"/>
      <c r="S1037" s="1226"/>
      <c r="T1037" s="1226"/>
      <c r="U1037" s="1226"/>
      <c r="V1037" s="1226"/>
      <c r="W1037" s="1226"/>
      <c r="X1037" s="1226"/>
      <c r="Y1037" s="1226"/>
      <c r="Z1037" s="1226"/>
      <c r="AA1037" s="1226"/>
      <c r="AB1037" s="1226"/>
      <c r="AC1037" s="1226"/>
      <c r="AD1037" s="1226"/>
      <c r="AE1037" s="1501"/>
      <c r="AF1037" s="44"/>
      <c r="AG1037" s="12"/>
      <c r="AH1037" s="12"/>
      <c r="AI1037" s="48"/>
      <c r="AJ1037" s="1369"/>
      <c r="AK1037" s="1370"/>
      <c r="AL1037" s="1370"/>
      <c r="AM1037" s="1370"/>
      <c r="AN1037" s="1370"/>
      <c r="AO1037" s="1370"/>
      <c r="AP1037" s="1370"/>
      <c r="AQ1037" s="1371"/>
      <c r="AR1037" s="1066"/>
      <c r="AS1037" s="1066"/>
      <c r="AT1037" s="1066"/>
      <c r="AU1037" s="1066"/>
      <c r="AV1037" s="1066"/>
      <c r="AW1037" s="1066"/>
      <c r="AX1037" s="1066"/>
      <c r="AY1037" s="1066"/>
    </row>
    <row r="1038" spans="1:51" ht="13" customHeight="1">
      <c r="A1038" s="12"/>
      <c r="B1038" s="44"/>
      <c r="C1038" s="1077"/>
      <c r="D1038" s="1500"/>
      <c r="E1038" s="1226"/>
      <c r="F1038" s="1226"/>
      <c r="G1038" s="1226"/>
      <c r="H1038" s="1226"/>
      <c r="I1038" s="1226"/>
      <c r="J1038" s="1226"/>
      <c r="K1038" s="1226"/>
      <c r="L1038" s="1226"/>
      <c r="M1038" s="1226"/>
      <c r="N1038" s="1226"/>
      <c r="O1038" s="1226"/>
      <c r="P1038" s="1226"/>
      <c r="Q1038" s="1226"/>
      <c r="R1038" s="1226"/>
      <c r="S1038" s="1226"/>
      <c r="T1038" s="1226"/>
      <c r="U1038" s="1226"/>
      <c r="V1038" s="1226"/>
      <c r="W1038" s="1226"/>
      <c r="X1038" s="1226"/>
      <c r="Y1038" s="1226"/>
      <c r="Z1038" s="1226"/>
      <c r="AA1038" s="1226"/>
      <c r="AB1038" s="1226"/>
      <c r="AC1038" s="1226"/>
      <c r="AD1038" s="1226"/>
      <c r="AE1038" s="1501"/>
      <c r="AF1038" s="44"/>
      <c r="AG1038" s="12"/>
      <c r="AH1038" s="12"/>
      <c r="AI1038" s="48"/>
      <c r="AJ1038" s="1369"/>
      <c r="AK1038" s="1370"/>
      <c r="AL1038" s="1370"/>
      <c r="AM1038" s="1370"/>
      <c r="AN1038" s="1370"/>
      <c r="AO1038" s="1370"/>
      <c r="AP1038" s="1370"/>
      <c r="AQ1038" s="1371"/>
      <c r="AR1038" s="1066"/>
      <c r="AS1038" s="1066"/>
      <c r="AT1038" s="1066"/>
      <c r="AU1038" s="1066"/>
      <c r="AV1038" s="1066"/>
      <c r="AW1038" s="1066"/>
      <c r="AX1038" s="1066"/>
      <c r="AY1038" s="1066"/>
    </row>
    <row r="1039" spans="1:51" ht="13" customHeight="1">
      <c r="A1039" s="12"/>
      <c r="B1039" s="44"/>
      <c r="C1039" s="1077"/>
      <c r="D1039" s="1502"/>
      <c r="E1039" s="1503"/>
      <c r="F1039" s="1503"/>
      <c r="G1039" s="1503"/>
      <c r="H1039" s="1503"/>
      <c r="I1039" s="1503"/>
      <c r="J1039" s="1503"/>
      <c r="K1039" s="1503"/>
      <c r="L1039" s="1503"/>
      <c r="M1039" s="1503"/>
      <c r="N1039" s="1503"/>
      <c r="O1039" s="1503"/>
      <c r="P1039" s="1503"/>
      <c r="Q1039" s="1503"/>
      <c r="R1039" s="1503"/>
      <c r="S1039" s="1503"/>
      <c r="T1039" s="1503"/>
      <c r="U1039" s="1503"/>
      <c r="V1039" s="1503"/>
      <c r="W1039" s="1503"/>
      <c r="X1039" s="1503"/>
      <c r="Y1039" s="1503"/>
      <c r="Z1039" s="1503"/>
      <c r="AA1039" s="1503"/>
      <c r="AB1039" s="1503"/>
      <c r="AC1039" s="1503"/>
      <c r="AD1039" s="1503"/>
      <c r="AE1039" s="1504"/>
      <c r="AF1039" s="44"/>
      <c r="AG1039" s="12"/>
      <c r="AH1039" s="12"/>
      <c r="AI1039" s="48"/>
      <c r="AJ1039" s="1369"/>
      <c r="AK1039" s="1370"/>
      <c r="AL1039" s="1370"/>
      <c r="AM1039" s="1370"/>
      <c r="AN1039" s="1370"/>
      <c r="AO1039" s="1370"/>
      <c r="AP1039" s="1370"/>
      <c r="AQ1039" s="1371"/>
      <c r="AR1039" s="1066"/>
      <c r="AS1039" s="1066"/>
      <c r="AT1039" s="1066"/>
      <c r="AU1039" s="1066"/>
      <c r="AV1039" s="1066"/>
      <c r="AW1039" s="1066"/>
      <c r="AX1039" s="1066"/>
      <c r="AY1039" s="1066"/>
    </row>
    <row r="1040" spans="1:51" ht="13" customHeight="1">
      <c r="A1040" s="12"/>
      <c r="B1040" s="47"/>
      <c r="C1040" s="1161" t="s">
        <v>1764</v>
      </c>
      <c r="D1040" s="1448" t="s">
        <v>1765</v>
      </c>
      <c r="E1040" s="1449"/>
      <c r="F1040" s="1449"/>
      <c r="G1040" s="1449"/>
      <c r="H1040" s="1449"/>
      <c r="I1040" s="1449"/>
      <c r="J1040" s="1449"/>
      <c r="K1040" s="1449"/>
      <c r="L1040" s="1449"/>
      <c r="M1040" s="1449"/>
      <c r="N1040" s="1449"/>
      <c r="O1040" s="1449"/>
      <c r="P1040" s="1449"/>
      <c r="Q1040" s="1449"/>
      <c r="R1040" s="1449"/>
      <c r="S1040" s="1449"/>
      <c r="T1040" s="1449"/>
      <c r="U1040" s="1449"/>
      <c r="V1040" s="1449"/>
      <c r="W1040" s="1449"/>
      <c r="X1040" s="1449"/>
      <c r="Y1040" s="1449"/>
      <c r="Z1040" s="1449"/>
      <c r="AA1040" s="1449"/>
      <c r="AB1040" s="1449"/>
      <c r="AC1040" s="1449"/>
      <c r="AD1040" s="1449"/>
      <c r="AE1040" s="1450"/>
      <c r="AF1040" s="47"/>
      <c r="AG1040" s="1456" t="s">
        <v>895</v>
      </c>
      <c r="AH1040" s="1457"/>
      <c r="AI1040" s="50"/>
      <c r="AJ1040" s="1366">
        <f>ROUND(IF(AG1040="yes",(AJ991*0.1),0),0)</f>
        <v>0</v>
      </c>
      <c r="AK1040" s="1367"/>
      <c r="AL1040" s="1367"/>
      <c r="AM1040" s="1367"/>
      <c r="AN1040" s="1367"/>
      <c r="AO1040" s="1367"/>
      <c r="AP1040" s="1367"/>
      <c r="AQ1040" s="1368"/>
      <c r="AR1040" s="1066"/>
      <c r="AS1040" s="1066"/>
      <c r="AT1040" s="1066"/>
      <c r="AU1040" s="1066"/>
      <c r="AV1040" s="1066"/>
      <c r="AW1040" s="1066"/>
      <c r="AX1040" s="1066"/>
      <c r="AY1040" s="1066"/>
    </row>
    <row r="1041" spans="1:51" ht="13" customHeight="1">
      <c r="A1041" s="12"/>
      <c r="B1041" s="44"/>
      <c r="C1041" s="1077"/>
      <c r="D1041" s="1461" t="s">
        <v>1766</v>
      </c>
      <c r="E1041" s="1462"/>
      <c r="F1041" s="1462"/>
      <c r="G1041" s="1462"/>
      <c r="H1041" s="1462"/>
      <c r="I1041" s="1462"/>
      <c r="J1041" s="1462"/>
      <c r="K1041" s="1462"/>
      <c r="L1041" s="1462"/>
      <c r="M1041" s="1462"/>
      <c r="N1041" s="1462"/>
      <c r="O1041" s="1462"/>
      <c r="P1041" s="1462"/>
      <c r="Q1041" s="1462"/>
      <c r="R1041" s="1462"/>
      <c r="S1041" s="1462"/>
      <c r="T1041" s="1462"/>
      <c r="U1041" s="1462"/>
      <c r="V1041" s="1462"/>
      <c r="W1041" s="1462"/>
      <c r="X1041" s="1462"/>
      <c r="Y1041" s="1462"/>
      <c r="Z1041" s="1462"/>
      <c r="AA1041" s="1462"/>
      <c r="AB1041" s="1462"/>
      <c r="AC1041" s="1462"/>
      <c r="AD1041" s="1462"/>
      <c r="AE1041" s="1463"/>
      <c r="AF1041" s="44"/>
      <c r="AG1041" s="12"/>
      <c r="AH1041" s="12"/>
      <c r="AI1041" s="48"/>
      <c r="AJ1041" s="1369"/>
      <c r="AK1041" s="1370"/>
      <c r="AL1041" s="1370"/>
      <c r="AM1041" s="1370"/>
      <c r="AN1041" s="1370"/>
      <c r="AO1041" s="1370"/>
      <c r="AP1041" s="1370"/>
      <c r="AQ1041" s="1371"/>
      <c r="AR1041" s="1066"/>
      <c r="AS1041" s="1066"/>
      <c r="AT1041" s="1066"/>
      <c r="AU1041" s="1066"/>
      <c r="AV1041" s="1066"/>
      <c r="AW1041" s="1066"/>
      <c r="AX1041" s="1066"/>
      <c r="AY1041" s="1066"/>
    </row>
    <row r="1042" spans="1:51" ht="13" customHeight="1">
      <c r="A1042" s="12"/>
      <c r="B1042" s="44"/>
      <c r="C1042" s="1077"/>
      <c r="D1042" s="1461"/>
      <c r="E1042" s="1462"/>
      <c r="F1042" s="1462"/>
      <c r="G1042" s="1462"/>
      <c r="H1042" s="1462"/>
      <c r="I1042" s="1462"/>
      <c r="J1042" s="1462"/>
      <c r="K1042" s="1462"/>
      <c r="L1042" s="1462"/>
      <c r="M1042" s="1462"/>
      <c r="N1042" s="1462"/>
      <c r="O1042" s="1462"/>
      <c r="P1042" s="1462"/>
      <c r="Q1042" s="1462"/>
      <c r="R1042" s="1462"/>
      <c r="S1042" s="1462"/>
      <c r="T1042" s="1462"/>
      <c r="U1042" s="1462"/>
      <c r="V1042" s="1462"/>
      <c r="W1042" s="1462"/>
      <c r="X1042" s="1462"/>
      <c r="Y1042" s="1462"/>
      <c r="Z1042" s="1462"/>
      <c r="AA1042" s="1462"/>
      <c r="AB1042" s="1462"/>
      <c r="AC1042" s="1462"/>
      <c r="AD1042" s="1462"/>
      <c r="AE1042" s="1463"/>
      <c r="AF1042" s="44"/>
      <c r="AG1042" s="12"/>
      <c r="AH1042" s="12"/>
      <c r="AI1042" s="48"/>
      <c r="AJ1042" s="1369"/>
      <c r="AK1042" s="1370"/>
      <c r="AL1042" s="1370"/>
      <c r="AM1042" s="1370"/>
      <c r="AN1042" s="1370"/>
      <c r="AO1042" s="1370"/>
      <c r="AP1042" s="1370"/>
      <c r="AQ1042" s="1371"/>
      <c r="AR1042" s="1066"/>
      <c r="AS1042" s="1066"/>
      <c r="AT1042" s="1066"/>
      <c r="AU1042" s="1066"/>
      <c r="AV1042" s="1066"/>
      <c r="AW1042" s="1066"/>
      <c r="AX1042" s="1066"/>
      <c r="AY1042" s="1066"/>
    </row>
    <row r="1043" spans="1:51" ht="13" customHeight="1">
      <c r="A1043" s="12"/>
      <c r="B1043" s="44"/>
      <c r="C1043" s="1077"/>
      <c r="D1043" s="1464"/>
      <c r="E1043" s="1465"/>
      <c r="F1043" s="1465"/>
      <c r="G1043" s="1465"/>
      <c r="H1043" s="1465"/>
      <c r="I1043" s="1465"/>
      <c r="J1043" s="1465"/>
      <c r="K1043" s="1465"/>
      <c r="L1043" s="1465"/>
      <c r="M1043" s="1465"/>
      <c r="N1043" s="1465"/>
      <c r="O1043" s="1465"/>
      <c r="P1043" s="1465"/>
      <c r="Q1043" s="1465"/>
      <c r="R1043" s="1465"/>
      <c r="S1043" s="1465"/>
      <c r="T1043" s="1465"/>
      <c r="U1043" s="1465"/>
      <c r="V1043" s="1465"/>
      <c r="W1043" s="1465"/>
      <c r="X1043" s="1465"/>
      <c r="Y1043" s="1465"/>
      <c r="Z1043" s="1465"/>
      <c r="AA1043" s="1465"/>
      <c r="AB1043" s="1465"/>
      <c r="AC1043" s="1465"/>
      <c r="AD1043" s="1465"/>
      <c r="AE1043" s="1466"/>
      <c r="AF1043" s="44"/>
      <c r="AG1043" s="12"/>
      <c r="AH1043" s="12"/>
      <c r="AI1043" s="48"/>
      <c r="AJ1043" s="1372"/>
      <c r="AK1043" s="1373"/>
      <c r="AL1043" s="1373"/>
      <c r="AM1043" s="1373"/>
      <c r="AN1043" s="1373"/>
      <c r="AO1043" s="1373"/>
      <c r="AP1043" s="1373"/>
      <c r="AQ1043" s="1374"/>
      <c r="AR1043" s="1066"/>
      <c r="AS1043" s="1066"/>
      <c r="AT1043" s="1066"/>
      <c r="AU1043" s="1066"/>
      <c r="AV1043" s="1066"/>
      <c r="AW1043" s="1066"/>
      <c r="AX1043" s="1066"/>
      <c r="AY1043" s="1066"/>
    </row>
    <row r="1044" spans="1:51" ht="13" customHeight="1">
      <c r="A1044" s="12"/>
      <c r="B1044" s="47"/>
      <c r="C1044" s="1161" t="s">
        <v>1767</v>
      </c>
      <c r="D1044" s="1458" t="s">
        <v>1768</v>
      </c>
      <c r="E1044" s="1459"/>
      <c r="F1044" s="1459"/>
      <c r="G1044" s="1459"/>
      <c r="H1044" s="1459"/>
      <c r="I1044" s="1459"/>
      <c r="J1044" s="1459"/>
      <c r="K1044" s="1459"/>
      <c r="L1044" s="1459"/>
      <c r="M1044" s="1459"/>
      <c r="N1044" s="1459"/>
      <c r="O1044" s="1459"/>
      <c r="P1044" s="1459"/>
      <c r="Q1044" s="1459"/>
      <c r="R1044" s="1459"/>
      <c r="S1044" s="1459"/>
      <c r="T1044" s="1459"/>
      <c r="U1044" s="1459"/>
      <c r="V1044" s="1459"/>
      <c r="W1044" s="1459"/>
      <c r="X1044" s="1459"/>
      <c r="Y1044" s="1459"/>
      <c r="Z1044" s="1459"/>
      <c r="AA1044" s="1459"/>
      <c r="AB1044" s="1459"/>
      <c r="AC1044" s="1459"/>
      <c r="AD1044" s="1459"/>
      <c r="AE1044" s="1460"/>
      <c r="AF1044" s="47"/>
      <c r="AG1044" s="1532" t="str">
        <f>IF(X1047&gt;0,"Yes","No")</f>
        <v>No</v>
      </c>
      <c r="AH1044" s="1533"/>
      <c r="AI1044" s="50"/>
      <c r="AJ1044" s="1366">
        <f>IF((X1047=0),0,AY1004*AJ991)</f>
        <v>0</v>
      </c>
      <c r="AK1044" s="1367"/>
      <c r="AL1044" s="1367"/>
      <c r="AM1044" s="1367"/>
      <c r="AN1044" s="1367"/>
      <c r="AO1044" s="1367"/>
      <c r="AP1044" s="1367"/>
      <c r="AQ1044" s="1368"/>
      <c r="AR1044" s="1066"/>
      <c r="AS1044" s="1066"/>
      <c r="AT1044" s="1066"/>
      <c r="AU1044" s="1066"/>
      <c r="AV1044" s="1066"/>
      <c r="AW1044" s="1066"/>
      <c r="AX1044" s="1066"/>
      <c r="AY1044" s="1066"/>
    </row>
    <row r="1045" spans="1:51" ht="13" customHeight="1">
      <c r="A1045" s="12"/>
      <c r="B1045" s="44"/>
      <c r="C1045" s="328"/>
      <c r="D1045" s="1461" t="s">
        <v>1769</v>
      </c>
      <c r="E1045" s="1462"/>
      <c r="F1045" s="1462"/>
      <c r="G1045" s="1462"/>
      <c r="H1045" s="1462"/>
      <c r="I1045" s="1462"/>
      <c r="J1045" s="1462"/>
      <c r="K1045" s="1462"/>
      <c r="L1045" s="1462"/>
      <c r="M1045" s="1462"/>
      <c r="N1045" s="1462"/>
      <c r="O1045" s="1462"/>
      <c r="P1045" s="1462"/>
      <c r="Q1045" s="1462"/>
      <c r="R1045" s="1462"/>
      <c r="S1045" s="1462"/>
      <c r="T1045" s="1462"/>
      <c r="U1045" s="1462"/>
      <c r="V1045" s="1462"/>
      <c r="W1045" s="1462"/>
      <c r="X1045" s="1462"/>
      <c r="Y1045" s="1462"/>
      <c r="Z1045" s="1462"/>
      <c r="AA1045" s="1462"/>
      <c r="AB1045" s="1462"/>
      <c r="AC1045" s="1462"/>
      <c r="AD1045" s="1462"/>
      <c r="AE1045" s="1463"/>
      <c r="AF1045" s="44"/>
      <c r="AG1045" s="1083"/>
      <c r="AH1045" s="1083"/>
      <c r="AI1045" s="48"/>
      <c r="AJ1045" s="1369"/>
      <c r="AK1045" s="1370"/>
      <c r="AL1045" s="1370"/>
      <c r="AM1045" s="1370"/>
      <c r="AN1045" s="1370"/>
      <c r="AO1045" s="1370"/>
      <c r="AP1045" s="1370"/>
      <c r="AQ1045" s="1371"/>
      <c r="AR1045" s="1066"/>
      <c r="AS1045" s="1066"/>
      <c r="AT1045" s="1066"/>
      <c r="AU1045" s="1127"/>
      <c r="AV1045" s="1066"/>
      <c r="AW1045" s="1066"/>
      <c r="AX1045" s="1066"/>
      <c r="AY1045" s="1066"/>
    </row>
    <row r="1046" spans="1:51" ht="13" customHeight="1">
      <c r="A1046" s="12"/>
      <c r="B1046" s="44"/>
      <c r="C1046" s="328"/>
      <c r="D1046" s="1461"/>
      <c r="E1046" s="1462"/>
      <c r="F1046" s="1462"/>
      <c r="G1046" s="1462"/>
      <c r="H1046" s="1462"/>
      <c r="I1046" s="1462"/>
      <c r="J1046" s="1462"/>
      <c r="K1046" s="1462"/>
      <c r="L1046" s="1462"/>
      <c r="M1046" s="1462"/>
      <c r="N1046" s="1462"/>
      <c r="O1046" s="1462"/>
      <c r="P1046" s="1462"/>
      <c r="Q1046" s="1462"/>
      <c r="R1046" s="1462"/>
      <c r="S1046" s="1462"/>
      <c r="T1046" s="1462"/>
      <c r="U1046" s="1462"/>
      <c r="V1046" s="1462"/>
      <c r="W1046" s="1462"/>
      <c r="X1046" s="1462"/>
      <c r="Y1046" s="1462"/>
      <c r="Z1046" s="1462"/>
      <c r="AA1046" s="1462"/>
      <c r="AB1046" s="1462"/>
      <c r="AC1046" s="1462"/>
      <c r="AD1046" s="1462"/>
      <c r="AE1046" s="1463"/>
      <c r="AF1046" s="44"/>
      <c r="AG1046" s="1083"/>
      <c r="AH1046" s="1083"/>
      <c r="AI1046" s="48"/>
      <c r="AJ1046" s="1369"/>
      <c r="AK1046" s="1370"/>
      <c r="AL1046" s="1370"/>
      <c r="AM1046" s="1370"/>
      <c r="AN1046" s="1370"/>
      <c r="AO1046" s="1370"/>
      <c r="AP1046" s="1370"/>
      <c r="AQ1046" s="1371"/>
      <c r="AR1046" s="1066"/>
      <c r="AS1046" s="1066"/>
      <c r="AT1046" s="1066"/>
      <c r="AU1046" s="1127"/>
      <c r="AV1046" s="1066"/>
      <c r="AW1046" s="1066"/>
      <c r="AX1046" s="1066"/>
      <c r="AY1046" s="1066"/>
    </row>
    <row r="1047" spans="1:51" ht="13" customHeight="1">
      <c r="A1047" s="12"/>
      <c r="B1047" s="45"/>
      <c r="C1047" s="46"/>
      <c r="D1047" s="76" t="s">
        <v>1770</v>
      </c>
      <c r="E1047" s="6"/>
      <c r="F1047" s="6"/>
      <c r="G1047" s="6"/>
      <c r="H1047" s="6"/>
      <c r="I1047" s="1534">
        <f>AY1002</f>
        <v>52</v>
      </c>
      <c r="J1047" s="1535"/>
      <c r="K1047" s="6"/>
      <c r="L1047" s="6"/>
      <c r="M1047" s="6"/>
      <c r="N1047" s="6"/>
      <c r="O1047" s="6"/>
      <c r="P1047" s="6"/>
      <c r="Q1047" s="6"/>
      <c r="R1047" s="6"/>
      <c r="S1047" s="6"/>
      <c r="T1047" s="6"/>
      <c r="U1047" s="6"/>
      <c r="V1047" s="77" t="s">
        <v>1771</v>
      </c>
      <c r="W1047" s="33"/>
      <c r="X1047" s="1532">
        <f>BG632</f>
        <v>0</v>
      </c>
      <c r="Y1047" s="1533"/>
      <c r="Z1047" s="33"/>
      <c r="AA1047" s="33"/>
      <c r="AB1047" s="33"/>
      <c r="AC1047" s="33"/>
      <c r="AD1047" s="33"/>
      <c r="AE1047" s="34"/>
      <c r="AF1047" s="751"/>
      <c r="AG1047" s="752"/>
      <c r="AH1047" s="752"/>
      <c r="AI1047" s="753"/>
      <c r="AJ1047" s="1372"/>
      <c r="AK1047" s="1373"/>
      <c r="AL1047" s="1373"/>
      <c r="AM1047" s="1373"/>
      <c r="AN1047" s="1373"/>
      <c r="AO1047" s="1373"/>
      <c r="AP1047" s="1373"/>
      <c r="AQ1047" s="1374"/>
      <c r="AR1047" s="1066"/>
      <c r="AS1047" s="1066"/>
      <c r="AT1047" s="1066"/>
      <c r="AU1047" s="12"/>
      <c r="AV1047" s="1066"/>
      <c r="AW1047" s="1066"/>
      <c r="AX1047" s="1066"/>
      <c r="AY1047" s="1066"/>
    </row>
    <row r="1048" spans="1:51" ht="13" customHeight="1">
      <c r="A1048" s="12"/>
      <c r="B1048" s="47"/>
      <c r="C1048" s="1161" t="s">
        <v>1772</v>
      </c>
      <c r="D1048" s="1448" t="s">
        <v>1773</v>
      </c>
      <c r="E1048" s="1449"/>
      <c r="F1048" s="1449"/>
      <c r="G1048" s="1449"/>
      <c r="H1048" s="1449"/>
      <c r="I1048" s="1449"/>
      <c r="J1048" s="1449"/>
      <c r="K1048" s="1449"/>
      <c r="L1048" s="1449"/>
      <c r="M1048" s="1449"/>
      <c r="N1048" s="1449"/>
      <c r="O1048" s="1449"/>
      <c r="P1048" s="1449"/>
      <c r="Q1048" s="1449"/>
      <c r="R1048" s="1449"/>
      <c r="S1048" s="1449"/>
      <c r="T1048" s="1449"/>
      <c r="U1048" s="1449"/>
      <c r="V1048" s="1449"/>
      <c r="W1048" s="1449"/>
      <c r="X1048" s="1449"/>
      <c r="Y1048" s="1449"/>
      <c r="Z1048" s="1449"/>
      <c r="AA1048" s="1449"/>
      <c r="AB1048" s="1449"/>
      <c r="AC1048" s="1449"/>
      <c r="AD1048" s="1449"/>
      <c r="AE1048" s="1450"/>
      <c r="AF1048" s="44"/>
      <c r="AG1048" s="1532" t="str">
        <f>IF(X1051&gt;0,"Yes","No")</f>
        <v>Yes</v>
      </c>
      <c r="AH1048" s="1533"/>
      <c r="AI1048" s="48"/>
      <c r="AJ1048" s="1366">
        <f>IF((X1051=0),0,(2*AY1005)*AJ991)</f>
        <v>27455512.32</v>
      </c>
      <c r="AK1048" s="1367"/>
      <c r="AL1048" s="1367"/>
      <c r="AM1048" s="1367"/>
      <c r="AN1048" s="1367"/>
      <c r="AO1048" s="1367"/>
      <c r="AP1048" s="1367"/>
      <c r="AQ1048" s="1368"/>
      <c r="AR1048" s="1066"/>
      <c r="AS1048" s="1066"/>
      <c r="AT1048" s="1066"/>
      <c r="AU1048" s="12"/>
      <c r="AV1048" s="1066"/>
      <c r="AW1048" s="1066"/>
      <c r="AX1048" s="1066"/>
      <c r="AY1048" s="1066"/>
    </row>
    <row r="1049" spans="1:51" ht="13" customHeight="1">
      <c r="A1049" s="12"/>
      <c r="B1049" s="44"/>
      <c r="C1049" s="328"/>
      <c r="D1049" s="1461" t="s">
        <v>1774</v>
      </c>
      <c r="E1049" s="1462"/>
      <c r="F1049" s="1462"/>
      <c r="G1049" s="1462"/>
      <c r="H1049" s="1462"/>
      <c r="I1049" s="1462"/>
      <c r="J1049" s="1462"/>
      <c r="K1049" s="1462"/>
      <c r="L1049" s="1462"/>
      <c r="M1049" s="1462"/>
      <c r="N1049" s="1462"/>
      <c r="O1049" s="1462"/>
      <c r="P1049" s="1462"/>
      <c r="Q1049" s="1462"/>
      <c r="R1049" s="1462"/>
      <c r="S1049" s="1462"/>
      <c r="T1049" s="1462"/>
      <c r="U1049" s="1462"/>
      <c r="V1049" s="1462"/>
      <c r="W1049" s="1462"/>
      <c r="X1049" s="1462"/>
      <c r="Y1049" s="1462"/>
      <c r="Z1049" s="1462"/>
      <c r="AA1049" s="1462"/>
      <c r="AB1049" s="1462"/>
      <c r="AC1049" s="1462"/>
      <c r="AD1049" s="1462"/>
      <c r="AE1049" s="1463"/>
      <c r="AF1049" s="44"/>
      <c r="AG1049" s="1083"/>
      <c r="AH1049" s="1083"/>
      <c r="AI1049" s="48"/>
      <c r="AJ1049" s="1369"/>
      <c r="AK1049" s="1370"/>
      <c r="AL1049" s="1370"/>
      <c r="AM1049" s="1370"/>
      <c r="AN1049" s="1370"/>
      <c r="AO1049" s="1370"/>
      <c r="AP1049" s="1370"/>
      <c r="AQ1049" s="1371"/>
      <c r="AR1049" s="1066"/>
      <c r="AS1049" s="1066"/>
      <c r="AT1049" s="1066"/>
      <c r="AU1049" s="1066"/>
      <c r="AV1049" s="1066"/>
      <c r="AW1049" s="1066"/>
      <c r="AX1049" s="1066"/>
      <c r="AY1049" s="1066"/>
    </row>
    <row r="1050" spans="1:51" ht="13" customHeight="1">
      <c r="A1050" s="12"/>
      <c r="B1050" s="44"/>
      <c r="C1050" s="48"/>
      <c r="D1050" s="1461"/>
      <c r="E1050" s="1462"/>
      <c r="F1050" s="1462"/>
      <c r="G1050" s="1462"/>
      <c r="H1050" s="1462"/>
      <c r="I1050" s="1462"/>
      <c r="J1050" s="1462"/>
      <c r="K1050" s="1462"/>
      <c r="L1050" s="1462"/>
      <c r="M1050" s="1462"/>
      <c r="N1050" s="1462"/>
      <c r="O1050" s="1462"/>
      <c r="P1050" s="1462"/>
      <c r="Q1050" s="1462"/>
      <c r="R1050" s="1462"/>
      <c r="S1050" s="1462"/>
      <c r="T1050" s="1462"/>
      <c r="U1050" s="1462"/>
      <c r="V1050" s="1462"/>
      <c r="W1050" s="1462"/>
      <c r="X1050" s="1462"/>
      <c r="Y1050" s="1462"/>
      <c r="Z1050" s="1462"/>
      <c r="AA1050" s="1462"/>
      <c r="AB1050" s="1462"/>
      <c r="AC1050" s="1462"/>
      <c r="AD1050" s="1462"/>
      <c r="AE1050" s="1463"/>
      <c r="AF1050" s="748"/>
      <c r="AG1050" s="749"/>
      <c r="AH1050" s="749"/>
      <c r="AI1050" s="750"/>
      <c r="AJ1050" s="1369"/>
      <c r="AK1050" s="1370"/>
      <c r="AL1050" s="1370"/>
      <c r="AM1050" s="1370"/>
      <c r="AN1050" s="1370"/>
      <c r="AO1050" s="1370"/>
      <c r="AP1050" s="1370"/>
      <c r="AQ1050" s="1371"/>
      <c r="AR1050" s="1066"/>
      <c r="AS1050" s="1066"/>
      <c r="AT1050" s="1066"/>
      <c r="AU1050" s="1066"/>
      <c r="AV1050" s="1066"/>
      <c r="AW1050" s="1066"/>
      <c r="AX1050" s="1066"/>
      <c r="AY1050" s="1066"/>
    </row>
    <row r="1051" spans="1:51" ht="13" customHeight="1">
      <c r="A1051" s="12"/>
      <c r="B1051" s="45"/>
      <c r="C1051" s="46"/>
      <c r="D1051" s="76" t="s">
        <v>1770</v>
      </c>
      <c r="E1051" s="6"/>
      <c r="F1051" s="6"/>
      <c r="G1051" s="6"/>
      <c r="H1051" s="6"/>
      <c r="I1051" s="1534">
        <f>AY1002</f>
        <v>52</v>
      </c>
      <c r="J1051" s="1535"/>
      <c r="K1051" s="12"/>
      <c r="L1051" s="6"/>
      <c r="M1051" s="6"/>
      <c r="N1051" s="6"/>
      <c r="O1051" s="6"/>
      <c r="P1051" s="6"/>
      <c r="Q1051" s="6"/>
      <c r="R1051" s="6"/>
      <c r="S1051" s="6"/>
      <c r="T1051" s="6"/>
      <c r="U1051" s="6"/>
      <c r="V1051" s="77" t="s">
        <v>1775</v>
      </c>
      <c r="X1051" s="1532">
        <f>BK632</f>
        <v>25</v>
      </c>
      <c r="Y1051" s="1533"/>
      <c r="AF1051" s="751"/>
      <c r="AG1051" s="752"/>
      <c r="AH1051" s="752"/>
      <c r="AI1051" s="753"/>
      <c r="AJ1051" s="1372"/>
      <c r="AK1051" s="1373"/>
      <c r="AL1051" s="1373"/>
      <c r="AM1051" s="1373"/>
      <c r="AN1051" s="1373"/>
      <c r="AO1051" s="1373"/>
      <c r="AP1051" s="1373"/>
      <c r="AQ1051" s="1374"/>
      <c r="AR1051" s="1066"/>
      <c r="AS1051" s="1066"/>
      <c r="AT1051" s="1066"/>
      <c r="AU1051" s="1066"/>
      <c r="AV1051" s="1066"/>
      <c r="AW1051" s="1066"/>
      <c r="AX1051" s="1066"/>
      <c r="AY1051" s="1066"/>
    </row>
    <row r="1052" spans="1:51" ht="13" customHeight="1">
      <c r="A1052" s="12"/>
      <c r="B1052" s="61"/>
      <c r="C1052" s="1084"/>
      <c r="D1052" s="1530" t="s">
        <v>1776</v>
      </c>
      <c r="E1052" s="1530"/>
      <c r="F1052" s="1530"/>
      <c r="G1052" s="1530"/>
      <c r="H1052" s="1530"/>
      <c r="I1052" s="1530"/>
      <c r="J1052" s="1530"/>
      <c r="K1052" s="1530"/>
      <c r="L1052" s="1530"/>
      <c r="M1052" s="1530"/>
      <c r="N1052" s="1530"/>
      <c r="O1052" s="1530"/>
      <c r="P1052" s="1530"/>
      <c r="Q1052" s="1530"/>
      <c r="R1052" s="1530"/>
      <c r="S1052" s="1530"/>
      <c r="T1052" s="1530"/>
      <c r="U1052" s="1530"/>
      <c r="V1052" s="1530"/>
      <c r="W1052" s="1530"/>
      <c r="X1052" s="1530"/>
      <c r="Y1052" s="1530"/>
      <c r="Z1052" s="1530"/>
      <c r="AA1052" s="1530"/>
      <c r="AB1052" s="1530"/>
      <c r="AC1052" s="1530"/>
      <c r="AD1052" s="1530"/>
      <c r="AE1052" s="1530"/>
      <c r="AF1052" s="1530"/>
      <c r="AG1052" s="1530"/>
      <c r="AH1052" s="1530"/>
      <c r="AI1052" s="1531"/>
      <c r="AJ1052" s="1497">
        <f>SUM(AJ991:AQ1051)</f>
        <v>63894902.32</v>
      </c>
      <c r="AK1052" s="1498"/>
      <c r="AL1052" s="1498"/>
      <c r="AM1052" s="1498"/>
      <c r="AN1052" s="1498"/>
      <c r="AO1052" s="1498"/>
      <c r="AP1052" s="1498"/>
      <c r="AQ1052" s="1499"/>
      <c r="AR1052" s="1066"/>
      <c r="AS1052" s="1066"/>
      <c r="AT1052" s="1066"/>
      <c r="AU1052" s="1066"/>
      <c r="AV1052" s="1066"/>
      <c r="AW1052" s="1066"/>
      <c r="AX1052" s="1066"/>
      <c r="AY1052" s="1066"/>
    </row>
    <row r="1053" spans="1:51" ht="13" customHeight="1">
      <c r="A1053" s="12"/>
      <c r="B1053" s="12"/>
      <c r="C1053" s="1085"/>
      <c r="D1053" s="1086"/>
      <c r="E1053" s="1086"/>
      <c r="F1053" s="1086"/>
      <c r="G1053" s="1086"/>
      <c r="H1053" s="1086"/>
      <c r="I1053" s="1086"/>
      <c r="J1053" s="1086"/>
      <c r="K1053" s="1086"/>
      <c r="L1053" s="1086"/>
      <c r="M1053" s="1086"/>
      <c r="N1053" s="1086"/>
      <c r="O1053" s="1086"/>
      <c r="P1053" s="1086"/>
      <c r="Q1053" s="1086"/>
      <c r="R1053" s="1086"/>
      <c r="S1053" s="1086"/>
      <c r="T1053" s="1087"/>
      <c r="U1053" s="1087"/>
      <c r="V1053" s="1087"/>
      <c r="W1053" s="1087"/>
      <c r="X1053" s="1087"/>
      <c r="Y1053" s="1087"/>
      <c r="Z1053" s="1087"/>
      <c r="AA1053" s="1087"/>
      <c r="AB1053" s="1087"/>
      <c r="AC1053" s="1087"/>
      <c r="AD1053" s="122"/>
      <c r="AE1053" s="122"/>
      <c r="AF1053" s="122"/>
      <c r="AG1053" s="122"/>
      <c r="AH1053" s="122"/>
      <c r="AI1053" s="122"/>
      <c r="AJ1053" s="122"/>
      <c r="AK1053" s="122"/>
      <c r="AL1053" s="1066"/>
      <c r="AM1053" s="1066"/>
      <c r="AN1053" s="1066"/>
      <c r="AO1053" s="1066"/>
      <c r="AP1053" s="1066"/>
      <c r="AQ1053" s="1066"/>
      <c r="AR1053" s="1066"/>
      <c r="AS1053" s="1066"/>
      <c r="AT1053" s="1066"/>
      <c r="AU1053" s="1066"/>
      <c r="AV1053" s="1066"/>
      <c r="AW1053" s="1066"/>
      <c r="AX1053" s="1066"/>
      <c r="AY1053" s="1066"/>
    </row>
    <row r="1054" spans="1:51" ht="13" customHeight="1">
      <c r="A1054" s="12"/>
      <c r="B1054" s="1066"/>
      <c r="C1054" s="1066"/>
      <c r="D1054" s="1066"/>
      <c r="E1054" s="1066"/>
      <c r="F1054" s="1066"/>
      <c r="G1054" s="1066"/>
      <c r="H1054" s="1066"/>
      <c r="I1054" s="1066"/>
      <c r="J1054" s="1066"/>
      <c r="K1054" s="1066"/>
      <c r="L1054" s="1066"/>
      <c r="M1054" s="1066"/>
      <c r="N1054" s="1066"/>
      <c r="O1054" s="1066"/>
      <c r="P1054" s="1066"/>
      <c r="Q1054" s="1066"/>
      <c r="R1054" s="1066"/>
      <c r="S1054" s="1066"/>
      <c r="T1054" s="1066"/>
      <c r="U1054" s="1066"/>
      <c r="V1054" s="1066"/>
      <c r="W1054" s="1066"/>
      <c r="X1054" s="1066"/>
      <c r="Y1054" s="1066"/>
      <c r="Z1054" s="1066"/>
      <c r="AA1054" s="1066"/>
      <c r="AB1054" s="1066"/>
      <c r="AC1054" s="1066"/>
      <c r="AD1054" s="1066"/>
      <c r="AE1054" s="1066"/>
      <c r="AF1054" s="1066"/>
      <c r="AG1054" s="1066"/>
      <c r="AH1054" s="1066"/>
      <c r="AI1054" s="1066"/>
      <c r="AJ1054" s="1066"/>
      <c r="AK1054" s="1066"/>
      <c r="AL1054" s="1066"/>
      <c r="AM1054" s="1066"/>
      <c r="AN1054" s="1066"/>
      <c r="AO1054" s="1066"/>
      <c r="AP1054" s="1066"/>
      <c r="AQ1054" s="1066"/>
      <c r="AR1054" s="1066"/>
      <c r="AS1054" s="1066"/>
      <c r="AT1054" s="1066"/>
      <c r="AU1054" s="1066"/>
      <c r="AV1054" s="1066"/>
      <c r="AW1054" s="1066"/>
      <c r="AX1054" s="1066"/>
      <c r="AY1054" s="1066"/>
    </row>
    <row r="1055" spans="1:51" ht="13" customHeight="1">
      <c r="A1055" s="12"/>
      <c r="B1055" s="1066"/>
      <c r="C1055" s="1066"/>
      <c r="D1055" s="1066"/>
      <c r="E1055" s="1066"/>
      <c r="F1055" s="1066"/>
      <c r="G1055" s="1066"/>
      <c r="H1055" s="1066"/>
      <c r="I1055" s="1066"/>
      <c r="J1055" s="1066"/>
      <c r="K1055" s="1066"/>
      <c r="L1055" s="1066"/>
      <c r="M1055" s="1066"/>
      <c r="N1055" s="1066"/>
      <c r="O1055" s="1066"/>
      <c r="P1055" s="1066"/>
      <c r="Q1055" s="1066"/>
      <c r="R1055" s="1066"/>
      <c r="S1055" s="1066"/>
      <c r="T1055" s="1066"/>
      <c r="U1055" s="1066"/>
      <c r="V1055" s="1066"/>
      <c r="W1055" s="1066"/>
      <c r="X1055" s="1066"/>
      <c r="Y1055" s="1066"/>
      <c r="Z1055" s="1066"/>
      <c r="AA1055" s="1066"/>
      <c r="AB1055" s="1066"/>
      <c r="AC1055" s="1066"/>
      <c r="AD1055" s="1066"/>
      <c r="AE1055" s="1066"/>
      <c r="AF1055" s="1066"/>
      <c r="AG1055" s="1066"/>
      <c r="AH1055" s="1066"/>
      <c r="AI1055" s="1066"/>
      <c r="AJ1055" s="1066"/>
      <c r="AK1055" s="1066"/>
      <c r="AL1055" s="1066"/>
      <c r="AM1055" s="1066"/>
      <c r="AN1055" s="1066"/>
      <c r="AO1055" s="1066"/>
      <c r="AP1055" s="1066"/>
      <c r="AQ1055" s="1066"/>
      <c r="AR1055" s="1066"/>
      <c r="AS1055" s="1066"/>
      <c r="AT1055" s="1066"/>
      <c r="AU1055" s="1066"/>
      <c r="AV1055" s="1127"/>
      <c r="AW1055" s="1127"/>
      <c r="AX1055" s="1127"/>
      <c r="AY1055" s="1127"/>
    </row>
    <row r="1056" spans="1:51" ht="13" customHeight="1">
      <c r="A1056" s="12"/>
      <c r="B1056" s="1066"/>
      <c r="C1056" s="1066"/>
      <c r="D1056" s="1066"/>
      <c r="E1056" s="1066"/>
      <c r="F1056" s="1066"/>
      <c r="G1056" s="1066"/>
      <c r="H1056" s="1066"/>
      <c r="I1056" s="1066"/>
      <c r="J1056" s="1066"/>
      <c r="K1056" s="1066"/>
      <c r="L1056" s="1066"/>
      <c r="M1056" s="1066"/>
      <c r="N1056" s="1066"/>
      <c r="O1056" s="1066"/>
      <c r="P1056" s="1066"/>
      <c r="Q1056" s="1066"/>
      <c r="R1056" s="1066"/>
      <c r="S1056" s="1066"/>
      <c r="T1056" s="1066"/>
      <c r="U1056" s="1066"/>
      <c r="V1056" s="1066"/>
      <c r="W1056" s="1066"/>
      <c r="X1056" s="1066"/>
      <c r="Y1056" s="1066"/>
      <c r="Z1056" s="1066"/>
      <c r="AA1056" s="1066"/>
      <c r="AB1056" s="1066"/>
      <c r="AC1056" s="1066"/>
      <c r="AD1056" s="1066"/>
      <c r="AE1056" s="1066"/>
      <c r="AF1056" s="1066"/>
      <c r="AG1056" s="1066"/>
      <c r="AH1056" s="1066"/>
      <c r="AI1056" s="1066"/>
      <c r="AJ1056" s="1066"/>
      <c r="AK1056" s="1066"/>
      <c r="AL1056" s="1066"/>
      <c r="AM1056" s="1066"/>
      <c r="AN1056" s="1066"/>
      <c r="AO1056" s="1066"/>
      <c r="AP1056" s="1066"/>
      <c r="AQ1056" s="1066"/>
      <c r="AR1056" s="1066"/>
      <c r="AS1056" s="1066"/>
      <c r="AT1056" s="1066"/>
      <c r="AU1056" s="1066"/>
      <c r="AV1056" s="1127"/>
      <c r="AW1056" s="1127"/>
      <c r="AX1056" s="1127"/>
      <c r="AY1056" s="1127"/>
    </row>
    <row r="1057" spans="1:51" ht="13" customHeight="1">
      <c r="A1057" s="12"/>
      <c r="B1057" s="1066"/>
      <c r="C1057" s="1066"/>
      <c r="D1057" s="1066"/>
      <c r="E1057" s="1066"/>
      <c r="F1057" s="1066"/>
      <c r="G1057" s="1066"/>
      <c r="H1057" s="1066"/>
      <c r="I1057" s="1066"/>
      <c r="J1057" s="1066"/>
      <c r="K1057" s="1066"/>
      <c r="L1057" s="1066"/>
      <c r="M1057" s="1066"/>
      <c r="N1057" s="1066"/>
      <c r="O1057" s="1066"/>
      <c r="P1057" s="1066"/>
      <c r="Q1057" s="1066"/>
      <c r="R1057" s="1066"/>
      <c r="S1057" s="1066"/>
      <c r="T1057" s="1066"/>
      <c r="U1057" s="1066"/>
      <c r="V1057" s="1066"/>
      <c r="W1057" s="1066"/>
      <c r="X1057" s="1066"/>
      <c r="Y1057" s="1066"/>
      <c r="Z1057" s="1066"/>
      <c r="AA1057" s="1066"/>
      <c r="AB1057" s="1066"/>
      <c r="AC1057" s="1066"/>
      <c r="AD1057" s="1066"/>
      <c r="AE1057" s="1066"/>
      <c r="AF1057" s="1066"/>
      <c r="AG1057" s="1066"/>
      <c r="AH1057" s="1066"/>
      <c r="AI1057" s="1066"/>
      <c r="AJ1057" s="1066"/>
      <c r="AK1057" s="1066"/>
      <c r="AL1057" s="1066"/>
      <c r="AM1057" s="1066"/>
      <c r="AN1057" s="1066"/>
      <c r="AO1057" s="1066"/>
      <c r="AP1057" s="1066"/>
      <c r="AQ1057" s="1066"/>
      <c r="AR1057" s="1066"/>
      <c r="AS1057" s="1066"/>
      <c r="AT1057" s="1066"/>
      <c r="AU1057" s="1066"/>
      <c r="AV1057" s="12"/>
      <c r="AW1057" s="12"/>
      <c r="AX1057" s="12"/>
      <c r="AY1057" s="12"/>
    </row>
    <row r="1058" spans="1:51" ht="13" customHeight="1">
      <c r="A1058" s="12"/>
      <c r="B1058" s="12"/>
      <c r="C1058" s="1085"/>
      <c r="D1058" s="1088"/>
      <c r="E1058" s="1088"/>
      <c r="F1058" s="1088"/>
      <c r="G1058" s="1088"/>
      <c r="H1058" s="1088"/>
      <c r="I1058" s="1088"/>
      <c r="J1058" s="1088"/>
      <c r="K1058" s="1088"/>
      <c r="L1058" s="1088"/>
      <c r="M1058" s="1088"/>
      <c r="N1058" s="1088"/>
      <c r="O1058" s="1088"/>
      <c r="P1058" s="1088"/>
      <c r="Q1058" s="1088"/>
      <c r="R1058" s="1088"/>
      <c r="S1058" s="1088"/>
      <c r="T1058" s="1088"/>
      <c r="U1058" s="1088"/>
      <c r="V1058" s="1088"/>
      <c r="W1058" s="1088"/>
      <c r="X1058" s="1088"/>
      <c r="Y1058" s="1088"/>
      <c r="Z1058" s="1088"/>
      <c r="AA1058" s="1088"/>
      <c r="AB1058" s="1088"/>
      <c r="AC1058" s="1088"/>
      <c r="AD1058" s="1088"/>
      <c r="AE1058" s="1088"/>
      <c r="AF1058" s="1088"/>
      <c r="AG1058" s="1088"/>
      <c r="AH1058" s="1088"/>
      <c r="AI1058" s="1088"/>
      <c r="AJ1058" s="1088"/>
      <c r="AK1058" s="1088"/>
      <c r="AL1058" s="1066"/>
      <c r="AM1058" s="1066"/>
      <c r="AN1058" s="1066"/>
      <c r="AO1058" s="1066"/>
      <c r="AP1058" s="1066"/>
      <c r="AQ1058" s="1066"/>
      <c r="AR1058" s="1066"/>
      <c r="AS1058" s="1066"/>
      <c r="AT1058" s="1066"/>
      <c r="AU1058" s="1066"/>
      <c r="AV1058" s="12"/>
      <c r="AW1058" s="12"/>
      <c r="AX1058" s="12"/>
      <c r="AY1058" s="12"/>
    </row>
    <row r="1059" spans="1:51" ht="13" customHeight="1">
      <c r="A1059" s="1089"/>
      <c r="B1059" s="1364">
        <f>IF(ISNA(IF((AJ1019&gt;(AJ991*0.15)),"(f) cannot be greater than 15% of unadjusted eligible basis.",0)),"",(IF((AJ1019&gt;(AJ991*0.15)),"(f) cannot be greater than 15% of unadjusted eligible basis.",0)))</f>
        <v>0</v>
      </c>
      <c r="C1059" s="1364"/>
      <c r="D1059" s="1364"/>
      <c r="E1059" s="1364"/>
      <c r="F1059" s="1364"/>
      <c r="G1059" s="1364"/>
      <c r="H1059" s="1364"/>
      <c r="I1059" s="1364"/>
      <c r="J1059" s="1364"/>
      <c r="K1059" s="1364"/>
      <c r="L1059" s="1364"/>
      <c r="M1059" s="1364"/>
      <c r="N1059" s="1364"/>
      <c r="O1059" s="1364"/>
      <c r="P1059" s="1364"/>
      <c r="Q1059" s="1364"/>
      <c r="R1059" s="1364"/>
      <c r="S1059" s="1364"/>
      <c r="T1059" s="1364"/>
      <c r="U1059" s="1364"/>
      <c r="V1059" s="1364"/>
      <c r="W1059" s="1364"/>
      <c r="X1059" s="1364"/>
      <c r="Y1059" s="1364"/>
      <c r="Z1059" s="1364"/>
      <c r="AA1059" s="1364"/>
      <c r="AB1059" s="1364"/>
      <c r="AC1059" s="1364"/>
      <c r="AD1059" s="1364"/>
      <c r="AE1059" s="1364"/>
      <c r="AF1059" s="1364"/>
      <c r="AG1059" s="1364"/>
      <c r="AH1059" s="1364"/>
      <c r="AI1059" s="1364"/>
      <c r="AJ1059" s="1364"/>
      <c r="AK1059" s="1364"/>
      <c r="AL1059" s="1364"/>
      <c r="AM1059" s="1364"/>
      <c r="AN1059" s="1364"/>
      <c r="AO1059" s="1364"/>
      <c r="AP1059" s="1364"/>
      <c r="AQ1059" s="1066"/>
      <c r="AR1059" s="1066"/>
      <c r="AS1059" s="1066"/>
      <c r="AT1059" s="1066"/>
      <c r="AU1059" s="1066"/>
      <c r="AV1059" s="1066"/>
      <c r="AW1059" s="1066"/>
      <c r="AX1059" s="1066"/>
      <c r="AY1059" s="1066"/>
    </row>
    <row r="1060" spans="1:51" ht="13" customHeight="1">
      <c r="A1060" s="1257" t="s">
        <v>1777</v>
      </c>
      <c r="B1060" s="1257"/>
      <c r="C1060" s="1257"/>
      <c r="D1060" s="1257"/>
      <c r="E1060" s="1257"/>
      <c r="F1060" s="1257"/>
      <c r="G1060" s="1257"/>
      <c r="H1060" s="1257"/>
      <c r="I1060" s="1257"/>
      <c r="J1060" s="1257"/>
      <c r="K1060" s="1257"/>
      <c r="L1060" s="1257"/>
      <c r="M1060" s="1257"/>
      <c r="N1060" s="1257"/>
      <c r="O1060" s="1257"/>
      <c r="P1060" s="1257"/>
      <c r="Q1060" s="1257"/>
      <c r="R1060" s="1257"/>
      <c r="S1060" s="1257"/>
      <c r="T1060" s="1257"/>
      <c r="U1060" s="1257"/>
      <c r="V1060" s="1257"/>
      <c r="W1060" s="1257"/>
      <c r="X1060" s="1257"/>
      <c r="Y1060" s="1257"/>
      <c r="Z1060" s="1257"/>
      <c r="AA1060" s="1257"/>
      <c r="AB1060" s="1257"/>
      <c r="AC1060" s="1257"/>
      <c r="AD1060" s="1257"/>
      <c r="AE1060" s="1257"/>
      <c r="AF1060" s="1257"/>
      <c r="AG1060" s="1257"/>
      <c r="AH1060" s="1257"/>
      <c r="AI1060" s="1257"/>
      <c r="AJ1060" s="1257"/>
      <c r="AK1060" s="1257"/>
      <c r="AL1060" s="1257"/>
      <c r="AM1060" s="1257"/>
      <c r="AN1060" s="1257"/>
      <c r="AO1060" s="1257"/>
      <c r="AP1060" s="1257"/>
      <c r="AQ1060" s="1257"/>
      <c r="AR1060" s="1127"/>
      <c r="AS1060" s="1127"/>
      <c r="AT1060" s="1127"/>
      <c r="AV1060" s="1066"/>
      <c r="AW1060" s="1066"/>
      <c r="AX1060" s="1066"/>
      <c r="AY1060" s="1066"/>
    </row>
    <row r="1061" spans="1:51" ht="13" customHeight="1">
      <c r="A1061" s="12"/>
      <c r="B1061" s="12"/>
      <c r="C1061" s="12"/>
      <c r="D1061" s="12"/>
      <c r="E1061" s="12"/>
      <c r="F1061" s="12"/>
      <c r="G1061" s="12"/>
      <c r="H1061" s="12"/>
      <c r="I1061" s="12"/>
      <c r="J1061" s="12"/>
      <c r="K1061" s="12"/>
      <c r="L1061" s="12"/>
      <c r="M1061" s="12"/>
      <c r="N1061" s="12"/>
      <c r="O1061" s="12"/>
      <c r="P1061" s="12"/>
      <c r="Q1061" s="1127"/>
      <c r="R1061" s="1127"/>
      <c r="S1061" s="1127"/>
      <c r="T1061" s="1127"/>
      <c r="U1061" s="1127"/>
      <c r="V1061" s="1127"/>
      <c r="W1061" s="1127"/>
      <c r="X1061" s="1127"/>
      <c r="Y1061" s="1127"/>
      <c r="Z1061" s="1127"/>
      <c r="AA1061" s="1127"/>
      <c r="AB1061" s="1127"/>
      <c r="AC1061" s="1127"/>
      <c r="AD1061" s="1127"/>
      <c r="AE1061" s="1127"/>
      <c r="AF1061" s="1127"/>
      <c r="AG1061" s="1127"/>
      <c r="AH1061" s="1127"/>
      <c r="AI1061" s="1127"/>
      <c r="AJ1061" s="1127"/>
      <c r="AK1061" s="1127"/>
      <c r="AL1061" s="1127"/>
      <c r="AM1061" s="1127"/>
      <c r="AN1061" s="1127"/>
      <c r="AO1061" s="1127"/>
      <c r="AP1061" s="1127"/>
      <c r="AQ1061" s="1127"/>
      <c r="AR1061" s="1127"/>
      <c r="AS1061" s="1127"/>
      <c r="AT1061" s="1127"/>
      <c r="AV1061" s="1066"/>
      <c r="AW1061" s="1066"/>
      <c r="AX1061" s="1066"/>
      <c r="AY1061" s="1066"/>
    </row>
    <row r="1062" spans="1:51" ht="13" customHeight="1">
      <c r="A1062" s="1118" t="s">
        <v>1778</v>
      </c>
      <c r="B1062" s="1127"/>
      <c r="C1062" s="1127"/>
      <c r="D1062" s="1127"/>
      <c r="E1062" s="1127"/>
      <c r="F1062" s="1127"/>
      <c r="G1062" s="1127"/>
      <c r="H1062" s="1127"/>
      <c r="I1062" s="1127"/>
      <c r="J1062" s="1127"/>
      <c r="K1062" s="1127"/>
      <c r="L1062" s="1127"/>
      <c r="M1062" s="1127"/>
      <c r="N1062" s="1127"/>
      <c r="O1062" s="1127"/>
      <c r="P1062" s="1127"/>
      <c r="Q1062" s="1127"/>
      <c r="R1062" s="1127"/>
      <c r="S1062" s="1127"/>
      <c r="T1062" s="1127"/>
      <c r="U1062" s="1127"/>
      <c r="V1062" s="1127"/>
      <c r="W1062" s="1127"/>
      <c r="X1062" s="1127"/>
      <c r="AJ1062" s="12"/>
      <c r="AK1062" s="12"/>
      <c r="AL1062" s="12"/>
      <c r="AM1062" s="12"/>
      <c r="AN1062" s="12"/>
      <c r="AO1062" s="12"/>
      <c r="AP1062" s="12"/>
      <c r="AQ1062" s="12"/>
      <c r="AR1062" s="12"/>
      <c r="AS1062" s="12"/>
      <c r="AT1062" s="12"/>
      <c r="AV1062" s="1066"/>
      <c r="AW1062" s="1066"/>
      <c r="AX1062" s="1066"/>
      <c r="AY1062" s="1066"/>
    </row>
    <row r="1063" spans="1:51" ht="13" customHeight="1">
      <c r="A1063" s="115" t="s">
        <v>1779</v>
      </c>
      <c r="B1063" s="12"/>
      <c r="C1063" s="12"/>
      <c r="D1063" s="12"/>
      <c r="E1063" s="12"/>
      <c r="F1063" s="12"/>
      <c r="G1063" s="12"/>
      <c r="H1063" s="12"/>
      <c r="I1063" s="12"/>
      <c r="J1063" s="12"/>
      <c r="K1063" s="12"/>
      <c r="L1063" s="12"/>
      <c r="M1063" s="12"/>
      <c r="N1063" s="12"/>
      <c r="O1063" s="12"/>
      <c r="P1063" s="12"/>
      <c r="Q1063" s="1127"/>
      <c r="R1063" s="1127"/>
      <c r="S1063" s="1127"/>
      <c r="T1063" s="1127"/>
      <c r="U1063" s="1127"/>
      <c r="V1063" s="1127"/>
      <c r="W1063" s="1127"/>
      <c r="X1063" s="1127"/>
      <c r="Y1063" s="2"/>
      <c r="Z1063" s="2"/>
      <c r="AA1063" s="2"/>
      <c r="AB1063" s="2"/>
      <c r="AC1063" s="2"/>
      <c r="AD1063" s="2"/>
      <c r="AE1063" s="2"/>
      <c r="AF1063" s="2"/>
      <c r="AG1063" s="2"/>
      <c r="AH1063" s="2"/>
      <c r="AI1063" s="2"/>
      <c r="AJ1063" s="12"/>
      <c r="AK1063" s="12"/>
      <c r="AL1063" s="12"/>
      <c r="AM1063" s="12"/>
      <c r="AN1063" s="12"/>
      <c r="AO1063" s="12"/>
      <c r="AP1063" s="12"/>
      <c r="AQ1063" s="12"/>
      <c r="AR1063" s="12"/>
      <c r="AS1063" s="12"/>
      <c r="AT1063" s="12"/>
      <c r="AV1063" s="1066"/>
      <c r="AW1063" s="1066"/>
      <c r="AX1063" s="1066"/>
      <c r="AY1063" s="1066"/>
    </row>
    <row r="1064" spans="1:51" ht="13" customHeight="1">
      <c r="A1064" s="1381" t="s">
        <v>299</v>
      </c>
      <c r="B1064" s="1381"/>
      <c r="C1064" s="7">
        <v>1</v>
      </c>
      <c r="D1064" s="1222" t="s">
        <v>1780</v>
      </c>
      <c r="E1064" s="1222"/>
      <c r="F1064" s="1222"/>
      <c r="G1064" s="1222"/>
      <c r="H1064" s="1222"/>
      <c r="I1064" s="1222"/>
      <c r="J1064" s="1222"/>
      <c r="K1064" s="1222"/>
      <c r="L1064" s="1222"/>
      <c r="M1064" s="1222"/>
      <c r="N1064" s="1222"/>
      <c r="O1064" s="1222"/>
      <c r="P1064" s="1222"/>
      <c r="Q1064" s="1222"/>
      <c r="R1064" s="1222"/>
      <c r="S1064" s="1222"/>
      <c r="T1064" s="1222"/>
      <c r="U1064" s="1222"/>
      <c r="V1064" s="1222"/>
      <c r="W1064" s="1222"/>
      <c r="X1064" s="1222"/>
      <c r="Y1064" s="1222"/>
      <c r="Z1064" s="1222"/>
      <c r="AA1064" s="1222"/>
      <c r="AB1064" s="1222"/>
      <c r="AC1064" s="1222"/>
      <c r="AD1064" s="1222"/>
      <c r="AE1064" s="1222"/>
      <c r="AF1064" s="1222"/>
      <c r="AG1064" s="1222"/>
      <c r="AH1064" s="1222"/>
      <c r="AI1064" s="1222"/>
      <c r="AJ1064" s="1222"/>
      <c r="AK1064" s="1222"/>
      <c r="AL1064" s="1066"/>
      <c r="AM1064" s="1066"/>
      <c r="AN1064" s="1066"/>
      <c r="AO1064" s="1066"/>
      <c r="AP1064" s="1066"/>
      <c r="AQ1064" s="1066"/>
      <c r="AR1064" s="1066"/>
      <c r="AS1064" s="1066"/>
      <c r="AT1064" s="1066"/>
      <c r="AV1064" s="1066"/>
      <c r="AW1064" s="1066"/>
      <c r="AX1064" s="1066"/>
      <c r="AY1064" s="1066"/>
    </row>
    <row r="1065" spans="1:51" ht="13" customHeight="1">
      <c r="A1065" s="1126"/>
      <c r="B1065" s="1126"/>
      <c r="C1065" s="7"/>
      <c r="D1065" s="1222"/>
      <c r="E1065" s="1222"/>
      <c r="F1065" s="1222"/>
      <c r="G1065" s="1222"/>
      <c r="H1065" s="1222"/>
      <c r="I1065" s="1222"/>
      <c r="J1065" s="1222"/>
      <c r="K1065" s="1222"/>
      <c r="L1065" s="1222"/>
      <c r="M1065" s="1222"/>
      <c r="N1065" s="1222"/>
      <c r="O1065" s="1222"/>
      <c r="P1065" s="1222"/>
      <c r="Q1065" s="1222"/>
      <c r="R1065" s="1222"/>
      <c r="S1065" s="1222"/>
      <c r="T1065" s="1222"/>
      <c r="U1065" s="1222"/>
      <c r="V1065" s="1222"/>
      <c r="W1065" s="1222"/>
      <c r="X1065" s="1222"/>
      <c r="Y1065" s="1222"/>
      <c r="Z1065" s="1222"/>
      <c r="AA1065" s="1222"/>
      <c r="AB1065" s="1222"/>
      <c r="AC1065" s="1222"/>
      <c r="AD1065" s="1222"/>
      <c r="AE1065" s="1222"/>
      <c r="AF1065" s="1222"/>
      <c r="AG1065" s="1222"/>
      <c r="AH1065" s="1222"/>
      <c r="AI1065" s="1222"/>
      <c r="AJ1065" s="1222"/>
      <c r="AK1065" s="1222"/>
      <c r="AL1065" s="1066"/>
      <c r="AM1065" s="1066"/>
      <c r="AN1065" s="1066"/>
      <c r="AO1065" s="1066"/>
      <c r="AP1065" s="1066"/>
      <c r="AQ1065" s="1066"/>
      <c r="AR1065" s="1066"/>
      <c r="AS1065" s="1066"/>
      <c r="AT1065" s="1066"/>
      <c r="AV1065" s="1066"/>
      <c r="AW1065" s="1066"/>
      <c r="AX1065" s="1066"/>
      <c r="AY1065" s="1066"/>
    </row>
    <row r="1066" spans="1:51" ht="13" customHeight="1">
      <c r="A1066" s="1126"/>
      <c r="B1066" s="1126"/>
      <c r="C1066" s="7"/>
      <c r="D1066" s="1222"/>
      <c r="E1066" s="1222"/>
      <c r="F1066" s="1222"/>
      <c r="G1066" s="1222"/>
      <c r="H1066" s="1222"/>
      <c r="I1066" s="1222"/>
      <c r="J1066" s="1222"/>
      <c r="K1066" s="1222"/>
      <c r="L1066" s="1222"/>
      <c r="M1066" s="1222"/>
      <c r="N1066" s="1222"/>
      <c r="O1066" s="1222"/>
      <c r="P1066" s="1222"/>
      <c r="Q1066" s="1222"/>
      <c r="R1066" s="1222"/>
      <c r="S1066" s="1222"/>
      <c r="T1066" s="1222"/>
      <c r="U1066" s="1222"/>
      <c r="V1066" s="1222"/>
      <c r="W1066" s="1222"/>
      <c r="X1066" s="1222"/>
      <c r="Y1066" s="1222"/>
      <c r="Z1066" s="1222"/>
      <c r="AA1066" s="1222"/>
      <c r="AB1066" s="1222"/>
      <c r="AC1066" s="1222"/>
      <c r="AD1066" s="1222"/>
      <c r="AE1066" s="1222"/>
      <c r="AF1066" s="1222"/>
      <c r="AG1066" s="1222"/>
      <c r="AH1066" s="1222"/>
      <c r="AI1066" s="1222"/>
      <c r="AJ1066" s="1222"/>
      <c r="AK1066" s="1222"/>
      <c r="AL1066" s="1066"/>
      <c r="AM1066" s="1066"/>
      <c r="AN1066" s="1066"/>
      <c r="AO1066" s="1066"/>
      <c r="AP1066" s="1066"/>
      <c r="AQ1066" s="1066"/>
      <c r="AR1066" s="1066"/>
      <c r="AS1066" s="1066"/>
      <c r="AT1066" s="1066"/>
      <c r="AV1066" s="1066"/>
      <c r="AW1066" s="1066"/>
      <c r="AX1066" s="1066"/>
      <c r="AY1066" s="1066"/>
    </row>
    <row r="1067" spans="1:51" ht="13" customHeight="1">
      <c r="A1067" s="1126"/>
      <c r="B1067" s="1126"/>
      <c r="C1067" s="7"/>
      <c r="D1067" s="1222"/>
      <c r="E1067" s="1222"/>
      <c r="F1067" s="1222"/>
      <c r="G1067" s="1222"/>
      <c r="H1067" s="1222"/>
      <c r="I1067" s="1222"/>
      <c r="J1067" s="1222"/>
      <c r="K1067" s="1222"/>
      <c r="L1067" s="1222"/>
      <c r="M1067" s="1222"/>
      <c r="N1067" s="1222"/>
      <c r="O1067" s="1222"/>
      <c r="P1067" s="1222"/>
      <c r="Q1067" s="1222"/>
      <c r="R1067" s="1222"/>
      <c r="S1067" s="1222"/>
      <c r="T1067" s="1222"/>
      <c r="U1067" s="1222"/>
      <c r="V1067" s="1222"/>
      <c r="W1067" s="1222"/>
      <c r="X1067" s="1222"/>
      <c r="Y1067" s="1222"/>
      <c r="Z1067" s="1222"/>
      <c r="AA1067" s="1222"/>
      <c r="AB1067" s="1222"/>
      <c r="AC1067" s="1222"/>
      <c r="AD1067" s="1222"/>
      <c r="AE1067" s="1222"/>
      <c r="AF1067" s="1222"/>
      <c r="AG1067" s="1222"/>
      <c r="AH1067" s="1222"/>
      <c r="AI1067" s="1222"/>
      <c r="AJ1067" s="1222"/>
      <c r="AK1067" s="1222"/>
      <c r="AL1067" s="1066"/>
      <c r="AM1067" s="1066"/>
      <c r="AN1067" s="1066"/>
      <c r="AO1067" s="1066"/>
      <c r="AP1067" s="1066"/>
      <c r="AQ1067" s="1066"/>
      <c r="AR1067" s="1066"/>
      <c r="AS1067" s="1066"/>
      <c r="AT1067" s="1066"/>
      <c r="AV1067" s="1066"/>
      <c r="AW1067" s="1066"/>
      <c r="AX1067" s="1066"/>
      <c r="AY1067" s="1066"/>
    </row>
    <row r="1068" spans="1:51" ht="13" customHeight="1">
      <c r="A1068" s="1126"/>
      <c r="B1068" s="1126"/>
      <c r="C1068" s="7"/>
      <c r="D1068" s="1222"/>
      <c r="E1068" s="1222"/>
      <c r="F1068" s="1222"/>
      <c r="G1068" s="1222"/>
      <c r="H1068" s="1222"/>
      <c r="I1068" s="1222"/>
      <c r="J1068" s="1222"/>
      <c r="K1068" s="1222"/>
      <c r="L1068" s="1222"/>
      <c r="M1068" s="1222"/>
      <c r="N1068" s="1222"/>
      <c r="O1068" s="1222"/>
      <c r="P1068" s="1222"/>
      <c r="Q1068" s="1222"/>
      <c r="R1068" s="1222"/>
      <c r="S1068" s="1222"/>
      <c r="T1068" s="1222"/>
      <c r="U1068" s="1222"/>
      <c r="V1068" s="1222"/>
      <c r="W1068" s="1222"/>
      <c r="X1068" s="1222"/>
      <c r="Y1068" s="1222"/>
      <c r="Z1068" s="1222"/>
      <c r="AA1068" s="1222"/>
      <c r="AB1068" s="1222"/>
      <c r="AC1068" s="1222"/>
      <c r="AD1068" s="1222"/>
      <c r="AE1068" s="1222"/>
      <c r="AF1068" s="1222"/>
      <c r="AG1068" s="1222"/>
      <c r="AH1068" s="1222"/>
      <c r="AI1068" s="1222"/>
      <c r="AJ1068" s="1222"/>
      <c r="AK1068" s="1222"/>
      <c r="AL1068" s="1066"/>
      <c r="AM1068" s="1066"/>
      <c r="AN1068" s="1066"/>
      <c r="AO1068" s="1066"/>
      <c r="AP1068" s="1066"/>
      <c r="AQ1068" s="1066"/>
      <c r="AR1068" s="1066"/>
      <c r="AS1068" s="1066"/>
      <c r="AT1068" s="1066"/>
      <c r="AV1068" s="1066"/>
      <c r="AW1068" s="1066"/>
      <c r="AX1068" s="1066"/>
      <c r="AY1068" s="1066"/>
    </row>
    <row r="1069" spans="1:51" ht="13" customHeight="1">
      <c r="A1069" s="1"/>
      <c r="B1069" s="20"/>
      <c r="C1069" s="7"/>
      <c r="D1069" s="1222"/>
      <c r="E1069" s="1222"/>
      <c r="F1069" s="1222"/>
      <c r="G1069" s="1222"/>
      <c r="H1069" s="1222"/>
      <c r="I1069" s="1222"/>
      <c r="J1069" s="1222"/>
      <c r="K1069" s="1222"/>
      <c r="L1069" s="1222"/>
      <c r="M1069" s="1222"/>
      <c r="N1069" s="1222"/>
      <c r="O1069" s="1222"/>
      <c r="P1069" s="1222"/>
      <c r="Q1069" s="1222"/>
      <c r="R1069" s="1222"/>
      <c r="S1069" s="1222"/>
      <c r="T1069" s="1222"/>
      <c r="U1069" s="1222"/>
      <c r="V1069" s="1222"/>
      <c r="W1069" s="1222"/>
      <c r="X1069" s="1222"/>
      <c r="Y1069" s="1222"/>
      <c r="Z1069" s="1222"/>
      <c r="AA1069" s="1222"/>
      <c r="AB1069" s="1222"/>
      <c r="AC1069" s="1222"/>
      <c r="AD1069" s="1222"/>
      <c r="AE1069" s="1222"/>
      <c r="AF1069" s="1222"/>
      <c r="AG1069" s="1222"/>
      <c r="AH1069" s="1222"/>
      <c r="AI1069" s="1222"/>
      <c r="AJ1069" s="1222"/>
      <c r="AK1069" s="1222"/>
      <c r="AL1069" s="1066"/>
      <c r="AM1069" s="1066"/>
      <c r="AN1069" s="1066"/>
      <c r="AO1069" s="1066"/>
      <c r="AP1069" s="1066"/>
      <c r="AQ1069" s="1066"/>
      <c r="AR1069" s="1066"/>
      <c r="AS1069" s="1066"/>
      <c r="AT1069" s="1066"/>
      <c r="AV1069" s="1066"/>
      <c r="AW1069" s="1066"/>
      <c r="AX1069" s="1066"/>
      <c r="AY1069" s="1066"/>
    </row>
    <row r="1070" spans="1:51" ht="13" customHeight="1">
      <c r="A1070" s="1381" t="s">
        <v>299</v>
      </c>
      <c r="B1070" s="1381"/>
      <c r="C1070" s="7">
        <v>2</v>
      </c>
      <c r="D1070" s="1222" t="s">
        <v>1781</v>
      </c>
      <c r="E1070" s="1222"/>
      <c r="F1070" s="1222"/>
      <c r="G1070" s="1222"/>
      <c r="H1070" s="1222"/>
      <c r="I1070" s="1222"/>
      <c r="J1070" s="1222"/>
      <c r="K1070" s="1222"/>
      <c r="L1070" s="1222"/>
      <c r="M1070" s="1222"/>
      <c r="N1070" s="1222"/>
      <c r="O1070" s="1222"/>
      <c r="P1070" s="1222"/>
      <c r="Q1070" s="1222"/>
      <c r="R1070" s="1222"/>
      <c r="S1070" s="1222"/>
      <c r="T1070" s="1222"/>
      <c r="U1070" s="1222"/>
      <c r="V1070" s="1222"/>
      <c r="W1070" s="1222"/>
      <c r="X1070" s="1222"/>
      <c r="Y1070" s="1222"/>
      <c r="Z1070" s="1222"/>
      <c r="AA1070" s="1222"/>
      <c r="AB1070" s="1222"/>
      <c r="AC1070" s="1222"/>
      <c r="AD1070" s="1222"/>
      <c r="AE1070" s="1222"/>
      <c r="AF1070" s="1222"/>
      <c r="AG1070" s="1222"/>
      <c r="AH1070" s="1222"/>
      <c r="AI1070" s="1222"/>
      <c r="AJ1070" s="1222"/>
      <c r="AK1070" s="1222"/>
      <c r="AL1070" s="1066"/>
      <c r="AM1070" s="1066"/>
      <c r="AN1070" s="1066"/>
      <c r="AO1070" s="1066"/>
      <c r="AP1070" s="1066"/>
      <c r="AQ1070" s="1066"/>
      <c r="AR1070" s="1066"/>
      <c r="AS1070" s="1066"/>
      <c r="AT1070" s="1066"/>
    </row>
    <row r="1071" spans="1:51" ht="13" customHeight="1">
      <c r="A1071" s="1126"/>
      <c r="B1071" s="1126"/>
      <c r="C1071" s="7"/>
      <c r="D1071" s="1222"/>
      <c r="E1071" s="1222"/>
      <c r="F1071" s="1222"/>
      <c r="G1071" s="1222"/>
      <c r="H1071" s="1222"/>
      <c r="I1071" s="1222"/>
      <c r="J1071" s="1222"/>
      <c r="K1071" s="1222"/>
      <c r="L1071" s="1222"/>
      <c r="M1071" s="1222"/>
      <c r="N1071" s="1222"/>
      <c r="O1071" s="1222"/>
      <c r="P1071" s="1222"/>
      <c r="Q1071" s="1222"/>
      <c r="R1071" s="1222"/>
      <c r="S1071" s="1222"/>
      <c r="T1071" s="1222"/>
      <c r="U1071" s="1222"/>
      <c r="V1071" s="1222"/>
      <c r="W1071" s="1222"/>
      <c r="X1071" s="1222"/>
      <c r="Y1071" s="1222"/>
      <c r="Z1071" s="1222"/>
      <c r="AA1071" s="1222"/>
      <c r="AB1071" s="1222"/>
      <c r="AC1071" s="1222"/>
      <c r="AD1071" s="1222"/>
      <c r="AE1071" s="1222"/>
      <c r="AF1071" s="1222"/>
      <c r="AG1071" s="1222"/>
      <c r="AH1071" s="1222"/>
      <c r="AI1071" s="1222"/>
      <c r="AJ1071" s="1222"/>
      <c r="AK1071" s="1222"/>
      <c r="AL1071" s="1066"/>
      <c r="AM1071" s="1066"/>
      <c r="AN1071" s="1066"/>
      <c r="AO1071" s="1066"/>
      <c r="AP1071" s="1066"/>
      <c r="AQ1071" s="1066"/>
      <c r="AR1071" s="1066"/>
      <c r="AS1071" s="1066"/>
      <c r="AT1071" s="1066"/>
    </row>
    <row r="1072" spans="1:51" ht="13" customHeight="1">
      <c r="A1072" s="1126"/>
      <c r="B1072" s="1126"/>
      <c r="C1072" s="7"/>
      <c r="D1072" s="1222"/>
      <c r="E1072" s="1222"/>
      <c r="F1072" s="1222"/>
      <c r="G1072" s="1222"/>
      <c r="H1072" s="1222"/>
      <c r="I1072" s="1222"/>
      <c r="J1072" s="1222"/>
      <c r="K1072" s="1222"/>
      <c r="L1072" s="1222"/>
      <c r="M1072" s="1222"/>
      <c r="N1072" s="1222"/>
      <c r="O1072" s="1222"/>
      <c r="P1072" s="1222"/>
      <c r="Q1072" s="1222"/>
      <c r="R1072" s="1222"/>
      <c r="S1072" s="1222"/>
      <c r="T1072" s="1222"/>
      <c r="U1072" s="1222"/>
      <c r="V1072" s="1222"/>
      <c r="W1072" s="1222"/>
      <c r="X1072" s="1222"/>
      <c r="Y1072" s="1222"/>
      <c r="Z1072" s="1222"/>
      <c r="AA1072" s="1222"/>
      <c r="AB1072" s="1222"/>
      <c r="AC1072" s="1222"/>
      <c r="AD1072" s="1222"/>
      <c r="AE1072" s="1222"/>
      <c r="AF1072" s="1222"/>
      <c r="AG1072" s="1222"/>
      <c r="AH1072" s="1222"/>
      <c r="AI1072" s="1222"/>
      <c r="AJ1072" s="1222"/>
      <c r="AK1072" s="1222"/>
      <c r="AL1072" s="1066"/>
      <c r="AM1072" s="1066"/>
      <c r="AN1072" s="1066"/>
      <c r="AO1072" s="1066"/>
      <c r="AP1072" s="1066"/>
      <c r="AQ1072" s="1066"/>
      <c r="AR1072" s="1066"/>
      <c r="AS1072" s="1066"/>
      <c r="AT1072" s="1066"/>
    </row>
    <row r="1073" spans="1:46" ht="13" customHeight="1">
      <c r="A1073" s="1126"/>
      <c r="B1073" s="1126"/>
      <c r="C1073" s="7"/>
      <c r="D1073" s="1222"/>
      <c r="E1073" s="1222"/>
      <c r="F1073" s="1222"/>
      <c r="G1073" s="1222"/>
      <c r="H1073" s="1222"/>
      <c r="I1073" s="1222"/>
      <c r="J1073" s="1222"/>
      <c r="K1073" s="1222"/>
      <c r="L1073" s="1222"/>
      <c r="M1073" s="1222"/>
      <c r="N1073" s="1222"/>
      <c r="O1073" s="1222"/>
      <c r="P1073" s="1222"/>
      <c r="Q1073" s="1222"/>
      <c r="R1073" s="1222"/>
      <c r="S1073" s="1222"/>
      <c r="T1073" s="1222"/>
      <c r="U1073" s="1222"/>
      <c r="V1073" s="1222"/>
      <c r="W1073" s="1222"/>
      <c r="X1073" s="1222"/>
      <c r="Y1073" s="1222"/>
      <c r="Z1073" s="1222"/>
      <c r="AA1073" s="1222"/>
      <c r="AB1073" s="1222"/>
      <c r="AC1073" s="1222"/>
      <c r="AD1073" s="1222"/>
      <c r="AE1073" s="1222"/>
      <c r="AF1073" s="1222"/>
      <c r="AG1073" s="1222"/>
      <c r="AH1073" s="1222"/>
      <c r="AI1073" s="1222"/>
      <c r="AJ1073" s="1222"/>
      <c r="AK1073" s="1222"/>
      <c r="AL1073" s="1066"/>
      <c r="AM1073" s="1066"/>
      <c r="AN1073" s="1066"/>
      <c r="AO1073" s="1066"/>
      <c r="AP1073" s="1066"/>
      <c r="AQ1073" s="1066"/>
      <c r="AR1073" s="1066"/>
      <c r="AS1073" s="1066"/>
      <c r="AT1073" s="1066"/>
    </row>
    <row r="1074" spans="1:46" ht="13" hidden="1" customHeight="1">
      <c r="A1074" s="1126"/>
      <c r="B1074" s="1126"/>
      <c r="C1074" s="7"/>
      <c r="D1074" s="1222"/>
      <c r="E1074" s="1222"/>
      <c r="F1074" s="1222"/>
      <c r="G1074" s="1222"/>
      <c r="H1074" s="1222"/>
      <c r="I1074" s="1222"/>
      <c r="J1074" s="1222"/>
      <c r="K1074" s="1222"/>
      <c r="L1074" s="1222"/>
      <c r="M1074" s="1222"/>
      <c r="N1074" s="1222"/>
      <c r="O1074" s="1222"/>
      <c r="P1074" s="1222"/>
      <c r="Q1074" s="1222"/>
      <c r="R1074" s="1222"/>
      <c r="S1074" s="1222"/>
      <c r="T1074" s="1222"/>
      <c r="U1074" s="1222"/>
      <c r="V1074" s="1222"/>
      <c r="W1074" s="1222"/>
      <c r="X1074" s="1222"/>
      <c r="Y1074" s="1222"/>
      <c r="Z1074" s="1222"/>
      <c r="AA1074" s="1222"/>
      <c r="AB1074" s="1222"/>
      <c r="AC1074" s="1222"/>
      <c r="AD1074" s="1222"/>
      <c r="AE1074" s="1222"/>
      <c r="AF1074" s="1222"/>
      <c r="AG1074" s="1222"/>
      <c r="AH1074" s="1222"/>
      <c r="AI1074" s="1222"/>
      <c r="AJ1074" s="1222"/>
      <c r="AK1074" s="1222"/>
      <c r="AL1074" s="1066"/>
      <c r="AM1074" s="1066"/>
      <c r="AN1074" s="1066"/>
      <c r="AO1074" s="1066"/>
      <c r="AP1074" s="1066"/>
      <c r="AQ1074" s="1066"/>
      <c r="AR1074" s="1066"/>
      <c r="AS1074" s="1066"/>
      <c r="AT1074" s="1066"/>
    </row>
    <row r="1075" spans="1:46" ht="13" customHeight="1">
      <c r="A1075" s="1126"/>
      <c r="B1075" s="1126"/>
      <c r="C1075" s="7"/>
      <c r="D1075" s="1222"/>
      <c r="E1075" s="1222"/>
      <c r="F1075" s="1222"/>
      <c r="G1075" s="1222"/>
      <c r="H1075" s="1222"/>
      <c r="I1075" s="1222"/>
      <c r="J1075" s="1222"/>
      <c r="K1075" s="1222"/>
      <c r="L1075" s="1222"/>
      <c r="M1075" s="1222"/>
      <c r="N1075" s="1222"/>
      <c r="O1075" s="1222"/>
      <c r="P1075" s="1222"/>
      <c r="Q1075" s="1222"/>
      <c r="R1075" s="1222"/>
      <c r="S1075" s="1222"/>
      <c r="T1075" s="1222"/>
      <c r="U1075" s="1222"/>
      <c r="V1075" s="1222"/>
      <c r="W1075" s="1222"/>
      <c r="X1075" s="1222"/>
      <c r="Y1075" s="1222"/>
      <c r="Z1075" s="1222"/>
      <c r="AA1075" s="1222"/>
      <c r="AB1075" s="1222"/>
      <c r="AC1075" s="1222"/>
      <c r="AD1075" s="1222"/>
      <c r="AE1075" s="1222"/>
      <c r="AF1075" s="1222"/>
      <c r="AG1075" s="1222"/>
      <c r="AH1075" s="1222"/>
      <c r="AI1075" s="1222"/>
      <c r="AJ1075" s="1222"/>
      <c r="AK1075" s="1222"/>
    </row>
    <row r="1076" spans="1:46" ht="13" customHeight="1">
      <c r="A1076" s="1381" t="s">
        <v>299</v>
      </c>
      <c r="B1076" s="1381"/>
      <c r="C1076" s="7">
        <v>3</v>
      </c>
      <c r="D1076" s="1222" t="s">
        <v>1782</v>
      </c>
      <c r="E1076" s="1222"/>
      <c r="F1076" s="1222"/>
      <c r="G1076" s="1222"/>
      <c r="H1076" s="1222"/>
      <c r="I1076" s="1222"/>
      <c r="J1076" s="1222"/>
      <c r="K1076" s="1222"/>
      <c r="L1076" s="1222"/>
      <c r="M1076" s="1222"/>
      <c r="N1076" s="1222"/>
      <c r="O1076" s="1222"/>
      <c r="P1076" s="1222"/>
      <c r="Q1076" s="1222"/>
      <c r="R1076" s="1222"/>
      <c r="S1076" s="1222"/>
      <c r="T1076" s="1222"/>
      <c r="U1076" s="1222"/>
      <c r="V1076" s="1222"/>
      <c r="W1076" s="1222"/>
      <c r="X1076" s="1222"/>
      <c r="Y1076" s="1222"/>
      <c r="Z1076" s="1222"/>
      <c r="AA1076" s="1222"/>
      <c r="AB1076" s="1222"/>
      <c r="AC1076" s="1222"/>
      <c r="AD1076" s="1222"/>
      <c r="AE1076" s="1222"/>
      <c r="AF1076" s="1222"/>
      <c r="AG1076" s="1222"/>
      <c r="AH1076" s="1222"/>
      <c r="AI1076" s="1222"/>
      <c r="AJ1076" s="1222"/>
      <c r="AK1076" s="1222"/>
    </row>
    <row r="1077" spans="1:46" ht="13" customHeight="1">
      <c r="A1077" s="2"/>
      <c r="B1077" s="2"/>
      <c r="C1077" s="7"/>
      <c r="D1077" s="1222"/>
      <c r="E1077" s="1222"/>
      <c r="F1077" s="1222"/>
      <c r="G1077" s="1222"/>
      <c r="H1077" s="1222"/>
      <c r="I1077" s="1222"/>
      <c r="J1077" s="1222"/>
      <c r="K1077" s="1222"/>
      <c r="L1077" s="1222"/>
      <c r="M1077" s="1222"/>
      <c r="N1077" s="1222"/>
      <c r="O1077" s="1222"/>
      <c r="P1077" s="1222"/>
      <c r="Q1077" s="1222"/>
      <c r="R1077" s="1222"/>
      <c r="S1077" s="1222"/>
      <c r="T1077" s="1222"/>
      <c r="U1077" s="1222"/>
      <c r="V1077" s="1222"/>
      <c r="W1077" s="1222"/>
      <c r="X1077" s="1222"/>
      <c r="Y1077" s="1222"/>
      <c r="Z1077" s="1222"/>
      <c r="AA1077" s="1222"/>
      <c r="AB1077" s="1222"/>
      <c r="AC1077" s="1222"/>
      <c r="AD1077" s="1222"/>
      <c r="AE1077" s="1222"/>
      <c r="AF1077" s="1222"/>
      <c r="AG1077" s="1222"/>
      <c r="AH1077" s="1222"/>
      <c r="AI1077" s="1222"/>
      <c r="AJ1077" s="1222"/>
      <c r="AK1077" s="1222"/>
    </row>
    <row r="1078" spans="1:46" ht="13" customHeight="1">
      <c r="A1078" s="2"/>
      <c r="B1078" s="2"/>
      <c r="C1078" s="7"/>
      <c r="D1078" s="1222"/>
      <c r="E1078" s="1222"/>
      <c r="F1078" s="1222"/>
      <c r="G1078" s="1222"/>
      <c r="H1078" s="1222"/>
      <c r="I1078" s="1222"/>
      <c r="J1078" s="1222"/>
      <c r="K1078" s="1222"/>
      <c r="L1078" s="1222"/>
      <c r="M1078" s="1222"/>
      <c r="N1078" s="1222"/>
      <c r="O1078" s="1222"/>
      <c r="P1078" s="1222"/>
      <c r="Q1078" s="1222"/>
      <c r="R1078" s="1222"/>
      <c r="S1078" s="1222"/>
      <c r="T1078" s="1222"/>
      <c r="U1078" s="1222"/>
      <c r="V1078" s="1222"/>
      <c r="W1078" s="1222"/>
      <c r="X1078" s="1222"/>
      <c r="Y1078" s="1222"/>
      <c r="Z1078" s="1222"/>
      <c r="AA1078" s="1222"/>
      <c r="AB1078" s="1222"/>
      <c r="AC1078" s="1222"/>
      <c r="AD1078" s="1222"/>
      <c r="AE1078" s="1222"/>
      <c r="AF1078" s="1222"/>
      <c r="AG1078" s="1222"/>
      <c r="AH1078" s="1222"/>
      <c r="AI1078" s="1222"/>
      <c r="AJ1078" s="1222"/>
      <c r="AK1078" s="1222"/>
    </row>
    <row r="1079" spans="1:46" ht="13" customHeight="1">
      <c r="A1079" s="68"/>
      <c r="B1079" s="20"/>
      <c r="C1079" s="7"/>
      <c r="D1079" s="1222"/>
      <c r="E1079" s="1222"/>
      <c r="F1079" s="1222"/>
      <c r="G1079" s="1222"/>
      <c r="H1079" s="1222"/>
      <c r="I1079" s="1222"/>
      <c r="J1079" s="1222"/>
      <c r="K1079" s="1222"/>
      <c r="L1079" s="1222"/>
      <c r="M1079" s="1222"/>
      <c r="N1079" s="1222"/>
      <c r="O1079" s="1222"/>
      <c r="P1079" s="1222"/>
      <c r="Q1079" s="1222"/>
      <c r="R1079" s="1222"/>
      <c r="S1079" s="1222"/>
      <c r="T1079" s="1222"/>
      <c r="U1079" s="1222"/>
      <c r="V1079" s="1222"/>
      <c r="W1079" s="1222"/>
      <c r="X1079" s="1222"/>
      <c r="Y1079" s="1222"/>
      <c r="Z1079" s="1222"/>
      <c r="AA1079" s="1222"/>
      <c r="AB1079" s="1222"/>
      <c r="AC1079" s="1222"/>
      <c r="AD1079" s="1222"/>
      <c r="AE1079" s="1222"/>
      <c r="AF1079" s="1222"/>
      <c r="AG1079" s="1222"/>
      <c r="AH1079" s="1222"/>
      <c r="AI1079" s="1222"/>
      <c r="AJ1079" s="1222"/>
      <c r="AK1079" s="1222"/>
    </row>
    <row r="1080" spans="1:46" ht="13" customHeight="1">
      <c r="A1080" s="68"/>
      <c r="B1080" s="20"/>
      <c r="C1080" s="7"/>
      <c r="D1080" s="1222"/>
      <c r="E1080" s="1222"/>
      <c r="F1080" s="1222"/>
      <c r="G1080" s="1222"/>
      <c r="H1080" s="1222"/>
      <c r="I1080" s="1222"/>
      <c r="J1080" s="1222"/>
      <c r="K1080" s="1222"/>
      <c r="L1080" s="1222"/>
      <c r="M1080" s="1222"/>
      <c r="N1080" s="1222"/>
      <c r="O1080" s="1222"/>
      <c r="P1080" s="1222"/>
      <c r="Q1080" s="1222"/>
      <c r="R1080" s="1222"/>
      <c r="S1080" s="1222"/>
      <c r="T1080" s="1222"/>
      <c r="U1080" s="1222"/>
      <c r="V1080" s="1222"/>
      <c r="W1080" s="1222"/>
      <c r="X1080" s="1222"/>
      <c r="Y1080" s="1222"/>
      <c r="Z1080" s="1222"/>
      <c r="AA1080" s="1222"/>
      <c r="AB1080" s="1222"/>
      <c r="AC1080" s="1222"/>
      <c r="AD1080" s="1222"/>
      <c r="AE1080" s="1222"/>
      <c r="AF1080" s="1222"/>
      <c r="AG1080" s="1222"/>
      <c r="AH1080" s="1222"/>
      <c r="AI1080" s="1222"/>
      <c r="AJ1080" s="1222"/>
      <c r="AK1080" s="1222"/>
    </row>
    <row r="1081" spans="1:46" ht="13" customHeight="1">
      <c r="A1081" s="68"/>
      <c r="B1081" s="20"/>
      <c r="C1081" s="7"/>
      <c r="D1081" s="1222"/>
      <c r="E1081" s="1222"/>
      <c r="F1081" s="1222"/>
      <c r="G1081" s="1222"/>
      <c r="H1081" s="1222"/>
      <c r="I1081" s="1222"/>
      <c r="J1081" s="1222"/>
      <c r="K1081" s="1222"/>
      <c r="L1081" s="1222"/>
      <c r="M1081" s="1222"/>
      <c r="N1081" s="1222"/>
      <c r="O1081" s="1222"/>
      <c r="P1081" s="1222"/>
      <c r="Q1081" s="1222"/>
      <c r="R1081" s="1222"/>
      <c r="S1081" s="1222"/>
      <c r="T1081" s="1222"/>
      <c r="U1081" s="1222"/>
      <c r="V1081" s="1222"/>
      <c r="W1081" s="1222"/>
      <c r="X1081" s="1222"/>
      <c r="Y1081" s="1222"/>
      <c r="Z1081" s="1222"/>
      <c r="AA1081" s="1222"/>
      <c r="AB1081" s="1222"/>
      <c r="AC1081" s="1222"/>
      <c r="AD1081" s="1222"/>
      <c r="AE1081" s="1222"/>
      <c r="AF1081" s="1222"/>
      <c r="AG1081" s="1222"/>
      <c r="AH1081" s="1222"/>
      <c r="AI1081" s="1222"/>
      <c r="AJ1081" s="1222"/>
      <c r="AK1081" s="1222"/>
    </row>
    <row r="1082" spans="1:46" ht="13" customHeight="1">
      <c r="A1082" s="68"/>
      <c r="B1082" s="20"/>
      <c r="C1082" s="7"/>
      <c r="D1082" s="1222"/>
      <c r="E1082" s="1222"/>
      <c r="F1082" s="1222"/>
      <c r="G1082" s="1222"/>
      <c r="H1082" s="1222"/>
      <c r="I1082" s="1222"/>
      <c r="J1082" s="1222"/>
      <c r="K1082" s="1222"/>
      <c r="L1082" s="1222"/>
      <c r="M1082" s="1222"/>
      <c r="N1082" s="1222"/>
      <c r="O1082" s="1222"/>
      <c r="P1082" s="1222"/>
      <c r="Q1082" s="1222"/>
      <c r="R1082" s="1222"/>
      <c r="S1082" s="1222"/>
      <c r="T1082" s="1222"/>
      <c r="U1082" s="1222"/>
      <c r="V1082" s="1222"/>
      <c r="W1082" s="1222"/>
      <c r="X1082" s="1222"/>
      <c r="Y1082" s="1222"/>
      <c r="Z1082" s="1222"/>
      <c r="AA1082" s="1222"/>
      <c r="AB1082" s="1222"/>
      <c r="AC1082" s="1222"/>
      <c r="AD1082" s="1222"/>
      <c r="AE1082" s="1222"/>
      <c r="AF1082" s="1222"/>
      <c r="AG1082" s="1222"/>
      <c r="AH1082" s="1222"/>
      <c r="AI1082" s="1222"/>
      <c r="AJ1082" s="1222"/>
      <c r="AK1082" s="1222"/>
    </row>
    <row r="1083" spans="1:46" ht="13" customHeight="1">
      <c r="A1083" s="1381" t="s">
        <v>299</v>
      </c>
      <c r="B1083" s="1381"/>
      <c r="C1083" s="7">
        <v>4</v>
      </c>
      <c r="D1083" s="1222" t="s">
        <v>1783</v>
      </c>
      <c r="E1083" s="1222"/>
      <c r="F1083" s="1222"/>
      <c r="G1083" s="1222"/>
      <c r="H1083" s="1222"/>
      <c r="I1083" s="1222"/>
      <c r="J1083" s="1222"/>
      <c r="K1083" s="1222"/>
      <c r="L1083" s="1222"/>
      <c r="M1083" s="1222"/>
      <c r="N1083" s="1222"/>
      <c r="O1083" s="1222"/>
      <c r="P1083" s="1222"/>
      <c r="Q1083" s="1222"/>
      <c r="R1083" s="1222"/>
      <c r="S1083" s="1222"/>
      <c r="T1083" s="1222"/>
      <c r="U1083" s="1222"/>
      <c r="V1083" s="1222"/>
      <c r="W1083" s="1222"/>
      <c r="X1083" s="1222"/>
      <c r="Y1083" s="1222"/>
      <c r="Z1083" s="1222"/>
      <c r="AA1083" s="1222"/>
      <c r="AB1083" s="1222"/>
      <c r="AC1083" s="1222"/>
      <c r="AD1083" s="1222"/>
      <c r="AE1083" s="1222"/>
      <c r="AF1083" s="1222"/>
      <c r="AG1083" s="1222"/>
      <c r="AH1083" s="1222"/>
      <c r="AI1083" s="1222"/>
      <c r="AJ1083" s="1222"/>
      <c r="AK1083" s="1222"/>
    </row>
    <row r="1084" spans="1:46" ht="13" customHeight="1">
      <c r="A1084" s="1126"/>
      <c r="B1084" s="1126"/>
      <c r="C1084" s="7"/>
      <c r="D1084" s="1222"/>
      <c r="E1084" s="1222"/>
      <c r="F1084" s="1222"/>
      <c r="G1084" s="1222"/>
      <c r="H1084" s="1222"/>
      <c r="I1084" s="1222"/>
      <c r="J1084" s="1222"/>
      <c r="K1084" s="1222"/>
      <c r="L1084" s="1222"/>
      <c r="M1084" s="1222"/>
      <c r="N1084" s="1222"/>
      <c r="O1084" s="1222"/>
      <c r="P1084" s="1222"/>
      <c r="Q1084" s="1222"/>
      <c r="R1084" s="1222"/>
      <c r="S1084" s="1222"/>
      <c r="T1084" s="1222"/>
      <c r="U1084" s="1222"/>
      <c r="V1084" s="1222"/>
      <c r="W1084" s="1222"/>
      <c r="X1084" s="1222"/>
      <c r="Y1084" s="1222"/>
      <c r="Z1084" s="1222"/>
      <c r="AA1084" s="1222"/>
      <c r="AB1084" s="1222"/>
      <c r="AC1084" s="1222"/>
      <c r="AD1084" s="1222"/>
      <c r="AE1084" s="1222"/>
      <c r="AF1084" s="1222"/>
      <c r="AG1084" s="1222"/>
      <c r="AH1084" s="1222"/>
      <c r="AI1084" s="1222"/>
      <c r="AJ1084" s="1222"/>
      <c r="AK1084" s="1222"/>
    </row>
    <row r="1085" spans="1:46" ht="13" customHeight="1">
      <c r="A1085" s="68"/>
      <c r="B1085" s="20"/>
      <c r="C1085" s="7"/>
      <c r="D1085" s="1222"/>
      <c r="E1085" s="1222"/>
      <c r="F1085" s="1222"/>
      <c r="G1085" s="1222"/>
      <c r="H1085" s="1222"/>
      <c r="I1085" s="1222"/>
      <c r="J1085" s="1222"/>
      <c r="K1085" s="1222"/>
      <c r="L1085" s="1222"/>
      <c r="M1085" s="1222"/>
      <c r="N1085" s="1222"/>
      <c r="O1085" s="1222"/>
      <c r="P1085" s="1222"/>
      <c r="Q1085" s="1222"/>
      <c r="R1085" s="1222"/>
      <c r="S1085" s="1222"/>
      <c r="T1085" s="1222"/>
      <c r="U1085" s="1222"/>
      <c r="V1085" s="1222"/>
      <c r="W1085" s="1222"/>
      <c r="X1085" s="1222"/>
      <c r="Y1085" s="1222"/>
      <c r="Z1085" s="1222"/>
      <c r="AA1085" s="1222"/>
      <c r="AB1085" s="1222"/>
      <c r="AC1085" s="1222"/>
      <c r="AD1085" s="1222"/>
      <c r="AE1085" s="1222"/>
      <c r="AF1085" s="1222"/>
      <c r="AG1085" s="1222"/>
      <c r="AH1085" s="1222"/>
      <c r="AI1085" s="1222"/>
      <c r="AJ1085" s="1222"/>
      <c r="AK1085" s="1222"/>
    </row>
    <row r="1086" spans="1:46" ht="13" customHeight="1">
      <c r="A1086" s="1381" t="s">
        <v>299</v>
      </c>
      <c r="B1086" s="1381"/>
      <c r="C1086" s="7">
        <v>5</v>
      </c>
      <c r="D1086" s="1222" t="s">
        <v>1784</v>
      </c>
      <c r="E1086" s="1222"/>
      <c r="F1086" s="1222"/>
      <c r="G1086" s="1222"/>
      <c r="H1086" s="1222"/>
      <c r="I1086" s="1222"/>
      <c r="J1086" s="1222"/>
      <c r="K1086" s="1222"/>
      <c r="L1086" s="1222"/>
      <c r="M1086" s="1222"/>
      <c r="N1086" s="1222"/>
      <c r="O1086" s="1222"/>
      <c r="P1086" s="1222"/>
      <c r="Q1086" s="1222"/>
      <c r="R1086" s="1222"/>
      <c r="S1086" s="1222"/>
      <c r="T1086" s="1222"/>
      <c r="U1086" s="1222"/>
      <c r="V1086" s="1222"/>
      <c r="W1086" s="1222"/>
      <c r="X1086" s="1222"/>
      <c r="Y1086" s="1222"/>
      <c r="Z1086" s="1222"/>
      <c r="AA1086" s="1222"/>
      <c r="AB1086" s="1222"/>
      <c r="AC1086" s="1222"/>
      <c r="AD1086" s="1222"/>
      <c r="AE1086" s="1222"/>
      <c r="AF1086" s="1222"/>
      <c r="AG1086" s="1222"/>
      <c r="AH1086" s="1222"/>
      <c r="AI1086" s="1222"/>
      <c r="AJ1086" s="1222"/>
      <c r="AK1086" s="1222"/>
    </row>
    <row r="1087" spans="1:46" ht="13" customHeight="1">
      <c r="A1087" s="1126"/>
      <c r="B1087" s="1126"/>
      <c r="C1087" s="7"/>
      <c r="D1087" s="1222"/>
      <c r="E1087" s="1222"/>
      <c r="F1087" s="1222"/>
      <c r="G1087" s="1222"/>
      <c r="H1087" s="1222"/>
      <c r="I1087" s="1222"/>
      <c r="J1087" s="1222"/>
      <c r="K1087" s="1222"/>
      <c r="L1087" s="1222"/>
      <c r="M1087" s="1222"/>
      <c r="N1087" s="1222"/>
      <c r="O1087" s="1222"/>
      <c r="P1087" s="1222"/>
      <c r="Q1087" s="1222"/>
      <c r="R1087" s="1222"/>
      <c r="S1087" s="1222"/>
      <c r="T1087" s="1222"/>
      <c r="U1087" s="1222"/>
      <c r="V1087" s="1222"/>
      <c r="W1087" s="1222"/>
      <c r="X1087" s="1222"/>
      <c r="Y1087" s="1222"/>
      <c r="Z1087" s="1222"/>
      <c r="AA1087" s="1222"/>
      <c r="AB1087" s="1222"/>
      <c r="AC1087" s="1222"/>
      <c r="AD1087" s="1222"/>
      <c r="AE1087" s="1222"/>
      <c r="AF1087" s="1222"/>
      <c r="AG1087" s="1222"/>
      <c r="AH1087" s="1222"/>
      <c r="AI1087" s="1222"/>
      <c r="AJ1087" s="1222"/>
      <c r="AK1087" s="1222"/>
    </row>
    <row r="1088" spans="1:46" ht="13" customHeight="1">
      <c r="A1088" s="1126"/>
      <c r="B1088" s="1126"/>
      <c r="C1088" s="7"/>
      <c r="D1088" s="1222"/>
      <c r="E1088" s="1222"/>
      <c r="F1088" s="1222"/>
      <c r="G1088" s="1222"/>
      <c r="H1088" s="1222"/>
      <c r="I1088" s="1222"/>
      <c r="J1088" s="1222"/>
      <c r="K1088" s="1222"/>
      <c r="L1088" s="1222"/>
      <c r="M1088" s="1222"/>
      <c r="N1088" s="1222"/>
      <c r="O1088" s="1222"/>
      <c r="P1088" s="1222"/>
      <c r="Q1088" s="1222"/>
      <c r="R1088" s="1222"/>
      <c r="S1088" s="1222"/>
      <c r="T1088" s="1222"/>
      <c r="U1088" s="1222"/>
      <c r="V1088" s="1222"/>
      <c r="W1088" s="1222"/>
      <c r="X1088" s="1222"/>
      <c r="Y1088" s="1222"/>
      <c r="Z1088" s="1222"/>
      <c r="AA1088" s="1222"/>
      <c r="AB1088" s="1222"/>
      <c r="AC1088" s="1222"/>
      <c r="AD1088" s="1222"/>
      <c r="AE1088" s="1222"/>
      <c r="AF1088" s="1222"/>
      <c r="AG1088" s="1222"/>
      <c r="AH1088" s="1222"/>
      <c r="AI1088" s="1222"/>
      <c r="AJ1088" s="1222"/>
      <c r="AK1088" s="1222"/>
    </row>
    <row r="1089" spans="1:37" ht="13" hidden="1" customHeight="1">
      <c r="A1089" s="1126"/>
      <c r="B1089" s="1126"/>
      <c r="C1089" s="7"/>
      <c r="D1089" s="1222"/>
      <c r="E1089" s="1222"/>
      <c r="F1089" s="1222"/>
      <c r="G1089" s="1222"/>
      <c r="H1089" s="1222"/>
      <c r="I1089" s="1222"/>
      <c r="J1089" s="1222"/>
      <c r="K1089" s="1222"/>
      <c r="L1089" s="1222"/>
      <c r="M1089" s="1222"/>
      <c r="N1089" s="1222"/>
      <c r="O1089" s="1222"/>
      <c r="P1089" s="1222"/>
      <c r="Q1089" s="1222"/>
      <c r="R1089" s="1222"/>
      <c r="S1089" s="1222"/>
      <c r="T1089" s="1222"/>
      <c r="U1089" s="1222"/>
      <c r="V1089" s="1222"/>
      <c r="W1089" s="1222"/>
      <c r="X1089" s="1222"/>
      <c r="Y1089" s="1222"/>
      <c r="Z1089" s="1222"/>
      <c r="AA1089" s="1222"/>
      <c r="AB1089" s="1222"/>
      <c r="AC1089" s="1222"/>
      <c r="AD1089" s="1222"/>
      <c r="AE1089" s="1222"/>
      <c r="AF1089" s="1222"/>
      <c r="AG1089" s="1222"/>
      <c r="AH1089" s="1222"/>
      <c r="AI1089" s="1222"/>
      <c r="AJ1089" s="1222"/>
      <c r="AK1089" s="1222"/>
    </row>
    <row r="1090" spans="1:37" ht="13" customHeight="1">
      <c r="A1090" s="68"/>
      <c r="B1090" s="20"/>
      <c r="C1090" s="7"/>
      <c r="D1090" s="1222"/>
      <c r="E1090" s="1222"/>
      <c r="F1090" s="1222"/>
      <c r="G1090" s="1222"/>
      <c r="H1090" s="1222"/>
      <c r="I1090" s="1222"/>
      <c r="J1090" s="1222"/>
      <c r="K1090" s="1222"/>
      <c r="L1090" s="1222"/>
      <c r="M1090" s="1222"/>
      <c r="N1090" s="1222"/>
      <c r="O1090" s="1222"/>
      <c r="P1090" s="1222"/>
      <c r="Q1090" s="1222"/>
      <c r="R1090" s="1222"/>
      <c r="S1090" s="1222"/>
      <c r="T1090" s="1222"/>
      <c r="U1090" s="1222"/>
      <c r="V1090" s="1222"/>
      <c r="W1090" s="1222"/>
      <c r="X1090" s="1222"/>
      <c r="Y1090" s="1222"/>
      <c r="Z1090" s="1222"/>
      <c r="AA1090" s="1222"/>
      <c r="AB1090" s="1222"/>
      <c r="AC1090" s="1222"/>
      <c r="AD1090" s="1222"/>
      <c r="AE1090" s="1222"/>
      <c r="AF1090" s="1222"/>
      <c r="AG1090" s="1222"/>
      <c r="AH1090" s="1222"/>
      <c r="AI1090" s="1222"/>
      <c r="AJ1090" s="1222"/>
      <c r="AK1090" s="1222"/>
    </row>
    <row r="1091" spans="1:37" ht="13" customHeight="1">
      <c r="A1091" s="1381" t="s">
        <v>299</v>
      </c>
      <c r="B1091" s="1381"/>
      <c r="C1091" s="7">
        <v>6</v>
      </c>
      <c r="D1091" s="1222" t="s">
        <v>1785</v>
      </c>
      <c r="E1091" s="1222"/>
      <c r="F1091" s="1222"/>
      <c r="G1091" s="1222"/>
      <c r="H1091" s="1222"/>
      <c r="I1091" s="1222"/>
      <c r="J1091" s="1222"/>
      <c r="K1091" s="1222"/>
      <c r="L1091" s="1222"/>
      <c r="M1091" s="1222"/>
      <c r="N1091" s="1222"/>
      <c r="O1091" s="1222"/>
      <c r="P1091" s="1222"/>
      <c r="Q1091" s="1222"/>
      <c r="R1091" s="1222"/>
      <c r="S1091" s="1222"/>
      <c r="T1091" s="1222"/>
      <c r="U1091" s="1222"/>
      <c r="V1091" s="1222"/>
      <c r="W1091" s="1222"/>
      <c r="X1091" s="1222"/>
      <c r="Y1091" s="1222"/>
      <c r="Z1091" s="1222"/>
      <c r="AA1091" s="1222"/>
      <c r="AB1091" s="1222"/>
      <c r="AC1091" s="1222"/>
      <c r="AD1091" s="1222"/>
      <c r="AE1091" s="1222"/>
      <c r="AF1091" s="1222"/>
      <c r="AG1091" s="1222"/>
      <c r="AH1091" s="1222"/>
      <c r="AI1091" s="1222"/>
      <c r="AJ1091" s="1222"/>
      <c r="AK1091" s="1222"/>
    </row>
    <row r="1092" spans="1:37" ht="13" customHeight="1">
      <c r="A1092" s="68"/>
      <c r="B1092" s="20"/>
      <c r="C1092" s="7"/>
      <c r="D1092" s="1222"/>
      <c r="E1092" s="1222"/>
      <c r="F1092" s="1222"/>
      <c r="G1092" s="1222"/>
      <c r="H1092" s="1222"/>
      <c r="I1092" s="1222"/>
      <c r="J1092" s="1222"/>
      <c r="K1092" s="1222"/>
      <c r="L1092" s="1222"/>
      <c r="M1092" s="1222"/>
      <c r="N1092" s="1222"/>
      <c r="O1092" s="1222"/>
      <c r="P1092" s="1222"/>
      <c r="Q1092" s="1222"/>
      <c r="R1092" s="1222"/>
      <c r="S1092" s="1222"/>
      <c r="T1092" s="1222"/>
      <c r="U1092" s="1222"/>
      <c r="V1092" s="1222"/>
      <c r="W1092" s="1222"/>
      <c r="X1092" s="1222"/>
      <c r="Y1092" s="1222"/>
      <c r="Z1092" s="1222"/>
      <c r="AA1092" s="1222"/>
      <c r="AB1092" s="1222"/>
      <c r="AC1092" s="1222"/>
      <c r="AD1092" s="1222"/>
      <c r="AE1092" s="1222"/>
      <c r="AF1092" s="1222"/>
      <c r="AG1092" s="1222"/>
      <c r="AH1092" s="1222"/>
      <c r="AI1092" s="1222"/>
      <c r="AJ1092" s="1222"/>
      <c r="AK1092" s="1222"/>
    </row>
    <row r="1093" spans="1:37" ht="13" customHeight="1">
      <c r="A1093" s="68"/>
      <c r="B1093" s="20"/>
      <c r="C1093" s="7"/>
      <c r="D1093" s="1222"/>
      <c r="E1093" s="1222"/>
      <c r="F1093" s="1222"/>
      <c r="G1093" s="1222"/>
      <c r="H1093" s="1222"/>
      <c r="I1093" s="1222"/>
      <c r="J1093" s="1222"/>
      <c r="K1093" s="1222"/>
      <c r="L1093" s="1222"/>
      <c r="M1093" s="1222"/>
      <c r="N1093" s="1222"/>
      <c r="O1093" s="1222"/>
      <c r="P1093" s="1222"/>
      <c r="Q1093" s="1222"/>
      <c r="R1093" s="1222"/>
      <c r="S1093" s="1222"/>
      <c r="T1093" s="1222"/>
      <c r="U1093" s="1222"/>
      <c r="V1093" s="1222"/>
      <c r="W1093" s="1222"/>
      <c r="X1093" s="1222"/>
      <c r="Y1093" s="1222"/>
      <c r="Z1093" s="1222"/>
      <c r="AA1093" s="1222"/>
      <c r="AB1093" s="1222"/>
      <c r="AC1093" s="1222"/>
      <c r="AD1093" s="1222"/>
      <c r="AE1093" s="1222"/>
      <c r="AF1093" s="1222"/>
      <c r="AG1093" s="1222"/>
      <c r="AH1093" s="1222"/>
      <c r="AI1093" s="1222"/>
      <c r="AJ1093" s="1222"/>
      <c r="AK1093" s="1222"/>
    </row>
    <row r="1094" spans="1:37" ht="13" customHeight="1">
      <c r="A1094" s="1381" t="s">
        <v>299</v>
      </c>
      <c r="B1094" s="1381"/>
      <c r="C1094" s="1090">
        <v>7</v>
      </c>
      <c r="D1094" s="1222" t="s">
        <v>1786</v>
      </c>
      <c r="E1094" s="1222"/>
      <c r="F1094" s="1222"/>
      <c r="G1094" s="1222"/>
      <c r="H1094" s="1222"/>
      <c r="I1094" s="1222"/>
      <c r="J1094" s="1222"/>
      <c r="K1094" s="1222"/>
      <c r="L1094" s="1222"/>
      <c r="M1094" s="1222"/>
      <c r="N1094" s="1222"/>
      <c r="O1094" s="1222"/>
      <c r="P1094" s="1222"/>
      <c r="Q1094" s="1222"/>
      <c r="R1094" s="1222"/>
      <c r="S1094" s="1222"/>
      <c r="T1094" s="1222"/>
      <c r="U1094" s="1222"/>
      <c r="V1094" s="1222"/>
      <c r="W1094" s="1222"/>
      <c r="X1094" s="1222"/>
      <c r="Y1094" s="1222"/>
      <c r="Z1094" s="1222"/>
      <c r="AA1094" s="1222"/>
      <c r="AB1094" s="1222"/>
      <c r="AC1094" s="1222"/>
      <c r="AD1094" s="1222"/>
      <c r="AE1094" s="1222"/>
      <c r="AF1094" s="1222"/>
      <c r="AG1094" s="1222"/>
      <c r="AH1094" s="1222"/>
      <c r="AI1094" s="1222"/>
      <c r="AJ1094" s="1222"/>
      <c r="AK1094" s="1222"/>
    </row>
    <row r="1095" spans="1:37" ht="13" customHeight="1">
      <c r="A1095" s="1126"/>
      <c r="B1095" s="1126"/>
      <c r="C1095" s="1090"/>
      <c r="D1095" s="1222"/>
      <c r="E1095" s="1222"/>
      <c r="F1095" s="1222"/>
      <c r="G1095" s="1222"/>
      <c r="H1095" s="1222"/>
      <c r="I1095" s="1222"/>
      <c r="J1095" s="1222"/>
      <c r="K1095" s="1222"/>
      <c r="L1095" s="1222"/>
      <c r="M1095" s="1222"/>
      <c r="N1095" s="1222"/>
      <c r="O1095" s="1222"/>
      <c r="P1095" s="1222"/>
      <c r="Q1095" s="1222"/>
      <c r="R1095" s="1222"/>
      <c r="S1095" s="1222"/>
      <c r="T1095" s="1222"/>
      <c r="U1095" s="1222"/>
      <c r="V1095" s="1222"/>
      <c r="W1095" s="1222"/>
      <c r="X1095" s="1222"/>
      <c r="Y1095" s="1222"/>
      <c r="Z1095" s="1222"/>
      <c r="AA1095" s="1222"/>
      <c r="AB1095" s="1222"/>
      <c r="AC1095" s="1222"/>
      <c r="AD1095" s="1222"/>
      <c r="AE1095" s="1222"/>
      <c r="AF1095" s="1222"/>
      <c r="AG1095" s="1222"/>
      <c r="AH1095" s="1222"/>
      <c r="AI1095" s="1222"/>
      <c r="AJ1095" s="1222"/>
      <c r="AK1095" s="1222"/>
    </row>
    <row r="1096" spans="1:37" ht="13" customHeight="1">
      <c r="A1096" s="1126"/>
      <c r="B1096" s="1126"/>
      <c r="C1096" s="1090"/>
      <c r="D1096" s="1222"/>
      <c r="E1096" s="1222"/>
      <c r="F1096" s="1222"/>
      <c r="G1096" s="1222"/>
      <c r="H1096" s="1222"/>
      <c r="I1096" s="1222"/>
      <c r="J1096" s="1222"/>
      <c r="K1096" s="1222"/>
      <c r="L1096" s="1222"/>
      <c r="M1096" s="1222"/>
      <c r="N1096" s="1222"/>
      <c r="O1096" s="1222"/>
      <c r="P1096" s="1222"/>
      <c r="Q1096" s="1222"/>
      <c r="R1096" s="1222"/>
      <c r="S1096" s="1222"/>
      <c r="T1096" s="1222"/>
      <c r="U1096" s="1222"/>
      <c r="V1096" s="1222"/>
      <c r="W1096" s="1222"/>
      <c r="X1096" s="1222"/>
      <c r="Y1096" s="1222"/>
      <c r="Z1096" s="1222"/>
      <c r="AA1096" s="1222"/>
      <c r="AB1096" s="1222"/>
      <c r="AC1096" s="1222"/>
      <c r="AD1096" s="1222"/>
      <c r="AE1096" s="1222"/>
      <c r="AF1096" s="1222"/>
      <c r="AG1096" s="1222"/>
      <c r="AH1096" s="1222"/>
      <c r="AI1096" s="1222"/>
      <c r="AJ1096" s="1222"/>
      <c r="AK1096" s="1222"/>
    </row>
    <row r="1097" spans="1:37" ht="13" customHeight="1">
      <c r="A1097" s="68"/>
      <c r="B1097" s="20"/>
      <c r="C1097" s="1090"/>
      <c r="D1097" s="1222"/>
      <c r="E1097" s="1222"/>
      <c r="F1097" s="1222"/>
      <c r="G1097" s="1222"/>
      <c r="H1097" s="1222"/>
      <c r="I1097" s="1222"/>
      <c r="J1097" s="1222"/>
      <c r="K1097" s="1222"/>
      <c r="L1097" s="1222"/>
      <c r="M1097" s="1222"/>
      <c r="N1097" s="1222"/>
      <c r="O1097" s="1222"/>
      <c r="P1097" s="1222"/>
      <c r="Q1097" s="1222"/>
      <c r="R1097" s="1222"/>
      <c r="S1097" s="1222"/>
      <c r="T1097" s="1222"/>
      <c r="U1097" s="1222"/>
      <c r="V1097" s="1222"/>
      <c r="W1097" s="1222"/>
      <c r="X1097" s="1222"/>
      <c r="Y1097" s="1222"/>
      <c r="Z1097" s="1222"/>
      <c r="AA1097" s="1222"/>
      <c r="AB1097" s="1222"/>
      <c r="AC1097" s="1222"/>
      <c r="AD1097" s="1222"/>
      <c r="AE1097" s="1222"/>
      <c r="AF1097" s="1222"/>
      <c r="AG1097" s="1222"/>
      <c r="AH1097" s="1222"/>
      <c r="AI1097" s="1222"/>
      <c r="AJ1097" s="1222"/>
      <c r="AK1097" s="1222"/>
    </row>
    <row r="1098" spans="1:37" ht="13" customHeight="1">
      <c r="A1098" s="1381" t="s">
        <v>299</v>
      </c>
      <c r="B1098" s="1381"/>
      <c r="C1098" s="1090">
        <v>8</v>
      </c>
      <c r="D1098" s="1280" t="s">
        <v>1787</v>
      </c>
      <c r="E1098" s="1280"/>
      <c r="F1098" s="1280"/>
      <c r="G1098" s="1280"/>
      <c r="H1098" s="1280"/>
      <c r="I1098" s="1280"/>
      <c r="J1098" s="1280"/>
      <c r="K1098" s="1280"/>
      <c r="L1098" s="1280"/>
      <c r="M1098" s="1280"/>
      <c r="N1098" s="1280"/>
      <c r="O1098" s="1280"/>
      <c r="P1098" s="1280"/>
      <c r="Q1098" s="1280"/>
      <c r="R1098" s="1280"/>
      <c r="S1098" s="1280"/>
      <c r="T1098" s="1280"/>
      <c r="U1098" s="1280"/>
      <c r="V1098" s="1280"/>
      <c r="W1098" s="1280"/>
      <c r="X1098" s="1280"/>
      <c r="Y1098" s="1280"/>
      <c r="Z1098" s="1280"/>
      <c r="AA1098" s="1280"/>
      <c r="AB1098" s="1280"/>
      <c r="AC1098" s="1280"/>
      <c r="AD1098" s="1280"/>
      <c r="AE1098" s="1280"/>
      <c r="AF1098" s="1280"/>
      <c r="AG1098" s="1280"/>
      <c r="AH1098" s="1280"/>
      <c r="AI1098" s="1280"/>
      <c r="AJ1098" s="1280"/>
      <c r="AK1098" s="1280"/>
    </row>
    <row r="1099" spans="1:37" ht="13" customHeight="1">
      <c r="A1099" s="1126"/>
      <c r="B1099" s="1126"/>
      <c r="C1099" s="1090"/>
      <c r="D1099" s="1280"/>
      <c r="E1099" s="1280"/>
      <c r="F1099" s="1280"/>
      <c r="G1099" s="1280"/>
      <c r="H1099" s="1280"/>
      <c r="I1099" s="1280"/>
      <c r="J1099" s="1280"/>
      <c r="K1099" s="1280"/>
      <c r="L1099" s="1280"/>
      <c r="M1099" s="1280"/>
      <c r="N1099" s="1280"/>
      <c r="O1099" s="1280"/>
      <c r="P1099" s="1280"/>
      <c r="Q1099" s="1280"/>
      <c r="R1099" s="1280"/>
      <c r="S1099" s="1280"/>
      <c r="T1099" s="1280"/>
      <c r="U1099" s="1280"/>
      <c r="V1099" s="1280"/>
      <c r="W1099" s="1280"/>
      <c r="X1099" s="1280"/>
      <c r="Y1099" s="1280"/>
      <c r="Z1099" s="1280"/>
      <c r="AA1099" s="1280"/>
      <c r="AB1099" s="1280"/>
      <c r="AC1099" s="1280"/>
      <c r="AD1099" s="1280"/>
      <c r="AE1099" s="1280"/>
      <c r="AF1099" s="1280"/>
      <c r="AG1099" s="1280"/>
      <c r="AH1099" s="1280"/>
      <c r="AI1099" s="1280"/>
      <c r="AJ1099" s="1280"/>
      <c r="AK1099" s="1280"/>
    </row>
    <row r="1100" spans="1:37" ht="13" customHeight="1">
      <c r="A1100" s="1126"/>
      <c r="B1100" s="1126"/>
      <c r="C1100" s="1090"/>
      <c r="D1100" s="1280"/>
      <c r="E1100" s="1280"/>
      <c r="F1100" s="1280"/>
      <c r="G1100" s="1280"/>
      <c r="H1100" s="1280"/>
      <c r="I1100" s="1280"/>
      <c r="J1100" s="1280"/>
      <c r="K1100" s="1280"/>
      <c r="L1100" s="1280"/>
      <c r="M1100" s="1280"/>
      <c r="N1100" s="1280"/>
      <c r="O1100" s="1280"/>
      <c r="P1100" s="1280"/>
      <c r="Q1100" s="1280"/>
      <c r="R1100" s="1280"/>
      <c r="S1100" s="1280"/>
      <c r="T1100" s="1280"/>
      <c r="U1100" s="1280"/>
      <c r="V1100" s="1280"/>
      <c r="W1100" s="1280"/>
      <c r="X1100" s="1280"/>
      <c r="Y1100" s="1280"/>
      <c r="Z1100" s="1280"/>
      <c r="AA1100" s="1280"/>
      <c r="AB1100" s="1280"/>
      <c r="AC1100" s="1280"/>
      <c r="AD1100" s="1280"/>
      <c r="AE1100" s="1280"/>
      <c r="AF1100" s="1280"/>
      <c r="AG1100" s="1280"/>
      <c r="AH1100" s="1280"/>
      <c r="AI1100" s="1280"/>
      <c r="AJ1100" s="1280"/>
      <c r="AK1100" s="1280"/>
    </row>
    <row r="1101" spans="1:37" ht="0" hidden="1" customHeight="1">
      <c r="A1101" s="1126"/>
      <c r="B1101" s="1126"/>
      <c r="C1101" s="1090"/>
      <c r="D1101" s="1280"/>
      <c r="E1101" s="1280"/>
      <c r="F1101" s="1280"/>
      <c r="G1101" s="1280"/>
      <c r="H1101" s="1280"/>
      <c r="I1101" s="1280"/>
      <c r="J1101" s="1280"/>
      <c r="K1101" s="1280"/>
      <c r="L1101" s="1280"/>
      <c r="M1101" s="1280"/>
      <c r="N1101" s="1280"/>
      <c r="O1101" s="1280"/>
      <c r="P1101" s="1280"/>
      <c r="Q1101" s="1280"/>
      <c r="R1101" s="1280"/>
      <c r="S1101" s="1280"/>
      <c r="T1101" s="1280"/>
      <c r="U1101" s="1280"/>
      <c r="V1101" s="1280"/>
      <c r="W1101" s="1280"/>
      <c r="X1101" s="1280"/>
      <c r="Y1101" s="1280"/>
      <c r="Z1101" s="1280"/>
      <c r="AA1101" s="1280"/>
      <c r="AB1101" s="1280"/>
      <c r="AC1101" s="1280"/>
      <c r="AD1101" s="1280"/>
      <c r="AE1101" s="1280"/>
      <c r="AF1101" s="1280"/>
      <c r="AG1101" s="1280"/>
      <c r="AH1101" s="1280"/>
      <c r="AI1101" s="1280"/>
      <c r="AJ1101" s="1280"/>
      <c r="AK1101" s="1280"/>
    </row>
    <row r="1102" spans="1:37" ht="0" hidden="1" customHeight="1">
      <c r="A1102" s="68"/>
      <c r="B1102" s="20"/>
      <c r="C1102" s="1090"/>
      <c r="D1102" s="1280"/>
      <c r="E1102" s="1280"/>
      <c r="F1102" s="1280"/>
      <c r="G1102" s="1280"/>
      <c r="H1102" s="1280"/>
      <c r="I1102" s="1280"/>
      <c r="J1102" s="1280"/>
      <c r="K1102" s="1280"/>
      <c r="L1102" s="1280"/>
      <c r="M1102" s="1280"/>
      <c r="N1102" s="1280"/>
      <c r="O1102" s="1280"/>
      <c r="P1102" s="1280"/>
      <c r="Q1102" s="1280"/>
      <c r="R1102" s="1280"/>
      <c r="S1102" s="1280"/>
      <c r="T1102" s="1280"/>
      <c r="U1102" s="1280"/>
      <c r="V1102" s="1280"/>
      <c r="W1102" s="1280"/>
      <c r="X1102" s="1280"/>
      <c r="Y1102" s="1280"/>
      <c r="Z1102" s="1280"/>
      <c r="AA1102" s="1280"/>
      <c r="AB1102" s="1280"/>
      <c r="AC1102" s="1280"/>
      <c r="AD1102" s="1280"/>
      <c r="AE1102" s="1280"/>
      <c r="AF1102" s="1280"/>
      <c r="AG1102" s="1280"/>
      <c r="AH1102" s="1280"/>
      <c r="AI1102" s="1280"/>
      <c r="AJ1102" s="1280"/>
      <c r="AK1102" s="1280"/>
    </row>
    <row r="1103" spans="1:37" ht="0" hidden="1" customHeight="1">
      <c r="A1103" s="1381" t="s">
        <v>299</v>
      </c>
      <c r="B1103" s="1381"/>
      <c r="C1103" s="1090">
        <v>9</v>
      </c>
      <c r="D1103" s="1222" t="s">
        <v>1788</v>
      </c>
      <c r="E1103" s="1222"/>
      <c r="F1103" s="1222"/>
      <c r="G1103" s="1222"/>
      <c r="H1103" s="1222"/>
      <c r="I1103" s="1222"/>
      <c r="J1103" s="1222"/>
      <c r="K1103" s="1222"/>
      <c r="L1103" s="1222"/>
      <c r="M1103" s="1222"/>
      <c r="N1103" s="1222"/>
      <c r="O1103" s="1222"/>
      <c r="P1103" s="1222"/>
      <c r="Q1103" s="1222"/>
      <c r="R1103" s="1222"/>
      <c r="S1103" s="1222"/>
      <c r="T1103" s="1222"/>
      <c r="U1103" s="1222"/>
      <c r="V1103" s="1222"/>
      <c r="W1103" s="1222"/>
      <c r="X1103" s="1222"/>
      <c r="Y1103" s="1222"/>
      <c r="Z1103" s="1222"/>
      <c r="AA1103" s="1222"/>
      <c r="AB1103" s="1222"/>
      <c r="AC1103" s="1222"/>
      <c r="AD1103" s="1222"/>
      <c r="AE1103" s="1222"/>
      <c r="AF1103" s="1222"/>
      <c r="AG1103" s="1222"/>
      <c r="AH1103" s="1222"/>
      <c r="AI1103" s="1222"/>
      <c r="AJ1103" s="1222"/>
      <c r="AK1103" s="1222"/>
    </row>
    <row r="1104" spans="1:37" ht="0" hidden="1" customHeight="1">
      <c r="A1104" s="68"/>
      <c r="B1104" s="20"/>
      <c r="C1104" s="1090"/>
      <c r="D1104" s="1222"/>
      <c r="E1104" s="1222"/>
      <c r="F1104" s="1222"/>
      <c r="G1104" s="1222"/>
      <c r="H1104" s="1222"/>
      <c r="I1104" s="1222"/>
      <c r="J1104" s="1222"/>
      <c r="K1104" s="1222"/>
      <c r="L1104" s="1222"/>
      <c r="M1104" s="1222"/>
      <c r="N1104" s="1222"/>
      <c r="O1104" s="1222"/>
      <c r="P1104" s="1222"/>
      <c r="Q1104" s="1222"/>
      <c r="R1104" s="1222"/>
      <c r="S1104" s="1222"/>
      <c r="T1104" s="1222"/>
      <c r="U1104" s="1222"/>
      <c r="V1104" s="1222"/>
      <c r="W1104" s="1222"/>
      <c r="X1104" s="1222"/>
      <c r="Y1104" s="1222"/>
      <c r="Z1104" s="1222"/>
      <c r="AA1104" s="1222"/>
      <c r="AB1104" s="1222"/>
      <c r="AC1104" s="1222"/>
      <c r="AD1104" s="1222"/>
      <c r="AE1104" s="1222"/>
      <c r="AF1104" s="1222"/>
      <c r="AG1104" s="1222"/>
      <c r="AH1104" s="1222"/>
      <c r="AI1104" s="1222"/>
      <c r="AJ1104" s="1222"/>
      <c r="AK1104" s="1222"/>
    </row>
    <row r="1105" spans="4:37" ht="0" hidden="1" customHeight="1">
      <c r="D1105" s="1222"/>
      <c r="E1105" s="1222"/>
      <c r="F1105" s="1222"/>
      <c r="G1105" s="1222"/>
      <c r="H1105" s="1222"/>
      <c r="I1105" s="1222"/>
      <c r="J1105" s="1222"/>
      <c r="K1105" s="1222"/>
      <c r="L1105" s="1222"/>
      <c r="M1105" s="1222"/>
      <c r="N1105" s="1222"/>
      <c r="O1105" s="1222"/>
      <c r="P1105" s="1222"/>
      <c r="Q1105" s="1222"/>
      <c r="R1105" s="1222"/>
      <c r="S1105" s="1222"/>
      <c r="T1105" s="1222"/>
      <c r="U1105" s="1222"/>
      <c r="V1105" s="1222"/>
      <c r="W1105" s="1222"/>
      <c r="X1105" s="1222"/>
      <c r="Y1105" s="1222"/>
      <c r="Z1105" s="1222"/>
      <c r="AA1105" s="1222"/>
      <c r="AB1105" s="1222"/>
      <c r="AC1105" s="1222"/>
      <c r="AD1105" s="1222"/>
      <c r="AE1105" s="1222"/>
      <c r="AF1105" s="1222"/>
      <c r="AG1105" s="1222"/>
      <c r="AH1105" s="1222"/>
      <c r="AI1105" s="1222"/>
      <c r="AJ1105" s="1222"/>
      <c r="AK1105" s="1222"/>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H743:AJ743"/>
    <mergeCell ref="AH744:AJ744"/>
    <mergeCell ref="X738:AB738"/>
    <mergeCell ref="X729:AB729"/>
    <mergeCell ref="AK742:AO742"/>
    <mergeCell ref="X742:AB742"/>
    <mergeCell ref="AH742:AJ742"/>
    <mergeCell ref="B741:F741"/>
    <mergeCell ref="AK732:AO732"/>
    <mergeCell ref="AK733:AO733"/>
    <mergeCell ref="AK734:AO734"/>
    <mergeCell ref="AK735:AO735"/>
    <mergeCell ref="AG689:AH689"/>
    <mergeCell ref="R705:T705"/>
    <mergeCell ref="K714:N717"/>
    <mergeCell ref="T724:W724"/>
    <mergeCell ref="B718:F718"/>
    <mergeCell ref="G720:J720"/>
    <mergeCell ref="B721:F721"/>
    <mergeCell ref="AK722:AO722"/>
    <mergeCell ref="K727:N727"/>
    <mergeCell ref="O731:S731"/>
    <mergeCell ref="O732:S732"/>
    <mergeCell ref="AC739:AG739"/>
    <mergeCell ref="AC733:AG733"/>
    <mergeCell ref="X740:AB740"/>
    <mergeCell ref="K735:N735"/>
    <mergeCell ref="ER670:EV670"/>
    <mergeCell ref="DX669:EB669"/>
    <mergeCell ref="EC670:EG670"/>
    <mergeCell ref="EH670:EL670"/>
    <mergeCell ref="AH728:AJ728"/>
    <mergeCell ref="EC669:EG669"/>
    <mergeCell ref="EH669:EL669"/>
    <mergeCell ref="EM669:EQ669"/>
    <mergeCell ref="EW669:FA669"/>
    <mergeCell ref="DX665:EB665"/>
    <mergeCell ref="EC665:EG665"/>
    <mergeCell ref="EH665:EL665"/>
    <mergeCell ref="EM665:EQ665"/>
    <mergeCell ref="ER665:EV665"/>
    <mergeCell ref="EW665:FA665"/>
    <mergeCell ref="ER669:EV669"/>
    <mergeCell ref="CH660:CL660"/>
    <mergeCell ref="AA680:AK680"/>
    <mergeCell ref="EM670:EQ670"/>
    <mergeCell ref="EW636:FA636"/>
    <mergeCell ref="ER637:EV637"/>
    <mergeCell ref="EH653:EL653"/>
    <mergeCell ref="EM653:EQ653"/>
    <mergeCell ref="ER653:EV653"/>
    <mergeCell ref="DX648:EB648"/>
    <mergeCell ref="ER651:EV651"/>
    <mergeCell ref="ER652:EV652"/>
    <mergeCell ref="EM651:EQ651"/>
    <mergeCell ref="ER649:EV649"/>
    <mergeCell ref="DX652:EB652"/>
    <mergeCell ref="EC652:EG652"/>
    <mergeCell ref="EH652:EL652"/>
    <mergeCell ref="ER650:EV650"/>
    <mergeCell ref="EH663:EL663"/>
    <mergeCell ref="EM663:EQ663"/>
    <mergeCell ref="ER663:EV663"/>
    <mergeCell ref="EW663:FA663"/>
    <mergeCell ref="EC659:EG659"/>
    <mergeCell ref="EH659:EL659"/>
    <mergeCell ref="ER661:EV661"/>
    <mergeCell ref="EW661:FA661"/>
    <mergeCell ref="EH655:EL655"/>
    <mergeCell ref="EM655:EQ655"/>
    <mergeCell ref="ER656:EV656"/>
    <mergeCell ref="EH661:EL661"/>
    <mergeCell ref="EW662:FA662"/>
    <mergeCell ref="DX663:EB663"/>
    <mergeCell ref="EC663:EG663"/>
    <mergeCell ref="ER655:EV655"/>
    <mergeCell ref="EM659:EQ659"/>
    <mergeCell ref="ER659:EV659"/>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R625:EV625"/>
    <mergeCell ref="EW625:FA625"/>
    <mergeCell ref="DX626:EB626"/>
    <mergeCell ref="EC626:EG626"/>
    <mergeCell ref="EH626:EL626"/>
    <mergeCell ref="EM626:EQ626"/>
    <mergeCell ref="ER626:EV626"/>
    <mergeCell ref="DC626:DG626"/>
    <mergeCell ref="DH626:DL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DR626:DV626"/>
    <mergeCell ref="DX623:EB623"/>
    <mergeCell ref="EC623:EG623"/>
    <mergeCell ref="EH623:EL623"/>
    <mergeCell ref="EM623:EQ623"/>
    <mergeCell ref="ER623:EV623"/>
    <mergeCell ref="EW623:FA623"/>
    <mergeCell ref="DX624:EB624"/>
    <mergeCell ref="EM624:EQ624"/>
    <mergeCell ref="ER624:EV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CS624:CW624"/>
    <mergeCell ref="CX624:DB624"/>
    <mergeCell ref="DH620:DL620"/>
    <mergeCell ref="DM620:DQ620"/>
    <mergeCell ref="DC624:DG624"/>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CH626:CL626"/>
    <mergeCell ref="CM626:CQ626"/>
    <mergeCell ref="BN624:BR624"/>
    <mergeCell ref="BS624:BW624"/>
    <mergeCell ref="DM626:DQ626"/>
    <mergeCell ref="DH624:DL624"/>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CH623:CL623"/>
    <mergeCell ref="BX629:CB629"/>
    <mergeCell ref="CH625:CL625"/>
    <mergeCell ref="CC624:CG624"/>
    <mergeCell ref="CM623:CQ623"/>
    <mergeCell ref="BK624:BL624"/>
    <mergeCell ref="BE625:BF625"/>
    <mergeCell ref="BG625:BH625"/>
    <mergeCell ref="BN626:BR626"/>
    <mergeCell ref="BE627:BF627"/>
    <mergeCell ref="B725:F725"/>
    <mergeCell ref="B724:F724"/>
    <mergeCell ref="B728:F728"/>
    <mergeCell ref="X728:AB728"/>
    <mergeCell ref="D449:AF449"/>
    <mergeCell ref="B501:H502"/>
    <mergeCell ref="O523:AA523"/>
    <mergeCell ref="AC519:AF519"/>
    <mergeCell ref="AE424:AF424"/>
    <mergeCell ref="AC523:AF523"/>
    <mergeCell ref="G731:J731"/>
    <mergeCell ref="B729:F729"/>
    <mergeCell ref="B720:F720"/>
    <mergeCell ref="AG437:AJ437"/>
    <mergeCell ref="AG450:AJ450"/>
    <mergeCell ref="AC455:AF455"/>
    <mergeCell ref="F457:AB458"/>
    <mergeCell ref="O719:S719"/>
    <mergeCell ref="X724:AB724"/>
    <mergeCell ref="AH722:AJ722"/>
    <mergeCell ref="B723:F723"/>
    <mergeCell ref="B520:H542"/>
    <mergeCell ref="AH517:AK517"/>
    <mergeCell ref="AC517:AF517"/>
    <mergeCell ref="AH495:AK495"/>
    <mergeCell ref="D465:V465"/>
    <mergeCell ref="AC514:AF514"/>
    <mergeCell ref="AC503:AF503"/>
    <mergeCell ref="AA664:AK664"/>
    <mergeCell ref="AE551:AH553"/>
    <mergeCell ref="AI551:AL553"/>
    <mergeCell ref="O520:AA520"/>
    <mergeCell ref="AE555:AH555"/>
    <mergeCell ref="AH518:AK518"/>
    <mergeCell ref="AH514:AK514"/>
    <mergeCell ref="Q555:S555"/>
    <mergeCell ref="AC513:AF513"/>
    <mergeCell ref="AH521:AK521"/>
    <mergeCell ref="AC530:AF530"/>
    <mergeCell ref="O526:AA526"/>
    <mergeCell ref="AC529:AF529"/>
    <mergeCell ref="AH530:AK530"/>
    <mergeCell ref="AH515:AK515"/>
    <mergeCell ref="AC516:AF516"/>
    <mergeCell ref="W418:Y418"/>
    <mergeCell ref="AM560:AS560"/>
    <mergeCell ref="AG446:AJ446"/>
    <mergeCell ref="D440:AF440"/>
    <mergeCell ref="AC456:AF456"/>
    <mergeCell ref="AH503:AK503"/>
    <mergeCell ref="AC500:AF500"/>
    <mergeCell ref="Q485:AK485"/>
    <mergeCell ref="G474:V474"/>
    <mergeCell ref="W474:Y474"/>
    <mergeCell ref="W466:Y466"/>
    <mergeCell ref="W473:Y473"/>
    <mergeCell ref="D469:V469"/>
    <mergeCell ref="D468:V468"/>
    <mergeCell ref="L508:AB508"/>
    <mergeCell ref="B514:H516"/>
    <mergeCell ref="AC509:AF509"/>
    <mergeCell ref="AC508:AF508"/>
    <mergeCell ref="M495:P495"/>
    <mergeCell ref="AK739:AO739"/>
    <mergeCell ref="O735:S735"/>
    <mergeCell ref="AC736:AG736"/>
    <mergeCell ref="T738:W738"/>
    <mergeCell ref="Q489:R490"/>
    <mergeCell ref="Q488:AK488"/>
    <mergeCell ref="Q493:AK493"/>
    <mergeCell ref="AC502:AF502"/>
    <mergeCell ref="Q494:AK494"/>
    <mergeCell ref="AH501:AK501"/>
    <mergeCell ref="AC507:AF507"/>
    <mergeCell ref="D470:V470"/>
    <mergeCell ref="W468:Y468"/>
    <mergeCell ref="B503:H508"/>
    <mergeCell ref="AM551:AS553"/>
    <mergeCell ref="D472:V472"/>
    <mergeCell ref="W472:Y472"/>
    <mergeCell ref="AH540:AK540"/>
    <mergeCell ref="AH538:AK538"/>
    <mergeCell ref="Z551:AD553"/>
    <mergeCell ref="AH513:AK513"/>
    <mergeCell ref="AH506:AK506"/>
    <mergeCell ref="AH508:AK508"/>
    <mergeCell ref="AC505:AF505"/>
    <mergeCell ref="AC520:AF520"/>
    <mergeCell ref="AC527:AF527"/>
    <mergeCell ref="AC522:AF522"/>
    <mergeCell ref="T554:V554"/>
    <mergeCell ref="D441:AF441"/>
    <mergeCell ref="D466:V466"/>
    <mergeCell ref="Q491:AK491"/>
    <mergeCell ref="AG447:AJ447"/>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C538:AF538"/>
    <mergeCell ref="D450:AF450"/>
    <mergeCell ref="D451:AJ452"/>
    <mergeCell ref="W469:Y469"/>
    <mergeCell ref="W471:Y471"/>
    <mergeCell ref="AH246:AK246"/>
    <mergeCell ref="AI397:AJ397"/>
    <mergeCell ref="T399:AJ399"/>
    <mergeCell ref="T398:AJ398"/>
    <mergeCell ref="AG440:AJ440"/>
    <mergeCell ref="AC387:AJ387"/>
    <mergeCell ref="V388:AJ388"/>
    <mergeCell ref="AI323:AK323"/>
    <mergeCell ref="AA320:AK320"/>
    <mergeCell ref="AA337:AK337"/>
    <mergeCell ref="H327:R327"/>
    <mergeCell ref="M356:N356"/>
    <mergeCell ref="AA317:AK317"/>
    <mergeCell ref="L280:AD280"/>
    <mergeCell ref="L275:AD275"/>
    <mergeCell ref="H290:R290"/>
    <mergeCell ref="H338:R338"/>
    <mergeCell ref="AG393:AJ393"/>
    <mergeCell ref="AG391:AJ391"/>
    <mergeCell ref="K404:AJ404"/>
    <mergeCell ref="AC386:AJ386"/>
    <mergeCell ref="Q393:U393"/>
    <mergeCell ref="AG395:AJ395"/>
    <mergeCell ref="K403:AJ403"/>
    <mergeCell ref="P425:Q425"/>
    <mergeCell ref="I418:K418"/>
    <mergeCell ref="S413:T413"/>
    <mergeCell ref="AA333:AK333"/>
    <mergeCell ref="AA328:AK328"/>
    <mergeCell ref="V276:W276"/>
    <mergeCell ref="E420:AJ420"/>
    <mergeCell ref="AE402:AJ402"/>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H336:R336"/>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D443:AF443"/>
    <mergeCell ref="S402:U402"/>
    <mergeCell ref="AC454:AF454"/>
    <mergeCell ref="O714:S717"/>
    <mergeCell ref="Z654:AK654"/>
    <mergeCell ref="G645:R645"/>
    <mergeCell ref="BS623:BW623"/>
    <mergeCell ref="BX623:CB623"/>
    <mergeCell ref="BN625:BR625"/>
    <mergeCell ref="BS625:BW625"/>
    <mergeCell ref="BX618:CB618"/>
    <mergeCell ref="BI630:BJ630"/>
    <mergeCell ref="BI625:BJ625"/>
    <mergeCell ref="BE628:BF628"/>
    <mergeCell ref="BN629:BR629"/>
    <mergeCell ref="BS629:BW629"/>
    <mergeCell ref="C557:L557"/>
    <mergeCell ref="AH532:AK532"/>
    <mergeCell ref="BI609:BJ609"/>
    <mergeCell ref="BE607:BF607"/>
    <mergeCell ref="BE608:BF608"/>
    <mergeCell ref="BE610:BF610"/>
    <mergeCell ref="BN601:BR601"/>
    <mergeCell ref="BN597:BR597"/>
    <mergeCell ref="BG597:BH597"/>
    <mergeCell ref="BI597:BJ597"/>
    <mergeCell ref="BK596:BL596"/>
    <mergeCell ref="AM561:AS561"/>
    <mergeCell ref="AI564:AL564"/>
    <mergeCell ref="P605:R605"/>
    <mergeCell ref="AE560:AH560"/>
    <mergeCell ref="T556:V556"/>
    <mergeCell ref="AI563:AL563"/>
    <mergeCell ref="W558:Y558"/>
    <mergeCell ref="W551:Y553"/>
    <mergeCell ref="CH613:CL613"/>
    <mergeCell ref="BK603:BL60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CC620:CG620"/>
    <mergeCell ref="BI612:BJ612"/>
    <mergeCell ref="BK612:BL612"/>
    <mergeCell ref="BG612:BH612"/>
    <mergeCell ref="BG603:BH603"/>
    <mergeCell ref="BS605:BW605"/>
    <mergeCell ref="BX605:CB605"/>
    <mergeCell ref="BN603:BR603"/>
    <mergeCell ref="BX614:CB614"/>
    <mergeCell ref="BS613:BW613"/>
    <mergeCell ref="BI611:BJ611"/>
    <mergeCell ref="BE623:BF623"/>
    <mergeCell ref="BG623:BH623"/>
    <mergeCell ref="BN612:BR612"/>
    <mergeCell ref="BI614:BJ614"/>
    <mergeCell ref="BS619:BW619"/>
    <mergeCell ref="BG618:BH618"/>
    <mergeCell ref="BN620:BR620"/>
    <mergeCell ref="BX596:CB596"/>
    <mergeCell ref="BG601:BH601"/>
    <mergeCell ref="BX602:CB602"/>
    <mergeCell ref="BI601:BJ601"/>
    <mergeCell ref="BI600:BJ600"/>
    <mergeCell ref="BN606:BR606"/>
    <mergeCell ref="BK606:BL606"/>
    <mergeCell ref="BE617:BF617"/>
    <mergeCell ref="BI618:BJ618"/>
    <mergeCell ref="BK618:BL618"/>
    <mergeCell ref="BK611:BL611"/>
    <mergeCell ref="BN600:BR600"/>
    <mergeCell ref="BX609:CB609"/>
    <mergeCell ref="BE609:BF609"/>
    <mergeCell ref="BX606:CB606"/>
    <mergeCell ref="BS610:BW610"/>
    <mergeCell ref="BG599:BH599"/>
    <mergeCell ref="BX607:CB607"/>
    <mergeCell ref="BS598:BW598"/>
    <mergeCell ref="BS599:BW599"/>
    <mergeCell ref="BS597:BW597"/>
    <mergeCell ref="BI605:BJ605"/>
    <mergeCell ref="CC598:CG598"/>
    <mergeCell ref="BS604:BW604"/>
    <mergeCell ref="CC605:CG605"/>
    <mergeCell ref="BS602:BW602"/>
    <mergeCell ref="BS609:BW609"/>
    <mergeCell ref="BI607:BJ607"/>
    <mergeCell ref="BG604:BH604"/>
    <mergeCell ref="BX610:CB610"/>
    <mergeCell ref="BI610:BJ610"/>
    <mergeCell ref="BK601:BL601"/>
    <mergeCell ref="BX608:CB608"/>
    <mergeCell ref="BE612:BF612"/>
    <mergeCell ref="BX611:CB611"/>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AG583:AH583"/>
    <mergeCell ref="G588:R588"/>
    <mergeCell ref="BE603:BF603"/>
    <mergeCell ref="BI604:BJ604"/>
    <mergeCell ref="BN602:BR602"/>
    <mergeCell ref="BI603:BJ603"/>
    <mergeCell ref="BK600:BL600"/>
    <mergeCell ref="BG598:BH598"/>
    <mergeCell ref="AC521:AF521"/>
    <mergeCell ref="AC525:AF525"/>
    <mergeCell ref="AH522:AK522"/>
    <mergeCell ref="Z562:AD562"/>
    <mergeCell ref="CC601:CG601"/>
    <mergeCell ref="CC602:CG602"/>
    <mergeCell ref="BE600:BF600"/>
    <mergeCell ref="BI599:BJ599"/>
    <mergeCell ref="CC597:CG597"/>
    <mergeCell ref="G604:R604"/>
    <mergeCell ref="BX603:CB603"/>
    <mergeCell ref="BG596:BH596"/>
    <mergeCell ref="Z587:AK587"/>
    <mergeCell ref="BE604:BF604"/>
    <mergeCell ref="AH535:AK535"/>
    <mergeCell ref="AH527:AK527"/>
    <mergeCell ref="G568:R568"/>
    <mergeCell ref="M574:R574"/>
    <mergeCell ref="C558:L558"/>
    <mergeCell ref="AC536:AF536"/>
    <mergeCell ref="Q559:S559"/>
    <mergeCell ref="AI556:AL556"/>
    <mergeCell ref="AM565:AS565"/>
    <mergeCell ref="N575:O575"/>
    <mergeCell ref="CH599:CL599"/>
    <mergeCell ref="AA606:AK606"/>
    <mergeCell ref="BX599:CB599"/>
    <mergeCell ref="CC600:CG600"/>
    <mergeCell ref="BE601:BF601"/>
    <mergeCell ref="BE598:BF598"/>
    <mergeCell ref="BG600:BH600"/>
    <mergeCell ref="AA336:AK336"/>
    <mergeCell ref="BE605:BF605"/>
    <mergeCell ref="BS606:BW606"/>
    <mergeCell ref="BI606:BJ606"/>
    <mergeCell ref="BG605:BH605"/>
    <mergeCell ref="Z563:AD563"/>
    <mergeCell ref="B566:AL566"/>
    <mergeCell ref="AI561:AL561"/>
    <mergeCell ref="M565:P565"/>
    <mergeCell ref="T563:V563"/>
    <mergeCell ref="Z564:AD564"/>
    <mergeCell ref="Z565:AD565"/>
    <mergeCell ref="AM562:AS562"/>
    <mergeCell ref="AE565:AH565"/>
    <mergeCell ref="AM563:AS563"/>
    <mergeCell ref="W563:Y563"/>
    <mergeCell ref="BN596:BR596"/>
    <mergeCell ref="BI602:BJ602"/>
    <mergeCell ref="BI598:BJ598"/>
    <mergeCell ref="BK599:BL599"/>
    <mergeCell ref="BN599:BR599"/>
    <mergeCell ref="G605:L605"/>
    <mergeCell ref="G602:R602"/>
    <mergeCell ref="N599:O599"/>
    <mergeCell ref="AA598:AK598"/>
    <mergeCell ref="BE606:BF606"/>
    <mergeCell ref="BE597:BF597"/>
    <mergeCell ref="N591:O591"/>
    <mergeCell ref="AA590:AK590"/>
    <mergeCell ref="BG606:BH606"/>
    <mergeCell ref="BX604:CB604"/>
    <mergeCell ref="AI589:AK589"/>
    <mergeCell ref="Z596:AK596"/>
    <mergeCell ref="H598:R598"/>
    <mergeCell ref="BK598:BL598"/>
    <mergeCell ref="AI339:AK339"/>
    <mergeCell ref="Z554:AD554"/>
    <mergeCell ref="Q557:S557"/>
    <mergeCell ref="Z557:AD557"/>
    <mergeCell ref="AC528:AF528"/>
    <mergeCell ref="D473:V473"/>
    <mergeCell ref="AC504:AF504"/>
    <mergeCell ref="S489:AK490"/>
    <mergeCell ref="B551:L553"/>
    <mergeCell ref="M551:P553"/>
    <mergeCell ref="AE561:AH561"/>
    <mergeCell ref="AC531:AF531"/>
    <mergeCell ref="AH500:AK500"/>
    <mergeCell ref="M555:P555"/>
    <mergeCell ref="C556:L556"/>
    <mergeCell ref="M556:P556"/>
    <mergeCell ref="H339:M339"/>
    <mergeCell ref="AC532:AF532"/>
    <mergeCell ref="O535:AA535"/>
    <mergeCell ref="AH523:AK523"/>
    <mergeCell ref="O532:AA532"/>
    <mergeCell ref="AH504:AK504"/>
    <mergeCell ref="M261:T261"/>
    <mergeCell ref="AH262:AK262"/>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AA305:AK305"/>
    <mergeCell ref="AA335:AK335"/>
    <mergeCell ref="AD412:AE412"/>
    <mergeCell ref="AA297:AK297"/>
    <mergeCell ref="N370:Q370"/>
    <mergeCell ref="AA332:AF332"/>
    <mergeCell ref="AA327:AK327"/>
    <mergeCell ref="AA339:AF339"/>
    <mergeCell ref="J367:K367"/>
    <mergeCell ref="AA319:AK319"/>
    <mergeCell ref="AA323:AF323"/>
    <mergeCell ref="H320:R320"/>
    <mergeCell ref="H296:R296"/>
    <mergeCell ref="H323:M323"/>
    <mergeCell ref="AA330:AK330"/>
    <mergeCell ref="H324:M324"/>
    <mergeCell ref="AA325:AK325"/>
    <mergeCell ref="H315:M315"/>
    <mergeCell ref="H414:AE415"/>
    <mergeCell ref="AE425:AF425"/>
    <mergeCell ref="P421:R421"/>
    <mergeCell ref="AI331:AK331"/>
    <mergeCell ref="I392:N392"/>
    <mergeCell ref="M357:N357"/>
    <mergeCell ref="J385:U385"/>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P315:R315"/>
    <mergeCell ref="AA291:AF291"/>
    <mergeCell ref="AI291:AK291"/>
    <mergeCell ref="AI299:AK299"/>
    <mergeCell ref="H297:R297"/>
    <mergeCell ref="AA298:AK298"/>
    <mergeCell ref="H330:R330"/>
    <mergeCell ref="H325:R325"/>
    <mergeCell ref="M265:T265"/>
    <mergeCell ref="AA314:AK314"/>
    <mergeCell ref="AA313:AK313"/>
    <mergeCell ref="H319:R319"/>
    <mergeCell ref="AA316:AF316"/>
    <mergeCell ref="A83:AT84"/>
    <mergeCell ref="W253:X253"/>
    <mergeCell ref="M251:AE251"/>
    <mergeCell ref="AA301:AK301"/>
    <mergeCell ref="H301:R301"/>
    <mergeCell ref="AA249:AK249"/>
    <mergeCell ref="AA292:AF292"/>
    <mergeCell ref="AB276:AD276"/>
    <mergeCell ref="Y278:AD278"/>
    <mergeCell ref="AA295:AK295"/>
    <mergeCell ref="AF259:AK259"/>
    <mergeCell ref="AC261:AE261"/>
    <mergeCell ref="M248:AE248"/>
    <mergeCell ref="AC253:AE253"/>
    <mergeCell ref="L277:AD277"/>
    <mergeCell ref="T278:V278"/>
    <mergeCell ref="Z255:AE255"/>
    <mergeCell ref="M262:AE262"/>
    <mergeCell ref="AA299:AF299"/>
    <mergeCell ref="A105:AT106"/>
    <mergeCell ref="T267:X267"/>
    <mergeCell ref="P291:R291"/>
    <mergeCell ref="L274:AJ274"/>
    <mergeCell ref="H289:R289"/>
    <mergeCell ref="H291:M291"/>
    <mergeCell ref="H299:M299"/>
    <mergeCell ref="H300:M300"/>
    <mergeCell ref="AA257:AK257"/>
    <mergeCell ref="M260:AE260"/>
    <mergeCell ref="AA265:AK265"/>
    <mergeCell ref="A86:AT87"/>
    <mergeCell ref="A89:AT90"/>
    <mergeCell ref="A92:AT98"/>
    <mergeCell ref="A100:AT103"/>
    <mergeCell ref="I184:AE184"/>
    <mergeCell ref="X176:Y176"/>
    <mergeCell ref="X180:Y180"/>
    <mergeCell ref="AP205:AQ205"/>
    <mergeCell ref="AI229:AJ229"/>
    <mergeCell ref="M235:AE235"/>
    <mergeCell ref="U175:V175"/>
    <mergeCell ref="R177:S177"/>
    <mergeCell ref="U236:W236"/>
    <mergeCell ref="M243:AE243"/>
    <mergeCell ref="D204:M204"/>
    <mergeCell ref="Z247:AE247"/>
    <mergeCell ref="W245:X245"/>
    <mergeCell ref="U255:W255"/>
    <mergeCell ref="P299:R299"/>
    <mergeCell ref="M237:AE237"/>
    <mergeCell ref="AC245:AE245"/>
    <mergeCell ref="H293:R293"/>
    <mergeCell ref="AH254:AK254"/>
    <mergeCell ref="P113:S113"/>
    <mergeCell ref="I185:AE185"/>
    <mergeCell ref="D205:M205"/>
    <mergeCell ref="J174:AB174"/>
    <mergeCell ref="M238:T238"/>
    <mergeCell ref="T197:U197"/>
    <mergeCell ref="P205:U205"/>
    <mergeCell ref="M239:AE239"/>
    <mergeCell ref="AF178:AG178"/>
    <mergeCell ref="AF251:AK251"/>
    <mergeCell ref="M244:AE244"/>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I226:AJ226"/>
    <mergeCell ref="T189:AE189"/>
    <mergeCell ref="T195:U195"/>
    <mergeCell ref="E187:AE188"/>
    <mergeCell ref="I189:P189"/>
    <mergeCell ref="Z199:AA199"/>
    <mergeCell ref="AH197:AI197"/>
    <mergeCell ref="L113:O113"/>
    <mergeCell ref="T196:U196"/>
    <mergeCell ref="D220:Z220"/>
    <mergeCell ref="T193:AI193"/>
    <mergeCell ref="M233:AE233"/>
    <mergeCell ref="M234:T234"/>
    <mergeCell ref="AC234:AE234"/>
    <mergeCell ref="W234:X234"/>
    <mergeCell ref="I190:N190"/>
    <mergeCell ref="M247:R247"/>
    <mergeCell ref="A222:AT223"/>
    <mergeCell ref="M245:T245"/>
    <mergeCell ref="D208:M208"/>
    <mergeCell ref="Y117:AK117"/>
    <mergeCell ref="T190:AE190"/>
    <mergeCell ref="M232:AK232"/>
    <mergeCell ref="N191:AE192"/>
    <mergeCell ref="AH194:AI194"/>
    <mergeCell ref="U247:W247"/>
    <mergeCell ref="M252:AE252"/>
    <mergeCell ref="M254:AE254"/>
    <mergeCell ref="M246:AE246"/>
    <mergeCell ref="AA238:AK238"/>
    <mergeCell ref="Y120:AK120"/>
    <mergeCell ref="O160:T160"/>
    <mergeCell ref="AI178:AK178"/>
    <mergeCell ref="AB212:AC212"/>
    <mergeCell ref="AF243:AK243"/>
    <mergeCell ref="AI227:AJ227"/>
    <mergeCell ref="Y123:AK123"/>
    <mergeCell ref="F150:T150"/>
    <mergeCell ref="Z205:AN205"/>
    <mergeCell ref="J173:S173"/>
    <mergeCell ref="O155:AH155"/>
    <mergeCell ref="O153:AH153"/>
    <mergeCell ref="O154:AH154"/>
    <mergeCell ref="O156:AH156"/>
    <mergeCell ref="O157:X157"/>
    <mergeCell ref="O158:R158"/>
    <mergeCell ref="W159:X159"/>
    <mergeCell ref="O159:T159"/>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282:AT283"/>
    <mergeCell ref="AA290:AK290"/>
    <mergeCell ref="H295:R295"/>
    <mergeCell ref="AA287:AK287"/>
    <mergeCell ref="M255:R255"/>
    <mergeCell ref="M253:T253"/>
    <mergeCell ref="M249:T249"/>
    <mergeCell ref="D211:M211"/>
    <mergeCell ref="AI228:AJ228"/>
    <mergeCell ref="AA321:AK321"/>
    <mergeCell ref="H307:M307"/>
    <mergeCell ref="M263:R263"/>
    <mergeCell ref="H321:R321"/>
    <mergeCell ref="H322:R322"/>
    <mergeCell ref="AA331:AF331"/>
    <mergeCell ref="H317:R317"/>
    <mergeCell ref="H329:R329"/>
    <mergeCell ref="H288:R288"/>
    <mergeCell ref="AC347:AE347"/>
    <mergeCell ref="P343:AE343"/>
    <mergeCell ref="AA340:AF340"/>
    <mergeCell ref="AJ356:AK356"/>
    <mergeCell ref="P339:R339"/>
    <mergeCell ref="N363:O363"/>
    <mergeCell ref="H332:M332"/>
    <mergeCell ref="H335:R335"/>
    <mergeCell ref="AI315:AK315"/>
    <mergeCell ref="AA312:AK312"/>
    <mergeCell ref="AA329:AK329"/>
    <mergeCell ref="P331:R331"/>
    <mergeCell ref="AA324:AF324"/>
    <mergeCell ref="H328:R328"/>
    <mergeCell ref="AJ357:AK357"/>
    <mergeCell ref="M358:N358"/>
    <mergeCell ref="H340:M340"/>
    <mergeCell ref="I421:K421"/>
    <mergeCell ref="T564:V564"/>
    <mergeCell ref="Z570:AK570"/>
    <mergeCell ref="P346:AE346"/>
    <mergeCell ref="P344:AE344"/>
    <mergeCell ref="AI560:AL560"/>
    <mergeCell ref="T562:V562"/>
    <mergeCell ref="O529:AA529"/>
    <mergeCell ref="AH533:AK533"/>
    <mergeCell ref="AH509:AK509"/>
    <mergeCell ref="AC515:AF515"/>
    <mergeCell ref="S401:U401"/>
    <mergeCell ref="V377:W377"/>
    <mergeCell ref="S377:T377"/>
    <mergeCell ref="D437:AF437"/>
    <mergeCell ref="J387:U387"/>
    <mergeCell ref="D442:AF442"/>
    <mergeCell ref="AF430:AG430"/>
    <mergeCell ref="AC385:AJ385"/>
    <mergeCell ref="C564:L564"/>
    <mergeCell ref="M564:P564"/>
    <mergeCell ref="C565:L565"/>
    <mergeCell ref="AE563:AH563"/>
    <mergeCell ref="C562:L562"/>
    <mergeCell ref="Q560:S560"/>
    <mergeCell ref="Q565:S565"/>
    <mergeCell ref="Q561:S561"/>
    <mergeCell ref="AE554:AH554"/>
    <mergeCell ref="Z556:AD556"/>
    <mergeCell ref="AI555:AL555"/>
    <mergeCell ref="T559:V559"/>
    <mergeCell ref="G569:R569"/>
    <mergeCell ref="O726:S726"/>
    <mergeCell ref="K725:N725"/>
    <mergeCell ref="AI663:AK663"/>
    <mergeCell ref="Z661:AK661"/>
    <mergeCell ref="X720:AB720"/>
    <mergeCell ref="X722:AB722"/>
    <mergeCell ref="Z685:AK685"/>
    <mergeCell ref="G675:R675"/>
    <mergeCell ref="Z667:AK667"/>
    <mergeCell ref="AE696:AI696"/>
    <mergeCell ref="T720:W720"/>
    <mergeCell ref="Z671:AE671"/>
    <mergeCell ref="Z668:AK668"/>
    <mergeCell ref="P663:R663"/>
    <mergeCell ref="G721:J721"/>
    <mergeCell ref="G722:J722"/>
    <mergeCell ref="Z677:AK677"/>
    <mergeCell ref="AI679:AK679"/>
    <mergeCell ref="Z663:AE663"/>
    <mergeCell ref="H664:R664"/>
    <mergeCell ref="K718:N718"/>
    <mergeCell ref="K719:N719"/>
    <mergeCell ref="G718:J718"/>
    <mergeCell ref="AH719:AJ719"/>
    <mergeCell ref="G670:R670"/>
    <mergeCell ref="Z669:AK669"/>
    <mergeCell ref="E707:AK707"/>
    <mergeCell ref="W706:AK706"/>
    <mergeCell ref="Z662:AK662"/>
    <mergeCell ref="AG665:AH665"/>
    <mergeCell ref="B722:F722"/>
    <mergeCell ref="T714:W717"/>
    <mergeCell ref="P655:R655"/>
    <mergeCell ref="Z653:AK653"/>
    <mergeCell ref="Z647:AE647"/>
    <mergeCell ref="G677:R677"/>
    <mergeCell ref="AG380:AH380"/>
    <mergeCell ref="V381:W381"/>
    <mergeCell ref="Z678:AK678"/>
    <mergeCell ref="G685:R685"/>
    <mergeCell ref="AH724:AJ724"/>
    <mergeCell ref="N673:O673"/>
    <mergeCell ref="G687:L687"/>
    <mergeCell ref="T722:W722"/>
    <mergeCell ref="AA672:AK672"/>
    <mergeCell ref="Z684:AK684"/>
    <mergeCell ref="G684:R684"/>
    <mergeCell ref="G723:J723"/>
    <mergeCell ref="O725:S725"/>
    <mergeCell ref="Q394:U394"/>
    <mergeCell ref="G659:R659"/>
    <mergeCell ref="H606:R606"/>
    <mergeCell ref="Z643:AK643"/>
    <mergeCell ref="N649:O649"/>
    <mergeCell ref="Q563:S563"/>
    <mergeCell ref="AI565:AL565"/>
    <mergeCell ref="N583:O583"/>
    <mergeCell ref="AE562:AH562"/>
    <mergeCell ref="Q562:S562"/>
    <mergeCell ref="AG607:AH607"/>
    <mergeCell ref="M560:P560"/>
    <mergeCell ref="AH537:AK537"/>
    <mergeCell ref="AC534:AF534"/>
    <mergeCell ref="Q556:S556"/>
    <mergeCell ref="G613:L613"/>
    <mergeCell ref="M562:P562"/>
    <mergeCell ref="M563:P563"/>
    <mergeCell ref="G597:L597"/>
    <mergeCell ref="G653:R653"/>
    <mergeCell ref="AG681:AH681"/>
    <mergeCell ref="Q564:S564"/>
    <mergeCell ref="AI687:AK687"/>
    <mergeCell ref="G727:J727"/>
    <mergeCell ref="N657:O657"/>
    <mergeCell ref="Z660:AK660"/>
    <mergeCell ref="G663:L663"/>
    <mergeCell ref="T719:W719"/>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571:AK571"/>
    <mergeCell ref="P589:R589"/>
    <mergeCell ref="AF628:AJ628"/>
    <mergeCell ref="H582:R582"/>
    <mergeCell ref="Z569:AK569"/>
    <mergeCell ref="C561:L561"/>
    <mergeCell ref="AM559:AS559"/>
    <mergeCell ref="T565:V565"/>
    <mergeCell ref="C560:L560"/>
    <mergeCell ref="Z560:AD560"/>
    <mergeCell ref="Z580:AK580"/>
    <mergeCell ref="AM555:AS555"/>
    <mergeCell ref="AI557:AL557"/>
    <mergeCell ref="Z555:AD555"/>
    <mergeCell ref="AE556:AH556"/>
    <mergeCell ref="Q558:S558"/>
    <mergeCell ref="AI558:AL558"/>
    <mergeCell ref="AM557:AS557"/>
    <mergeCell ref="AE557:AH557"/>
    <mergeCell ref="AI554:AL554"/>
    <mergeCell ref="AI562:AL562"/>
    <mergeCell ref="C554:L554"/>
    <mergeCell ref="C555:L555"/>
    <mergeCell ref="AE558:AH558"/>
    <mergeCell ref="W564:Y564"/>
    <mergeCell ref="G570:R570"/>
    <mergeCell ref="AM564:AS564"/>
    <mergeCell ref="AM554:AS554"/>
    <mergeCell ref="T557:V557"/>
    <mergeCell ref="M554:P554"/>
    <mergeCell ref="C825:H825"/>
    <mergeCell ref="B727:F727"/>
    <mergeCell ref="AH745:AJ745"/>
    <mergeCell ref="AH746:AJ746"/>
    <mergeCell ref="AH747:AJ747"/>
    <mergeCell ref="W467:Y467"/>
    <mergeCell ref="D406:AJ407"/>
    <mergeCell ref="W470:Y470"/>
    <mergeCell ref="D471:V471"/>
    <mergeCell ref="AG439:AJ439"/>
    <mergeCell ref="AG443:AJ443"/>
    <mergeCell ref="AG444:AJ444"/>
    <mergeCell ref="B489:P490"/>
    <mergeCell ref="AC506:AF506"/>
    <mergeCell ref="C829:H829"/>
    <mergeCell ref="M561:P561"/>
    <mergeCell ref="AC540:AF540"/>
    <mergeCell ref="M557:P557"/>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C826:H826"/>
    <mergeCell ref="U829:X829"/>
    <mergeCell ref="T796:W796"/>
    <mergeCell ref="X774:AB774"/>
    <mergeCell ref="O790:S790"/>
    <mergeCell ref="X737:AB737"/>
    <mergeCell ref="T739:W739"/>
    <mergeCell ref="G752:J752"/>
    <mergeCell ref="AG657:AH657"/>
    <mergeCell ref="G661:R661"/>
    <mergeCell ref="G593:R593"/>
    <mergeCell ref="G579:R579"/>
    <mergeCell ref="Z559:AD559"/>
    <mergeCell ref="G679:L679"/>
    <mergeCell ref="Z659:AK659"/>
    <mergeCell ref="T732:W732"/>
    <mergeCell ref="T731:W731"/>
    <mergeCell ref="AC796:AG796"/>
    <mergeCell ref="AC788:AG788"/>
    <mergeCell ref="AK746:AO746"/>
    <mergeCell ref="AK747:AO747"/>
    <mergeCell ref="M827:P827"/>
    <mergeCell ref="J797:N797"/>
    <mergeCell ref="J795:N795"/>
    <mergeCell ref="AC774:AG774"/>
    <mergeCell ref="X777:AB777"/>
    <mergeCell ref="O723:S723"/>
    <mergeCell ref="X723:AB723"/>
    <mergeCell ref="O724:S724"/>
    <mergeCell ref="T725:W725"/>
    <mergeCell ref="G724:J724"/>
    <mergeCell ref="T729:W729"/>
    <mergeCell ref="K729:N729"/>
    <mergeCell ref="AC793:AG793"/>
    <mergeCell ref="X775:AB775"/>
    <mergeCell ref="X776:AB776"/>
    <mergeCell ref="AC775:AG775"/>
    <mergeCell ref="AC783:AG786"/>
    <mergeCell ref="J791:N791"/>
    <mergeCell ref="X792:AB792"/>
    <mergeCell ref="M825:P825"/>
    <mergeCell ref="O777:S777"/>
    <mergeCell ref="O775:S775"/>
    <mergeCell ref="T748:W748"/>
    <mergeCell ref="X747:AB747"/>
    <mergeCell ref="K751:N751"/>
    <mergeCell ref="K750:N750"/>
    <mergeCell ref="X748:AB748"/>
    <mergeCell ref="X749:AB749"/>
    <mergeCell ref="X750:AB750"/>
    <mergeCell ref="AC749:AG749"/>
    <mergeCell ref="AC750:AG750"/>
    <mergeCell ref="AC751:AG751"/>
    <mergeCell ref="Z808:AE808"/>
    <mergeCell ref="Y800:AC800"/>
    <mergeCell ref="T751:W751"/>
    <mergeCell ref="K748:N748"/>
    <mergeCell ref="O747:S747"/>
    <mergeCell ref="T747:W747"/>
    <mergeCell ref="T744:W744"/>
    <mergeCell ref="X743:AB743"/>
    <mergeCell ref="X744:AB744"/>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AC777:AG777"/>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AC885:AH885"/>
    <mergeCell ref="W852:AC852"/>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F943:T943"/>
    <mergeCell ref="U943:Z943"/>
    <mergeCell ref="AA943:AF943"/>
    <mergeCell ref="F929:T929"/>
    <mergeCell ref="AA921:AF921"/>
    <mergeCell ref="U939:Z939"/>
    <mergeCell ref="F935:T935"/>
    <mergeCell ref="U935:Z935"/>
    <mergeCell ref="F938:T938"/>
    <mergeCell ref="F939:T939"/>
    <mergeCell ref="U938:Z938"/>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86:AK1090"/>
    <mergeCell ref="AA927:AF927"/>
    <mergeCell ref="U922:Z922"/>
    <mergeCell ref="AA968:AG968"/>
    <mergeCell ref="T971:Z971"/>
    <mergeCell ref="AA940:AF940"/>
    <mergeCell ref="U914:Z916"/>
    <mergeCell ref="AJ1028:AQ1030"/>
    <mergeCell ref="C894:AB894"/>
    <mergeCell ref="Z898:AE898"/>
    <mergeCell ref="AC892:AH892"/>
    <mergeCell ref="AA931:AF931"/>
    <mergeCell ref="F937:T937"/>
    <mergeCell ref="BN640:BR640"/>
    <mergeCell ref="W636:Y636"/>
    <mergeCell ref="W637:Y637"/>
    <mergeCell ref="BN655:BR655"/>
    <mergeCell ref="BK632:BL632"/>
    <mergeCell ref="BN632:BR632"/>
    <mergeCell ref="M635:P635"/>
    <mergeCell ref="M636:P636"/>
    <mergeCell ref="M637:P637"/>
    <mergeCell ref="M638:P638"/>
    <mergeCell ref="G654:R654"/>
    <mergeCell ref="BI841:BL841"/>
    <mergeCell ref="AC823:AF824"/>
    <mergeCell ref="Z816:AE816"/>
    <mergeCell ref="AC773:AG773"/>
    <mergeCell ref="AC725:AG725"/>
    <mergeCell ref="AC726:AG726"/>
    <mergeCell ref="AC830:AF830"/>
    <mergeCell ref="Q832:T832"/>
    <mergeCell ref="X794:AB794"/>
    <mergeCell ref="AG830:AJ830"/>
    <mergeCell ref="J788:N788"/>
    <mergeCell ref="U832:X832"/>
    <mergeCell ref="M832:P832"/>
    <mergeCell ref="T773:W773"/>
    <mergeCell ref="Y801:AC801"/>
    <mergeCell ref="Q828:T828"/>
    <mergeCell ref="T728:W728"/>
    <mergeCell ref="AC740:AG740"/>
    <mergeCell ref="AC741:AG741"/>
    <mergeCell ref="AC737:AG737"/>
    <mergeCell ref="J769:N772"/>
    <mergeCell ref="H614:R614"/>
    <mergeCell ref="Z632:AB632"/>
    <mergeCell ref="G651:R651"/>
    <mergeCell ref="G652:R652"/>
    <mergeCell ref="BG627:BH627"/>
    <mergeCell ref="BI627:BJ627"/>
    <mergeCell ref="BK627:BL627"/>
    <mergeCell ref="BK625:BL625"/>
    <mergeCell ref="Z631:AB631"/>
    <mergeCell ref="AF624:AJ626"/>
    <mergeCell ref="W633:Y633"/>
    <mergeCell ref="Z630:AB630"/>
    <mergeCell ref="AC630:AE630"/>
    <mergeCell ref="BE630:BF630"/>
    <mergeCell ref="BS617:BW617"/>
    <mergeCell ref="BS615:BW615"/>
    <mergeCell ref="BN646:BR646"/>
    <mergeCell ref="BN647:BR647"/>
    <mergeCell ref="A617:AT618"/>
    <mergeCell ref="AO633:AS633"/>
    <mergeCell ref="AO628:AS628"/>
    <mergeCell ref="AO631:AS631"/>
    <mergeCell ref="AO629:AS629"/>
    <mergeCell ref="AF630:AJ630"/>
    <mergeCell ref="BI631:BJ631"/>
    <mergeCell ref="BS640:BW640"/>
    <mergeCell ref="Z633:AB633"/>
    <mergeCell ref="BE614:BF614"/>
    <mergeCell ref="BG616:BH616"/>
    <mergeCell ref="BG632:BH632"/>
    <mergeCell ref="BS630:BW630"/>
    <mergeCell ref="BN639:BR639"/>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Z652:AK652"/>
    <mergeCell ref="P647:R647"/>
    <mergeCell ref="AI647:AK647"/>
    <mergeCell ref="AO624:AS626"/>
    <mergeCell ref="AF629:AJ629"/>
    <mergeCell ref="Q638:S638"/>
    <mergeCell ref="Z634:AB634"/>
    <mergeCell ref="AO632:AS632"/>
    <mergeCell ref="H648:R648"/>
    <mergeCell ref="C627:L627"/>
    <mergeCell ref="C635:L635"/>
    <mergeCell ref="AO640:AS640"/>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C628:L628"/>
    <mergeCell ref="AO638:AS638"/>
    <mergeCell ref="AO641:AS641"/>
    <mergeCell ref="G644:R644"/>
    <mergeCell ref="Z645:AK645"/>
    <mergeCell ref="BN618:BR618"/>
    <mergeCell ref="BE624:BF624"/>
    <mergeCell ref="BI624:BJ624"/>
    <mergeCell ref="AO639:AS639"/>
    <mergeCell ref="BE631:BF631"/>
    <mergeCell ref="W634:Y634"/>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CM616:CQ616"/>
    <mergeCell ref="CC625:CG625"/>
    <mergeCell ref="BS620:BW620"/>
    <mergeCell ref="BX620:CB620"/>
    <mergeCell ref="CM611:CQ611"/>
    <mergeCell ref="BG617:BH617"/>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CC618:CG618"/>
    <mergeCell ref="BE613:BF613"/>
    <mergeCell ref="BK617:BL617"/>
    <mergeCell ref="CC606:CG606"/>
    <mergeCell ref="CC610:CG610"/>
    <mergeCell ref="CC607:CG607"/>
    <mergeCell ref="BS608:BW608"/>
    <mergeCell ref="BN608:BR608"/>
    <mergeCell ref="CC609:CG609"/>
    <mergeCell ref="BK609:BL609"/>
    <mergeCell ref="BI608:BJ608"/>
    <mergeCell ref="BG610:BH610"/>
    <mergeCell ref="BG607:BH607"/>
    <mergeCell ref="CM617:CQ617"/>
    <mergeCell ref="CM618:CQ618"/>
    <mergeCell ref="BE615:BF615"/>
    <mergeCell ref="BG619:BH619"/>
    <mergeCell ref="CH618:CL618"/>
    <mergeCell ref="BI619:BJ619"/>
    <mergeCell ref="CH611:CL611"/>
    <mergeCell ref="BS611:BW611"/>
    <mergeCell ref="BG609:BH609"/>
    <mergeCell ref="CC616:CG616"/>
    <mergeCell ref="AK634:AN634"/>
    <mergeCell ref="M631:P631"/>
    <mergeCell ref="M632:P632"/>
    <mergeCell ref="AI613:AK613"/>
    <mergeCell ref="P581:R581"/>
    <mergeCell ref="AI572:AK572"/>
    <mergeCell ref="AA582:AK582"/>
    <mergeCell ref="AG591:AH591"/>
    <mergeCell ref="AF574:AK574"/>
    <mergeCell ref="Z585:AK585"/>
    <mergeCell ref="G586:R586"/>
    <mergeCell ref="G603:R603"/>
    <mergeCell ref="N607:O607"/>
    <mergeCell ref="P597:R597"/>
    <mergeCell ref="Z610:AK610"/>
    <mergeCell ref="Z572:AE572"/>
    <mergeCell ref="AA614:AK614"/>
    <mergeCell ref="CM596:CQ596"/>
    <mergeCell ref="CM597:CQ597"/>
    <mergeCell ref="CM598:CQ598"/>
    <mergeCell ref="CM599:CQ599"/>
    <mergeCell ref="Z597:AE597"/>
    <mergeCell ref="AH519:AK519"/>
    <mergeCell ref="AH536:AK536"/>
    <mergeCell ref="AG448:AJ448"/>
    <mergeCell ref="AH528:AK528"/>
    <mergeCell ref="AH505:AK505"/>
    <mergeCell ref="W560:Y560"/>
    <mergeCell ref="T555:V555"/>
    <mergeCell ref="T558:V558"/>
    <mergeCell ref="W561:Y561"/>
    <mergeCell ref="W562:Y562"/>
    <mergeCell ref="T560:V560"/>
    <mergeCell ref="Z561:AD561"/>
    <mergeCell ref="W559:Y559"/>
    <mergeCell ref="AE559:AH559"/>
    <mergeCell ref="AI559:AL559"/>
    <mergeCell ref="AH520:AK520"/>
    <mergeCell ref="AC537:AF537"/>
    <mergeCell ref="AH539:AK539"/>
    <mergeCell ref="AH541:AK541"/>
    <mergeCell ref="AC535:AF535"/>
    <mergeCell ref="AH542:AK542"/>
    <mergeCell ref="AC542:AF542"/>
    <mergeCell ref="AC533:AF533"/>
    <mergeCell ref="AC541:AF541"/>
    <mergeCell ref="W557:Y557"/>
    <mergeCell ref="AC501:AF501"/>
    <mergeCell ref="AH526:AK526"/>
    <mergeCell ref="AC518:AF518"/>
    <mergeCell ref="AG449:AJ449"/>
    <mergeCell ref="AH507:AK507"/>
    <mergeCell ref="AC526:AF526"/>
    <mergeCell ref="AH531:AK531"/>
    <mergeCell ref="Q551:S553"/>
    <mergeCell ref="T551:V553"/>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G572:L572"/>
    <mergeCell ref="Z581:AE581"/>
    <mergeCell ref="Z586:AK586"/>
    <mergeCell ref="T561:V561"/>
    <mergeCell ref="AG379:AH379"/>
    <mergeCell ref="AM558:AS558"/>
    <mergeCell ref="AM566:AS566"/>
    <mergeCell ref="AM556:AS556"/>
    <mergeCell ref="Z432:AA432"/>
    <mergeCell ref="Q487:AK487"/>
    <mergeCell ref="Q486:AK486"/>
    <mergeCell ref="AH502:AK502"/>
    <mergeCell ref="AC499:AK499"/>
    <mergeCell ref="D444:AF444"/>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M616:DQ616"/>
    <mergeCell ref="CS616:CW616"/>
    <mergeCell ref="CS614:CW614"/>
    <mergeCell ref="CX613:DB613"/>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CC660:CG660"/>
    <mergeCell ref="BS660:BW660"/>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U828:X828"/>
    <mergeCell ref="AG828:AJ828"/>
    <mergeCell ref="Z807:AE807"/>
    <mergeCell ref="X769:AB772"/>
    <mergeCell ref="Z683:AK683"/>
    <mergeCell ref="AH734:AJ734"/>
    <mergeCell ref="AG826:AJ826"/>
    <mergeCell ref="AK731:AO731"/>
    <mergeCell ref="AK738:AO738"/>
    <mergeCell ref="AK736:AO736"/>
    <mergeCell ref="AG823:AJ824"/>
    <mergeCell ref="AC797:AG797"/>
    <mergeCell ref="AC787:AG787"/>
    <mergeCell ref="AH748:AJ748"/>
    <mergeCell ref="BN660:BR660"/>
    <mergeCell ref="AK743:AO743"/>
    <mergeCell ref="AK744:AO744"/>
    <mergeCell ref="BN645:BR645"/>
    <mergeCell ref="T794:W794"/>
    <mergeCell ref="T792:W792"/>
    <mergeCell ref="X788:AB788"/>
    <mergeCell ref="T734:W734"/>
    <mergeCell ref="AO636:AS636"/>
    <mergeCell ref="BS645:BW645"/>
    <mergeCell ref="BX652:CB652"/>
    <mergeCell ref="BX651:CB651"/>
    <mergeCell ref="BN641:BR641"/>
    <mergeCell ref="BN637:BR637"/>
    <mergeCell ref="BS631:BW631"/>
    <mergeCell ref="Z651:AK651"/>
    <mergeCell ref="CB796:CH796"/>
    <mergeCell ref="BN796:BO796"/>
    <mergeCell ref="AH714:AJ717"/>
    <mergeCell ref="AH725:AJ725"/>
    <mergeCell ref="Z655:AE655"/>
    <mergeCell ref="BG631:BH631"/>
    <mergeCell ref="AK718:AO718"/>
    <mergeCell ref="AK719:AO719"/>
    <mergeCell ref="AC729:AG729"/>
    <mergeCell ref="BS637:BW637"/>
    <mergeCell ref="CH652:CL652"/>
    <mergeCell ref="BS655:BW655"/>
    <mergeCell ref="BX655:CB655"/>
    <mergeCell ref="CC652:CG652"/>
    <mergeCell ref="CC653:CG653"/>
    <mergeCell ref="CC654:CG654"/>
    <mergeCell ref="BX653:CB653"/>
    <mergeCell ref="BX654:CB654"/>
    <mergeCell ref="BX660:CB660"/>
    <mergeCell ref="Z635:AB635"/>
    <mergeCell ref="BG975:BL975"/>
    <mergeCell ref="AA949:AF949"/>
    <mergeCell ref="BD906:BE906"/>
    <mergeCell ref="BD907:BE907"/>
    <mergeCell ref="U946:Z946"/>
    <mergeCell ref="U918:Z918"/>
    <mergeCell ref="U944:Z944"/>
    <mergeCell ref="AA933:AF933"/>
    <mergeCell ref="U920:Z920"/>
    <mergeCell ref="AA920:AF920"/>
    <mergeCell ref="U919:Z919"/>
    <mergeCell ref="M967:S967"/>
    <mergeCell ref="AA924:AF924"/>
    <mergeCell ref="AE957:AK957"/>
    <mergeCell ref="BD905:BF905"/>
    <mergeCell ref="BD904:BF904"/>
    <mergeCell ref="BD909:BE909"/>
    <mergeCell ref="AB956:AK956"/>
    <mergeCell ref="U948:Z948"/>
    <mergeCell ref="AA934:AF934"/>
    <mergeCell ref="AA917:AF917"/>
    <mergeCell ref="M961:S961"/>
    <mergeCell ref="AA970:AG970"/>
    <mergeCell ref="AA967:AG967"/>
    <mergeCell ref="Y828:AB828"/>
    <mergeCell ref="AC769:AG772"/>
    <mergeCell ref="Y832:AB832"/>
    <mergeCell ref="AG827:AJ827"/>
    <mergeCell ref="AC790:AG790"/>
    <mergeCell ref="AC831:AF831"/>
    <mergeCell ref="M957:S957"/>
    <mergeCell ref="BG848:BL848"/>
    <mergeCell ref="AH731:AJ731"/>
    <mergeCell ref="D1064:AK1069"/>
    <mergeCell ref="J773:N773"/>
    <mergeCell ref="O773:S773"/>
    <mergeCell ref="T752:W752"/>
    <mergeCell ref="J776:N776"/>
    <mergeCell ref="M874:V874"/>
    <mergeCell ref="R985:AA985"/>
    <mergeCell ref="M958:S958"/>
    <mergeCell ref="AE958:AK958"/>
    <mergeCell ref="W973:AG973"/>
    <mergeCell ref="M972:S972"/>
    <mergeCell ref="M971:S971"/>
    <mergeCell ref="M960:S960"/>
    <mergeCell ref="E885:AB885"/>
    <mergeCell ref="A909:AT910"/>
    <mergeCell ref="U937:Z937"/>
    <mergeCell ref="U927:Z927"/>
    <mergeCell ref="U947:Z947"/>
    <mergeCell ref="U934:Z934"/>
    <mergeCell ref="AA922:AF922"/>
    <mergeCell ref="AB916:AE916"/>
    <mergeCell ref="Y830:AB830"/>
    <mergeCell ref="Q829:T829"/>
    <mergeCell ref="T795:W795"/>
    <mergeCell ref="O774:S774"/>
    <mergeCell ref="O794:S794"/>
    <mergeCell ref="Z806:AE806"/>
    <mergeCell ref="AH740:AJ740"/>
    <mergeCell ref="M831:P831"/>
    <mergeCell ref="AA971:AG971"/>
    <mergeCell ref="A1103:B1103"/>
    <mergeCell ref="G725:J725"/>
    <mergeCell ref="B732:F732"/>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W842:AC842"/>
    <mergeCell ref="W847:AC847"/>
    <mergeCell ref="O797:S797"/>
    <mergeCell ref="AE954:AK954"/>
    <mergeCell ref="I949:T949"/>
    <mergeCell ref="U928:Z928"/>
    <mergeCell ref="AA928:AF928"/>
    <mergeCell ref="U929:Z929"/>
    <mergeCell ref="AA929:AF929"/>
    <mergeCell ref="U930:Z930"/>
    <mergeCell ref="U917:Z917"/>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45:AB745"/>
    <mergeCell ref="K733:N733"/>
    <mergeCell ref="J774:N774"/>
    <mergeCell ref="O727:S727"/>
    <mergeCell ref="O756:R756"/>
    <mergeCell ref="AG756:AJ756"/>
    <mergeCell ref="AC747:AG747"/>
    <mergeCell ref="U921:Z921"/>
    <mergeCell ref="AA923:AF923"/>
    <mergeCell ref="M968:S968"/>
    <mergeCell ref="M846:V846"/>
    <mergeCell ref="AC789:AG789"/>
    <mergeCell ref="W843:AC843"/>
    <mergeCell ref="J849:V849"/>
    <mergeCell ref="AC893:AH893"/>
    <mergeCell ref="B992:AE992"/>
    <mergeCell ref="D1044:AE1044"/>
    <mergeCell ref="D1013:AE1014"/>
    <mergeCell ref="AG1044:AH1044"/>
    <mergeCell ref="D1016:AE1018"/>
    <mergeCell ref="AG1031:AH1031"/>
    <mergeCell ref="D1035:AE1035"/>
    <mergeCell ref="D1006:AE1006"/>
    <mergeCell ref="R989:AA989"/>
    <mergeCell ref="Q827:T827"/>
    <mergeCell ref="Y826:AB826"/>
    <mergeCell ref="Z813:AE813"/>
    <mergeCell ref="Y825:AB825"/>
    <mergeCell ref="AC825:AF825"/>
    <mergeCell ref="M826:P826"/>
    <mergeCell ref="M871:V871"/>
    <mergeCell ref="AH723:AJ723"/>
    <mergeCell ref="AA919:AF919"/>
    <mergeCell ref="AA918:AF918"/>
    <mergeCell ref="U924:Z924"/>
    <mergeCell ref="AA935:AF935"/>
    <mergeCell ref="U942:Z942"/>
    <mergeCell ref="W872:AC872"/>
    <mergeCell ref="AC884:AH884"/>
    <mergeCell ref="AC888:AH888"/>
    <mergeCell ref="M875:V875"/>
    <mergeCell ref="W877:AC877"/>
    <mergeCell ref="W853:AC853"/>
    <mergeCell ref="AC886:AH886"/>
    <mergeCell ref="W861:AC861"/>
    <mergeCell ref="W855:AC855"/>
    <mergeCell ref="W866:AC866"/>
    <mergeCell ref="G753:J753"/>
    <mergeCell ref="AH750:AJ750"/>
    <mergeCell ref="AH751:AJ751"/>
    <mergeCell ref="T776:W776"/>
    <mergeCell ref="AH749:AJ749"/>
    <mergeCell ref="F831:L831"/>
    <mergeCell ref="AH739:AJ739"/>
    <mergeCell ref="D1083:AK1085"/>
    <mergeCell ref="J792:N792"/>
    <mergeCell ref="M878:V878"/>
    <mergeCell ref="Q825:T825"/>
    <mergeCell ref="W870:AC870"/>
    <mergeCell ref="AK748:AO748"/>
    <mergeCell ref="W846:AC846"/>
    <mergeCell ref="D1076:AK1082"/>
    <mergeCell ref="AC828:AF828"/>
    <mergeCell ref="AG829:AJ829"/>
    <mergeCell ref="X752:AB752"/>
    <mergeCell ref="T972:Z972"/>
    <mergeCell ref="AG825:AJ825"/>
    <mergeCell ref="AC794:AG794"/>
    <mergeCell ref="AC795:AG795"/>
    <mergeCell ref="C828:H828"/>
    <mergeCell ref="M828:P828"/>
    <mergeCell ref="C832:L832"/>
    <mergeCell ref="AE955:AK955"/>
    <mergeCell ref="AA946:AF946"/>
    <mergeCell ref="J794:N794"/>
    <mergeCell ref="U823:X824"/>
    <mergeCell ref="W871:AC871"/>
    <mergeCell ref="J793:N793"/>
    <mergeCell ref="D1029:AE1030"/>
    <mergeCell ref="Q823:T824"/>
    <mergeCell ref="Z809:AE809"/>
    <mergeCell ref="O791:S791"/>
    <mergeCell ref="J783:N786"/>
    <mergeCell ref="B751:F751"/>
    <mergeCell ref="K747:N747"/>
    <mergeCell ref="AC748:AG748"/>
    <mergeCell ref="O748:S748"/>
    <mergeCell ref="T741:W741"/>
    <mergeCell ref="D1098:AK1102"/>
    <mergeCell ref="D1103:AK1105"/>
    <mergeCell ref="X726:AB726"/>
    <mergeCell ref="F930:T930"/>
    <mergeCell ref="F931:T931"/>
    <mergeCell ref="AA938:AF938"/>
    <mergeCell ref="AA939:AF939"/>
    <mergeCell ref="U923:Z923"/>
    <mergeCell ref="D1070:AK1075"/>
    <mergeCell ref="I946:T946"/>
    <mergeCell ref="D1000:AE1000"/>
    <mergeCell ref="D1001:AE1005"/>
    <mergeCell ref="D1010:AE1010"/>
    <mergeCell ref="D1011:AE1011"/>
    <mergeCell ref="AF1026:AI1027"/>
    <mergeCell ref="F915:T916"/>
    <mergeCell ref="AA930:AF930"/>
    <mergeCell ref="U931:Z931"/>
    <mergeCell ref="W878:AC878"/>
    <mergeCell ref="C830:H830"/>
    <mergeCell ref="K737:N737"/>
    <mergeCell ref="T736:W736"/>
    <mergeCell ref="O741:S741"/>
    <mergeCell ref="G729:J729"/>
    <mergeCell ref="B726:F726"/>
    <mergeCell ref="O751:S751"/>
    <mergeCell ref="X790:AB790"/>
    <mergeCell ref="K749:N749"/>
    <mergeCell ref="O749:S749"/>
    <mergeCell ref="X751:AB751"/>
    <mergeCell ref="K740:N740"/>
    <mergeCell ref="O783:S786"/>
    <mergeCell ref="O788:S788"/>
    <mergeCell ref="G736:J736"/>
    <mergeCell ref="AJ1035:AQ1039"/>
    <mergeCell ref="D1040:AE1040"/>
    <mergeCell ref="D1041:AE1043"/>
    <mergeCell ref="AJ1040:AQ1043"/>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J779:K779"/>
    <mergeCell ref="J787:N787"/>
    <mergeCell ref="B739:F739"/>
    <mergeCell ref="K736:N736"/>
    <mergeCell ref="AO630:AS630"/>
    <mergeCell ref="Z611:AK611"/>
    <mergeCell ref="W632:Y632"/>
    <mergeCell ref="W627:Y627"/>
    <mergeCell ref="T627:V627"/>
    <mergeCell ref="Z624:AB626"/>
    <mergeCell ref="AK633:AN633"/>
    <mergeCell ref="AF627:AJ627"/>
    <mergeCell ref="AC631:AE631"/>
    <mergeCell ref="AC632:AE632"/>
    <mergeCell ref="AO627:AS627"/>
    <mergeCell ref="Z605:AE605"/>
    <mergeCell ref="Z609:AK609"/>
    <mergeCell ref="Z613:AE613"/>
    <mergeCell ref="AK624:AN626"/>
    <mergeCell ref="D1091:AK1093"/>
    <mergeCell ref="G686:R686"/>
    <mergeCell ref="N689:O689"/>
    <mergeCell ref="G734:J734"/>
    <mergeCell ref="AJ988:AQ988"/>
    <mergeCell ref="O737:S737"/>
    <mergeCell ref="O738:S738"/>
    <mergeCell ref="Z687:AE687"/>
    <mergeCell ref="AH718:AJ718"/>
    <mergeCell ref="T721:W721"/>
    <mergeCell ref="AC718:AG718"/>
    <mergeCell ref="M959:S959"/>
    <mergeCell ref="Z900:AE900"/>
    <mergeCell ref="X741:AB741"/>
    <mergeCell ref="T727:W727"/>
    <mergeCell ref="U826:X826"/>
    <mergeCell ref="AK714:AO717"/>
    <mergeCell ref="T743:W743"/>
    <mergeCell ref="K744:N744"/>
    <mergeCell ref="G738:J738"/>
    <mergeCell ref="O750:S750"/>
    <mergeCell ref="T742:W742"/>
    <mergeCell ref="AG1040:AH1040"/>
    <mergeCell ref="O730:S730"/>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U831:X831"/>
    <mergeCell ref="Q831:T831"/>
    <mergeCell ref="X791:AB791"/>
    <mergeCell ref="C827:H827"/>
    <mergeCell ref="O744:S744"/>
    <mergeCell ref="U827:X827"/>
    <mergeCell ref="T749:W749"/>
    <mergeCell ref="X746:AB746"/>
    <mergeCell ref="X789:AB789"/>
    <mergeCell ref="O793:S793"/>
    <mergeCell ref="J790:N790"/>
    <mergeCell ref="AJ1015:AQ1018"/>
    <mergeCell ref="AJ1024:AQ1027"/>
    <mergeCell ref="D993:AE993"/>
    <mergeCell ref="D999:AE999"/>
    <mergeCell ref="AF1025:AI1025"/>
    <mergeCell ref="D994:AE997"/>
    <mergeCell ref="D998:AE998"/>
    <mergeCell ref="AG1024:AH1024"/>
    <mergeCell ref="AJ1044:AQ1047"/>
    <mergeCell ref="D1052:AI1052"/>
    <mergeCell ref="D1048:AE1048"/>
    <mergeCell ref="D1045:AE1046"/>
    <mergeCell ref="D1049:AE1050"/>
    <mergeCell ref="X1047:Y1047"/>
    <mergeCell ref="X1051:Y1051"/>
    <mergeCell ref="I1047:J1047"/>
    <mergeCell ref="I1051:J1051"/>
    <mergeCell ref="AG1048:AH1048"/>
    <mergeCell ref="D1031:AE1031"/>
    <mergeCell ref="D1032:AE1034"/>
    <mergeCell ref="AG1035:AH1035"/>
    <mergeCell ref="D1025:AE1027"/>
    <mergeCell ref="AG1019:AH1019"/>
    <mergeCell ref="AF1020:AI1021"/>
    <mergeCell ref="AF1022:AI1023"/>
    <mergeCell ref="AA974:AG974"/>
    <mergeCell ref="AA944:AF944"/>
    <mergeCell ref="AJ1052:AQ1052"/>
    <mergeCell ref="AG1028:AH1028"/>
    <mergeCell ref="AJ989:AQ989"/>
    <mergeCell ref="D1036:AE1039"/>
    <mergeCell ref="AJ985:AQ985"/>
    <mergeCell ref="AJ1000:AQ1005"/>
    <mergeCell ref="AJ1019:AQ1023"/>
    <mergeCell ref="D1019:AE1020"/>
    <mergeCell ref="AB990:AI990"/>
    <mergeCell ref="D1024:AE1024"/>
    <mergeCell ref="AJ986:AQ986"/>
    <mergeCell ref="AJ987:AQ987"/>
    <mergeCell ref="B991:AI991"/>
    <mergeCell ref="R986:AA986"/>
    <mergeCell ref="AB984:AI984"/>
    <mergeCell ref="AB985:AI985"/>
    <mergeCell ref="AB986:AI986"/>
    <mergeCell ref="D986:Q986"/>
    <mergeCell ref="R988:AA988"/>
    <mergeCell ref="AB987:AI987"/>
    <mergeCell ref="D987:Q987"/>
    <mergeCell ref="D988:Q988"/>
    <mergeCell ref="R987:AA987"/>
    <mergeCell ref="D1028:AE1028"/>
    <mergeCell ref="B990:AA990"/>
    <mergeCell ref="AJ1031:AQ1034"/>
    <mergeCell ref="AJ993:AQ999"/>
    <mergeCell ref="AJ1006:AQ1009"/>
    <mergeCell ref="AJ1010:AQ1011"/>
    <mergeCell ref="AJ1012:AQ1014"/>
    <mergeCell ref="DX599:EB599"/>
    <mergeCell ref="EC599:EG599"/>
    <mergeCell ref="EH599:EL599"/>
    <mergeCell ref="EM599:EQ599"/>
    <mergeCell ref="ER599:EV599"/>
    <mergeCell ref="D1021:AE1022"/>
    <mergeCell ref="J1023:AE1023"/>
    <mergeCell ref="DX602:EB602"/>
    <mergeCell ref="EC602:EG602"/>
    <mergeCell ref="EH602:EL602"/>
    <mergeCell ref="EM602:EQ602"/>
    <mergeCell ref="ER602:EV602"/>
    <mergeCell ref="DX605:EB605"/>
    <mergeCell ref="EC605:EG605"/>
    <mergeCell ref="EH605:EL605"/>
    <mergeCell ref="EM605:EQ605"/>
    <mergeCell ref="ER605:EV605"/>
    <mergeCell ref="EM616:EQ616"/>
    <mergeCell ref="EH613:EL613"/>
    <mergeCell ref="EM613:EQ613"/>
    <mergeCell ref="DX616:EB616"/>
    <mergeCell ref="EC616:EG616"/>
    <mergeCell ref="EH616:EL616"/>
    <mergeCell ref="EC609:EG609"/>
    <mergeCell ref="EH609:EL609"/>
    <mergeCell ref="EM609:EQ609"/>
    <mergeCell ref="J956:S956"/>
    <mergeCell ref="AA948:AF948"/>
    <mergeCell ref="U940:Z940"/>
    <mergeCell ref="AA942:AF942"/>
    <mergeCell ref="AA972:AG972"/>
    <mergeCell ref="AE961:AK961"/>
    <mergeCell ref="ER609:EV609"/>
    <mergeCell ref="DX612:EB612"/>
    <mergeCell ref="EC612:EG612"/>
    <mergeCell ref="ER613:EV613"/>
    <mergeCell ref="EC624:EG624"/>
    <mergeCell ref="EH624:EL624"/>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D1015:AE1015"/>
    <mergeCell ref="D1007:AE1009"/>
    <mergeCell ref="M969:S969"/>
    <mergeCell ref="F914:T914"/>
    <mergeCell ref="I947:T947"/>
    <mergeCell ref="AC894:AH894"/>
    <mergeCell ref="AA932:AF932"/>
    <mergeCell ref="M974:S974"/>
    <mergeCell ref="D984:Q984"/>
    <mergeCell ref="D985:Q985"/>
    <mergeCell ref="Z899:AE899"/>
    <mergeCell ref="EW600:FA600"/>
    <mergeCell ref="DX601:EB601"/>
    <mergeCell ref="EC601:EG601"/>
    <mergeCell ref="EH601:EL601"/>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EM601:EQ601"/>
    <mergeCell ref="ER601:EV601"/>
    <mergeCell ref="EW601:FA601"/>
    <mergeCell ref="EW616:FA616"/>
    <mergeCell ref="EH612:EL612"/>
    <mergeCell ref="EM612:EQ612"/>
    <mergeCell ref="EW605:FA605"/>
    <mergeCell ref="DX606:EB606"/>
    <mergeCell ref="EC606:EG606"/>
    <mergeCell ref="EH606:EL606"/>
    <mergeCell ref="EM606:EQ606"/>
    <mergeCell ref="ER606:EV606"/>
    <mergeCell ref="EW606:FA606"/>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M640:EQ640"/>
    <mergeCell ref="DX639:EB639"/>
    <mergeCell ref="EW619:FA619"/>
    <mergeCell ref="EC630:EG630"/>
    <mergeCell ref="EH630:EL630"/>
    <mergeCell ref="EM630:EQ630"/>
    <mergeCell ref="ER630:EV630"/>
    <mergeCell ref="EW630:FA630"/>
    <mergeCell ref="DX631:EB631"/>
    <mergeCell ref="EC631:EG631"/>
    <mergeCell ref="EH631:EL631"/>
    <mergeCell ref="EM631:EQ631"/>
    <mergeCell ref="ER631:EV631"/>
    <mergeCell ref="DX609:EB609"/>
    <mergeCell ref="DX630:EB630"/>
    <mergeCell ref="DX619:EB619"/>
    <mergeCell ref="EC619:EG619"/>
    <mergeCell ref="EW612:FA612"/>
    <mergeCell ref="EW618:FA618"/>
    <mergeCell ref="DX613:EB613"/>
    <mergeCell ref="EC613:EG613"/>
    <mergeCell ref="EH614:EL614"/>
    <mergeCell ref="EM614:EQ614"/>
    <mergeCell ref="ER614:EV614"/>
    <mergeCell ref="EW614:FA614"/>
    <mergeCell ref="DX615:EB615"/>
    <mergeCell ref="EC615:EG615"/>
    <mergeCell ref="EH615:EL615"/>
    <mergeCell ref="DX646:EB646"/>
    <mergeCell ref="EC646:EG646"/>
    <mergeCell ref="EH646:EL646"/>
    <mergeCell ref="DX651:EB651"/>
    <mergeCell ref="EC651:EG651"/>
    <mergeCell ref="EM648:EQ648"/>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EH640:EL640"/>
    <mergeCell ref="EW670:FA670"/>
    <mergeCell ref="EW656:FA656"/>
    <mergeCell ref="DX657:EB657"/>
    <mergeCell ref="EC657:EG657"/>
    <mergeCell ref="EH657:EL657"/>
    <mergeCell ref="EM657:EQ657"/>
    <mergeCell ref="ER657:EV657"/>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DX647:EB647"/>
    <mergeCell ref="EC647:EG647"/>
    <mergeCell ref="DR657:DV657"/>
    <mergeCell ref="EM643:EQ643"/>
    <mergeCell ref="EC648:EG648"/>
    <mergeCell ref="DX643:EB643"/>
    <mergeCell ref="EW639:FA639"/>
    <mergeCell ref="DX640:EB640"/>
    <mergeCell ref="EC640:EG640"/>
    <mergeCell ref="EW640:FA640"/>
    <mergeCell ref="ER643:EV643"/>
    <mergeCell ref="ER640:EV640"/>
    <mergeCell ref="ER639:EV639"/>
    <mergeCell ref="EW637:FA637"/>
    <mergeCell ref="EC645:EG645"/>
    <mergeCell ref="ER645:EV645"/>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W659:FA659"/>
    <mergeCell ref="DX660:EB660"/>
    <mergeCell ref="EC660:EG660"/>
    <mergeCell ref="EH660:EL660"/>
    <mergeCell ref="EM660:EQ660"/>
    <mergeCell ref="DX664:EB664"/>
    <mergeCell ref="EC664:EG664"/>
    <mergeCell ref="EH664:EL664"/>
    <mergeCell ref="DX666:EB666"/>
    <mergeCell ref="ER668:EV668"/>
    <mergeCell ref="EH648:EL648"/>
    <mergeCell ref="EH651:EL651"/>
    <mergeCell ref="EH650:EL650"/>
    <mergeCell ref="EM650:EQ650"/>
    <mergeCell ref="DX653:EB653"/>
    <mergeCell ref="EC653:EG653"/>
    <mergeCell ref="DX654:EB654"/>
    <mergeCell ref="EC654:EG654"/>
    <mergeCell ref="EH654:EL654"/>
    <mergeCell ref="EM649:EQ649"/>
    <mergeCell ref="DX649:EB649"/>
    <mergeCell ref="EH649:EL649"/>
    <mergeCell ref="DX655:EB655"/>
    <mergeCell ref="DX668:EB668"/>
    <mergeCell ref="EC668:EG668"/>
    <mergeCell ref="EH668:EL668"/>
    <mergeCell ref="EM668:EQ668"/>
    <mergeCell ref="EW668:FA668"/>
    <mergeCell ref="EM667:EQ667"/>
    <mergeCell ref="ER667:EV667"/>
    <mergeCell ref="EW667:FA667"/>
    <mergeCell ref="EM661:EQ661"/>
    <mergeCell ref="EW647:FA647"/>
    <mergeCell ref="EW655:FA655"/>
    <mergeCell ref="EW650:FA650"/>
    <mergeCell ref="EW648:FA648"/>
    <mergeCell ref="EW651:FA651"/>
    <mergeCell ref="EC666:EG666"/>
    <mergeCell ref="EH666:EL666"/>
    <mergeCell ref="BN617:BR617"/>
    <mergeCell ref="Z637:AB637"/>
    <mergeCell ref="Z638:AB638"/>
    <mergeCell ref="DR617:DV617"/>
    <mergeCell ref="CS617:CW617"/>
    <mergeCell ref="DX645:EB645"/>
    <mergeCell ref="EW649:FA649"/>
    <mergeCell ref="EW652:FA652"/>
    <mergeCell ref="EW641:FA641"/>
    <mergeCell ref="DX642:EB642"/>
    <mergeCell ref="EC642:EG642"/>
    <mergeCell ref="EH642:EL642"/>
    <mergeCell ref="EM642:EQ642"/>
    <mergeCell ref="ER642:EV642"/>
    <mergeCell ref="DX641:EB641"/>
    <mergeCell ref="EW657:FA657"/>
    <mergeCell ref="ER646:EV646"/>
    <mergeCell ref="EW646:FA646"/>
    <mergeCell ref="EW653:FA653"/>
    <mergeCell ref="EW654:FA654"/>
    <mergeCell ref="EM662:EQ662"/>
    <mergeCell ref="ER662:EV662"/>
    <mergeCell ref="EW645:FA645"/>
    <mergeCell ref="DX656:EB656"/>
    <mergeCell ref="EC656:EG656"/>
    <mergeCell ref="EH647:EL647"/>
    <mergeCell ref="EM647:EQ647"/>
    <mergeCell ref="DC631:DG631"/>
    <mergeCell ref="DM631:DQ631"/>
    <mergeCell ref="DH631:DL631"/>
    <mergeCell ref="DR619:DV619"/>
    <mergeCell ref="Z636:AB636"/>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EH619:EL619"/>
    <mergeCell ref="DR616:DV616"/>
    <mergeCell ref="CX616:DB616"/>
    <mergeCell ref="DC632:DG632"/>
    <mergeCell ref="DH632:DL632"/>
    <mergeCell ref="CM619:CQ619"/>
    <mergeCell ref="CM631:CQ631"/>
    <mergeCell ref="CH630:CL630"/>
    <mergeCell ref="DM645:DQ645"/>
    <mergeCell ref="CX646:DB646"/>
    <mergeCell ref="CH646:CL646"/>
    <mergeCell ref="CC640:CG640"/>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Q635:S635"/>
    <mergeCell ref="Q632:S632"/>
    <mergeCell ref="Q633:S633"/>
    <mergeCell ref="Q634:S634"/>
    <mergeCell ref="AO637:AS637"/>
    <mergeCell ref="BG624:BH624"/>
    <mergeCell ref="CM629:CQ629"/>
    <mergeCell ref="CS620:CW620"/>
    <mergeCell ref="CX620:DB620"/>
    <mergeCell ref="CC638:CG638"/>
    <mergeCell ref="CM648:CQ648"/>
    <mergeCell ref="BX649:CB649"/>
    <mergeCell ref="BX624:CB624"/>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DM617:DQ617"/>
    <mergeCell ref="CC617:CG617"/>
    <mergeCell ref="DH646:DL646"/>
    <mergeCell ref="DM646:DQ646"/>
    <mergeCell ref="DR646:DV646"/>
    <mergeCell ref="CS618:CW618"/>
    <mergeCell ref="CX618:DB618"/>
    <mergeCell ref="DC618:DG618"/>
    <mergeCell ref="DH645:DL645"/>
    <mergeCell ref="BX646:CB646"/>
    <mergeCell ref="CC630:CG630"/>
    <mergeCell ref="BX632:CB632"/>
    <mergeCell ref="CM645:CQ645"/>
    <mergeCell ref="CH639:CL639"/>
    <mergeCell ref="CH647:CL647"/>
    <mergeCell ref="CS650:CW650"/>
    <mergeCell ref="CX650:DB650"/>
    <mergeCell ref="CM650:CQ650"/>
    <mergeCell ref="DR645:DV645"/>
    <mergeCell ref="CC645:CG645"/>
    <mergeCell ref="DC649:DG649"/>
    <mergeCell ref="CC619:CG619"/>
    <mergeCell ref="DM619:DQ619"/>
    <mergeCell ref="CM625:CQ625"/>
    <mergeCell ref="BX625:CB625"/>
    <mergeCell ref="CC623:CG623"/>
    <mergeCell ref="CC629:CG629"/>
    <mergeCell ref="CH629:CL629"/>
    <mergeCell ref="CM638:CQ638"/>
    <mergeCell ref="CS648:CW648"/>
    <mergeCell ref="BX648:CB648"/>
    <mergeCell ref="CH619:CL619"/>
    <mergeCell ref="CM633:CQ633"/>
    <mergeCell ref="CC632:CG632"/>
    <mergeCell ref="CM630:CQ630"/>
    <mergeCell ref="CC647:CG647"/>
    <mergeCell ref="CC631:CG631"/>
    <mergeCell ref="CX648:DB648"/>
    <mergeCell ref="DC648:DG648"/>
    <mergeCell ref="BX619:CB619"/>
    <mergeCell ref="BX639:CB639"/>
    <mergeCell ref="BX640:CB640"/>
    <mergeCell ref="DM632:DQ632"/>
    <mergeCell ref="BX645:CB645"/>
    <mergeCell ref="CH640:CL640"/>
    <mergeCell ref="CM640:CQ640"/>
    <mergeCell ref="CM639:CQ639"/>
    <mergeCell ref="CH632:CL632"/>
    <mergeCell ref="CM651:CQ651"/>
    <mergeCell ref="DM650:DQ650"/>
    <mergeCell ref="CX649:DB649"/>
    <mergeCell ref="CS645:CW645"/>
    <mergeCell ref="CX645:DB645"/>
    <mergeCell ref="CM632:CQ632"/>
    <mergeCell ref="CM637:CQ637"/>
    <mergeCell ref="BX650:CB650"/>
    <mergeCell ref="CH648:CL648"/>
    <mergeCell ref="CC648:CG648"/>
    <mergeCell ref="BS651:BW651"/>
    <mergeCell ref="CC651:CG651"/>
    <mergeCell ref="CS632:CW632"/>
    <mergeCell ref="CX632:DB632"/>
    <mergeCell ref="CM647:CQ647"/>
    <mergeCell ref="CM646:CQ646"/>
    <mergeCell ref="BX647:CB647"/>
    <mergeCell ref="CH651:CL651"/>
    <mergeCell ref="DC645:DG645"/>
    <mergeCell ref="CS646:CW646"/>
    <mergeCell ref="CC650:CG650"/>
    <mergeCell ref="CH650:CL650"/>
    <mergeCell ref="BS650:BW650"/>
    <mergeCell ref="BS648:BW648"/>
    <mergeCell ref="BS647:BW647"/>
    <mergeCell ref="CX652:DB652"/>
    <mergeCell ref="DC652:DG652"/>
    <mergeCell ref="DC650:DG650"/>
    <mergeCell ref="BN649:BR649"/>
    <mergeCell ref="CS655:CW655"/>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DH655:DL655"/>
    <mergeCell ref="DM655:DQ655"/>
    <mergeCell ref="DH650:DL650"/>
    <mergeCell ref="DH653:DL653"/>
    <mergeCell ref="DR654:DV654"/>
    <mergeCell ref="DR653:DV653"/>
    <mergeCell ref="DH651:DL651"/>
    <mergeCell ref="DM651:DQ651"/>
    <mergeCell ref="DR650:DV650"/>
    <mergeCell ref="AA688:AK688"/>
    <mergeCell ref="AC719:AG719"/>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AK749:AO749"/>
    <mergeCell ref="AK750:AO750"/>
    <mergeCell ref="AK751:AO751"/>
    <mergeCell ref="AK752:AO752"/>
    <mergeCell ref="G732:J732"/>
    <mergeCell ref="K728:N728"/>
    <mergeCell ref="K746:N746"/>
    <mergeCell ref="O746:S746"/>
    <mergeCell ref="T746:W746"/>
    <mergeCell ref="CC655:CG655"/>
    <mergeCell ref="CH655:CL655"/>
    <mergeCell ref="CM655:CQ655"/>
    <mergeCell ref="DC651:DG651"/>
    <mergeCell ref="BS653:BW653"/>
    <mergeCell ref="CM652:CQ652"/>
    <mergeCell ref="G660:R660"/>
    <mergeCell ref="X714:AB717"/>
    <mergeCell ref="Z679:AE679"/>
    <mergeCell ref="H680:R680"/>
    <mergeCell ref="Z670:AK670"/>
    <mergeCell ref="H688:R688"/>
    <mergeCell ref="Z675:AK675"/>
    <mergeCell ref="AE702:AF702"/>
    <mergeCell ref="AE693:AF693"/>
    <mergeCell ref="B719:F719"/>
    <mergeCell ref="AK723:AO723"/>
    <mergeCell ref="AK724:AO724"/>
    <mergeCell ref="AK725:AO725"/>
    <mergeCell ref="AH732:AJ732"/>
    <mergeCell ref="BN648:BR648"/>
    <mergeCell ref="BS649:BW649"/>
    <mergeCell ref="DM653:DQ653"/>
    <mergeCell ref="DH654:DL654"/>
    <mergeCell ref="DM654:DQ654"/>
    <mergeCell ref="BN652:BR652"/>
    <mergeCell ref="CM653:CQ653"/>
    <mergeCell ref="CM654:CQ654"/>
    <mergeCell ref="CX651:DB651"/>
    <mergeCell ref="CH653:CL653"/>
    <mergeCell ref="CH654:CL654"/>
    <mergeCell ref="BS652:BW652"/>
    <mergeCell ref="BN651:BR651"/>
    <mergeCell ref="BN650:BR650"/>
    <mergeCell ref="DC653:DG653"/>
    <mergeCell ref="CC649:CG649"/>
    <mergeCell ref="CH649:CL649"/>
    <mergeCell ref="CS652:CW652"/>
    <mergeCell ref="Z686:AK686"/>
    <mergeCell ref="AK740:AO740"/>
    <mergeCell ref="AK741:AO741"/>
    <mergeCell ref="AH737:AJ737"/>
    <mergeCell ref="AH738:AJ738"/>
    <mergeCell ref="AH736:AJ736"/>
    <mergeCell ref="AH735:AJ735"/>
    <mergeCell ref="AK727:AO727"/>
    <mergeCell ref="X734:AB734"/>
    <mergeCell ref="X733:AB733"/>
    <mergeCell ref="AK720:AO720"/>
    <mergeCell ref="AK721:AO721"/>
    <mergeCell ref="AF636:AJ636"/>
    <mergeCell ref="AF637:AJ637"/>
    <mergeCell ref="AF638:AJ638"/>
    <mergeCell ref="AC638:AE638"/>
    <mergeCell ref="G647:L647"/>
    <mergeCell ref="B639:AN639"/>
    <mergeCell ref="B640:AN640"/>
    <mergeCell ref="B641:AN641"/>
    <mergeCell ref="G643:R643"/>
    <mergeCell ref="Z646:AK646"/>
    <mergeCell ref="C638:L638"/>
    <mergeCell ref="AG649:AH649"/>
    <mergeCell ref="N665:O665"/>
    <mergeCell ref="H672:R672"/>
    <mergeCell ref="G676:R676"/>
    <mergeCell ref="G655:L655"/>
    <mergeCell ref="H656:R656"/>
    <mergeCell ref="B714:F717"/>
    <mergeCell ref="B734:F734"/>
    <mergeCell ref="O722:S722"/>
    <mergeCell ref="I410:AE410"/>
    <mergeCell ref="EH656:EL656"/>
    <mergeCell ref="EM656:EQ656"/>
    <mergeCell ref="G728:J728"/>
    <mergeCell ref="CM660:CQ660"/>
    <mergeCell ref="CM649:CQ649"/>
    <mergeCell ref="DH649:DL649"/>
    <mergeCell ref="DM649:DQ649"/>
    <mergeCell ref="CS651:CW651"/>
    <mergeCell ref="BN653:BR653"/>
    <mergeCell ref="BN654:BR654"/>
    <mergeCell ref="DH648:DL648"/>
    <mergeCell ref="DM648:DQ648"/>
    <mergeCell ref="DR648:DV648"/>
    <mergeCell ref="CS649:CW649"/>
    <mergeCell ref="CS654:CW654"/>
    <mergeCell ref="CX654:DB654"/>
    <mergeCell ref="DC654:DG654"/>
    <mergeCell ref="AK636:AN636"/>
    <mergeCell ref="G587:R587"/>
    <mergeCell ref="G578:R578"/>
    <mergeCell ref="M633:P633"/>
    <mergeCell ref="M634:P634"/>
    <mergeCell ref="G610:R610"/>
    <mergeCell ref="W630:Y630"/>
    <mergeCell ref="H573:R573"/>
    <mergeCell ref="AE694:AF694"/>
    <mergeCell ref="AC634:AE634"/>
    <mergeCell ref="AC635:AE635"/>
    <mergeCell ref="AA573:AK573"/>
    <mergeCell ref="Z594:AK594"/>
    <mergeCell ref="G601:R601"/>
    <mergeCell ref="AK635:AN635"/>
    <mergeCell ref="AK629:AN629"/>
    <mergeCell ref="C633:L633"/>
    <mergeCell ref="C634:L634"/>
    <mergeCell ref="M624:P626"/>
    <mergeCell ref="M627:P627"/>
    <mergeCell ref="M628:P628"/>
    <mergeCell ref="M629:P629"/>
    <mergeCell ref="W624:Y626"/>
    <mergeCell ref="T634:V634"/>
    <mergeCell ref="W628:Y628"/>
    <mergeCell ref="W629:Y629"/>
    <mergeCell ref="M630:P630"/>
    <mergeCell ref="B624:L626"/>
    <mergeCell ref="Z588:AK588"/>
    <mergeCell ref="Z578:AK578"/>
    <mergeCell ref="W635:Y635"/>
    <mergeCell ref="G580:R580"/>
    <mergeCell ref="W631:Y631"/>
    <mergeCell ref="AG615:AH615"/>
    <mergeCell ref="G612:R612"/>
    <mergeCell ref="G609:R609"/>
    <mergeCell ref="G594:R594"/>
    <mergeCell ref="N615:O615"/>
    <mergeCell ref="AC633:AE633"/>
    <mergeCell ref="Z603:AK603"/>
    <mergeCell ref="Z593:AK593"/>
    <mergeCell ref="T629:V629"/>
    <mergeCell ref="T630:V630"/>
    <mergeCell ref="T631:V631"/>
    <mergeCell ref="T632:V632"/>
    <mergeCell ref="T633:V633"/>
    <mergeCell ref="G611:R611"/>
    <mergeCell ref="Z602:AK602"/>
    <mergeCell ref="Z612:AK612"/>
    <mergeCell ref="AC627:AE627"/>
    <mergeCell ref="A69:AT70"/>
    <mergeCell ref="A72:AT73"/>
    <mergeCell ref="A544:AT545"/>
    <mergeCell ref="A480:AT481"/>
    <mergeCell ref="A351:AT352"/>
    <mergeCell ref="A169:AT170"/>
    <mergeCell ref="Q627:S627"/>
    <mergeCell ref="Q628:S628"/>
    <mergeCell ref="Q629:S629"/>
    <mergeCell ref="Q630:S630"/>
    <mergeCell ref="Q631:S631"/>
    <mergeCell ref="C637:L637"/>
    <mergeCell ref="P613:R613"/>
    <mergeCell ref="G577:R577"/>
    <mergeCell ref="AK627:AN627"/>
    <mergeCell ref="AC636:AE636"/>
    <mergeCell ref="AC637:AE637"/>
    <mergeCell ref="C636:L636"/>
    <mergeCell ref="H590:R590"/>
    <mergeCell ref="AF631:AJ631"/>
    <mergeCell ref="AF632:AJ632"/>
    <mergeCell ref="Z577:AK577"/>
    <mergeCell ref="AI605:AK605"/>
    <mergeCell ref="AF634:AJ634"/>
    <mergeCell ref="AK630:AN630"/>
    <mergeCell ref="AK631:AN631"/>
    <mergeCell ref="AK632:AN632"/>
    <mergeCell ref="Z604:AK60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AJ1048:AQ1051"/>
    <mergeCell ref="B745:F745"/>
    <mergeCell ref="G737:J737"/>
    <mergeCell ref="AA966:AG966"/>
    <mergeCell ref="M970:S970"/>
    <mergeCell ref="M955:S955"/>
    <mergeCell ref="R984:AA984"/>
    <mergeCell ref="A978:AT980"/>
    <mergeCell ref="AJ984:AQ984"/>
    <mergeCell ref="U949:Z949"/>
    <mergeCell ref="AA656:AK656"/>
    <mergeCell ref="P816:Y816"/>
    <mergeCell ref="O795:S795"/>
    <mergeCell ref="AC791:AG791"/>
    <mergeCell ref="AH733:AJ733"/>
    <mergeCell ref="X731:AB731"/>
    <mergeCell ref="AH727:AJ727"/>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X735:AB735"/>
    <mergeCell ref="X736:AB736"/>
    <mergeCell ref="T735:W735"/>
    <mergeCell ref="T750:W750"/>
    <mergeCell ref="B742:F742"/>
    <mergeCell ref="B743:F743"/>
    <mergeCell ref="B744:F744"/>
    <mergeCell ref="G735:J735"/>
    <mergeCell ref="K726:N726"/>
    <mergeCell ref="T775:W775"/>
    <mergeCell ref="C763:AR765"/>
    <mergeCell ref="C766:AR768"/>
    <mergeCell ref="B738:F738"/>
    <mergeCell ref="T790:W790"/>
    <mergeCell ref="O733:S733"/>
    <mergeCell ref="AC724:AG724"/>
    <mergeCell ref="AC730:AG730"/>
    <mergeCell ref="B737:F737"/>
    <mergeCell ref="AD759:AF759"/>
    <mergeCell ref="T774:W774"/>
    <mergeCell ref="J789:N789"/>
    <mergeCell ref="AK728:AO728"/>
    <mergeCell ref="AK729:AO729"/>
    <mergeCell ref="K745:N745"/>
    <mergeCell ref="T769:W772"/>
    <mergeCell ref="O745:S745"/>
    <mergeCell ref="AC746:AG746"/>
    <mergeCell ref="AK730:AO730"/>
    <mergeCell ref="AH729:AJ729"/>
    <mergeCell ref="AC742:AG742"/>
    <mergeCell ref="AC743:AG743"/>
    <mergeCell ref="AC744:AG744"/>
    <mergeCell ref="AC745:AG745"/>
    <mergeCell ref="AC752:AG752"/>
    <mergeCell ref="B735:F735"/>
    <mergeCell ref="G730:J730"/>
    <mergeCell ref="X730:AB730"/>
    <mergeCell ref="K743:N743"/>
    <mergeCell ref="O743:S743"/>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7" right="0.7" top="0.75" bottom="0.75" header="0.3" footer="0.3"/>
  <pageSetup scale="75" fitToHeight="25" orientation="landscape"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C91" workbookViewId="0">
      <selection activeCell="E45" sqref="E45"/>
    </sheetView>
  </sheetViews>
  <sheetFormatPr defaultColWidth="0" defaultRowHeight="11.5" zeroHeight="1"/>
  <cols>
    <col min="1" max="1" width="35.7265625" style="110" customWidth="1"/>
    <col min="2" max="12" width="12.1796875" style="90" customWidth="1"/>
    <col min="13" max="17" width="11.26953125" style="90" customWidth="1"/>
    <col min="18" max="18" width="12.7265625" style="90" customWidth="1"/>
    <col min="19" max="20" width="12.1796875" style="90" customWidth="1"/>
    <col min="21" max="21" width="0.26953125" style="92" customWidth="1"/>
    <col min="22" max="16383" width="8.81640625" style="90" hidden="1"/>
    <col min="16384" max="16384" width="0.1796875" style="90" customWidth="1"/>
  </cols>
  <sheetData>
    <row r="1" spans="1:21" s="62" customFormat="1" ht="13.5">
      <c r="A1" s="95" t="s">
        <v>1789</v>
      </c>
      <c r="B1" s="73"/>
      <c r="C1" s="73"/>
      <c r="D1" s="73"/>
      <c r="E1" s="74"/>
      <c r="F1" s="1794" t="s">
        <v>1790</v>
      </c>
      <c r="G1" s="1795"/>
      <c r="H1" s="1795"/>
      <c r="I1" s="1795"/>
      <c r="J1" s="1795"/>
      <c r="K1" s="1795"/>
      <c r="L1" s="1795"/>
      <c r="M1" s="1795"/>
      <c r="N1" s="1795"/>
      <c r="O1" s="1795"/>
      <c r="P1" s="1795"/>
      <c r="Q1" s="1795"/>
      <c r="R1" s="1796"/>
      <c r="S1" s="64"/>
      <c r="T1" s="63"/>
      <c r="U1" s="65"/>
    </row>
    <row r="2" spans="1:21" s="79" customFormat="1" ht="71.25" customHeight="1">
      <c r="A2" s="78"/>
      <c r="B2" s="79" t="s">
        <v>1791</v>
      </c>
      <c r="C2" s="79" t="s">
        <v>1792</v>
      </c>
      <c r="D2" s="79" t="s">
        <v>1793</v>
      </c>
      <c r="E2" s="79" t="s">
        <v>1794</v>
      </c>
      <c r="F2" s="80" t="str">
        <f>Application!B627&amp;Application!C627</f>
        <v>1)Citibank</v>
      </c>
      <c r="G2" s="80" t="str">
        <f>Application!B628&amp;Application!C628</f>
        <v>2)HOME</v>
      </c>
      <c r="H2" s="80" t="str">
        <f>Application!B629&amp;Application!C629</f>
        <v>3)Deferred Developer Fee</v>
      </c>
      <c r="I2" s="80" t="str">
        <f>Application!B630&amp;Application!C630</f>
        <v>4)</v>
      </c>
      <c r="J2" s="80" t="str">
        <f>Application!B631&amp;Application!C631</f>
        <v>5)</v>
      </c>
      <c r="K2" s="80" t="str">
        <f>Application!B632&amp;Application!C632</f>
        <v>6)</v>
      </c>
      <c r="L2" s="80" t="str">
        <f>Application!B633&amp;Application!C633</f>
        <v>7)</v>
      </c>
      <c r="M2" s="80" t="str">
        <f>Application!B634&amp;Application!C634</f>
        <v>8)</v>
      </c>
      <c r="N2" s="80" t="str">
        <f>Application!B635&amp;Application!C635</f>
        <v>9)</v>
      </c>
      <c r="O2" s="80" t="str">
        <f>Application!B636&amp;Application!C636</f>
        <v>10)</v>
      </c>
      <c r="P2" s="80" t="str">
        <f>Application!B637&amp;Application!C637</f>
        <v>11)</v>
      </c>
      <c r="Q2" s="80" t="str">
        <f>Application!B638&amp;Application!C638</f>
        <v>12)</v>
      </c>
      <c r="R2" s="80" t="s">
        <v>1795</v>
      </c>
      <c r="S2" s="79" t="s">
        <v>1796</v>
      </c>
      <c r="T2" s="79" t="s">
        <v>1797</v>
      </c>
      <c r="U2" s="81"/>
    </row>
    <row r="3" spans="1:21" s="83" customFormat="1" ht="12">
      <c r="A3" s="82" t="s">
        <v>1798</v>
      </c>
      <c r="B3" s="1091"/>
      <c r="C3" s="1091"/>
      <c r="D3" s="1091"/>
      <c r="E3" s="1091"/>
      <c r="F3" s="1091"/>
      <c r="G3" s="1091"/>
      <c r="H3" s="1091"/>
      <c r="I3" s="1091"/>
      <c r="J3" s="1091"/>
      <c r="K3" s="1091"/>
      <c r="L3" s="1091"/>
      <c r="M3" s="1091"/>
      <c r="N3" s="1091"/>
      <c r="O3" s="1091"/>
      <c r="P3" s="1091"/>
      <c r="Q3" s="1091"/>
      <c r="R3" s="1091"/>
      <c r="S3" s="1091"/>
      <c r="T3" s="1091"/>
      <c r="U3" s="1092"/>
    </row>
    <row r="4" spans="1:21" s="83" customFormat="1">
      <c r="A4" s="181" t="s">
        <v>1799</v>
      </c>
      <c r="B4" s="233">
        <f>SUM(C4+D4)</f>
        <v>1440000</v>
      </c>
      <c r="C4" s="801">
        <v>1440000</v>
      </c>
      <c r="D4" s="801"/>
      <c r="E4" s="801">
        <v>1440000</v>
      </c>
      <c r="F4" s="801"/>
      <c r="G4" s="801"/>
      <c r="H4" s="801"/>
      <c r="I4" s="801"/>
      <c r="J4" s="801"/>
      <c r="K4" s="801"/>
      <c r="L4" s="801"/>
      <c r="M4" s="801"/>
      <c r="N4" s="801"/>
      <c r="O4" s="801"/>
      <c r="P4" s="801"/>
      <c r="Q4" s="801"/>
      <c r="R4" s="387">
        <f>SUM(E4:Q4)</f>
        <v>1440000</v>
      </c>
      <c r="S4" s="1093"/>
      <c r="T4" s="1093"/>
      <c r="U4" s="1092"/>
    </row>
    <row r="5" spans="1:21" s="83" customFormat="1">
      <c r="A5" s="181" t="s">
        <v>1800</v>
      </c>
      <c r="B5" s="233">
        <f>SUM(C5+D5)</f>
        <v>0</v>
      </c>
      <c r="C5" s="801"/>
      <c r="D5" s="801"/>
      <c r="E5" s="801"/>
      <c r="F5" s="801"/>
      <c r="G5" s="801"/>
      <c r="H5" s="801"/>
      <c r="I5" s="801"/>
      <c r="J5" s="801"/>
      <c r="K5" s="801"/>
      <c r="L5" s="801"/>
      <c r="M5" s="801"/>
      <c r="N5" s="801"/>
      <c r="O5" s="801"/>
      <c r="P5" s="801"/>
      <c r="Q5" s="801"/>
      <c r="R5" s="387">
        <f>SUM(E5:Q5)</f>
        <v>0</v>
      </c>
      <c r="S5" s="1093"/>
      <c r="T5" s="1093"/>
      <c r="U5" s="1092"/>
    </row>
    <row r="6" spans="1:21" s="83" customFormat="1">
      <c r="A6" s="181" t="s">
        <v>1801</v>
      </c>
      <c r="B6" s="233">
        <f>SUM(C6+D6)</f>
        <v>0</v>
      </c>
      <c r="C6" s="801"/>
      <c r="D6" s="801"/>
      <c r="E6" s="801"/>
      <c r="F6" s="801"/>
      <c r="G6" s="801"/>
      <c r="H6" s="801"/>
      <c r="I6" s="801"/>
      <c r="J6" s="801"/>
      <c r="K6" s="801"/>
      <c r="L6" s="801"/>
      <c r="M6" s="801"/>
      <c r="N6" s="801"/>
      <c r="O6" s="801"/>
      <c r="P6" s="801"/>
      <c r="Q6" s="801"/>
      <c r="R6" s="387">
        <f>SUM(E6:Q6)</f>
        <v>0</v>
      </c>
      <c r="S6" s="1093"/>
      <c r="T6" s="1093"/>
      <c r="U6" s="1092"/>
    </row>
    <row r="7" spans="1:21" s="83" customFormat="1">
      <c r="A7" s="181" t="s">
        <v>1802</v>
      </c>
      <c r="B7" s="233">
        <f>SUM(C7+D7)</f>
        <v>0</v>
      </c>
      <c r="C7" s="801"/>
      <c r="D7" s="801"/>
      <c r="E7" s="801"/>
      <c r="F7" s="801"/>
      <c r="G7" s="801"/>
      <c r="H7" s="801"/>
      <c r="I7" s="801"/>
      <c r="J7" s="801"/>
      <c r="K7" s="801"/>
      <c r="L7" s="801"/>
      <c r="M7" s="801"/>
      <c r="N7" s="801"/>
      <c r="O7" s="801"/>
      <c r="P7" s="801"/>
      <c r="Q7" s="801"/>
      <c r="R7" s="387">
        <f>SUM(E7:Q7)</f>
        <v>0</v>
      </c>
      <c r="S7" s="1093"/>
      <c r="T7" s="1093"/>
      <c r="U7" s="1092"/>
    </row>
    <row r="8" spans="1:21" s="83" customFormat="1">
      <c r="A8" s="84" t="s">
        <v>1803</v>
      </c>
      <c r="B8" s="233">
        <f>SUM(C8:D8)</f>
        <v>1440000</v>
      </c>
      <c r="C8" s="233">
        <f t="shared" ref="C8:Q8" si="0">SUM(C4:C7)</f>
        <v>1440000</v>
      </c>
      <c r="D8" s="233">
        <f t="shared" si="0"/>
        <v>0</v>
      </c>
      <c r="E8" s="233">
        <f t="shared" si="0"/>
        <v>1440000</v>
      </c>
      <c r="F8" s="233">
        <f t="shared" si="0"/>
        <v>0</v>
      </c>
      <c r="G8" s="233">
        <f t="shared" si="0"/>
        <v>0</v>
      </c>
      <c r="H8" s="233">
        <f t="shared" si="0"/>
        <v>0</v>
      </c>
      <c r="I8" s="233">
        <f t="shared" si="0"/>
        <v>0</v>
      </c>
      <c r="J8" s="233">
        <f t="shared" si="0"/>
        <v>0</v>
      </c>
      <c r="K8" s="233">
        <f t="shared" si="0"/>
        <v>0</v>
      </c>
      <c r="L8" s="233">
        <f t="shared" si="0"/>
        <v>0</v>
      </c>
      <c r="M8" s="233">
        <f t="shared" si="0"/>
        <v>0</v>
      </c>
      <c r="N8" s="233">
        <f t="shared" si="0"/>
        <v>0</v>
      </c>
      <c r="O8" s="233">
        <f t="shared" si="0"/>
        <v>0</v>
      </c>
      <c r="P8" s="233"/>
      <c r="Q8" s="233">
        <f t="shared" si="0"/>
        <v>0</v>
      </c>
      <c r="R8" s="233">
        <f>SUM(R4:R7)</f>
        <v>1440000</v>
      </c>
      <c r="S8" s="1093"/>
      <c r="T8" s="1093"/>
      <c r="U8" s="1092"/>
    </row>
    <row r="9" spans="1:21" s="83" customFormat="1">
      <c r="A9" s="181" t="s">
        <v>1804</v>
      </c>
      <c r="B9" s="233">
        <f>SUM(C9+D9)</f>
        <v>0</v>
      </c>
      <c r="C9" s="801"/>
      <c r="D9" s="801"/>
      <c r="E9" s="801"/>
      <c r="F9" s="801"/>
      <c r="G9" s="801"/>
      <c r="H9" s="801"/>
      <c r="I9" s="801"/>
      <c r="J9" s="801"/>
      <c r="K9" s="801"/>
      <c r="L9" s="801"/>
      <c r="M9" s="801"/>
      <c r="N9" s="801"/>
      <c r="O9" s="801"/>
      <c r="P9" s="801"/>
      <c r="Q9" s="801"/>
      <c r="R9" s="387">
        <f>SUM(E9:Q9)</f>
        <v>0</v>
      </c>
      <c r="S9" s="1093"/>
      <c r="T9" s="801"/>
      <c r="U9" s="1092"/>
    </row>
    <row r="10" spans="1:21" s="83" customFormat="1">
      <c r="A10" s="181" t="s">
        <v>1805</v>
      </c>
      <c r="B10" s="233">
        <f>SUM(C10+D10)</f>
        <v>500000</v>
      </c>
      <c r="C10" s="801">
        <v>500000</v>
      </c>
      <c r="D10" s="801"/>
      <c r="E10" s="801">
        <v>500000</v>
      </c>
      <c r="F10" s="801"/>
      <c r="G10" s="801"/>
      <c r="H10" s="801"/>
      <c r="I10" s="801"/>
      <c r="J10" s="801"/>
      <c r="K10" s="801"/>
      <c r="L10" s="801"/>
      <c r="M10" s="801"/>
      <c r="N10" s="801"/>
      <c r="O10" s="801"/>
      <c r="P10" s="801"/>
      <c r="Q10" s="801"/>
      <c r="R10" s="387">
        <f>SUM(E10:Q10)</f>
        <v>500000</v>
      </c>
      <c r="S10" s="801">
        <v>500000</v>
      </c>
      <c r="T10" s="801"/>
      <c r="U10" s="1092"/>
    </row>
    <row r="11" spans="1:21" s="83" customFormat="1">
      <c r="A11" s="84" t="s">
        <v>1806</v>
      </c>
      <c r="B11" s="233">
        <f>SUM(C11:D11)</f>
        <v>500000</v>
      </c>
      <c r="C11" s="233">
        <f t="shared" ref="C11:Q11" si="1">SUM(C9:C10)</f>
        <v>500000</v>
      </c>
      <c r="D11" s="233">
        <f t="shared" si="1"/>
        <v>0</v>
      </c>
      <c r="E11" s="233">
        <f t="shared" si="1"/>
        <v>500000</v>
      </c>
      <c r="F11" s="233">
        <f t="shared" si="1"/>
        <v>0</v>
      </c>
      <c r="G11" s="233">
        <f t="shared" si="1"/>
        <v>0</v>
      </c>
      <c r="H11" s="233">
        <f t="shared" si="1"/>
        <v>0</v>
      </c>
      <c r="I11" s="233">
        <f t="shared" si="1"/>
        <v>0</v>
      </c>
      <c r="J11" s="233">
        <f t="shared" si="1"/>
        <v>0</v>
      </c>
      <c r="K11" s="233">
        <f t="shared" si="1"/>
        <v>0</v>
      </c>
      <c r="L11" s="233">
        <f t="shared" si="1"/>
        <v>0</v>
      </c>
      <c r="M11" s="233">
        <f t="shared" si="1"/>
        <v>0</v>
      </c>
      <c r="N11" s="233">
        <f t="shared" si="1"/>
        <v>0</v>
      </c>
      <c r="O11" s="233">
        <f t="shared" si="1"/>
        <v>0</v>
      </c>
      <c r="P11" s="233"/>
      <c r="Q11" s="233">
        <f t="shared" si="1"/>
        <v>0</v>
      </c>
      <c r="R11" s="233">
        <f>SUM(R9:R10)</f>
        <v>500000</v>
      </c>
      <c r="S11" s="1093"/>
      <c r="T11" s="85">
        <f>SUM(T9:T10)</f>
        <v>0</v>
      </c>
      <c r="U11" s="1092"/>
    </row>
    <row r="12" spans="1:21" s="83" customFormat="1">
      <c r="A12" s="84" t="s">
        <v>1807</v>
      </c>
      <c r="B12" s="233">
        <f t="shared" ref="B12:Q12" si="2">SUM(B8+B11)</f>
        <v>1940000</v>
      </c>
      <c r="C12" s="233">
        <f t="shared" si="2"/>
        <v>1940000</v>
      </c>
      <c r="D12" s="233">
        <f t="shared" si="2"/>
        <v>0</v>
      </c>
      <c r="E12" s="233">
        <f t="shared" si="2"/>
        <v>1940000</v>
      </c>
      <c r="F12" s="233">
        <f t="shared" si="2"/>
        <v>0</v>
      </c>
      <c r="G12" s="233">
        <f t="shared" si="2"/>
        <v>0</v>
      </c>
      <c r="H12" s="233">
        <f t="shared" si="2"/>
        <v>0</v>
      </c>
      <c r="I12" s="233">
        <f t="shared" si="2"/>
        <v>0</v>
      </c>
      <c r="J12" s="233">
        <f t="shared" si="2"/>
        <v>0</v>
      </c>
      <c r="K12" s="233">
        <f t="shared" si="2"/>
        <v>0</v>
      </c>
      <c r="L12" s="233">
        <f t="shared" si="2"/>
        <v>0</v>
      </c>
      <c r="M12" s="233">
        <f t="shared" si="2"/>
        <v>0</v>
      </c>
      <c r="N12" s="233">
        <f t="shared" si="2"/>
        <v>0</v>
      </c>
      <c r="O12" s="233">
        <f t="shared" si="2"/>
        <v>0</v>
      </c>
      <c r="P12" s="233"/>
      <c r="Q12" s="233">
        <f t="shared" si="2"/>
        <v>0</v>
      </c>
      <c r="R12" s="233">
        <f>SUM(R8+R11)</f>
        <v>1940000</v>
      </c>
      <c r="S12" s="1093"/>
      <c r="T12" s="1093"/>
      <c r="U12" s="1092"/>
    </row>
    <row r="13" spans="1:21" s="83" customFormat="1">
      <c r="A13" s="184" t="s">
        <v>1808</v>
      </c>
      <c r="B13" s="233">
        <f>SUM(C13+D13)</f>
        <v>0</v>
      </c>
      <c r="C13" s="801"/>
      <c r="D13" s="801"/>
      <c r="E13" s="801"/>
      <c r="F13" s="801"/>
      <c r="G13" s="801"/>
      <c r="H13" s="801"/>
      <c r="I13" s="801"/>
      <c r="J13" s="801"/>
      <c r="K13" s="801"/>
      <c r="L13" s="801"/>
      <c r="M13" s="801"/>
      <c r="N13" s="801"/>
      <c r="O13" s="801"/>
      <c r="P13" s="801"/>
      <c r="Q13" s="801"/>
      <c r="R13" s="387">
        <f>SUM(E13:Q13)</f>
        <v>0</v>
      </c>
      <c r="S13" s="801"/>
      <c r="T13" s="801"/>
      <c r="U13" s="1092"/>
    </row>
    <row r="14" spans="1:21" s="83" customFormat="1" ht="23">
      <c r="A14" s="185" t="s">
        <v>1809</v>
      </c>
      <c r="B14" s="233">
        <f>SUM(C14+D14)</f>
        <v>0</v>
      </c>
      <c r="C14" s="801"/>
      <c r="D14" s="801"/>
      <c r="E14" s="801"/>
      <c r="F14" s="801"/>
      <c r="G14" s="801"/>
      <c r="H14" s="801"/>
      <c r="I14" s="801"/>
      <c r="J14" s="801"/>
      <c r="K14" s="801"/>
      <c r="L14" s="801"/>
      <c r="M14" s="801"/>
      <c r="N14" s="801"/>
      <c r="O14" s="801"/>
      <c r="P14" s="801"/>
      <c r="Q14" s="801"/>
      <c r="R14" s="387">
        <f>SUM(E14:Q14)</f>
        <v>0</v>
      </c>
      <c r="S14" s="801"/>
      <c r="T14" s="801"/>
      <c r="U14" s="1092"/>
    </row>
    <row r="15" spans="1:21" s="83" customFormat="1">
      <c r="A15" s="185" t="s">
        <v>1810</v>
      </c>
      <c r="B15" s="233">
        <f>SUM(C15+D15)</f>
        <v>0</v>
      </c>
      <c r="C15" s="801"/>
      <c r="D15" s="801"/>
      <c r="E15" s="801"/>
      <c r="F15" s="801"/>
      <c r="G15" s="801"/>
      <c r="H15" s="801"/>
      <c r="I15" s="801"/>
      <c r="J15" s="801"/>
      <c r="K15" s="801"/>
      <c r="L15" s="801"/>
      <c r="M15" s="801"/>
      <c r="N15" s="801"/>
      <c r="O15" s="801"/>
      <c r="P15" s="801"/>
      <c r="Q15" s="801"/>
      <c r="R15" s="387">
        <f>SUM(E15:Q15)</f>
        <v>0</v>
      </c>
      <c r="S15" s="1093"/>
      <c r="T15" s="1093"/>
      <c r="U15" s="1092"/>
    </row>
    <row r="16" spans="1:21" s="83" customFormat="1" ht="12">
      <c r="A16" s="82" t="s">
        <v>1811</v>
      </c>
      <c r="B16" s="1091"/>
      <c r="C16" s="1091"/>
      <c r="D16" s="1091"/>
      <c r="E16" s="234"/>
      <c r="F16" s="234"/>
      <c r="G16" s="234"/>
      <c r="H16" s="234"/>
      <c r="I16" s="234"/>
      <c r="J16" s="234"/>
      <c r="K16" s="234"/>
      <c r="L16" s="234"/>
      <c r="M16" s="234"/>
      <c r="N16" s="234"/>
      <c r="O16" s="234"/>
      <c r="P16" s="234"/>
      <c r="Q16" s="234"/>
      <c r="R16" s="234"/>
      <c r="S16" s="1091"/>
      <c r="T16" s="1091"/>
      <c r="U16" s="1092"/>
    </row>
    <row r="17" spans="1:21" s="83" customFormat="1">
      <c r="A17" s="181" t="s">
        <v>1812</v>
      </c>
      <c r="B17" s="233">
        <f t="shared" ref="B17:B26" si="3">SUM(C17+D17)</f>
        <v>0</v>
      </c>
      <c r="C17" s="801"/>
      <c r="D17" s="801"/>
      <c r="E17" s="801"/>
      <c r="F17" s="801"/>
      <c r="G17" s="801"/>
      <c r="H17" s="801"/>
      <c r="I17" s="801"/>
      <c r="J17" s="801"/>
      <c r="K17" s="801"/>
      <c r="L17" s="801"/>
      <c r="M17" s="801"/>
      <c r="N17" s="801"/>
      <c r="O17" s="801"/>
      <c r="P17" s="801"/>
      <c r="Q17" s="801"/>
      <c r="R17" s="387">
        <f>SUM(E17:Q17)</f>
        <v>0</v>
      </c>
      <c r="S17" s="801"/>
      <c r="T17" s="801"/>
      <c r="U17" s="1092"/>
    </row>
    <row r="18" spans="1:21" s="83" customFormat="1">
      <c r="A18" s="181" t="s">
        <v>1813</v>
      </c>
      <c r="B18" s="233">
        <f t="shared" si="3"/>
        <v>0</v>
      </c>
      <c r="C18" s="801"/>
      <c r="D18" s="801"/>
      <c r="E18" s="801"/>
      <c r="F18" s="801"/>
      <c r="G18" s="801"/>
      <c r="H18" s="801"/>
      <c r="I18" s="801"/>
      <c r="J18" s="801"/>
      <c r="K18" s="801"/>
      <c r="L18" s="801"/>
      <c r="M18" s="801"/>
      <c r="N18" s="801"/>
      <c r="O18" s="801"/>
      <c r="P18" s="801"/>
      <c r="Q18" s="801"/>
      <c r="R18" s="387">
        <f>SUM(E18:Q18)</f>
        <v>0</v>
      </c>
      <c r="S18" s="801"/>
      <c r="T18" s="801"/>
      <c r="U18" s="1092"/>
    </row>
    <row r="19" spans="1:21" s="83" customFormat="1">
      <c r="A19" s="181" t="s">
        <v>1814</v>
      </c>
      <c r="B19" s="233">
        <f t="shared" si="3"/>
        <v>0</v>
      </c>
      <c r="C19" s="801"/>
      <c r="D19" s="801"/>
      <c r="E19" s="801"/>
      <c r="F19" s="801"/>
      <c r="G19" s="801"/>
      <c r="H19" s="801"/>
      <c r="I19" s="801"/>
      <c r="J19" s="801"/>
      <c r="K19" s="801"/>
      <c r="L19" s="801"/>
      <c r="M19" s="801"/>
      <c r="N19" s="801"/>
      <c r="O19" s="801"/>
      <c r="P19" s="801"/>
      <c r="Q19" s="801"/>
      <c r="R19" s="387">
        <f>SUM(E19:Q19)</f>
        <v>0</v>
      </c>
      <c r="S19" s="801"/>
      <c r="T19" s="801"/>
      <c r="U19" s="1092"/>
    </row>
    <row r="20" spans="1:21" s="83" customFormat="1">
      <c r="A20" s="181" t="s">
        <v>1815</v>
      </c>
      <c r="B20" s="233">
        <f t="shared" si="3"/>
        <v>0</v>
      </c>
      <c r="C20" s="801"/>
      <c r="D20" s="801"/>
      <c r="E20" s="801"/>
      <c r="F20" s="801"/>
      <c r="G20" s="801"/>
      <c r="H20" s="801"/>
      <c r="I20" s="801"/>
      <c r="J20" s="801"/>
      <c r="K20" s="801"/>
      <c r="L20" s="801"/>
      <c r="M20" s="801"/>
      <c r="N20" s="801"/>
      <c r="O20" s="801"/>
      <c r="P20" s="801"/>
      <c r="Q20" s="801"/>
      <c r="R20" s="387">
        <f t="shared" ref="R20:R27" si="4">SUM(E20:Q20)</f>
        <v>0</v>
      </c>
      <c r="S20" s="801"/>
      <c r="T20" s="801"/>
      <c r="U20" s="1092"/>
    </row>
    <row r="21" spans="1:21" s="83" customFormat="1">
      <c r="A21" s="181" t="s">
        <v>1816</v>
      </c>
      <c r="B21" s="233">
        <f t="shared" si="3"/>
        <v>0</v>
      </c>
      <c r="C21" s="801"/>
      <c r="D21" s="801"/>
      <c r="E21" s="801"/>
      <c r="F21" s="801"/>
      <c r="G21" s="801"/>
      <c r="H21" s="801"/>
      <c r="I21" s="801"/>
      <c r="J21" s="801"/>
      <c r="K21" s="801"/>
      <c r="L21" s="801"/>
      <c r="M21" s="801"/>
      <c r="N21" s="801"/>
      <c r="O21" s="801"/>
      <c r="P21" s="801"/>
      <c r="Q21" s="801"/>
      <c r="R21" s="387">
        <f t="shared" si="4"/>
        <v>0</v>
      </c>
      <c r="S21" s="801"/>
      <c r="T21" s="801"/>
      <c r="U21" s="1092"/>
    </row>
    <row r="22" spans="1:21" s="83" customFormat="1">
      <c r="A22" s="181" t="s">
        <v>1817</v>
      </c>
      <c r="B22" s="233">
        <f t="shared" si="3"/>
        <v>0</v>
      </c>
      <c r="C22" s="801"/>
      <c r="D22" s="801"/>
      <c r="E22" s="801"/>
      <c r="F22" s="801"/>
      <c r="G22" s="801"/>
      <c r="H22" s="801"/>
      <c r="I22" s="801"/>
      <c r="J22" s="801"/>
      <c r="K22" s="801"/>
      <c r="L22" s="801"/>
      <c r="M22" s="801"/>
      <c r="N22" s="801"/>
      <c r="O22" s="801"/>
      <c r="P22" s="801"/>
      <c r="Q22" s="801"/>
      <c r="R22" s="387">
        <f t="shared" si="4"/>
        <v>0</v>
      </c>
      <c r="S22" s="801"/>
      <c r="T22" s="801"/>
      <c r="U22" s="1092"/>
    </row>
    <row r="23" spans="1:21" s="83" customFormat="1">
      <c r="A23" s="181" t="s">
        <v>1818</v>
      </c>
      <c r="B23" s="233">
        <f t="shared" si="3"/>
        <v>0</v>
      </c>
      <c r="C23" s="801"/>
      <c r="D23" s="801"/>
      <c r="E23" s="801"/>
      <c r="F23" s="801"/>
      <c r="G23" s="801"/>
      <c r="H23" s="801"/>
      <c r="I23" s="801"/>
      <c r="J23" s="801"/>
      <c r="K23" s="801"/>
      <c r="L23" s="801"/>
      <c r="M23" s="801"/>
      <c r="N23" s="801"/>
      <c r="O23" s="801"/>
      <c r="P23" s="801"/>
      <c r="Q23" s="801"/>
      <c r="R23" s="387">
        <f t="shared" si="4"/>
        <v>0</v>
      </c>
      <c r="S23" s="801"/>
      <c r="T23" s="801"/>
      <c r="U23" s="1092"/>
    </row>
    <row r="24" spans="1:21" s="83" customFormat="1">
      <c r="A24" s="380" t="s">
        <v>1819</v>
      </c>
      <c r="B24" s="233">
        <f t="shared" si="3"/>
        <v>0</v>
      </c>
      <c r="C24" s="801"/>
      <c r="D24" s="801"/>
      <c r="E24" s="801"/>
      <c r="F24" s="801"/>
      <c r="G24" s="801"/>
      <c r="H24" s="801"/>
      <c r="I24" s="801"/>
      <c r="J24" s="801"/>
      <c r="K24" s="801"/>
      <c r="L24" s="801"/>
      <c r="M24" s="801"/>
      <c r="N24" s="801"/>
      <c r="O24" s="801"/>
      <c r="P24" s="801"/>
      <c r="Q24" s="801"/>
      <c r="R24" s="387">
        <f t="shared" si="4"/>
        <v>0</v>
      </c>
      <c r="S24" s="801"/>
      <c r="T24" s="801"/>
      <c r="U24" s="1092"/>
    </row>
    <row r="25" spans="1:21" s="83" customFormat="1">
      <c r="A25" s="961" t="s">
        <v>1820</v>
      </c>
      <c r="B25" s="233">
        <f t="shared" si="3"/>
        <v>0</v>
      </c>
      <c r="C25" s="801"/>
      <c r="D25" s="801"/>
      <c r="E25" s="801"/>
      <c r="F25" s="801"/>
      <c r="G25" s="801"/>
      <c r="H25" s="801"/>
      <c r="I25" s="801"/>
      <c r="J25" s="801"/>
      <c r="K25" s="801"/>
      <c r="L25" s="801"/>
      <c r="M25" s="801"/>
      <c r="N25" s="801"/>
      <c r="O25" s="801"/>
      <c r="P25" s="801"/>
      <c r="Q25" s="801"/>
      <c r="R25" s="387">
        <f t="shared" si="4"/>
        <v>0</v>
      </c>
      <c r="S25" s="801"/>
      <c r="T25" s="801"/>
      <c r="U25" s="1092"/>
    </row>
    <row r="26" spans="1:21" s="83" customFormat="1">
      <c r="A26" s="84" t="s">
        <v>1821</v>
      </c>
      <c r="B26" s="233">
        <f t="shared" si="3"/>
        <v>0</v>
      </c>
      <c r="C26" s="233">
        <f>SUM(C17:C25)</f>
        <v>0</v>
      </c>
      <c r="D26" s="233">
        <f t="shared" ref="D26:Q26" si="5">SUM(D17:D25)</f>
        <v>0</v>
      </c>
      <c r="E26" s="233">
        <f t="shared" si="5"/>
        <v>0</v>
      </c>
      <c r="F26" s="233">
        <f t="shared" si="5"/>
        <v>0</v>
      </c>
      <c r="G26" s="233">
        <f t="shared" si="5"/>
        <v>0</v>
      </c>
      <c r="H26" s="233">
        <f t="shared" si="5"/>
        <v>0</v>
      </c>
      <c r="I26" s="233">
        <f t="shared" si="5"/>
        <v>0</v>
      </c>
      <c r="J26" s="233">
        <f t="shared" si="5"/>
        <v>0</v>
      </c>
      <c r="K26" s="233">
        <f t="shared" si="5"/>
        <v>0</v>
      </c>
      <c r="L26" s="233">
        <f t="shared" si="5"/>
        <v>0</v>
      </c>
      <c r="M26" s="233">
        <f t="shared" si="5"/>
        <v>0</v>
      </c>
      <c r="N26" s="233">
        <f t="shared" si="5"/>
        <v>0</v>
      </c>
      <c r="O26" s="233">
        <f t="shared" si="5"/>
        <v>0</v>
      </c>
      <c r="P26" s="233">
        <f t="shared" si="5"/>
        <v>0</v>
      </c>
      <c r="Q26" s="233">
        <f t="shared" si="5"/>
        <v>0</v>
      </c>
      <c r="R26" s="233">
        <f>SUM(R17:R25)</f>
        <v>0</v>
      </c>
      <c r="S26" s="85">
        <f>SUM(S17:S25)</f>
        <v>0</v>
      </c>
      <c r="T26" s="85">
        <f>SUM(T17:T25)</f>
        <v>0</v>
      </c>
      <c r="U26" s="1092"/>
    </row>
    <row r="27" spans="1:21" s="83" customFormat="1">
      <c r="A27" s="84" t="s">
        <v>1822</v>
      </c>
      <c r="B27" s="233">
        <f>SUM(C27:D27)</f>
        <v>0</v>
      </c>
      <c r="C27" s="801"/>
      <c r="D27" s="801"/>
      <c r="E27" s="801"/>
      <c r="F27" s="801"/>
      <c r="G27" s="801"/>
      <c r="H27" s="801"/>
      <c r="I27" s="801"/>
      <c r="J27" s="801"/>
      <c r="K27" s="801"/>
      <c r="L27" s="801"/>
      <c r="M27" s="801"/>
      <c r="N27" s="801"/>
      <c r="O27" s="801"/>
      <c r="P27" s="801"/>
      <c r="Q27" s="801"/>
      <c r="R27" s="387">
        <f t="shared" si="4"/>
        <v>0</v>
      </c>
      <c r="S27" s="801"/>
      <c r="T27" s="801"/>
      <c r="U27" s="1092"/>
    </row>
    <row r="28" spans="1:21" s="83" customFormat="1" ht="12">
      <c r="A28" s="82" t="s">
        <v>1823</v>
      </c>
      <c r="B28" s="1091"/>
      <c r="C28" s="1091"/>
      <c r="D28" s="1091"/>
      <c r="E28" s="234"/>
      <c r="F28" s="234"/>
      <c r="G28" s="234"/>
      <c r="H28" s="234"/>
      <c r="I28" s="234"/>
      <c r="J28" s="234"/>
      <c r="K28" s="234"/>
      <c r="L28" s="234"/>
      <c r="M28" s="234"/>
      <c r="N28" s="234"/>
      <c r="O28" s="234"/>
      <c r="P28" s="234"/>
      <c r="Q28" s="234"/>
      <c r="R28" s="234"/>
      <c r="S28" s="1091"/>
      <c r="T28" s="1091"/>
      <c r="U28" s="1092"/>
    </row>
    <row r="29" spans="1:21" s="83" customFormat="1">
      <c r="A29" s="181" t="s">
        <v>1812</v>
      </c>
      <c r="B29" s="233">
        <f t="shared" ref="B29:B38" si="6">SUM(C29+D29)</f>
        <v>1000000</v>
      </c>
      <c r="C29" s="801">
        <v>1000000</v>
      </c>
      <c r="D29" s="801"/>
      <c r="E29" s="801"/>
      <c r="F29" s="801">
        <v>1000000</v>
      </c>
      <c r="G29" s="801"/>
      <c r="H29" s="801"/>
      <c r="I29" s="801"/>
      <c r="J29" s="801"/>
      <c r="K29" s="801"/>
      <c r="L29" s="801"/>
      <c r="M29" s="801"/>
      <c r="N29" s="801"/>
      <c r="O29" s="801"/>
      <c r="P29" s="801"/>
      <c r="Q29" s="801"/>
      <c r="R29" s="387">
        <f t="shared" ref="R29:R37" si="7">SUM(E29:Q29)</f>
        <v>1000000</v>
      </c>
      <c r="S29" s="801">
        <v>1000000</v>
      </c>
      <c r="T29" s="801"/>
      <c r="U29" s="1092"/>
    </row>
    <row r="30" spans="1:21" s="83" customFormat="1">
      <c r="A30" s="181" t="s">
        <v>1813</v>
      </c>
      <c r="B30" s="233">
        <f t="shared" si="6"/>
        <v>17510152</v>
      </c>
      <c r="C30" s="801">
        <v>17510152</v>
      </c>
      <c r="D30" s="801"/>
      <c r="E30" s="801"/>
      <c r="F30" s="801">
        <f>C30-G30</f>
        <v>6510152</v>
      </c>
      <c r="G30" s="801">
        <v>11000000</v>
      </c>
      <c r="H30" s="801"/>
      <c r="I30" s="801"/>
      <c r="J30" s="801"/>
      <c r="K30" s="801"/>
      <c r="L30" s="801"/>
      <c r="M30" s="801"/>
      <c r="N30" s="801"/>
      <c r="O30" s="801"/>
      <c r="P30" s="801"/>
      <c r="Q30" s="801"/>
      <c r="R30" s="387">
        <f t="shared" si="7"/>
        <v>17510152</v>
      </c>
      <c r="S30" s="801">
        <v>17510152</v>
      </c>
      <c r="T30" s="801"/>
      <c r="U30" s="1092"/>
    </row>
    <row r="31" spans="1:21" s="83" customFormat="1">
      <c r="A31" s="181" t="s">
        <v>1814</v>
      </c>
      <c r="B31" s="233">
        <f t="shared" si="6"/>
        <v>1368731</v>
      </c>
      <c r="C31" s="801">
        <v>1368731</v>
      </c>
      <c r="D31" s="801"/>
      <c r="E31" s="801"/>
      <c r="F31" s="801">
        <f>C31</f>
        <v>1368731</v>
      </c>
      <c r="G31" s="801"/>
      <c r="H31" s="801"/>
      <c r="I31" s="801"/>
      <c r="J31" s="801"/>
      <c r="K31" s="801"/>
      <c r="L31" s="801"/>
      <c r="M31" s="801"/>
      <c r="N31" s="801"/>
      <c r="O31" s="801"/>
      <c r="P31" s="801"/>
      <c r="Q31" s="801"/>
      <c r="R31" s="387">
        <f t="shared" si="7"/>
        <v>1368731</v>
      </c>
      <c r="S31" s="801">
        <v>1368731</v>
      </c>
      <c r="T31" s="801"/>
      <c r="U31" s="1092"/>
    </row>
    <row r="32" spans="1:21" s="83" customFormat="1">
      <c r="A32" s="181" t="s">
        <v>1815</v>
      </c>
      <c r="B32" s="233">
        <f t="shared" si="6"/>
        <v>912488</v>
      </c>
      <c r="C32" s="801">
        <v>912488</v>
      </c>
      <c r="D32" s="801"/>
      <c r="E32" s="801">
        <v>793836</v>
      </c>
      <c r="F32" s="801">
        <f>C32-E32</f>
        <v>118652</v>
      </c>
      <c r="G32" s="801"/>
      <c r="H32" s="801"/>
      <c r="I32" s="801"/>
      <c r="J32" s="801"/>
      <c r="K32" s="801"/>
      <c r="L32" s="801"/>
      <c r="M32" s="801"/>
      <c r="N32" s="801"/>
      <c r="O32" s="801"/>
      <c r="P32" s="801"/>
      <c r="Q32" s="801"/>
      <c r="R32" s="387">
        <f t="shared" si="7"/>
        <v>912488</v>
      </c>
      <c r="S32" s="801">
        <v>912488</v>
      </c>
      <c r="T32" s="801"/>
      <c r="U32" s="1092"/>
    </row>
    <row r="33" spans="1:21" s="83" customFormat="1">
      <c r="A33" s="181" t="s">
        <v>1816</v>
      </c>
      <c r="B33" s="233">
        <f t="shared" si="6"/>
        <v>912487</v>
      </c>
      <c r="C33" s="801">
        <v>912487</v>
      </c>
      <c r="D33" s="801"/>
      <c r="E33" s="801">
        <v>912487</v>
      </c>
      <c r="F33" s="801"/>
      <c r="G33" s="801"/>
      <c r="H33" s="801"/>
      <c r="I33" s="801"/>
      <c r="J33" s="801"/>
      <c r="K33" s="801"/>
      <c r="L33" s="801"/>
      <c r="M33" s="801"/>
      <c r="N33" s="801"/>
      <c r="O33" s="801"/>
      <c r="P33" s="801"/>
      <c r="Q33" s="801"/>
      <c r="R33" s="387">
        <f t="shared" si="7"/>
        <v>912487</v>
      </c>
      <c r="S33" s="801">
        <v>912487</v>
      </c>
      <c r="T33" s="801"/>
      <c r="U33" s="1092"/>
    </row>
    <row r="34" spans="1:21" s="83" customFormat="1">
      <c r="A34" s="181" t="s">
        <v>1817</v>
      </c>
      <c r="B34" s="233">
        <f t="shared" si="6"/>
        <v>3802030</v>
      </c>
      <c r="C34" s="801">
        <v>3802030</v>
      </c>
      <c r="D34" s="801"/>
      <c r="E34" s="801">
        <v>3802030</v>
      </c>
      <c r="F34" s="801"/>
      <c r="G34" s="801"/>
      <c r="H34" s="801"/>
      <c r="I34" s="801"/>
      <c r="J34" s="801"/>
      <c r="K34" s="801"/>
      <c r="L34" s="801"/>
      <c r="M34" s="801"/>
      <c r="N34" s="801"/>
      <c r="O34" s="801"/>
      <c r="P34" s="801"/>
      <c r="Q34" s="801"/>
      <c r="R34" s="387">
        <f t="shared" si="7"/>
        <v>3802030</v>
      </c>
      <c r="S34" s="801">
        <v>3802030</v>
      </c>
      <c r="T34" s="801"/>
      <c r="U34" s="1092"/>
    </row>
    <row r="35" spans="1:21" s="83" customFormat="1">
      <c r="A35" s="181" t="s">
        <v>1818</v>
      </c>
      <c r="B35" s="233">
        <f t="shared" si="6"/>
        <v>260059</v>
      </c>
      <c r="C35" s="801">
        <v>260059</v>
      </c>
      <c r="D35" s="801"/>
      <c r="E35" s="801">
        <v>260059</v>
      </c>
      <c r="F35" s="801"/>
      <c r="G35" s="801"/>
      <c r="H35" s="801"/>
      <c r="I35" s="801"/>
      <c r="J35" s="801"/>
      <c r="K35" s="801"/>
      <c r="L35" s="801"/>
      <c r="M35" s="801"/>
      <c r="N35" s="801"/>
      <c r="O35" s="801"/>
      <c r="P35" s="801"/>
      <c r="Q35" s="801"/>
      <c r="R35" s="387">
        <f t="shared" si="7"/>
        <v>260059</v>
      </c>
      <c r="S35" s="801">
        <v>260059</v>
      </c>
      <c r="T35" s="801"/>
      <c r="U35" s="1092"/>
    </row>
    <row r="36" spans="1:21" s="83" customFormat="1">
      <c r="A36" s="181" t="s">
        <v>1819</v>
      </c>
      <c r="B36" s="233">
        <f t="shared" si="6"/>
        <v>0</v>
      </c>
      <c r="C36" s="801"/>
      <c r="D36" s="801"/>
      <c r="E36" s="801"/>
      <c r="F36" s="801"/>
      <c r="G36" s="801"/>
      <c r="H36" s="801"/>
      <c r="I36" s="801"/>
      <c r="J36" s="801"/>
      <c r="K36" s="801"/>
      <c r="L36" s="801"/>
      <c r="M36" s="801"/>
      <c r="N36" s="801"/>
      <c r="O36" s="801"/>
      <c r="P36" s="801"/>
      <c r="Q36" s="801"/>
      <c r="R36" s="387">
        <f t="shared" si="7"/>
        <v>0</v>
      </c>
      <c r="S36" s="801"/>
      <c r="T36" s="801"/>
      <c r="U36" s="1092"/>
    </row>
    <row r="37" spans="1:21" s="83" customFormat="1">
      <c r="A37" s="961" t="s">
        <v>1820</v>
      </c>
      <c r="B37" s="233">
        <f t="shared" si="6"/>
        <v>0</v>
      </c>
      <c r="C37" s="801"/>
      <c r="D37" s="801"/>
      <c r="E37" s="801"/>
      <c r="F37" s="801"/>
      <c r="G37" s="801"/>
      <c r="H37" s="801"/>
      <c r="I37" s="801">
        <f>H37-D37</f>
        <v>0</v>
      </c>
      <c r="J37" s="801"/>
      <c r="K37" s="801"/>
      <c r="L37" s="801"/>
      <c r="M37" s="801"/>
      <c r="N37" s="801"/>
      <c r="O37" s="801"/>
      <c r="P37" s="801"/>
      <c r="Q37" s="801"/>
      <c r="R37" s="387">
        <f t="shared" si="7"/>
        <v>0</v>
      </c>
      <c r="S37" s="801"/>
      <c r="T37" s="801"/>
      <c r="U37" s="1092"/>
    </row>
    <row r="38" spans="1:21" s="83" customFormat="1">
      <c r="A38" s="84" t="s">
        <v>1824</v>
      </c>
      <c r="B38" s="233">
        <f t="shared" si="6"/>
        <v>25765947</v>
      </c>
      <c r="C38" s="233">
        <f>SUM(C29:C37)</f>
        <v>25765947</v>
      </c>
      <c r="D38" s="233">
        <f t="shared" ref="D38:Q38" si="8">SUM(D29:D37)</f>
        <v>0</v>
      </c>
      <c r="E38" s="233">
        <f t="shared" si="8"/>
        <v>5768412</v>
      </c>
      <c r="F38" s="233">
        <f t="shared" si="8"/>
        <v>8997535</v>
      </c>
      <c r="G38" s="233">
        <f t="shared" si="8"/>
        <v>11000000</v>
      </c>
      <c r="H38" s="233">
        <f t="shared" si="8"/>
        <v>0</v>
      </c>
      <c r="I38" s="233">
        <f t="shared" si="8"/>
        <v>0</v>
      </c>
      <c r="J38" s="233">
        <f t="shared" si="8"/>
        <v>0</v>
      </c>
      <c r="K38" s="233">
        <f t="shared" si="8"/>
        <v>0</v>
      </c>
      <c r="L38" s="233">
        <f t="shared" si="8"/>
        <v>0</v>
      </c>
      <c r="M38" s="233">
        <f t="shared" si="8"/>
        <v>0</v>
      </c>
      <c r="N38" s="233">
        <f t="shared" si="8"/>
        <v>0</v>
      </c>
      <c r="O38" s="233">
        <f t="shared" si="8"/>
        <v>0</v>
      </c>
      <c r="P38" s="233">
        <f t="shared" si="8"/>
        <v>0</v>
      </c>
      <c r="Q38" s="233">
        <f t="shared" si="8"/>
        <v>0</v>
      </c>
      <c r="R38" s="233">
        <f>SUM(R29:R37)</f>
        <v>25765947</v>
      </c>
      <c r="S38" s="85">
        <f>SUM(S29:S37)</f>
        <v>25765947</v>
      </c>
      <c r="T38" s="85">
        <f>SUM(T29:T37)</f>
        <v>0</v>
      </c>
      <c r="U38" s="1092"/>
    </row>
    <row r="39" spans="1:21" s="83" customFormat="1" ht="12">
      <c r="A39" s="82" t="s">
        <v>1825</v>
      </c>
      <c r="B39" s="1091"/>
      <c r="C39" s="1091"/>
      <c r="D39" s="1091"/>
      <c r="E39" s="234"/>
      <c r="F39" s="234"/>
      <c r="G39" s="234"/>
      <c r="H39" s="234"/>
      <c r="I39" s="234"/>
      <c r="J39" s="234"/>
      <c r="K39" s="234"/>
      <c r="L39" s="234"/>
      <c r="M39" s="234"/>
      <c r="N39" s="234"/>
      <c r="O39" s="234"/>
      <c r="P39" s="234"/>
      <c r="Q39" s="234"/>
      <c r="R39" s="234"/>
      <c r="S39" s="1091"/>
      <c r="T39" s="1091"/>
      <c r="U39" s="1092"/>
    </row>
    <row r="40" spans="1:21" s="83" customFormat="1">
      <c r="A40" s="181" t="s">
        <v>1826</v>
      </c>
      <c r="B40" s="233">
        <f>SUM(C40+D40)</f>
        <v>1060000</v>
      </c>
      <c r="C40" s="801">
        <v>1060000</v>
      </c>
      <c r="D40" s="801"/>
      <c r="E40" s="801">
        <f>C40</f>
        <v>1060000</v>
      </c>
      <c r="F40" s="801"/>
      <c r="G40" s="801"/>
      <c r="H40" s="801"/>
      <c r="I40" s="801"/>
      <c r="J40" s="801"/>
      <c r="K40" s="801"/>
      <c r="L40" s="801"/>
      <c r="M40" s="801"/>
      <c r="N40" s="801"/>
      <c r="O40" s="801"/>
      <c r="P40" s="801"/>
      <c r="Q40" s="801"/>
      <c r="R40" s="387">
        <f>SUM(E40:Q40)</f>
        <v>1060000</v>
      </c>
      <c r="S40" s="801">
        <v>1060000</v>
      </c>
      <c r="T40" s="801"/>
      <c r="U40" s="1092"/>
    </row>
    <row r="41" spans="1:21" s="83" customFormat="1">
      <c r="A41" s="181" t="s">
        <v>1827</v>
      </c>
      <c r="B41" s="233">
        <f>SUM(C41+D41)</f>
        <v>0</v>
      </c>
      <c r="C41" s="801"/>
      <c r="D41" s="801"/>
      <c r="E41" s="801"/>
      <c r="F41" s="801"/>
      <c r="G41" s="801"/>
      <c r="H41" s="801"/>
      <c r="I41" s="801"/>
      <c r="J41" s="801"/>
      <c r="K41" s="801"/>
      <c r="L41" s="801"/>
      <c r="M41" s="801"/>
      <c r="N41" s="801"/>
      <c r="O41" s="801"/>
      <c r="P41" s="801"/>
      <c r="Q41" s="801"/>
      <c r="R41" s="387">
        <f>SUM(E41:Q41)</f>
        <v>0</v>
      </c>
      <c r="S41" s="801"/>
      <c r="T41" s="801"/>
      <c r="U41" s="1092"/>
    </row>
    <row r="42" spans="1:21" s="83" customFormat="1">
      <c r="A42" s="84" t="s">
        <v>1828</v>
      </c>
      <c r="B42" s="233">
        <f>SUM(C42:D42)</f>
        <v>1060000</v>
      </c>
      <c r="C42" s="233">
        <f>SUM(C39:C41)</f>
        <v>1060000</v>
      </c>
      <c r="D42" s="233">
        <f>SUM(D39:D41)</f>
        <v>0</v>
      </c>
      <c r="E42" s="233">
        <f t="shared" ref="E42:T42" si="9">SUM(E40:E41)</f>
        <v>1060000</v>
      </c>
      <c r="F42" s="233">
        <f t="shared" si="9"/>
        <v>0</v>
      </c>
      <c r="G42" s="233">
        <f t="shared" si="9"/>
        <v>0</v>
      </c>
      <c r="H42" s="233">
        <f t="shared" si="9"/>
        <v>0</v>
      </c>
      <c r="I42" s="233">
        <f t="shared" si="9"/>
        <v>0</v>
      </c>
      <c r="J42" s="233">
        <f t="shared" si="9"/>
        <v>0</v>
      </c>
      <c r="K42" s="233">
        <f t="shared" si="9"/>
        <v>0</v>
      </c>
      <c r="L42" s="233">
        <f t="shared" si="9"/>
        <v>0</v>
      </c>
      <c r="M42" s="233">
        <f t="shared" si="9"/>
        <v>0</v>
      </c>
      <c r="N42" s="233">
        <f t="shared" si="9"/>
        <v>0</v>
      </c>
      <c r="O42" s="233">
        <f t="shared" si="9"/>
        <v>0</v>
      </c>
      <c r="P42" s="233">
        <f t="shared" si="9"/>
        <v>0</v>
      </c>
      <c r="Q42" s="233">
        <f t="shared" si="9"/>
        <v>0</v>
      </c>
      <c r="R42" s="233">
        <f>SUM(R40:R41)</f>
        <v>1060000</v>
      </c>
      <c r="S42" s="85">
        <f t="shared" si="9"/>
        <v>1060000</v>
      </c>
      <c r="T42" s="85">
        <f t="shared" si="9"/>
        <v>0</v>
      </c>
      <c r="U42" s="1092"/>
    </row>
    <row r="43" spans="1:21" s="83" customFormat="1">
      <c r="A43" s="84" t="s">
        <v>1829</v>
      </c>
      <c r="B43" s="233">
        <f>SUM(C43:D43)</f>
        <v>650000</v>
      </c>
      <c r="C43" s="801">
        <v>650000</v>
      </c>
      <c r="D43" s="801"/>
      <c r="E43" s="801">
        <f>C43</f>
        <v>650000</v>
      </c>
      <c r="F43" s="801"/>
      <c r="G43" s="801"/>
      <c r="H43" s="801"/>
      <c r="I43" s="801"/>
      <c r="J43" s="801"/>
      <c r="K43" s="801"/>
      <c r="L43" s="801"/>
      <c r="M43" s="801"/>
      <c r="N43" s="801"/>
      <c r="O43" s="801"/>
      <c r="P43" s="801"/>
      <c r="Q43" s="801"/>
      <c r="R43" s="387">
        <f>SUM(E43:Q43)</f>
        <v>650000</v>
      </c>
      <c r="S43" s="801">
        <v>650000</v>
      </c>
      <c r="T43" s="801"/>
      <c r="U43" s="1092"/>
    </row>
    <row r="44" spans="1:21" s="83" customFormat="1" ht="12">
      <c r="A44" s="82" t="s">
        <v>1830</v>
      </c>
      <c r="B44" s="1091"/>
      <c r="C44" s="1091"/>
      <c r="D44" s="1091"/>
      <c r="E44" s="234"/>
      <c r="F44" s="234"/>
      <c r="G44" s="234"/>
      <c r="H44" s="234"/>
      <c r="I44" s="234"/>
      <c r="J44" s="234"/>
      <c r="K44" s="234"/>
      <c r="L44" s="234"/>
      <c r="M44" s="234"/>
      <c r="N44" s="234"/>
      <c r="O44" s="234"/>
      <c r="P44" s="234"/>
      <c r="Q44" s="234"/>
      <c r="R44" s="234"/>
      <c r="S44" s="1091"/>
      <c r="T44" s="1091"/>
      <c r="U44" s="1092"/>
    </row>
    <row r="45" spans="1:21" s="83" customFormat="1">
      <c r="A45" s="181" t="s">
        <v>1831</v>
      </c>
      <c r="B45" s="233">
        <f t="shared" ref="B45:B53" si="10">SUM(C45+D45)</f>
        <v>3840280</v>
      </c>
      <c r="C45" s="801">
        <f>3562459+277821</f>
        <v>3840280</v>
      </c>
      <c r="D45" s="801"/>
      <c r="E45" s="801">
        <f>3562459+277821</f>
        <v>3840280</v>
      </c>
      <c r="F45" s="801"/>
      <c r="G45" s="801"/>
      <c r="H45" s="801"/>
      <c r="I45" s="801"/>
      <c r="J45" s="801"/>
      <c r="K45" s="801"/>
      <c r="L45" s="801"/>
      <c r="M45" s="801"/>
      <c r="N45" s="801"/>
      <c r="O45" s="801"/>
      <c r="P45" s="801"/>
      <c r="Q45" s="801"/>
      <c r="R45" s="387">
        <f t="shared" ref="R45:R53" si="11">SUM(E45:Q45)</f>
        <v>3840280</v>
      </c>
      <c r="S45" s="801">
        <v>2296741</v>
      </c>
      <c r="T45" s="801"/>
      <c r="U45" s="1092"/>
    </row>
    <row r="46" spans="1:21" s="83" customFormat="1">
      <c r="A46" s="181" t="s">
        <v>1832</v>
      </c>
      <c r="B46" s="233">
        <f t="shared" si="10"/>
        <v>261383</v>
      </c>
      <c r="C46" s="801">
        <v>261383</v>
      </c>
      <c r="D46" s="801"/>
      <c r="E46" s="801">
        <f>C46</f>
        <v>261383</v>
      </c>
      <c r="F46" s="801"/>
      <c r="G46" s="801"/>
      <c r="H46" s="801"/>
      <c r="I46" s="801"/>
      <c r="J46" s="801"/>
      <c r="K46" s="801"/>
      <c r="L46" s="801"/>
      <c r="M46" s="801"/>
      <c r="N46" s="801"/>
      <c r="O46" s="801"/>
      <c r="P46" s="801"/>
      <c r="Q46" s="801"/>
      <c r="R46" s="387">
        <f t="shared" si="11"/>
        <v>261383</v>
      </c>
      <c r="S46" s="801">
        <v>196037</v>
      </c>
      <c r="T46" s="801"/>
      <c r="U46" s="1092"/>
    </row>
    <row r="47" spans="1:21" s="83" customFormat="1">
      <c r="A47" s="1094" t="s">
        <v>1833</v>
      </c>
      <c r="B47" s="233">
        <f t="shared" si="10"/>
        <v>15000</v>
      </c>
      <c r="C47" s="801">
        <v>15000</v>
      </c>
      <c r="D47" s="801"/>
      <c r="E47" s="801">
        <f>C47</f>
        <v>15000</v>
      </c>
      <c r="F47" s="801"/>
      <c r="G47" s="801"/>
      <c r="H47" s="801"/>
      <c r="I47" s="801"/>
      <c r="J47" s="801"/>
      <c r="K47" s="801"/>
      <c r="L47" s="801"/>
      <c r="M47" s="801"/>
      <c r="N47" s="801"/>
      <c r="O47" s="801"/>
      <c r="P47" s="801"/>
      <c r="Q47" s="801"/>
      <c r="R47" s="387">
        <f t="shared" si="11"/>
        <v>15000</v>
      </c>
      <c r="S47" s="801">
        <v>11250</v>
      </c>
      <c r="T47" s="801"/>
      <c r="U47" s="1092"/>
    </row>
    <row r="48" spans="1:21" s="83" customFormat="1">
      <c r="A48" s="181" t="s">
        <v>1834</v>
      </c>
      <c r="B48" s="233">
        <f t="shared" si="10"/>
        <v>234053</v>
      </c>
      <c r="C48" s="801">
        <v>234053</v>
      </c>
      <c r="D48" s="801"/>
      <c r="E48" s="801">
        <v>234053</v>
      </c>
      <c r="F48" s="801"/>
      <c r="G48" s="801"/>
      <c r="H48" s="801"/>
      <c r="I48" s="801"/>
      <c r="J48" s="801"/>
      <c r="K48" s="801"/>
      <c r="L48" s="801"/>
      <c r="M48" s="801"/>
      <c r="N48" s="801"/>
      <c r="O48" s="801"/>
      <c r="P48" s="801"/>
      <c r="Q48" s="801"/>
      <c r="R48" s="387">
        <f t="shared" si="11"/>
        <v>234053</v>
      </c>
      <c r="S48" s="801">
        <v>234053</v>
      </c>
      <c r="T48" s="801"/>
      <c r="U48" s="1092"/>
    </row>
    <row r="49" spans="1:21" s="83" customFormat="1">
      <c r="A49" s="181" t="s">
        <v>1835</v>
      </c>
      <c r="B49" s="233">
        <f t="shared" si="10"/>
        <v>65346</v>
      </c>
      <c r="C49" s="801">
        <v>65346</v>
      </c>
      <c r="D49" s="801"/>
      <c r="E49" s="801">
        <f>C49</f>
        <v>65346</v>
      </c>
      <c r="F49" s="801"/>
      <c r="G49" s="801"/>
      <c r="H49" s="801"/>
      <c r="I49" s="801"/>
      <c r="J49" s="801"/>
      <c r="K49" s="801"/>
      <c r="L49" s="801"/>
      <c r="M49" s="801"/>
      <c r="N49" s="801"/>
      <c r="O49" s="801"/>
      <c r="P49" s="801"/>
      <c r="Q49" s="801"/>
      <c r="R49" s="387">
        <f t="shared" si="11"/>
        <v>65346</v>
      </c>
      <c r="S49" s="801">
        <v>65346</v>
      </c>
      <c r="T49" s="801"/>
      <c r="U49" s="1092"/>
    </row>
    <row r="50" spans="1:21" s="83" customFormat="1">
      <c r="A50" s="181" t="s">
        <v>1836</v>
      </c>
      <c r="B50" s="233">
        <f t="shared" si="10"/>
        <v>100000</v>
      </c>
      <c r="C50" s="801">
        <v>100000</v>
      </c>
      <c r="D50" s="801"/>
      <c r="E50" s="801">
        <f>C50</f>
        <v>100000</v>
      </c>
      <c r="F50" s="801"/>
      <c r="G50" s="801"/>
      <c r="H50" s="801"/>
      <c r="I50" s="801"/>
      <c r="J50" s="801"/>
      <c r="K50" s="801"/>
      <c r="L50" s="801"/>
      <c r="M50" s="801"/>
      <c r="N50" s="801"/>
      <c r="O50" s="801"/>
      <c r="P50" s="801"/>
      <c r="Q50" s="801"/>
      <c r="R50" s="387">
        <f t="shared" si="11"/>
        <v>100000</v>
      </c>
      <c r="S50" s="801">
        <v>75000</v>
      </c>
      <c r="T50" s="801"/>
      <c r="U50" s="1092"/>
    </row>
    <row r="51" spans="1:21" s="83" customFormat="1">
      <c r="A51" s="181" t="s">
        <v>1837</v>
      </c>
      <c r="B51" s="233">
        <f t="shared" si="10"/>
        <v>105000</v>
      </c>
      <c r="C51" s="801">
        <v>105000</v>
      </c>
      <c r="D51" s="801"/>
      <c r="E51" s="801">
        <f>C51</f>
        <v>105000</v>
      </c>
      <c r="F51" s="801"/>
      <c r="G51" s="801"/>
      <c r="H51" s="801"/>
      <c r="I51" s="801"/>
      <c r="J51" s="801"/>
      <c r="K51" s="801"/>
      <c r="L51" s="801"/>
      <c r="M51" s="801"/>
      <c r="N51" s="801"/>
      <c r="O51" s="801"/>
      <c r="P51" s="801"/>
      <c r="Q51" s="801"/>
      <c r="R51" s="387">
        <f t="shared" si="11"/>
        <v>105000</v>
      </c>
      <c r="S51" s="801">
        <v>105000</v>
      </c>
      <c r="T51" s="801"/>
      <c r="U51" s="1092"/>
    </row>
    <row r="52" spans="1:21" s="83" customFormat="1">
      <c r="A52" s="181" t="s">
        <v>1838</v>
      </c>
      <c r="B52" s="233">
        <f t="shared" si="10"/>
        <v>398000</v>
      </c>
      <c r="C52" s="801">
        <v>398000</v>
      </c>
      <c r="D52" s="801"/>
      <c r="E52" s="801">
        <f>C52</f>
        <v>398000</v>
      </c>
      <c r="F52" s="801"/>
      <c r="G52" s="801"/>
      <c r="H52" s="801"/>
      <c r="I52" s="801"/>
      <c r="J52" s="801"/>
      <c r="K52" s="801"/>
      <c r="L52" s="801"/>
      <c r="M52" s="801"/>
      <c r="N52" s="801"/>
      <c r="O52" s="801"/>
      <c r="P52" s="801"/>
      <c r="Q52" s="801"/>
      <c r="R52" s="387">
        <f t="shared" si="11"/>
        <v>398000</v>
      </c>
      <c r="S52" s="801">
        <v>398000</v>
      </c>
      <c r="T52" s="801"/>
      <c r="U52" s="1092"/>
    </row>
    <row r="53" spans="1:21" s="83" customFormat="1">
      <c r="A53" s="961" t="s">
        <v>1839</v>
      </c>
      <c r="B53" s="233">
        <f t="shared" si="10"/>
        <v>25000</v>
      </c>
      <c r="C53" s="801">
        <v>25000</v>
      </c>
      <c r="D53" s="801"/>
      <c r="E53" s="801">
        <v>25000</v>
      </c>
      <c r="F53" s="801"/>
      <c r="G53" s="801"/>
      <c r="H53" s="801"/>
      <c r="I53" s="801"/>
      <c r="J53" s="801"/>
      <c r="K53" s="801"/>
      <c r="L53" s="801"/>
      <c r="M53" s="801"/>
      <c r="N53" s="801"/>
      <c r="O53" s="801"/>
      <c r="P53" s="801"/>
      <c r="Q53" s="801"/>
      <c r="R53" s="387">
        <f t="shared" si="11"/>
        <v>25000</v>
      </c>
      <c r="S53" s="801">
        <v>25000</v>
      </c>
      <c r="T53" s="801"/>
      <c r="U53" s="1092"/>
    </row>
    <row r="54" spans="1:21" s="87" customFormat="1">
      <c r="A54" s="84" t="s">
        <v>1840</v>
      </c>
      <c r="B54" s="85">
        <f>SUM(C54:D54)</f>
        <v>5044062</v>
      </c>
      <c r="C54" s="85">
        <f t="shared" ref="C54:T54" si="12">SUM(C45:C53)</f>
        <v>5044062</v>
      </c>
      <c r="D54" s="85">
        <f t="shared" si="12"/>
        <v>0</v>
      </c>
      <c r="E54" s="85">
        <f t="shared" si="12"/>
        <v>5044062</v>
      </c>
      <c r="F54" s="85">
        <f t="shared" si="12"/>
        <v>0</v>
      </c>
      <c r="G54" s="85">
        <f t="shared" si="12"/>
        <v>0</v>
      </c>
      <c r="H54" s="85">
        <f t="shared" si="12"/>
        <v>0</v>
      </c>
      <c r="I54" s="85">
        <f t="shared" si="12"/>
        <v>0</v>
      </c>
      <c r="J54" s="85">
        <f t="shared" si="12"/>
        <v>0</v>
      </c>
      <c r="K54" s="85">
        <f t="shared" si="12"/>
        <v>0</v>
      </c>
      <c r="L54" s="85">
        <f t="shared" si="12"/>
        <v>0</v>
      </c>
      <c r="M54" s="85">
        <f t="shared" si="12"/>
        <v>0</v>
      </c>
      <c r="N54" s="85">
        <f t="shared" si="12"/>
        <v>0</v>
      </c>
      <c r="O54" s="85">
        <f t="shared" si="12"/>
        <v>0</v>
      </c>
      <c r="P54" s="85">
        <f t="shared" si="12"/>
        <v>0</v>
      </c>
      <c r="Q54" s="85">
        <f t="shared" si="12"/>
        <v>0</v>
      </c>
      <c r="R54" s="233">
        <f t="shared" si="12"/>
        <v>5044062</v>
      </c>
      <c r="S54" s="85">
        <f t="shared" si="12"/>
        <v>3406427</v>
      </c>
      <c r="T54" s="85">
        <f t="shared" si="12"/>
        <v>0</v>
      </c>
      <c r="U54" s="86"/>
    </row>
    <row r="55" spans="1:21" s="83" customFormat="1" ht="12">
      <c r="A55" s="82" t="s">
        <v>1415</v>
      </c>
      <c r="B55" s="1091"/>
      <c r="C55" s="1091"/>
      <c r="D55" s="1091"/>
      <c r="E55" s="234"/>
      <c r="F55" s="234"/>
      <c r="G55" s="234"/>
      <c r="H55" s="234"/>
      <c r="I55" s="234"/>
      <c r="J55" s="234"/>
      <c r="K55" s="234"/>
      <c r="L55" s="234"/>
      <c r="M55" s="234"/>
      <c r="N55" s="234"/>
      <c r="O55" s="234"/>
      <c r="P55" s="234"/>
      <c r="Q55" s="234"/>
      <c r="R55" s="234"/>
      <c r="S55" s="1091"/>
      <c r="T55" s="1091"/>
      <c r="U55" s="1092"/>
    </row>
    <row r="56" spans="1:21" s="83" customFormat="1">
      <c r="A56" s="181" t="s">
        <v>1841</v>
      </c>
      <c r="B56" s="233">
        <f t="shared" ref="B56:B61" si="13">SUM(C56+D56)</f>
        <v>0</v>
      </c>
      <c r="C56" s="801"/>
      <c r="D56" s="801"/>
      <c r="E56" s="801"/>
      <c r="F56" s="801"/>
      <c r="G56" s="801"/>
      <c r="H56" s="801"/>
      <c r="I56" s="801"/>
      <c r="J56" s="801"/>
      <c r="K56" s="801"/>
      <c r="L56" s="801"/>
      <c r="M56" s="801"/>
      <c r="N56" s="801"/>
      <c r="O56" s="801"/>
      <c r="P56" s="801"/>
      <c r="Q56" s="801"/>
      <c r="R56" s="387">
        <f t="shared" ref="R56:R61" si="14">SUM(E56:Q56)</f>
        <v>0</v>
      </c>
      <c r="S56" s="1093"/>
      <c r="T56" s="1093"/>
      <c r="U56" s="1092"/>
    </row>
    <row r="57" spans="1:21" s="112" customFormat="1">
      <c r="A57" s="1094" t="s">
        <v>1833</v>
      </c>
      <c r="B57" s="1095">
        <f t="shared" si="13"/>
        <v>0</v>
      </c>
      <c r="C57" s="1096"/>
      <c r="D57" s="1096"/>
      <c r="E57" s="1096"/>
      <c r="F57" s="1096"/>
      <c r="G57" s="1096"/>
      <c r="H57" s="1096"/>
      <c r="I57" s="1096"/>
      <c r="J57" s="1096"/>
      <c r="K57" s="1096"/>
      <c r="L57" s="1096"/>
      <c r="M57" s="1096"/>
      <c r="N57" s="1096"/>
      <c r="O57" s="1096"/>
      <c r="P57" s="1096"/>
      <c r="Q57" s="1096"/>
      <c r="R57" s="387">
        <f t="shared" si="14"/>
        <v>0</v>
      </c>
      <c r="S57" s="1097"/>
      <c r="T57" s="1097"/>
      <c r="U57" s="1098"/>
    </row>
    <row r="58" spans="1:21" s="83" customFormat="1">
      <c r="A58" s="181" t="s">
        <v>1836</v>
      </c>
      <c r="B58" s="233">
        <f t="shared" si="13"/>
        <v>10000</v>
      </c>
      <c r="C58" s="801">
        <v>10000</v>
      </c>
      <c r="D58" s="801"/>
      <c r="E58" s="801">
        <v>10000</v>
      </c>
      <c r="F58" s="801"/>
      <c r="G58" s="801"/>
      <c r="H58" s="801"/>
      <c r="I58" s="801"/>
      <c r="J58" s="801"/>
      <c r="K58" s="801"/>
      <c r="L58" s="801"/>
      <c r="M58" s="801"/>
      <c r="N58" s="801"/>
      <c r="O58" s="801"/>
      <c r="P58" s="801"/>
      <c r="Q58" s="801"/>
      <c r="R58" s="387">
        <f t="shared" si="14"/>
        <v>10000</v>
      </c>
      <c r="S58" s="1093"/>
      <c r="T58" s="1093"/>
      <c r="U58" s="1092"/>
    </row>
    <row r="59" spans="1:21" s="83" customFormat="1">
      <c r="A59" s="181" t="s">
        <v>1837</v>
      </c>
      <c r="B59" s="233">
        <f t="shared" si="13"/>
        <v>0</v>
      </c>
      <c r="C59" s="801"/>
      <c r="D59" s="801"/>
      <c r="E59" s="801"/>
      <c r="F59" s="801"/>
      <c r="G59" s="801"/>
      <c r="H59" s="801"/>
      <c r="I59" s="801"/>
      <c r="J59" s="801"/>
      <c r="K59" s="801"/>
      <c r="L59" s="801"/>
      <c r="M59" s="801"/>
      <c r="N59" s="801"/>
      <c r="O59" s="801"/>
      <c r="P59" s="801"/>
      <c r="Q59" s="801"/>
      <c r="R59" s="387">
        <f t="shared" si="14"/>
        <v>0</v>
      </c>
      <c r="S59" s="1093"/>
      <c r="T59" s="1093"/>
      <c r="U59" s="1092"/>
    </row>
    <row r="60" spans="1:21" s="83" customFormat="1">
      <c r="A60" s="181" t="s">
        <v>1838</v>
      </c>
      <c r="B60" s="233">
        <f t="shared" si="13"/>
        <v>15000</v>
      </c>
      <c r="C60" s="801">
        <v>15000</v>
      </c>
      <c r="D60" s="801"/>
      <c r="E60" s="801">
        <v>15000</v>
      </c>
      <c r="F60" s="801"/>
      <c r="G60" s="801"/>
      <c r="H60" s="801"/>
      <c r="I60" s="801"/>
      <c r="J60" s="801"/>
      <c r="K60" s="801"/>
      <c r="L60" s="801"/>
      <c r="M60" s="801"/>
      <c r="N60" s="801"/>
      <c r="O60" s="801"/>
      <c r="P60" s="801"/>
      <c r="Q60" s="801"/>
      <c r="R60" s="387">
        <f t="shared" si="14"/>
        <v>15000</v>
      </c>
      <c r="S60" s="1093"/>
      <c r="T60" s="1093"/>
      <c r="U60" s="1092"/>
    </row>
    <row r="61" spans="1:21" s="83" customFormat="1">
      <c r="A61" s="961">
        <v>100000</v>
      </c>
      <c r="B61" s="233">
        <f t="shared" si="13"/>
        <v>0</v>
      </c>
      <c r="C61" s="801"/>
      <c r="D61" s="801"/>
      <c r="E61" s="801"/>
      <c r="F61" s="801"/>
      <c r="G61" s="801"/>
      <c r="H61" s="801"/>
      <c r="I61" s="801"/>
      <c r="J61" s="801"/>
      <c r="K61" s="801"/>
      <c r="L61" s="801"/>
      <c r="M61" s="801"/>
      <c r="N61" s="801"/>
      <c r="O61" s="801"/>
      <c r="P61" s="801"/>
      <c r="Q61" s="801"/>
      <c r="R61" s="387">
        <f t="shared" si="14"/>
        <v>0</v>
      </c>
      <c r="S61" s="1093"/>
      <c r="T61" s="1093"/>
      <c r="U61" s="1092"/>
    </row>
    <row r="62" spans="1:21" s="83" customFormat="1" ht="13.75" customHeight="1">
      <c r="A62" s="84" t="s">
        <v>1842</v>
      </c>
      <c r="B62" s="233">
        <f>SUM(C62:D62)</f>
        <v>25000</v>
      </c>
      <c r="C62" s="233">
        <f t="shared" ref="C62:R62" si="15">SUM(C56:C61)</f>
        <v>25000</v>
      </c>
      <c r="D62" s="233">
        <f t="shared" si="15"/>
        <v>0</v>
      </c>
      <c r="E62" s="233">
        <f t="shared" si="15"/>
        <v>25000</v>
      </c>
      <c r="F62" s="233">
        <f t="shared" si="15"/>
        <v>0</v>
      </c>
      <c r="G62" s="233">
        <f t="shared" si="15"/>
        <v>0</v>
      </c>
      <c r="H62" s="233">
        <f t="shared" si="15"/>
        <v>0</v>
      </c>
      <c r="I62" s="233">
        <f t="shared" si="15"/>
        <v>0</v>
      </c>
      <c r="J62" s="233">
        <f t="shared" si="15"/>
        <v>0</v>
      </c>
      <c r="K62" s="233">
        <f t="shared" si="15"/>
        <v>0</v>
      </c>
      <c r="L62" s="233">
        <f t="shared" si="15"/>
        <v>0</v>
      </c>
      <c r="M62" s="233">
        <f t="shared" si="15"/>
        <v>0</v>
      </c>
      <c r="N62" s="233">
        <f t="shared" si="15"/>
        <v>0</v>
      </c>
      <c r="O62" s="233">
        <f t="shared" si="15"/>
        <v>0</v>
      </c>
      <c r="P62" s="233">
        <f t="shared" si="15"/>
        <v>0</v>
      </c>
      <c r="Q62" s="233">
        <f t="shared" si="15"/>
        <v>0</v>
      </c>
      <c r="R62" s="233">
        <f t="shared" si="15"/>
        <v>25000</v>
      </c>
      <c r="S62" s="1093"/>
      <c r="T62" s="1093"/>
      <c r="U62" s="1092"/>
    </row>
    <row r="63" spans="1:21" s="83" customFormat="1">
      <c r="A63" s="88" t="s">
        <v>1843</v>
      </c>
      <c r="B63" s="233">
        <f t="shared" ref="B63:R63" si="16">SUM(B8+B11+B13+B14+B15+B26+B27+B38+B42+B43+B54+B62)</f>
        <v>34485009</v>
      </c>
      <c r="C63" s="233">
        <f t="shared" si="16"/>
        <v>34485009</v>
      </c>
      <c r="D63" s="233">
        <f t="shared" si="16"/>
        <v>0</v>
      </c>
      <c r="E63" s="233">
        <f t="shared" si="16"/>
        <v>14487474</v>
      </c>
      <c r="F63" s="233">
        <f t="shared" si="16"/>
        <v>8997535</v>
      </c>
      <c r="G63" s="233">
        <f t="shared" si="16"/>
        <v>11000000</v>
      </c>
      <c r="H63" s="233">
        <f t="shared" si="16"/>
        <v>0</v>
      </c>
      <c r="I63" s="233">
        <f t="shared" si="16"/>
        <v>0</v>
      </c>
      <c r="J63" s="233">
        <f t="shared" si="16"/>
        <v>0</v>
      </c>
      <c r="K63" s="233">
        <f t="shared" si="16"/>
        <v>0</v>
      </c>
      <c r="L63" s="233">
        <f t="shared" si="16"/>
        <v>0</v>
      </c>
      <c r="M63" s="233">
        <f t="shared" si="16"/>
        <v>0</v>
      </c>
      <c r="N63" s="233">
        <f t="shared" si="16"/>
        <v>0</v>
      </c>
      <c r="O63" s="233">
        <f t="shared" si="16"/>
        <v>0</v>
      </c>
      <c r="P63" s="233">
        <f t="shared" si="16"/>
        <v>0</v>
      </c>
      <c r="Q63" s="233">
        <f t="shared" si="16"/>
        <v>0</v>
      </c>
      <c r="R63" s="233">
        <f t="shared" si="16"/>
        <v>34485009</v>
      </c>
      <c r="S63" s="233">
        <f>SUM(S10+S13+S14+S15+S26+S27+S38+S42+S43+S54)</f>
        <v>31382374</v>
      </c>
      <c r="T63" s="233">
        <f>SUM(T11+T13+T14+T15+T26+T27+T38+T42+T43+T54)</f>
        <v>0</v>
      </c>
      <c r="U63" s="1092"/>
    </row>
    <row r="64" spans="1:21" s="83" customFormat="1" ht="24">
      <c r="A64" s="82" t="s">
        <v>1844</v>
      </c>
      <c r="B64" s="1091"/>
      <c r="C64" s="1091"/>
      <c r="D64" s="1091"/>
      <c r="E64" s="234"/>
      <c r="F64" s="234"/>
      <c r="G64" s="234"/>
      <c r="H64" s="234"/>
      <c r="I64" s="234"/>
      <c r="J64" s="234"/>
      <c r="K64" s="234"/>
      <c r="L64" s="234"/>
      <c r="M64" s="234"/>
      <c r="N64" s="234"/>
      <c r="O64" s="234"/>
      <c r="P64" s="234"/>
      <c r="Q64" s="234"/>
      <c r="R64" s="234"/>
      <c r="S64" s="1091"/>
      <c r="T64" s="1091"/>
      <c r="U64" s="1092"/>
    </row>
    <row r="65" spans="1:21" s="83" customFormat="1">
      <c r="A65" s="181" t="s">
        <v>1845</v>
      </c>
      <c r="B65" s="233">
        <f>SUM(C65+D65)</f>
        <v>100000</v>
      </c>
      <c r="C65" s="801">
        <v>100000</v>
      </c>
      <c r="D65" s="801"/>
      <c r="E65" s="801">
        <v>100000</v>
      </c>
      <c r="F65" s="801"/>
      <c r="G65" s="801"/>
      <c r="H65" s="801"/>
      <c r="I65" s="801"/>
      <c r="J65" s="801"/>
      <c r="K65" s="801"/>
      <c r="L65" s="801"/>
      <c r="M65" s="801"/>
      <c r="N65" s="801"/>
      <c r="O65" s="801"/>
      <c r="P65" s="801"/>
      <c r="Q65" s="801"/>
      <c r="R65" s="387">
        <f>SUM(E65:Q65)</f>
        <v>100000</v>
      </c>
      <c r="S65" s="801">
        <v>100000</v>
      </c>
      <c r="T65" s="801"/>
      <c r="U65" s="1092"/>
    </row>
    <row r="66" spans="1:21" s="83" customFormat="1" ht="24" customHeight="1">
      <c r="A66" s="181" t="s">
        <v>1846</v>
      </c>
      <c r="B66" s="233">
        <f>SUM(C66+D66)</f>
        <v>0</v>
      </c>
      <c r="C66" s="801"/>
      <c r="D66" s="801"/>
      <c r="E66" s="801"/>
      <c r="F66" s="801"/>
      <c r="G66" s="801"/>
      <c r="H66" s="801"/>
      <c r="I66" s="801"/>
      <c r="J66" s="801"/>
      <c r="K66" s="801"/>
      <c r="L66" s="801"/>
      <c r="M66" s="801"/>
      <c r="N66" s="801"/>
      <c r="O66" s="801"/>
      <c r="P66" s="801"/>
      <c r="Q66" s="801"/>
      <c r="R66" s="387">
        <f>SUM(E66:Q66)</f>
        <v>0</v>
      </c>
      <c r="S66" s="801"/>
      <c r="T66" s="801"/>
      <c r="U66" s="1092"/>
    </row>
    <row r="67" spans="1:21" s="83" customFormat="1" ht="24" customHeight="1">
      <c r="A67" s="181" t="s">
        <v>1847</v>
      </c>
      <c r="B67" s="233">
        <f>SUM(C67+D67)</f>
        <v>0</v>
      </c>
      <c r="C67" s="801"/>
      <c r="D67" s="801"/>
      <c r="E67" s="801"/>
      <c r="F67" s="801"/>
      <c r="G67" s="801"/>
      <c r="H67" s="801"/>
      <c r="I67" s="801"/>
      <c r="J67" s="801"/>
      <c r="K67" s="801"/>
      <c r="L67" s="801"/>
      <c r="M67" s="801"/>
      <c r="N67" s="801"/>
      <c r="O67" s="801"/>
      <c r="P67" s="801"/>
      <c r="Q67" s="801"/>
      <c r="R67" s="387">
        <f>SUM(E67:Q67)</f>
        <v>0</v>
      </c>
      <c r="S67" s="801"/>
      <c r="T67" s="801"/>
      <c r="U67" s="1092"/>
    </row>
    <row r="68" spans="1:21" s="83" customFormat="1" ht="12" customHeight="1">
      <c r="A68" s="181" t="s">
        <v>1848</v>
      </c>
      <c r="B68" s="233">
        <f>SUM(C68+D68)</f>
        <v>0</v>
      </c>
      <c r="C68" s="801"/>
      <c r="D68" s="801"/>
      <c r="E68" s="801"/>
      <c r="F68" s="801"/>
      <c r="G68" s="801"/>
      <c r="H68" s="801"/>
      <c r="I68" s="801"/>
      <c r="J68" s="801"/>
      <c r="K68" s="801"/>
      <c r="L68" s="801"/>
      <c r="M68" s="801"/>
      <c r="N68" s="801"/>
      <c r="O68" s="801"/>
      <c r="P68" s="801"/>
      <c r="Q68" s="801"/>
      <c r="R68" s="387">
        <f>SUM(E68:Q68)</f>
        <v>0</v>
      </c>
      <c r="S68" s="801"/>
      <c r="T68" s="801"/>
      <c r="U68" s="1092"/>
    </row>
    <row r="69" spans="1:21" s="83" customFormat="1">
      <c r="A69" s="961" t="s">
        <v>1849</v>
      </c>
      <c r="B69" s="233">
        <f>SUM(C69+D69)</f>
        <v>225000</v>
      </c>
      <c r="C69" s="801">
        <v>225000</v>
      </c>
      <c r="D69" s="801"/>
      <c r="E69" s="801">
        <v>225000</v>
      </c>
      <c r="F69" s="801"/>
      <c r="G69" s="801"/>
      <c r="H69" s="801"/>
      <c r="I69" s="801"/>
      <c r="J69" s="801"/>
      <c r="K69" s="801"/>
      <c r="L69" s="801"/>
      <c r="M69" s="801"/>
      <c r="N69" s="801"/>
      <c r="O69" s="801"/>
      <c r="P69" s="801"/>
      <c r="Q69" s="801"/>
      <c r="R69" s="387">
        <f>SUM(E69:Q69)</f>
        <v>225000</v>
      </c>
      <c r="S69" s="801">
        <v>75000</v>
      </c>
      <c r="T69" s="801"/>
      <c r="U69" s="1092"/>
    </row>
    <row r="70" spans="1:21" s="83" customFormat="1">
      <c r="A70" s="84" t="s">
        <v>1850</v>
      </c>
      <c r="B70" s="233">
        <f>SUM(C70:D70)</f>
        <v>325000</v>
      </c>
      <c r="C70" s="233">
        <f>SUM(C65:C69)</f>
        <v>325000</v>
      </c>
      <c r="D70" s="233">
        <f>SUM(D65:D69)</f>
        <v>0</v>
      </c>
      <c r="E70" s="233">
        <f t="shared" ref="E70:T70" si="17">SUM(E65:E69)</f>
        <v>325000</v>
      </c>
      <c r="F70" s="233">
        <f t="shared" si="17"/>
        <v>0</v>
      </c>
      <c r="G70" s="233">
        <f t="shared" si="17"/>
        <v>0</v>
      </c>
      <c r="H70" s="233">
        <f t="shared" si="17"/>
        <v>0</v>
      </c>
      <c r="I70" s="233">
        <f t="shared" si="17"/>
        <v>0</v>
      </c>
      <c r="J70" s="233">
        <f t="shared" si="17"/>
        <v>0</v>
      </c>
      <c r="K70" s="233">
        <f t="shared" si="17"/>
        <v>0</v>
      </c>
      <c r="L70" s="233">
        <f t="shared" si="17"/>
        <v>0</v>
      </c>
      <c r="M70" s="233">
        <f t="shared" si="17"/>
        <v>0</v>
      </c>
      <c r="N70" s="233">
        <f t="shared" si="17"/>
        <v>0</v>
      </c>
      <c r="O70" s="233">
        <f t="shared" si="17"/>
        <v>0</v>
      </c>
      <c r="P70" s="233">
        <f t="shared" si="17"/>
        <v>0</v>
      </c>
      <c r="Q70" s="233">
        <f t="shared" si="17"/>
        <v>0</v>
      </c>
      <c r="R70" s="233">
        <f t="shared" si="17"/>
        <v>325000</v>
      </c>
      <c r="S70" s="85">
        <f t="shared" si="17"/>
        <v>175000</v>
      </c>
      <c r="T70" s="85">
        <f t="shared" si="17"/>
        <v>0</v>
      </c>
      <c r="U70" s="1092"/>
    </row>
    <row r="71" spans="1:21" s="83" customFormat="1" ht="12">
      <c r="A71" s="82" t="s">
        <v>1851</v>
      </c>
      <c r="B71" s="234"/>
      <c r="C71" s="234"/>
      <c r="D71" s="234"/>
      <c r="E71" s="234"/>
      <c r="F71" s="234"/>
      <c r="G71" s="234"/>
      <c r="H71" s="234"/>
      <c r="I71" s="234"/>
      <c r="J71" s="234"/>
      <c r="K71" s="234"/>
      <c r="L71" s="234"/>
      <c r="M71" s="234"/>
      <c r="N71" s="234"/>
      <c r="O71" s="234"/>
      <c r="P71" s="234"/>
      <c r="Q71" s="234"/>
      <c r="R71" s="234"/>
      <c r="S71" s="234"/>
      <c r="T71" s="234"/>
      <c r="U71" s="1092"/>
    </row>
    <row r="72" spans="1:21" s="83" customFormat="1">
      <c r="A72" s="181" t="s">
        <v>1852</v>
      </c>
      <c r="B72" s="233">
        <f>SUM(C72+D72)</f>
        <v>0</v>
      </c>
      <c r="C72" s="801"/>
      <c r="D72" s="801"/>
      <c r="E72" s="801"/>
      <c r="F72" s="801"/>
      <c r="G72" s="801"/>
      <c r="H72" s="801"/>
      <c r="I72" s="801"/>
      <c r="J72" s="801"/>
      <c r="K72" s="801"/>
      <c r="L72" s="801"/>
      <c r="M72" s="801"/>
      <c r="N72" s="801"/>
      <c r="O72" s="801"/>
      <c r="P72" s="801"/>
      <c r="Q72" s="801"/>
      <c r="R72" s="387">
        <f>SUM(E72:Q72)</f>
        <v>0</v>
      </c>
      <c r="S72" s="1093"/>
      <c r="T72" s="1093"/>
      <c r="U72" s="1092"/>
    </row>
    <row r="73" spans="1:21" s="83" customFormat="1">
      <c r="A73" s="181" t="s">
        <v>1853</v>
      </c>
      <c r="B73" s="233">
        <f>SUM(C73+D73)</f>
        <v>0</v>
      </c>
      <c r="C73" s="801"/>
      <c r="D73" s="801"/>
      <c r="E73" s="801"/>
      <c r="F73" s="801"/>
      <c r="G73" s="801"/>
      <c r="H73" s="801"/>
      <c r="I73" s="801"/>
      <c r="J73" s="801"/>
      <c r="K73" s="801"/>
      <c r="L73" s="801"/>
      <c r="M73" s="801"/>
      <c r="N73" s="801"/>
      <c r="O73" s="801"/>
      <c r="P73" s="801"/>
      <c r="Q73" s="801"/>
      <c r="R73" s="387">
        <f>SUM(E73:Q73)</f>
        <v>0</v>
      </c>
      <c r="S73" s="1093"/>
      <c r="T73" s="1093"/>
      <c r="U73" s="1092"/>
    </row>
    <row r="74" spans="1:21" s="83" customFormat="1">
      <c r="A74" s="330" t="s">
        <v>1854</v>
      </c>
      <c r="B74" s="233">
        <f>SUM(C74+D74)</f>
        <v>0</v>
      </c>
      <c r="C74" s="801"/>
      <c r="D74" s="801"/>
      <c r="E74" s="801"/>
      <c r="F74" s="801"/>
      <c r="G74" s="801"/>
      <c r="H74" s="801"/>
      <c r="I74" s="801"/>
      <c r="J74" s="801"/>
      <c r="K74" s="801"/>
      <c r="L74" s="801"/>
      <c r="M74" s="801"/>
      <c r="N74" s="801"/>
      <c r="O74" s="801"/>
      <c r="P74" s="801"/>
      <c r="Q74" s="801"/>
      <c r="R74" s="387">
        <f>SUM(E74:Q74)</f>
        <v>0</v>
      </c>
      <c r="S74" s="1093"/>
      <c r="T74" s="1093"/>
      <c r="U74" s="1092"/>
    </row>
    <row r="75" spans="1:21" s="83" customFormat="1">
      <c r="A75" s="181" t="s">
        <v>1855</v>
      </c>
      <c r="B75" s="233">
        <f>SUM(C75+D75)</f>
        <v>381230</v>
      </c>
      <c r="C75" s="801">
        <v>381230</v>
      </c>
      <c r="D75" s="801"/>
      <c r="E75" s="801">
        <v>381230</v>
      </c>
      <c r="F75" s="801"/>
      <c r="G75" s="801"/>
      <c r="H75" s="801"/>
      <c r="I75" s="801"/>
      <c r="J75" s="801"/>
      <c r="K75" s="801"/>
      <c r="L75" s="801"/>
      <c r="M75" s="801"/>
      <c r="N75" s="801"/>
      <c r="O75" s="801"/>
      <c r="P75" s="801"/>
      <c r="Q75" s="801"/>
      <c r="R75" s="387">
        <f>SUM(E75:Q75)</f>
        <v>381230</v>
      </c>
      <c r="S75" s="1093"/>
      <c r="T75" s="1093"/>
      <c r="U75" s="1092"/>
    </row>
    <row r="76" spans="1:21" s="83" customFormat="1">
      <c r="A76" s="961" t="s">
        <v>1820</v>
      </c>
      <c r="B76" s="233">
        <f>SUM(C76+D76)</f>
        <v>0</v>
      </c>
      <c r="C76" s="801"/>
      <c r="D76" s="801"/>
      <c r="E76" s="801"/>
      <c r="F76" s="801"/>
      <c r="G76" s="801"/>
      <c r="H76" s="801"/>
      <c r="I76" s="801"/>
      <c r="J76" s="801"/>
      <c r="K76" s="801"/>
      <c r="L76" s="801"/>
      <c r="M76" s="801"/>
      <c r="N76" s="801"/>
      <c r="O76" s="801"/>
      <c r="P76" s="801"/>
      <c r="Q76" s="801"/>
      <c r="R76" s="387">
        <f>SUM(E76:Q76)</f>
        <v>0</v>
      </c>
      <c r="S76" s="1093"/>
      <c r="T76" s="1093"/>
      <c r="U76" s="1092"/>
    </row>
    <row r="77" spans="1:21" s="83" customFormat="1">
      <c r="A77" s="84" t="s">
        <v>1856</v>
      </c>
      <c r="B77" s="233">
        <f>SUM(C77:D77)</f>
        <v>381230</v>
      </c>
      <c r="C77" s="233">
        <f>SUM(C72:C76)</f>
        <v>381230</v>
      </c>
      <c r="D77" s="233">
        <f>SUM(D72:D76)</f>
        <v>0</v>
      </c>
      <c r="E77" s="233">
        <f t="shared" ref="E77:Q77" si="18">SUM(E72:E76)</f>
        <v>381230</v>
      </c>
      <c r="F77" s="233">
        <f t="shared" si="18"/>
        <v>0</v>
      </c>
      <c r="G77" s="233">
        <f t="shared" si="18"/>
        <v>0</v>
      </c>
      <c r="H77" s="233">
        <f t="shared" si="18"/>
        <v>0</v>
      </c>
      <c r="I77" s="233">
        <f t="shared" si="18"/>
        <v>0</v>
      </c>
      <c r="J77" s="233">
        <f t="shared" si="18"/>
        <v>0</v>
      </c>
      <c r="K77" s="233">
        <f t="shared" si="18"/>
        <v>0</v>
      </c>
      <c r="L77" s="233">
        <f t="shared" si="18"/>
        <v>0</v>
      </c>
      <c r="M77" s="233">
        <f t="shared" si="18"/>
        <v>0</v>
      </c>
      <c r="N77" s="233">
        <f t="shared" si="18"/>
        <v>0</v>
      </c>
      <c r="O77" s="233">
        <f t="shared" si="18"/>
        <v>0</v>
      </c>
      <c r="P77" s="233">
        <f t="shared" si="18"/>
        <v>0</v>
      </c>
      <c r="Q77" s="233">
        <f t="shared" si="18"/>
        <v>0</v>
      </c>
      <c r="R77" s="233">
        <f>SUM(R72:R76)</f>
        <v>381230</v>
      </c>
      <c r="S77" s="1093"/>
      <c r="T77" s="1093"/>
      <c r="U77" s="1092"/>
    </row>
    <row r="78" spans="1:21" s="83" customFormat="1" ht="12">
      <c r="A78" s="82" t="s">
        <v>1857</v>
      </c>
      <c r="B78" s="234"/>
      <c r="C78" s="234"/>
      <c r="D78" s="234"/>
      <c r="E78" s="234"/>
      <c r="F78" s="234"/>
      <c r="G78" s="234"/>
      <c r="H78" s="234"/>
      <c r="I78" s="234"/>
      <c r="J78" s="234"/>
      <c r="K78" s="234"/>
      <c r="L78" s="234"/>
      <c r="M78" s="234"/>
      <c r="N78" s="234"/>
      <c r="O78" s="234"/>
      <c r="P78" s="234"/>
      <c r="Q78" s="234"/>
      <c r="R78" s="234"/>
      <c r="S78" s="234"/>
      <c r="T78" s="234"/>
      <c r="U78" s="1092"/>
    </row>
    <row r="79" spans="1:21" s="83" customFormat="1">
      <c r="A79" s="181" t="s">
        <v>1858</v>
      </c>
      <c r="B79" s="233">
        <f>SUM(C79:D79)</f>
        <v>1325000</v>
      </c>
      <c r="C79" s="801">
        <v>1325000</v>
      </c>
      <c r="D79" s="801"/>
      <c r="E79" s="801">
        <v>1325000</v>
      </c>
      <c r="F79" s="801"/>
      <c r="G79" s="801"/>
      <c r="H79" s="801"/>
      <c r="I79" s="801"/>
      <c r="J79" s="801"/>
      <c r="K79" s="801"/>
      <c r="L79" s="801"/>
      <c r="M79" s="801"/>
      <c r="N79" s="801"/>
      <c r="O79" s="801"/>
      <c r="P79" s="801"/>
      <c r="Q79" s="801"/>
      <c r="R79" s="387">
        <f>SUM(E79:Q79)</f>
        <v>1325000</v>
      </c>
      <c r="S79" s="801">
        <v>1325000</v>
      </c>
      <c r="T79" s="801"/>
      <c r="U79" s="1092"/>
    </row>
    <row r="80" spans="1:21" s="83" customFormat="1">
      <c r="A80" s="181" t="s">
        <v>1859</v>
      </c>
      <c r="B80" s="233">
        <f>SUM(C80:D80)</f>
        <v>460594</v>
      </c>
      <c r="C80" s="801">
        <v>460594</v>
      </c>
      <c r="D80" s="801"/>
      <c r="E80" s="801">
        <v>460594</v>
      </c>
      <c r="F80" s="801"/>
      <c r="G80" s="801"/>
      <c r="H80" s="801"/>
      <c r="I80" s="801"/>
      <c r="J80" s="801"/>
      <c r="K80" s="801"/>
      <c r="L80" s="801"/>
      <c r="M80" s="801"/>
      <c r="N80" s="801"/>
      <c r="O80" s="801"/>
      <c r="P80" s="801"/>
      <c r="Q80" s="801"/>
      <c r="R80" s="387">
        <f>SUM(E80:Q80)</f>
        <v>460594</v>
      </c>
      <c r="S80" s="801">
        <v>460594</v>
      </c>
      <c r="T80" s="801"/>
      <c r="U80" s="1092"/>
    </row>
    <row r="81" spans="1:21" s="83" customFormat="1">
      <c r="A81" s="84" t="s">
        <v>1860</v>
      </c>
      <c r="B81" s="233">
        <f>SUM(C81:D81)</f>
        <v>1785594</v>
      </c>
      <c r="C81" s="1099">
        <f>SUM(C79:C80)</f>
        <v>1785594</v>
      </c>
      <c r="D81" s="1099">
        <f t="shared" ref="D81:T81" si="19">SUM(D79:D80)</f>
        <v>0</v>
      </c>
      <c r="E81" s="1099">
        <f t="shared" si="19"/>
        <v>1785594</v>
      </c>
      <c r="F81" s="1099">
        <f t="shared" si="19"/>
        <v>0</v>
      </c>
      <c r="G81" s="1099">
        <f t="shared" si="19"/>
        <v>0</v>
      </c>
      <c r="H81" s="1099">
        <f t="shared" si="19"/>
        <v>0</v>
      </c>
      <c r="I81" s="1099">
        <f t="shared" si="19"/>
        <v>0</v>
      </c>
      <c r="J81" s="1099">
        <f t="shared" si="19"/>
        <v>0</v>
      </c>
      <c r="K81" s="1099">
        <f t="shared" si="19"/>
        <v>0</v>
      </c>
      <c r="L81" s="1099">
        <f t="shared" si="19"/>
        <v>0</v>
      </c>
      <c r="M81" s="1099">
        <f t="shared" si="19"/>
        <v>0</v>
      </c>
      <c r="N81" s="1099">
        <f t="shared" si="19"/>
        <v>0</v>
      </c>
      <c r="O81" s="1099">
        <f t="shared" si="19"/>
        <v>0</v>
      </c>
      <c r="P81" s="1099">
        <f t="shared" si="19"/>
        <v>0</v>
      </c>
      <c r="Q81" s="1099">
        <f t="shared" si="19"/>
        <v>0</v>
      </c>
      <c r="R81" s="1099">
        <f t="shared" si="19"/>
        <v>1785594</v>
      </c>
      <c r="S81" s="1099">
        <f t="shared" si="19"/>
        <v>1785594</v>
      </c>
      <c r="T81" s="1099">
        <f t="shared" si="19"/>
        <v>0</v>
      </c>
      <c r="U81" s="1092"/>
    </row>
    <row r="82" spans="1:21" s="83" customFormat="1" ht="12">
      <c r="A82" s="82" t="s">
        <v>1861</v>
      </c>
      <c r="B82" s="234"/>
      <c r="C82" s="234"/>
      <c r="D82" s="234"/>
      <c r="E82" s="234"/>
      <c r="F82" s="234"/>
      <c r="G82" s="234"/>
      <c r="H82" s="234"/>
      <c r="I82" s="234"/>
      <c r="J82" s="234"/>
      <c r="K82" s="234"/>
      <c r="L82" s="234"/>
      <c r="M82" s="234"/>
      <c r="N82" s="234"/>
      <c r="O82" s="234"/>
      <c r="P82" s="234"/>
      <c r="Q82" s="234"/>
      <c r="R82" s="234"/>
      <c r="S82" s="234"/>
      <c r="T82" s="234"/>
      <c r="U82" s="1092"/>
    </row>
    <row r="83" spans="1:21" s="83" customFormat="1" ht="13.75" customHeight="1">
      <c r="A83" s="181" t="s">
        <v>1862</v>
      </c>
      <c r="B83" s="233">
        <f t="shared" ref="B83:B95" si="20">SUM(C83+D83)</f>
        <v>60552</v>
      </c>
      <c r="C83" s="801">
        <v>60552</v>
      </c>
      <c r="D83" s="801"/>
      <c r="E83" s="801">
        <v>60552</v>
      </c>
      <c r="F83" s="801"/>
      <c r="G83" s="801"/>
      <c r="H83" s="801"/>
      <c r="I83" s="801"/>
      <c r="J83" s="801"/>
      <c r="K83" s="801"/>
      <c r="L83" s="801"/>
      <c r="M83" s="801"/>
      <c r="N83" s="801"/>
      <c r="O83" s="801"/>
      <c r="P83" s="801"/>
      <c r="Q83" s="801"/>
      <c r="R83" s="387">
        <f t="shared" ref="R83:R95" si="21">SUM(E83:Q83)</f>
        <v>60552</v>
      </c>
      <c r="S83" s="1093"/>
      <c r="T83" s="1093"/>
      <c r="U83" s="1092"/>
    </row>
    <row r="84" spans="1:21" s="83" customFormat="1">
      <c r="A84" s="181" t="s">
        <v>1863</v>
      </c>
      <c r="B84" s="233">
        <f t="shared" si="20"/>
        <v>50000</v>
      </c>
      <c r="C84" s="801">
        <v>50000</v>
      </c>
      <c r="D84" s="801"/>
      <c r="E84" s="801">
        <v>50000</v>
      </c>
      <c r="F84" s="801"/>
      <c r="G84" s="801"/>
      <c r="H84" s="801"/>
      <c r="I84" s="801"/>
      <c r="J84" s="801"/>
      <c r="K84" s="801"/>
      <c r="L84" s="801"/>
      <c r="M84" s="801"/>
      <c r="N84" s="801"/>
      <c r="O84" s="801"/>
      <c r="P84" s="801"/>
      <c r="Q84" s="801"/>
      <c r="R84" s="387">
        <f t="shared" si="21"/>
        <v>50000</v>
      </c>
      <c r="S84" s="801">
        <v>50000</v>
      </c>
      <c r="T84" s="801"/>
      <c r="U84" s="1092"/>
    </row>
    <row r="85" spans="1:21" s="83" customFormat="1">
      <c r="A85" s="181" t="s">
        <v>1864</v>
      </c>
      <c r="B85" s="233">
        <f t="shared" si="20"/>
        <v>2120000</v>
      </c>
      <c r="C85" s="801">
        <v>2120000</v>
      </c>
      <c r="D85" s="801"/>
      <c r="E85" s="801">
        <v>2120000</v>
      </c>
      <c r="F85" s="801"/>
      <c r="G85" s="801"/>
      <c r="H85" s="801"/>
      <c r="I85" s="801"/>
      <c r="J85" s="801"/>
      <c r="K85" s="801"/>
      <c r="L85" s="801"/>
      <c r="M85" s="801"/>
      <c r="N85" s="801"/>
      <c r="O85" s="801"/>
      <c r="P85" s="801"/>
      <c r="Q85" s="801"/>
      <c r="R85" s="387">
        <f t="shared" si="21"/>
        <v>2120000</v>
      </c>
      <c r="S85" s="801">
        <v>2120000</v>
      </c>
      <c r="T85" s="801"/>
      <c r="U85" s="1092"/>
    </row>
    <row r="86" spans="1:21" s="83" customFormat="1">
      <c r="A86" s="181" t="s">
        <v>1865</v>
      </c>
      <c r="B86" s="233">
        <f t="shared" si="20"/>
        <v>795000</v>
      </c>
      <c r="C86" s="801">
        <v>795000</v>
      </c>
      <c r="D86" s="801"/>
      <c r="E86" s="801">
        <v>795000</v>
      </c>
      <c r="F86" s="801"/>
      <c r="G86" s="801"/>
      <c r="H86" s="801"/>
      <c r="I86" s="801"/>
      <c r="J86" s="801"/>
      <c r="K86" s="801"/>
      <c r="L86" s="801"/>
      <c r="M86" s="801"/>
      <c r="N86" s="801"/>
      <c r="O86" s="801"/>
      <c r="P86" s="801"/>
      <c r="Q86" s="801"/>
      <c r="R86" s="387">
        <f t="shared" si="21"/>
        <v>795000</v>
      </c>
      <c r="S86" s="801">
        <v>795000</v>
      </c>
      <c r="T86" s="801"/>
      <c r="U86" s="1092"/>
    </row>
    <row r="87" spans="1:21" s="83" customFormat="1">
      <c r="A87" s="181" t="s">
        <v>1866</v>
      </c>
      <c r="B87" s="233">
        <f t="shared" si="20"/>
        <v>0</v>
      </c>
      <c r="C87" s="801"/>
      <c r="D87" s="801"/>
      <c r="E87" s="801"/>
      <c r="F87" s="801"/>
      <c r="G87" s="801"/>
      <c r="H87" s="801"/>
      <c r="I87" s="801"/>
      <c r="J87" s="801"/>
      <c r="K87" s="801"/>
      <c r="L87" s="801"/>
      <c r="M87" s="801"/>
      <c r="N87" s="801"/>
      <c r="O87" s="801"/>
      <c r="P87" s="801"/>
      <c r="Q87" s="801"/>
      <c r="R87" s="387">
        <f t="shared" si="21"/>
        <v>0</v>
      </c>
      <c r="S87" s="801"/>
      <c r="T87" s="801"/>
      <c r="U87" s="1092"/>
    </row>
    <row r="88" spans="1:21" s="83" customFormat="1">
      <c r="A88" s="181" t="s">
        <v>1867</v>
      </c>
      <c r="B88" s="233">
        <f t="shared" si="20"/>
        <v>150000</v>
      </c>
      <c r="C88" s="801">
        <v>150000</v>
      </c>
      <c r="D88" s="801"/>
      <c r="E88" s="801">
        <v>150000</v>
      </c>
      <c r="F88" s="801"/>
      <c r="G88" s="801"/>
      <c r="H88" s="801"/>
      <c r="I88" s="801"/>
      <c r="J88" s="801"/>
      <c r="K88" s="801"/>
      <c r="L88" s="801"/>
      <c r="M88" s="801"/>
      <c r="N88" s="801"/>
      <c r="O88" s="801"/>
      <c r="P88" s="801"/>
      <c r="Q88" s="801"/>
      <c r="R88" s="387">
        <f t="shared" si="21"/>
        <v>150000</v>
      </c>
      <c r="S88" s="1093"/>
      <c r="T88" s="1093"/>
      <c r="U88" s="1092"/>
    </row>
    <row r="89" spans="1:21" s="83" customFormat="1">
      <c r="A89" s="181" t="s">
        <v>1868</v>
      </c>
      <c r="B89" s="233">
        <f t="shared" si="20"/>
        <v>150000</v>
      </c>
      <c r="C89" s="801">
        <v>150000</v>
      </c>
      <c r="D89" s="801"/>
      <c r="E89" s="801">
        <v>150000</v>
      </c>
      <c r="F89" s="801"/>
      <c r="G89" s="801"/>
      <c r="H89" s="801"/>
      <c r="I89" s="801"/>
      <c r="J89" s="801"/>
      <c r="K89" s="801"/>
      <c r="L89" s="801"/>
      <c r="M89" s="801"/>
      <c r="N89" s="801"/>
      <c r="O89" s="801"/>
      <c r="P89" s="801"/>
      <c r="Q89" s="801"/>
      <c r="R89" s="387">
        <f t="shared" si="21"/>
        <v>150000</v>
      </c>
      <c r="S89" s="801">
        <v>150000</v>
      </c>
      <c r="T89" s="801"/>
      <c r="U89" s="1092"/>
    </row>
    <row r="90" spans="1:21" s="83" customFormat="1">
      <c r="A90" s="181" t="s">
        <v>1869</v>
      </c>
      <c r="B90" s="233">
        <f t="shared" si="20"/>
        <v>15000</v>
      </c>
      <c r="C90" s="801">
        <v>15000</v>
      </c>
      <c r="D90" s="801"/>
      <c r="E90" s="801">
        <v>15000</v>
      </c>
      <c r="F90" s="801"/>
      <c r="G90" s="801"/>
      <c r="H90" s="801"/>
      <c r="I90" s="801"/>
      <c r="J90" s="801"/>
      <c r="K90" s="801"/>
      <c r="L90" s="801"/>
      <c r="M90" s="801"/>
      <c r="N90" s="801"/>
      <c r="O90" s="801"/>
      <c r="P90" s="801"/>
      <c r="Q90" s="801"/>
      <c r="R90" s="387">
        <f t="shared" si="21"/>
        <v>15000</v>
      </c>
      <c r="S90" s="801">
        <v>15000</v>
      </c>
      <c r="T90" s="801"/>
      <c r="U90" s="1092"/>
    </row>
    <row r="91" spans="1:21" s="83" customFormat="1">
      <c r="A91" s="181" t="s">
        <v>1870</v>
      </c>
      <c r="B91" s="233">
        <f t="shared" si="20"/>
        <v>50000</v>
      </c>
      <c r="C91" s="801">
        <v>50000</v>
      </c>
      <c r="D91" s="801"/>
      <c r="E91" s="801">
        <v>50000</v>
      </c>
      <c r="F91" s="801"/>
      <c r="G91" s="801"/>
      <c r="H91" s="801"/>
      <c r="I91" s="801"/>
      <c r="J91" s="801"/>
      <c r="K91" s="801"/>
      <c r="L91" s="801"/>
      <c r="M91" s="801"/>
      <c r="N91" s="801"/>
      <c r="O91" s="801"/>
      <c r="P91" s="801"/>
      <c r="Q91" s="801"/>
      <c r="R91" s="387">
        <f t="shared" si="21"/>
        <v>50000</v>
      </c>
      <c r="S91" s="801">
        <v>50000</v>
      </c>
      <c r="T91" s="801"/>
      <c r="U91" s="1092"/>
    </row>
    <row r="92" spans="1:21" s="83" customFormat="1">
      <c r="A92" s="181" t="s">
        <v>1871</v>
      </c>
      <c r="B92" s="233">
        <f t="shared" si="20"/>
        <v>20000</v>
      </c>
      <c r="C92" s="801">
        <v>20000</v>
      </c>
      <c r="D92" s="801"/>
      <c r="E92" s="801">
        <v>20000</v>
      </c>
      <c r="F92" s="801"/>
      <c r="G92" s="801"/>
      <c r="H92" s="801"/>
      <c r="I92" s="801"/>
      <c r="J92" s="801"/>
      <c r="K92" s="801"/>
      <c r="L92" s="801"/>
      <c r="M92" s="801"/>
      <c r="N92" s="801"/>
      <c r="O92" s="801"/>
      <c r="P92" s="801"/>
      <c r="Q92" s="801"/>
      <c r="R92" s="387">
        <f t="shared" si="21"/>
        <v>20000</v>
      </c>
      <c r="S92" s="801">
        <v>20000</v>
      </c>
      <c r="T92" s="801"/>
      <c r="U92" s="1092"/>
    </row>
    <row r="93" spans="1:21" s="83" customFormat="1" ht="23">
      <c r="A93" s="961" t="s">
        <v>1872</v>
      </c>
      <c r="B93" s="233">
        <f t="shared" si="20"/>
        <v>492000</v>
      </c>
      <c r="C93" s="801">
        <v>492000</v>
      </c>
      <c r="D93" s="801"/>
      <c r="E93" s="801">
        <v>492000</v>
      </c>
      <c r="F93" s="801"/>
      <c r="G93" s="801"/>
      <c r="H93" s="801"/>
      <c r="I93" s="801"/>
      <c r="J93" s="801"/>
      <c r="K93" s="801"/>
      <c r="L93" s="801"/>
      <c r="M93" s="801"/>
      <c r="N93" s="801"/>
      <c r="O93" s="801"/>
      <c r="P93" s="801"/>
      <c r="Q93" s="801"/>
      <c r="R93" s="387">
        <f t="shared" si="21"/>
        <v>492000</v>
      </c>
      <c r="S93" s="801">
        <v>492000</v>
      </c>
      <c r="T93" s="801"/>
      <c r="U93" s="1092"/>
    </row>
    <row r="94" spans="1:21" s="83" customFormat="1">
      <c r="A94" s="961" t="s">
        <v>1873</v>
      </c>
      <c r="B94" s="233">
        <f t="shared" si="20"/>
        <v>7861</v>
      </c>
      <c r="C94" s="801">
        <v>7861</v>
      </c>
      <c r="D94" s="801"/>
      <c r="E94" s="801">
        <v>7861</v>
      </c>
      <c r="F94" s="801"/>
      <c r="G94" s="801"/>
      <c r="H94" s="801"/>
      <c r="I94" s="801"/>
      <c r="J94" s="801"/>
      <c r="K94" s="801"/>
      <c r="L94" s="801"/>
      <c r="M94" s="801"/>
      <c r="N94" s="801"/>
      <c r="O94" s="801"/>
      <c r="P94" s="801"/>
      <c r="Q94" s="801"/>
      <c r="R94" s="387">
        <f t="shared" si="21"/>
        <v>7861</v>
      </c>
      <c r="S94" s="801">
        <v>7861</v>
      </c>
      <c r="T94" s="801"/>
      <c r="U94" s="1092"/>
    </row>
    <row r="95" spans="1:21" s="83" customFormat="1">
      <c r="A95" s="961" t="s">
        <v>1820</v>
      </c>
      <c r="B95" s="233">
        <f t="shared" si="20"/>
        <v>0</v>
      </c>
      <c r="C95" s="801"/>
      <c r="D95" s="801"/>
      <c r="E95" s="801"/>
      <c r="F95" s="801"/>
      <c r="G95" s="801"/>
      <c r="H95" s="801"/>
      <c r="I95" s="801"/>
      <c r="J95" s="801"/>
      <c r="K95" s="801"/>
      <c r="L95" s="801"/>
      <c r="M95" s="801"/>
      <c r="N95" s="801"/>
      <c r="O95" s="801"/>
      <c r="P95" s="801"/>
      <c r="Q95" s="801"/>
      <c r="R95" s="387">
        <f t="shared" si="21"/>
        <v>0</v>
      </c>
      <c r="S95" s="801"/>
      <c r="T95" s="801"/>
      <c r="U95" s="1092"/>
    </row>
    <row r="96" spans="1:21" s="83" customFormat="1">
      <c r="A96" s="84" t="s">
        <v>1874</v>
      </c>
      <c r="B96" s="233">
        <f>SUM(C96:D96)</f>
        <v>3910413</v>
      </c>
      <c r="C96" s="233">
        <f t="shared" ref="C96:R96" si="22">SUM(C83:C95)</f>
        <v>3910413</v>
      </c>
      <c r="D96" s="233">
        <f t="shared" si="22"/>
        <v>0</v>
      </c>
      <c r="E96" s="233">
        <f t="shared" si="22"/>
        <v>3910413</v>
      </c>
      <c r="F96" s="233">
        <f t="shared" si="22"/>
        <v>0</v>
      </c>
      <c r="G96" s="233">
        <f t="shared" si="22"/>
        <v>0</v>
      </c>
      <c r="H96" s="233">
        <f t="shared" si="22"/>
        <v>0</v>
      </c>
      <c r="I96" s="233">
        <f t="shared" si="22"/>
        <v>0</v>
      </c>
      <c r="J96" s="233">
        <f t="shared" si="22"/>
        <v>0</v>
      </c>
      <c r="K96" s="233">
        <f t="shared" si="22"/>
        <v>0</v>
      </c>
      <c r="L96" s="233">
        <f t="shared" si="22"/>
        <v>0</v>
      </c>
      <c r="M96" s="233">
        <f t="shared" si="22"/>
        <v>0</v>
      </c>
      <c r="N96" s="233">
        <f t="shared" si="22"/>
        <v>0</v>
      </c>
      <c r="O96" s="233">
        <f t="shared" si="22"/>
        <v>0</v>
      </c>
      <c r="P96" s="233">
        <f t="shared" si="22"/>
        <v>0</v>
      </c>
      <c r="Q96" s="233">
        <f t="shared" si="22"/>
        <v>0</v>
      </c>
      <c r="R96" s="233">
        <f t="shared" si="22"/>
        <v>3910413</v>
      </c>
      <c r="S96" s="85">
        <f>SUM(S84:S87,S89:S95)</f>
        <v>3699861</v>
      </c>
      <c r="T96" s="233">
        <f>SUM(T84:T87,T89:T95)</f>
        <v>0</v>
      </c>
      <c r="U96" s="1092"/>
    </row>
    <row r="97" spans="1:21" s="83" customFormat="1">
      <c r="A97" s="84" t="s">
        <v>1875</v>
      </c>
      <c r="B97" s="233">
        <f>SUM(C97:D97)</f>
        <v>40887246</v>
      </c>
      <c r="C97" s="233">
        <f t="shared" ref="C97:R97" si="23">SUM(C63+C70+C77+C81+C96)</f>
        <v>40887246</v>
      </c>
      <c r="D97" s="233">
        <f t="shared" si="23"/>
        <v>0</v>
      </c>
      <c r="E97" s="233">
        <f t="shared" si="23"/>
        <v>20889711</v>
      </c>
      <c r="F97" s="233">
        <f t="shared" si="23"/>
        <v>8997535</v>
      </c>
      <c r="G97" s="233">
        <f t="shared" si="23"/>
        <v>11000000</v>
      </c>
      <c r="H97" s="233">
        <f t="shared" si="23"/>
        <v>0</v>
      </c>
      <c r="I97" s="233">
        <f t="shared" si="23"/>
        <v>0</v>
      </c>
      <c r="J97" s="233">
        <f t="shared" si="23"/>
        <v>0</v>
      </c>
      <c r="K97" s="233">
        <f t="shared" si="23"/>
        <v>0</v>
      </c>
      <c r="L97" s="233">
        <f t="shared" si="23"/>
        <v>0</v>
      </c>
      <c r="M97" s="233">
        <f t="shared" si="23"/>
        <v>0</v>
      </c>
      <c r="N97" s="233">
        <f t="shared" si="23"/>
        <v>0</v>
      </c>
      <c r="O97" s="233">
        <f t="shared" si="23"/>
        <v>0</v>
      </c>
      <c r="P97" s="233">
        <f t="shared" si="23"/>
        <v>0</v>
      </c>
      <c r="Q97" s="233">
        <f t="shared" si="23"/>
        <v>0</v>
      </c>
      <c r="R97" s="233">
        <f t="shared" si="23"/>
        <v>40887246</v>
      </c>
      <c r="S97" s="233">
        <f>SUM(S63+S70+S81+S96)</f>
        <v>37042829</v>
      </c>
      <c r="T97" s="233">
        <f>SUM(T63+T70+T81+T96)</f>
        <v>0</v>
      </c>
      <c r="U97" s="1092"/>
    </row>
    <row r="98" spans="1:21" s="83" customFormat="1" ht="12">
      <c r="A98" s="82" t="s">
        <v>1876</v>
      </c>
      <c r="B98" s="234"/>
      <c r="C98" s="234"/>
      <c r="D98" s="234"/>
      <c r="E98" s="234"/>
      <c r="F98" s="234"/>
      <c r="G98" s="234"/>
      <c r="H98" s="234"/>
      <c r="I98" s="234"/>
      <c r="J98" s="234"/>
      <c r="K98" s="234"/>
      <c r="L98" s="234"/>
      <c r="M98" s="234"/>
      <c r="N98" s="234"/>
      <c r="O98" s="234"/>
      <c r="P98" s="234"/>
      <c r="Q98" s="234"/>
      <c r="R98" s="234"/>
      <c r="S98" s="234"/>
      <c r="T98" s="234"/>
      <c r="U98" s="1092"/>
    </row>
    <row r="99" spans="1:21" s="83" customFormat="1">
      <c r="A99" s="181" t="s">
        <v>1877</v>
      </c>
      <c r="B99" s="233">
        <f>SUM(C99+D99)</f>
        <v>5556424</v>
      </c>
      <c r="C99" s="801">
        <v>5556424</v>
      </c>
      <c r="D99" s="801"/>
      <c r="E99" s="801">
        <f>C99-H99</f>
        <v>2518808</v>
      </c>
      <c r="F99" s="801"/>
      <c r="G99" s="801"/>
      <c r="H99" s="801">
        <f>2759795+277821</f>
        <v>3037616</v>
      </c>
      <c r="I99" s="801"/>
      <c r="J99" s="801"/>
      <c r="K99" s="801"/>
      <c r="L99" s="801"/>
      <c r="M99" s="801"/>
      <c r="N99" s="801"/>
      <c r="O99" s="801"/>
      <c r="P99" s="801"/>
      <c r="Q99" s="801"/>
      <c r="R99" s="387">
        <f>SUM(E99:Q99)</f>
        <v>5556424</v>
      </c>
      <c r="S99" s="801">
        <v>5556424</v>
      </c>
      <c r="T99" s="801"/>
      <c r="U99" s="1092"/>
    </row>
    <row r="100" spans="1:21" s="83" customFormat="1">
      <c r="A100" s="181" t="s">
        <v>1878</v>
      </c>
      <c r="B100" s="233">
        <f>SUM(C100+D100)</f>
        <v>0</v>
      </c>
      <c r="C100" s="801"/>
      <c r="D100" s="801"/>
      <c r="E100" s="801"/>
      <c r="F100" s="801"/>
      <c r="G100" s="801"/>
      <c r="H100" s="801"/>
      <c r="I100" s="801"/>
      <c r="J100" s="801"/>
      <c r="K100" s="801"/>
      <c r="L100" s="801"/>
      <c r="M100" s="801"/>
      <c r="N100" s="801"/>
      <c r="O100" s="801"/>
      <c r="P100" s="801"/>
      <c r="Q100" s="801"/>
      <c r="R100" s="387">
        <f>SUM(E100:Q100)</f>
        <v>0</v>
      </c>
      <c r="S100" s="801"/>
      <c r="T100" s="801"/>
      <c r="U100" s="1092"/>
    </row>
    <row r="101" spans="1:21" s="83" customFormat="1" ht="12" customHeight="1">
      <c r="A101" s="181" t="s">
        <v>1879</v>
      </c>
      <c r="B101" s="233">
        <f>SUM(C101+D101)</f>
        <v>0</v>
      </c>
      <c r="C101" s="801"/>
      <c r="D101" s="801"/>
      <c r="E101" s="801"/>
      <c r="F101" s="801"/>
      <c r="G101" s="801"/>
      <c r="H101" s="801"/>
      <c r="I101" s="801"/>
      <c r="J101" s="801"/>
      <c r="K101" s="801"/>
      <c r="L101" s="801"/>
      <c r="M101" s="801"/>
      <c r="N101" s="801"/>
      <c r="O101" s="801"/>
      <c r="P101" s="801"/>
      <c r="Q101" s="801"/>
      <c r="R101" s="387">
        <f>SUM(E101:Q101)</f>
        <v>0</v>
      </c>
      <c r="S101" s="801"/>
      <c r="T101" s="801"/>
      <c r="U101" s="1092"/>
    </row>
    <row r="102" spans="1:21" s="83" customFormat="1">
      <c r="A102" s="181" t="s">
        <v>1880</v>
      </c>
      <c r="B102" s="233">
        <f>SUM(C102+D102)</f>
        <v>0</v>
      </c>
      <c r="C102" s="801"/>
      <c r="D102" s="801"/>
      <c r="E102" s="801"/>
      <c r="F102" s="801"/>
      <c r="G102" s="801"/>
      <c r="H102" s="801"/>
      <c r="I102" s="801"/>
      <c r="J102" s="801"/>
      <c r="K102" s="801"/>
      <c r="L102" s="801"/>
      <c r="M102" s="801"/>
      <c r="N102" s="801"/>
      <c r="O102" s="801"/>
      <c r="P102" s="801"/>
      <c r="Q102" s="801"/>
      <c r="R102" s="387">
        <f>SUM(E102:Q102)</f>
        <v>0</v>
      </c>
      <c r="S102" s="801"/>
      <c r="T102" s="801"/>
      <c r="U102" s="1092"/>
    </row>
    <row r="103" spans="1:21" s="83" customFormat="1">
      <c r="A103" s="961" t="s">
        <v>1820</v>
      </c>
      <c r="B103" s="233">
        <f>SUM(C103+D103)</f>
        <v>0</v>
      </c>
      <c r="C103" s="801"/>
      <c r="D103" s="801"/>
      <c r="E103" s="801"/>
      <c r="F103" s="801"/>
      <c r="G103" s="801"/>
      <c r="H103" s="801"/>
      <c r="I103" s="801"/>
      <c r="J103" s="801"/>
      <c r="K103" s="801"/>
      <c r="L103" s="801"/>
      <c r="M103" s="801"/>
      <c r="N103" s="801"/>
      <c r="O103" s="801"/>
      <c r="P103" s="801"/>
      <c r="Q103" s="801"/>
      <c r="R103" s="387">
        <f>SUM(E103:Q103)</f>
        <v>0</v>
      </c>
      <c r="S103" s="801"/>
      <c r="T103" s="801"/>
      <c r="U103" s="1092"/>
    </row>
    <row r="104" spans="1:21" s="83" customFormat="1">
      <c r="A104" s="84" t="s">
        <v>1881</v>
      </c>
      <c r="B104" s="233">
        <f>SUM(C104:D104)</f>
        <v>5556424</v>
      </c>
      <c r="C104" s="233">
        <f>SUM(C99:C103)</f>
        <v>5556424</v>
      </c>
      <c r="D104" s="233">
        <f t="shared" ref="D104:T104" si="24">SUM(D99:D103)</f>
        <v>0</v>
      </c>
      <c r="E104" s="233">
        <f t="shared" si="24"/>
        <v>2518808</v>
      </c>
      <c r="F104" s="233">
        <f t="shared" si="24"/>
        <v>0</v>
      </c>
      <c r="G104" s="233">
        <f t="shared" si="24"/>
        <v>0</v>
      </c>
      <c r="H104" s="233">
        <f t="shared" si="24"/>
        <v>3037616</v>
      </c>
      <c r="I104" s="233">
        <f t="shared" si="24"/>
        <v>0</v>
      </c>
      <c r="J104" s="233">
        <f t="shared" si="24"/>
        <v>0</v>
      </c>
      <c r="K104" s="233">
        <f t="shared" si="24"/>
        <v>0</v>
      </c>
      <c r="L104" s="233">
        <f t="shared" si="24"/>
        <v>0</v>
      </c>
      <c r="M104" s="233">
        <f t="shared" si="24"/>
        <v>0</v>
      </c>
      <c r="N104" s="233">
        <f t="shared" si="24"/>
        <v>0</v>
      </c>
      <c r="O104" s="233">
        <f t="shared" si="24"/>
        <v>0</v>
      </c>
      <c r="P104" s="233">
        <f t="shared" si="24"/>
        <v>0</v>
      </c>
      <c r="Q104" s="233">
        <f t="shared" si="24"/>
        <v>0</v>
      </c>
      <c r="R104" s="233">
        <f t="shared" si="24"/>
        <v>5556424</v>
      </c>
      <c r="S104" s="85">
        <f t="shared" si="24"/>
        <v>5556424</v>
      </c>
      <c r="T104" s="85">
        <f t="shared" si="24"/>
        <v>0</v>
      </c>
      <c r="U104" s="1092"/>
    </row>
    <row r="105" spans="1:21" s="83" customFormat="1">
      <c r="A105" s="84" t="s">
        <v>1882</v>
      </c>
      <c r="B105" s="85">
        <f>SUM(C105:D105)</f>
        <v>46443670</v>
      </c>
      <c r="C105" s="85">
        <f t="shared" ref="C105:R105" si="25">SUM(C97+C104)</f>
        <v>46443670</v>
      </c>
      <c r="D105" s="85">
        <f t="shared" si="25"/>
        <v>0</v>
      </c>
      <c r="E105" s="85">
        <f t="shared" si="25"/>
        <v>23408519</v>
      </c>
      <c r="F105" s="85">
        <f t="shared" si="25"/>
        <v>8997535</v>
      </c>
      <c r="G105" s="85">
        <f t="shared" si="25"/>
        <v>11000000</v>
      </c>
      <c r="H105" s="85">
        <f t="shared" si="25"/>
        <v>3037616</v>
      </c>
      <c r="I105" s="85">
        <f t="shared" si="25"/>
        <v>0</v>
      </c>
      <c r="J105" s="85">
        <f t="shared" si="25"/>
        <v>0</v>
      </c>
      <c r="K105" s="85">
        <f t="shared" si="25"/>
        <v>0</v>
      </c>
      <c r="L105" s="85">
        <f t="shared" si="25"/>
        <v>0</v>
      </c>
      <c r="M105" s="85">
        <f t="shared" si="25"/>
        <v>0</v>
      </c>
      <c r="N105" s="85">
        <f t="shared" si="25"/>
        <v>0</v>
      </c>
      <c r="O105" s="85">
        <f t="shared" si="25"/>
        <v>0</v>
      </c>
      <c r="P105" s="85">
        <f t="shared" si="25"/>
        <v>0</v>
      </c>
      <c r="Q105" s="85">
        <f t="shared" si="25"/>
        <v>0</v>
      </c>
      <c r="R105" s="233">
        <f t="shared" si="25"/>
        <v>46443670</v>
      </c>
      <c r="S105" s="85">
        <f>S97+S104</f>
        <v>42599253</v>
      </c>
      <c r="T105" s="85">
        <f>T97+T104</f>
        <v>0</v>
      </c>
      <c r="U105" s="1092"/>
    </row>
    <row r="106" spans="1:21">
      <c r="A106" s="385" t="s">
        <v>1883</v>
      </c>
      <c r="B106" s="1100"/>
      <c r="C106" s="1100"/>
      <c r="D106" s="1100"/>
      <c r="E106" s="1180"/>
      <c r="F106" s="1180"/>
      <c r="G106" s="1180"/>
      <c r="H106" s="220" t="s">
        <v>1884</v>
      </c>
      <c r="I106" s="220"/>
      <c r="J106" s="220"/>
      <c r="K106" s="1180"/>
      <c r="L106" s="1180"/>
      <c r="M106" s="1180"/>
      <c r="N106" s="1180"/>
      <c r="O106" s="1180"/>
      <c r="P106" s="1180"/>
      <c r="Q106" s="1180"/>
      <c r="R106" s="91" t="s">
        <v>1885</v>
      </c>
      <c r="S106" s="801"/>
      <c r="T106" s="801"/>
      <c r="U106" s="221"/>
    </row>
    <row r="107" spans="1:21">
      <c r="A107" s="1100" t="s">
        <v>1886</v>
      </c>
      <c r="B107" s="1180"/>
      <c r="C107" s="1100"/>
      <c r="D107" s="1100"/>
      <c r="E107" s="1180"/>
      <c r="F107" s="1180"/>
      <c r="G107" s="1180"/>
      <c r="H107" s="1180"/>
      <c r="I107" s="93" t="s">
        <v>1887</v>
      </c>
      <c r="J107" s="93"/>
      <c r="K107" s="1180"/>
      <c r="L107" s="1180"/>
      <c r="M107" s="1180"/>
      <c r="N107" s="1180"/>
      <c r="O107" s="1180"/>
      <c r="P107" s="1180"/>
      <c r="Q107" s="1180"/>
      <c r="R107" s="91" t="s">
        <v>1888</v>
      </c>
      <c r="S107" s="85">
        <f>S105+S106</f>
        <v>42599253</v>
      </c>
      <c r="T107" s="85">
        <f>T105+T106</f>
        <v>0</v>
      </c>
      <c r="U107" s="221"/>
    </row>
    <row r="108" spans="1:21" s="111" customFormat="1">
      <c r="A108" s="93" t="s">
        <v>1889</v>
      </c>
      <c r="B108" s="1100"/>
      <c r="C108" s="1100"/>
      <c r="D108" s="1100"/>
      <c r="E108" s="1101">
        <f>Application!AO640</f>
        <v>23408519</v>
      </c>
      <c r="F108" s="1101">
        <f>Application!AO627</f>
        <v>8997535</v>
      </c>
      <c r="G108" s="1101">
        <f>Application!AO628</f>
        <v>11000000</v>
      </c>
      <c r="H108" s="1101">
        <f>Application!AO629</f>
        <v>3037616</v>
      </c>
      <c r="I108" s="1101">
        <f>Application!AO630</f>
        <v>0</v>
      </c>
      <c r="J108" s="1101">
        <f>Application!AO631</f>
        <v>0</v>
      </c>
      <c r="K108" s="1101">
        <f>Application!AO632</f>
        <v>0</v>
      </c>
      <c r="L108" s="1101">
        <f>Application!AO633</f>
        <v>0</v>
      </c>
      <c r="M108" s="1101">
        <f>Application!AO634</f>
        <v>0</v>
      </c>
      <c r="N108" s="1101">
        <f>Application!AO635</f>
        <v>0</v>
      </c>
      <c r="O108" s="1101">
        <f>Application!AO636</f>
        <v>0</v>
      </c>
      <c r="P108" s="1101">
        <f>Application!AO637</f>
        <v>0</v>
      </c>
      <c r="Q108" s="1101">
        <f>Application!AO638</f>
        <v>0</v>
      </c>
      <c r="R108" s="1180"/>
      <c r="S108" s="1180"/>
      <c r="T108" s="1180"/>
      <c r="U108" s="1102"/>
    </row>
    <row r="109" spans="1:21" ht="10.4" customHeight="1">
      <c r="A109" s="1100"/>
      <c r="B109" s="1100"/>
      <c r="C109" s="1100"/>
      <c r="D109" s="1100"/>
      <c r="E109" s="1180"/>
      <c r="F109" s="1180"/>
      <c r="G109" s="1180"/>
      <c r="H109" s="1180"/>
      <c r="I109" s="1180"/>
      <c r="J109" s="1180"/>
      <c r="K109" s="1180"/>
      <c r="L109" s="1180"/>
      <c r="M109" s="1180"/>
      <c r="N109" s="1180"/>
      <c r="O109" s="1180"/>
      <c r="P109" s="1180"/>
      <c r="Q109" s="1180"/>
      <c r="R109" s="1180"/>
      <c r="S109" s="1180"/>
      <c r="T109" s="1180"/>
      <c r="U109" s="221"/>
    </row>
    <row r="110" spans="1:21">
      <c r="A110" s="93" t="s">
        <v>1890</v>
      </c>
      <c r="B110" s="1100"/>
      <c r="C110" s="1100"/>
      <c r="D110" s="1100"/>
      <c r="E110" s="1180"/>
      <c r="F110" s="1180"/>
      <c r="G110" s="1180"/>
      <c r="H110" s="1180"/>
      <c r="I110" s="1180"/>
      <c r="J110" s="1180"/>
      <c r="K110" s="1180"/>
      <c r="L110" s="1180"/>
      <c r="M110" s="1180"/>
      <c r="N110" s="1180"/>
      <c r="O110" s="1180"/>
      <c r="P110" s="1180"/>
      <c r="Q110" s="1180"/>
      <c r="R110" s="1180"/>
      <c r="S110" s="1180"/>
      <c r="T110" s="1180"/>
      <c r="U110" s="221"/>
    </row>
    <row r="111" spans="1:21">
      <c r="A111" s="89" t="s">
        <v>1891</v>
      </c>
      <c r="B111" s="1100"/>
      <c r="C111" s="1100"/>
      <c r="D111" s="1100"/>
      <c r="E111" s="1180"/>
      <c r="F111" s="1180"/>
      <c r="G111" s="1180"/>
      <c r="H111" s="1180"/>
      <c r="I111" s="1180"/>
      <c r="J111" s="1180"/>
      <c r="K111" s="1180"/>
      <c r="L111" s="1180"/>
      <c r="M111" s="1180"/>
      <c r="N111" s="1180"/>
      <c r="O111" s="1180"/>
      <c r="P111" s="1180"/>
      <c r="Q111" s="1180"/>
      <c r="R111" s="1180"/>
      <c r="S111" s="1180"/>
      <c r="T111" s="1180"/>
      <c r="U111" s="221"/>
    </row>
    <row r="112" spans="1:21" ht="12" customHeight="1">
      <c r="A112" s="1143"/>
      <c r="B112" s="1100"/>
      <c r="C112" s="1100"/>
      <c r="D112" s="1100"/>
      <c r="E112" s="1180"/>
      <c r="F112" s="1180"/>
      <c r="G112" s="1180"/>
      <c r="H112" s="1180"/>
      <c r="I112" s="1180"/>
      <c r="J112" s="1180"/>
      <c r="K112" s="1180"/>
      <c r="L112" s="1180"/>
      <c r="M112" s="1180"/>
      <c r="N112" s="1180"/>
      <c r="O112" s="1180"/>
      <c r="P112" s="1180"/>
      <c r="Q112" s="1180"/>
      <c r="R112" s="1180"/>
      <c r="S112" s="1180"/>
      <c r="T112" s="1180"/>
      <c r="U112" s="221"/>
    </row>
    <row r="113" spans="1:21">
      <c r="A113" s="89" t="s">
        <v>1892</v>
      </c>
      <c r="B113" s="1100"/>
      <c r="C113" s="1100"/>
      <c r="D113" s="1100"/>
      <c r="E113" s="1180"/>
      <c r="F113" s="1180"/>
      <c r="G113" s="1180"/>
      <c r="H113" s="1180"/>
      <c r="I113" s="1180"/>
      <c r="J113" s="1180"/>
      <c r="K113" s="1180"/>
      <c r="L113" s="1180"/>
      <c r="M113" s="1180"/>
      <c r="N113" s="1180"/>
      <c r="O113" s="1180"/>
      <c r="P113" s="1180"/>
      <c r="Q113" s="1180"/>
      <c r="R113" s="1180"/>
      <c r="S113" s="1180"/>
      <c r="T113" s="1180"/>
      <c r="U113" s="221"/>
    </row>
    <row r="114" spans="1:21">
      <c r="A114" s="89" t="s">
        <v>1893</v>
      </c>
      <c r="B114" s="1100"/>
      <c r="C114" s="1100"/>
      <c r="D114" s="1100"/>
      <c r="E114" s="1180"/>
      <c r="F114" s="1180"/>
      <c r="G114" s="1180"/>
      <c r="H114" s="1180"/>
      <c r="I114" s="1180"/>
      <c r="J114" s="1180"/>
      <c r="K114" s="1180"/>
      <c r="L114" s="1180"/>
      <c r="M114" s="1180"/>
      <c r="N114" s="1180"/>
      <c r="O114" s="1180"/>
      <c r="P114" s="1180"/>
      <c r="Q114" s="1180"/>
      <c r="R114" s="1180"/>
      <c r="S114" s="1180"/>
      <c r="T114" s="1180"/>
      <c r="U114" s="221"/>
    </row>
    <row r="115" spans="1:21" ht="12" customHeight="1">
      <c r="A115" s="1143"/>
      <c r="B115" s="1100"/>
      <c r="C115" s="1100"/>
      <c r="D115" s="1100"/>
      <c r="E115" s="1180"/>
      <c r="F115" s="1180"/>
      <c r="G115" s="1180"/>
      <c r="H115" s="1180"/>
      <c r="I115" s="1180"/>
      <c r="J115" s="1180"/>
      <c r="K115" s="1180"/>
      <c r="L115" s="1180"/>
      <c r="M115" s="1180"/>
      <c r="N115" s="1180"/>
      <c r="O115" s="1180"/>
      <c r="P115" s="1180"/>
      <c r="Q115" s="1180"/>
      <c r="R115" s="1180"/>
      <c r="S115" s="1180"/>
      <c r="T115" s="1180"/>
      <c r="U115" s="221"/>
    </row>
    <row r="116" spans="1:21">
      <c r="A116" s="236" t="s">
        <v>1894</v>
      </c>
      <c r="B116" s="1100"/>
      <c r="C116" s="1100"/>
      <c r="D116" s="1100"/>
      <c r="E116" s="1180"/>
      <c r="F116" s="1180"/>
      <c r="G116" s="1180"/>
      <c r="H116" s="1180"/>
      <c r="I116" s="1180"/>
      <c r="J116" s="1180"/>
      <c r="K116" s="1180"/>
      <c r="L116" s="1180"/>
      <c r="M116" s="1180"/>
      <c r="N116" s="1180"/>
      <c r="O116" s="1180"/>
      <c r="P116" s="1180"/>
      <c r="Q116" s="1180"/>
      <c r="R116" s="1180"/>
      <c r="S116" s="1180"/>
      <c r="T116" s="1180"/>
      <c r="U116" s="221"/>
    </row>
    <row r="117" spans="1:21">
      <c r="A117" s="236" t="s">
        <v>1895</v>
      </c>
      <c r="B117" s="1100"/>
      <c r="C117" s="1100"/>
      <c r="D117" s="1100"/>
      <c r="E117" s="1180"/>
      <c r="F117" s="1180"/>
      <c r="G117" s="1180"/>
      <c r="H117" s="1180"/>
      <c r="I117" s="1180"/>
      <c r="J117" s="1180"/>
      <c r="K117" s="1180"/>
      <c r="L117" s="1180"/>
      <c r="M117" s="1180"/>
      <c r="N117" s="1180"/>
      <c r="O117" s="1180"/>
      <c r="P117" s="1180"/>
      <c r="Q117" s="1180"/>
      <c r="R117" s="1180"/>
      <c r="S117" s="1180"/>
      <c r="T117" s="1180"/>
      <c r="U117" s="221"/>
    </row>
    <row r="118" spans="1:21">
      <c r="A118" s="236" t="s">
        <v>1896</v>
      </c>
      <c r="B118" s="1100"/>
      <c r="C118" s="1100"/>
      <c r="D118" s="1100"/>
      <c r="E118" s="1180"/>
      <c r="F118" s="1180"/>
      <c r="G118" s="1180"/>
      <c r="H118" s="1180"/>
      <c r="I118" s="1180"/>
      <c r="J118" s="1180"/>
      <c r="K118" s="1180"/>
      <c r="L118" s="1180"/>
      <c r="M118" s="1180"/>
      <c r="N118" s="1180"/>
      <c r="O118" s="1180"/>
      <c r="P118" s="1180"/>
      <c r="Q118" s="1180"/>
      <c r="R118" s="1180"/>
      <c r="S118" s="1180"/>
      <c r="T118" s="1180"/>
      <c r="U118" s="221"/>
    </row>
    <row r="119" spans="1:21">
      <c r="A119" s="236" t="s">
        <v>1897</v>
      </c>
      <c r="B119" s="1100"/>
      <c r="C119" s="1100"/>
      <c r="D119" s="1100"/>
      <c r="E119" s="1180"/>
      <c r="F119" s="1180"/>
      <c r="G119" s="1180"/>
      <c r="H119" s="1180"/>
      <c r="I119" s="1180"/>
      <c r="J119" s="1180"/>
      <c r="K119" s="1180"/>
      <c r="L119" s="1180"/>
      <c r="M119" s="1180"/>
      <c r="N119" s="1180"/>
      <c r="O119" s="1180"/>
      <c r="P119" s="1180"/>
      <c r="Q119" s="1180"/>
      <c r="R119" s="1180"/>
      <c r="S119" s="1180"/>
      <c r="T119" s="1180"/>
      <c r="U119" s="221"/>
    </row>
    <row r="120" spans="1:21" ht="12" customHeight="1">
      <c r="A120" s="235"/>
      <c r="B120" s="1100"/>
      <c r="C120" s="1100"/>
      <c r="D120" s="1100"/>
      <c r="E120" s="1180"/>
      <c r="F120" s="1180"/>
      <c r="G120" s="1180"/>
      <c r="H120" s="1180"/>
      <c r="I120" s="1180"/>
      <c r="J120" s="1180"/>
      <c r="K120" s="1180"/>
      <c r="L120" s="1180"/>
      <c r="M120" s="1180"/>
      <c r="N120" s="1180"/>
      <c r="O120" s="1180"/>
      <c r="P120" s="1180"/>
      <c r="Q120" s="1180"/>
      <c r="R120" s="1180"/>
      <c r="S120" s="1180"/>
      <c r="T120" s="1180"/>
      <c r="U120" s="221"/>
    </row>
    <row r="121" spans="1:21" ht="15.5">
      <c r="A121" s="230" t="s">
        <v>1898</v>
      </c>
      <c r="B121" s="1100"/>
      <c r="C121" s="1100"/>
      <c r="D121" s="1100"/>
      <c r="E121" s="1180"/>
      <c r="F121" s="1180"/>
      <c r="G121" s="1180"/>
      <c r="H121" s="1180"/>
      <c r="I121" s="1180"/>
      <c r="J121" s="1180"/>
      <c r="K121" s="1180"/>
      <c r="L121" s="1180"/>
      <c r="M121" s="1180"/>
      <c r="N121" s="1180"/>
      <c r="O121" s="1180"/>
      <c r="P121" s="1180"/>
      <c r="Q121" s="1180"/>
      <c r="R121" s="1180"/>
      <c r="S121" s="1180"/>
      <c r="T121" s="1180"/>
      <c r="U121" s="221"/>
    </row>
    <row r="122" spans="1:21">
      <c r="A122" s="220" t="s">
        <v>1899</v>
      </c>
      <c r="B122" s="1180"/>
      <c r="C122" s="1180"/>
      <c r="D122" s="1800" t="s">
        <v>1900</v>
      </c>
      <c r="E122" s="1800"/>
      <c r="F122" s="1800"/>
      <c r="G122" s="1180"/>
      <c r="H122" s="1180"/>
      <c r="I122" s="1180"/>
      <c r="J122" s="1180"/>
      <c r="K122" s="1180"/>
      <c r="L122" s="1180"/>
      <c r="M122" s="1180"/>
      <c r="N122" s="1180"/>
      <c r="O122" s="1180"/>
      <c r="P122" s="1180"/>
      <c r="Q122" s="1180"/>
      <c r="R122" s="1180"/>
      <c r="S122" s="1180"/>
      <c r="T122" s="1180"/>
      <c r="U122" s="221"/>
    </row>
    <row r="123" spans="1:21">
      <c r="A123" s="1180" t="s">
        <v>1901</v>
      </c>
      <c r="B123" s="228"/>
      <c r="C123" s="1180"/>
      <c r="D123" s="1802" t="s">
        <v>1902</v>
      </c>
      <c r="E123" s="1751"/>
      <c r="F123" s="1751"/>
      <c r="G123" s="1751"/>
      <c r="H123" s="1751"/>
      <c r="I123" s="1751"/>
      <c r="J123" s="1751"/>
      <c r="K123" s="1751"/>
      <c r="L123" s="1751"/>
      <c r="M123" s="1751"/>
      <c r="N123" s="1751"/>
      <c r="O123" s="1751"/>
      <c r="P123" s="1751"/>
      <c r="Q123" s="1751"/>
      <c r="R123" s="1751"/>
      <c r="S123" s="1751"/>
      <c r="T123" s="1180"/>
      <c r="U123" s="221"/>
    </row>
    <row r="124" spans="1:21" ht="12.5">
      <c r="A124" s="1137" t="s">
        <v>1903</v>
      </c>
      <c r="B124" s="228"/>
      <c r="C124" s="1137"/>
      <c r="D124" s="1751"/>
      <c r="E124" s="1751"/>
      <c r="F124" s="1751"/>
      <c r="G124" s="1751"/>
      <c r="H124" s="1751"/>
      <c r="I124" s="1751"/>
      <c r="J124" s="1751"/>
      <c r="K124" s="1751"/>
      <c r="L124" s="1751"/>
      <c r="M124" s="1751"/>
      <c r="N124" s="1751"/>
      <c r="O124" s="1751"/>
      <c r="P124" s="1751"/>
      <c r="Q124" s="1751"/>
      <c r="R124" s="1751"/>
      <c r="S124" s="1751"/>
      <c r="T124" s="1180"/>
      <c r="U124" s="221"/>
    </row>
    <row r="125" spans="1:21" ht="12.5">
      <c r="A125" s="1137" t="s">
        <v>1904</v>
      </c>
      <c r="B125" s="228"/>
      <c r="C125" s="1137"/>
      <c r="D125" s="1751"/>
      <c r="E125" s="1751"/>
      <c r="F125" s="1751"/>
      <c r="G125" s="1751"/>
      <c r="H125" s="1751"/>
      <c r="I125" s="1751"/>
      <c r="J125" s="1751"/>
      <c r="K125" s="1751"/>
      <c r="L125" s="1751"/>
      <c r="M125" s="1751"/>
      <c r="N125" s="1751"/>
      <c r="O125" s="1751"/>
      <c r="P125" s="1751"/>
      <c r="Q125" s="1751"/>
      <c r="R125" s="1751"/>
      <c r="S125" s="1751"/>
      <c r="T125" s="1180"/>
      <c r="U125" s="221"/>
    </row>
    <row r="126" spans="1:21" ht="12.5">
      <c r="A126" s="1137" t="s">
        <v>1905</v>
      </c>
      <c r="B126" s="228"/>
      <c r="C126" s="1137"/>
      <c r="D126" s="69"/>
      <c r="E126" s="69"/>
      <c r="F126" s="69"/>
      <c r="G126" s="69"/>
      <c r="H126" s="69"/>
      <c r="I126" s="69"/>
      <c r="J126" s="69"/>
      <c r="K126" s="69"/>
      <c r="L126" s="69"/>
      <c r="M126" s="69"/>
      <c r="N126" s="69"/>
      <c r="O126" s="1137"/>
      <c r="P126" s="1137"/>
      <c r="Q126" s="1137"/>
      <c r="R126" s="1137"/>
      <c r="S126" s="1137"/>
      <c r="T126" s="1180"/>
      <c r="U126" s="221"/>
    </row>
    <row r="127" spans="1:21" ht="12.5">
      <c r="A127" s="1137" t="s">
        <v>1906</v>
      </c>
      <c r="B127" s="228"/>
      <c r="C127" s="1137"/>
      <c r="D127" s="69"/>
      <c r="E127" s="69"/>
      <c r="F127" s="69"/>
      <c r="G127" s="69"/>
      <c r="H127" s="69"/>
      <c r="I127" s="69"/>
      <c r="J127" s="69"/>
      <c r="K127" s="69"/>
      <c r="L127" s="69"/>
      <c r="M127" s="69"/>
      <c r="N127" s="69"/>
      <c r="O127" s="1137"/>
      <c r="P127" s="1137"/>
      <c r="Q127" s="1137"/>
      <c r="R127" s="1137"/>
      <c r="S127" s="1137"/>
      <c r="T127" s="1180"/>
      <c r="U127" s="221"/>
    </row>
    <row r="128" spans="1:21" ht="12.5">
      <c r="A128" s="1137" t="s">
        <v>1907</v>
      </c>
      <c r="B128" s="228"/>
      <c r="C128" s="1137"/>
      <c r="D128" s="1797"/>
      <c r="E128" s="1797"/>
      <c r="F128" s="1797"/>
      <c r="G128" s="1797"/>
      <c r="H128" s="1797"/>
      <c r="I128" s="1137"/>
      <c r="J128" s="1798"/>
      <c r="K128" s="1798"/>
      <c r="L128" s="1137"/>
      <c r="M128" s="1137"/>
      <c r="N128" s="1137"/>
      <c r="O128" s="1137"/>
      <c r="P128" s="1137"/>
      <c r="Q128" s="1137"/>
      <c r="R128" s="1137"/>
      <c r="S128" s="1137"/>
      <c r="T128" s="1180"/>
      <c r="U128" s="221"/>
    </row>
    <row r="129" spans="1:21" ht="12.5">
      <c r="A129" s="1137" t="s">
        <v>1103</v>
      </c>
      <c r="B129" s="228"/>
      <c r="C129" s="1137"/>
      <c r="D129" s="1799" t="s">
        <v>1908</v>
      </c>
      <c r="E129" s="1799"/>
      <c r="F129" s="1799"/>
      <c r="G129" s="1799"/>
      <c r="H129" s="1799"/>
      <c r="I129" s="1137"/>
      <c r="J129" s="1137" t="s">
        <v>1909</v>
      </c>
      <c r="K129" s="1137"/>
      <c r="L129" s="1137"/>
      <c r="M129" s="1137"/>
      <c r="N129" s="1137"/>
      <c r="O129" s="1137"/>
      <c r="P129" s="1137"/>
      <c r="Q129" s="1137"/>
      <c r="R129" s="1137"/>
      <c r="S129" s="1137"/>
      <c r="T129" s="1180"/>
      <c r="U129" s="221"/>
    </row>
    <row r="130" spans="1:21" ht="12" customHeight="1">
      <c r="A130" s="1137"/>
      <c r="B130" s="227"/>
      <c r="C130" s="1137"/>
      <c r="D130" s="1137"/>
      <c r="E130" s="1137"/>
      <c r="F130" s="1137"/>
      <c r="G130" s="1137"/>
      <c r="H130" s="1137"/>
      <c r="I130" s="1137"/>
      <c r="J130" s="1137"/>
      <c r="K130" s="1137"/>
      <c r="L130" s="1137"/>
      <c r="M130" s="1137"/>
      <c r="N130" s="1137"/>
      <c r="O130" s="1137"/>
      <c r="P130" s="1137"/>
      <c r="Q130" s="1137"/>
      <c r="R130" s="1137"/>
      <c r="S130" s="1137"/>
      <c r="T130" s="1180"/>
      <c r="U130" s="221"/>
    </row>
    <row r="131" spans="1:21" ht="13">
      <c r="A131" s="1114" t="s">
        <v>1910</v>
      </c>
      <c r="B131" s="229">
        <f>SUM(B123:B129)</f>
        <v>0</v>
      </c>
      <c r="C131" s="1137"/>
      <c r="D131" s="1764" t="s">
        <v>865</v>
      </c>
      <c r="E131" s="1764"/>
      <c r="F131" s="1764"/>
      <c r="G131" s="1764"/>
      <c r="H131" s="1764"/>
      <c r="I131" s="1137"/>
      <c r="J131" s="1764" t="s">
        <v>867</v>
      </c>
      <c r="K131" s="1764"/>
      <c r="L131" s="1764"/>
      <c r="M131" s="1764"/>
      <c r="N131" s="1137"/>
      <c r="O131" s="1137"/>
      <c r="P131" s="1137"/>
      <c r="Q131" s="1137"/>
      <c r="R131" s="1137"/>
      <c r="S131" s="1137"/>
      <c r="T131" s="1180"/>
      <c r="U131" s="221"/>
    </row>
    <row r="132" spans="1:21" ht="12" customHeight="1">
      <c r="A132" s="1103"/>
      <c r="B132" s="1137"/>
      <c r="C132" s="1137"/>
      <c r="D132" s="1282" t="s">
        <v>1911</v>
      </c>
      <c r="E132" s="1282"/>
      <c r="F132" s="1282"/>
      <c r="G132" s="1282"/>
      <c r="H132" s="1282"/>
      <c r="I132" s="1137"/>
      <c r="J132" s="1282" t="s">
        <v>1912</v>
      </c>
      <c r="K132" s="1282"/>
      <c r="L132" s="1282"/>
      <c r="M132" s="1282"/>
      <c r="N132" s="1137"/>
      <c r="O132" s="1137"/>
      <c r="P132" s="1137"/>
      <c r="Q132" s="1137"/>
      <c r="R132" s="1137"/>
      <c r="S132" s="1137"/>
      <c r="T132" s="1180"/>
      <c r="U132" s="221"/>
    </row>
    <row r="133" spans="1:21" ht="12" customHeight="1">
      <c r="A133" s="1103"/>
      <c r="B133" s="1137"/>
      <c r="C133" s="1137"/>
      <c r="D133" s="1137"/>
      <c r="E133" s="1137"/>
      <c r="F133" s="1137"/>
      <c r="G133" s="1137"/>
      <c r="H133" s="1137"/>
      <c r="I133" s="1137"/>
      <c r="J133" s="1137"/>
      <c r="K133" s="1137"/>
      <c r="L133" s="1137"/>
      <c r="M133" s="1137"/>
      <c r="N133" s="1137"/>
      <c r="O133" s="1137"/>
      <c r="P133" s="1137"/>
      <c r="Q133" s="1137"/>
      <c r="R133" s="1137"/>
      <c r="S133" s="1137"/>
      <c r="T133" s="1180"/>
      <c r="U133" s="221"/>
    </row>
    <row r="134" spans="1:21" ht="12.5">
      <c r="A134" s="1124" t="s">
        <v>1913</v>
      </c>
      <c r="B134" s="1137"/>
      <c r="C134" s="1137"/>
      <c r="D134" s="1137"/>
      <c r="E134" s="1137"/>
      <c r="F134" s="1137"/>
      <c r="G134" s="1137"/>
      <c r="H134" s="1137"/>
      <c r="I134" s="1137"/>
      <c r="J134" s="1137"/>
      <c r="K134" s="1137"/>
      <c r="L134" s="1137"/>
      <c r="M134" s="1137"/>
      <c r="N134" s="1137"/>
      <c r="O134" s="1137"/>
      <c r="P134" s="1137"/>
      <c r="Q134" s="1137"/>
      <c r="R134" s="1137"/>
      <c r="S134" s="1137"/>
      <c r="T134" s="1180"/>
      <c r="U134" s="221"/>
    </row>
    <row r="135" spans="1:21" ht="13">
      <c r="A135" s="1143" t="s">
        <v>1914</v>
      </c>
      <c r="B135" s="1137"/>
      <c r="C135" s="1137"/>
      <c r="D135" s="1137"/>
      <c r="E135" s="1137"/>
      <c r="F135" s="1137"/>
      <c r="G135" s="1137"/>
      <c r="H135" s="1137"/>
      <c r="I135" s="1137"/>
      <c r="J135" s="1137"/>
      <c r="K135" s="1137"/>
      <c r="L135" s="1137"/>
      <c r="M135" s="1137"/>
      <c r="N135" s="1104"/>
      <c r="O135" s="1137"/>
      <c r="P135" s="1137"/>
      <c r="Q135" s="1137"/>
      <c r="R135" s="1137"/>
      <c r="S135" s="1137"/>
      <c r="T135" s="1180"/>
      <c r="U135" s="221"/>
    </row>
    <row r="136" spans="1:21" ht="12" customHeight="1">
      <c r="A136" s="1103"/>
      <c r="B136" s="1137"/>
      <c r="C136" s="1137"/>
      <c r="D136" s="1137"/>
      <c r="E136" s="1137"/>
      <c r="F136" s="1137"/>
      <c r="G136" s="1137"/>
      <c r="H136" s="1137"/>
      <c r="I136" s="1137"/>
      <c r="J136" s="1137"/>
      <c r="K136" s="1137"/>
      <c r="L136" s="1137"/>
      <c r="M136" s="1137"/>
      <c r="N136" s="1137"/>
      <c r="O136" s="1137"/>
      <c r="P136" s="1137"/>
      <c r="Q136" s="1137"/>
      <c r="R136" s="1137"/>
      <c r="S136" s="1137"/>
      <c r="T136" s="225"/>
      <c r="U136" s="226"/>
    </row>
    <row r="137" spans="1:21" ht="12.5">
      <c r="A137" s="1103"/>
      <c r="B137" s="1137"/>
      <c r="C137" s="1137"/>
      <c r="D137" s="1137"/>
      <c r="E137" s="1137"/>
      <c r="F137" s="1137"/>
      <c r="G137" s="1137"/>
      <c r="H137" s="1137"/>
      <c r="I137" s="1137"/>
      <c r="J137" s="1137"/>
      <c r="K137" s="1137"/>
      <c r="L137" s="1137"/>
      <c r="M137" s="1137"/>
      <c r="N137" s="1137"/>
      <c r="O137" s="1137"/>
      <c r="P137" s="1137"/>
      <c r="Q137" s="1137"/>
      <c r="R137" s="1137"/>
      <c r="S137" s="1137"/>
      <c r="T137" s="225"/>
      <c r="U137" s="226"/>
    </row>
    <row r="138" spans="1:21" ht="12" customHeight="1">
      <c r="A138" s="1803"/>
      <c r="B138" s="1797"/>
      <c r="C138" s="1797"/>
      <c r="D138" s="223"/>
      <c r="E138" s="1798"/>
      <c r="F138" s="1798"/>
      <c r="G138" s="1137"/>
      <c r="H138" s="1137"/>
      <c r="I138" s="1137"/>
      <c r="J138" s="1137"/>
      <c r="K138" s="1137"/>
      <c r="L138" s="1137"/>
      <c r="M138" s="1137"/>
      <c r="N138" s="1137"/>
      <c r="O138" s="1137"/>
      <c r="P138" s="1137"/>
      <c r="Q138" s="1137"/>
      <c r="R138" s="1137"/>
      <c r="S138" s="1137"/>
      <c r="T138" s="225"/>
      <c r="U138" s="226"/>
    </row>
    <row r="139" spans="1:21" ht="13">
      <c r="A139" s="1801" t="s">
        <v>1915</v>
      </c>
      <c r="B139" s="1801"/>
      <c r="C139" s="1801"/>
      <c r="D139" s="223"/>
      <c r="E139" s="1137" t="s">
        <v>1909</v>
      </c>
      <c r="F139" s="1137"/>
      <c r="G139" s="1137"/>
      <c r="H139" s="1137"/>
      <c r="I139" s="1137"/>
      <c r="J139" s="1137"/>
      <c r="K139" s="1137"/>
      <c r="L139" s="1137"/>
      <c r="M139" s="1137"/>
      <c r="N139" s="1137"/>
      <c r="O139" s="1137"/>
      <c r="P139" s="1137"/>
      <c r="Q139" s="1137"/>
      <c r="R139" s="1137"/>
      <c r="S139" s="1137"/>
      <c r="T139" s="225"/>
      <c r="U139" s="226"/>
    </row>
    <row r="140" spans="1:21" ht="13">
      <c r="A140" s="1103"/>
      <c r="B140" s="1137"/>
      <c r="C140" s="1137"/>
      <c r="D140" s="223"/>
      <c r="E140" s="1137"/>
      <c r="F140" s="1137"/>
      <c r="G140" s="1137"/>
      <c r="H140" s="1137"/>
      <c r="I140" s="1137"/>
      <c r="J140" s="1137"/>
      <c r="K140" s="1137"/>
      <c r="L140" s="1137"/>
      <c r="M140" s="1137"/>
      <c r="N140" s="1137"/>
      <c r="O140" s="1137"/>
      <c r="P140" s="1137"/>
      <c r="Q140" s="1137"/>
      <c r="R140" s="1137"/>
      <c r="S140" s="1137"/>
      <c r="T140" s="222"/>
      <c r="U140" s="224"/>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91" workbookViewId="0">
      <selection activeCell="C46" sqref="C46"/>
    </sheetView>
  </sheetViews>
  <sheetFormatPr defaultColWidth="0" defaultRowHeight="11.5" zeroHeight="1"/>
  <cols>
    <col min="1" max="1" width="32.7265625" style="286" customWidth="1"/>
    <col min="2" max="3" width="12.1796875" style="282" customWidth="1"/>
    <col min="4" max="6" width="12.81640625" style="282" customWidth="1"/>
    <col min="7" max="9" width="12.1796875" style="282" customWidth="1"/>
    <col min="10" max="10" width="12.1796875" style="283" customWidth="1"/>
    <col min="11" max="11" width="8.81640625" style="284" hidden="1" customWidth="1"/>
    <col min="12" max="21" width="8.81640625" style="282" hidden="1" customWidth="1"/>
    <col min="22" max="23" width="0" style="282" hidden="1"/>
    <col min="24" max="256" width="8.81640625" style="282" hidden="1"/>
    <col min="257" max="257" width="32.7265625" style="282" hidden="1" customWidth="1"/>
    <col min="258" max="259" width="12.1796875" style="282" hidden="1" customWidth="1"/>
    <col min="260" max="260" width="12.81640625" style="282" hidden="1" customWidth="1"/>
    <col min="261" max="266" width="12.1796875" style="282" hidden="1" customWidth="1"/>
    <col min="267" max="277" width="8.81640625" style="282" hidden="1" customWidth="1"/>
    <col min="278" max="512" width="8.81640625" style="282" hidden="1"/>
    <col min="513" max="513" width="32.7265625" style="282" hidden="1" customWidth="1"/>
    <col min="514" max="515" width="12.1796875" style="282" hidden="1" customWidth="1"/>
    <col min="516" max="516" width="12.81640625" style="282" hidden="1" customWidth="1"/>
    <col min="517" max="522" width="12.1796875" style="282" hidden="1" customWidth="1"/>
    <col min="523" max="533" width="8.81640625" style="282" hidden="1" customWidth="1"/>
    <col min="534" max="768" width="8.81640625" style="282" hidden="1"/>
    <col min="769" max="769" width="32.7265625" style="282" hidden="1" customWidth="1"/>
    <col min="770" max="771" width="12.1796875" style="282" hidden="1" customWidth="1"/>
    <col min="772" max="772" width="12.81640625" style="282" hidden="1" customWidth="1"/>
    <col min="773" max="778" width="12.1796875" style="282" hidden="1" customWidth="1"/>
    <col min="779" max="789" width="8.81640625" style="282" hidden="1" customWidth="1"/>
    <col min="790" max="1024" width="8.81640625" style="282" hidden="1"/>
    <col min="1025" max="1025" width="32.7265625" style="282" hidden="1" customWidth="1"/>
    <col min="1026" max="1027" width="12.1796875" style="282" hidden="1" customWidth="1"/>
    <col min="1028" max="1028" width="12.81640625" style="282" hidden="1" customWidth="1"/>
    <col min="1029" max="1034" width="12.1796875" style="282" hidden="1" customWidth="1"/>
    <col min="1035" max="1045" width="8.81640625" style="282" hidden="1" customWidth="1"/>
    <col min="1046" max="1280" width="8.81640625" style="282" hidden="1"/>
    <col min="1281" max="1281" width="32.7265625" style="282" hidden="1" customWidth="1"/>
    <col min="1282" max="1283" width="12.1796875" style="282" hidden="1" customWidth="1"/>
    <col min="1284" max="1284" width="12.81640625" style="282" hidden="1" customWidth="1"/>
    <col min="1285" max="1290" width="12.1796875" style="282" hidden="1" customWidth="1"/>
    <col min="1291" max="1301" width="8.81640625" style="282" hidden="1" customWidth="1"/>
    <col min="1302" max="1536" width="8.81640625" style="282" hidden="1"/>
    <col min="1537" max="1537" width="32.7265625" style="282" hidden="1" customWidth="1"/>
    <col min="1538" max="1539" width="12.1796875" style="282" hidden="1" customWidth="1"/>
    <col min="1540" max="1540" width="12.81640625" style="282" hidden="1" customWidth="1"/>
    <col min="1541" max="1546" width="12.1796875" style="282" hidden="1" customWidth="1"/>
    <col min="1547" max="1557" width="8.81640625" style="282" hidden="1" customWidth="1"/>
    <col min="1558" max="1792" width="8.81640625" style="282" hidden="1"/>
    <col min="1793" max="1793" width="32.7265625" style="282" hidden="1" customWidth="1"/>
    <col min="1794" max="1795" width="12.1796875" style="282" hidden="1" customWidth="1"/>
    <col min="1796" max="1796" width="12.81640625" style="282" hidden="1" customWidth="1"/>
    <col min="1797" max="1802" width="12.1796875" style="282" hidden="1" customWidth="1"/>
    <col min="1803" max="1813" width="8.81640625" style="282" hidden="1" customWidth="1"/>
    <col min="1814" max="2048" width="8.81640625" style="282" hidden="1"/>
    <col min="2049" max="2049" width="32.7265625" style="282" hidden="1" customWidth="1"/>
    <col min="2050" max="2051" width="12.1796875" style="282" hidden="1" customWidth="1"/>
    <col min="2052" max="2052" width="12.81640625" style="282" hidden="1" customWidth="1"/>
    <col min="2053" max="2058" width="12.1796875" style="282" hidden="1" customWidth="1"/>
    <col min="2059" max="2069" width="8.81640625" style="282" hidden="1" customWidth="1"/>
    <col min="2070" max="2304" width="8.81640625" style="282" hidden="1"/>
    <col min="2305" max="2305" width="32.7265625" style="282" hidden="1" customWidth="1"/>
    <col min="2306" max="2307" width="12.1796875" style="282" hidden="1" customWidth="1"/>
    <col min="2308" max="2308" width="12.81640625" style="282" hidden="1" customWidth="1"/>
    <col min="2309" max="2314" width="12.1796875" style="282" hidden="1" customWidth="1"/>
    <col min="2315" max="2325" width="8.81640625" style="282" hidden="1" customWidth="1"/>
    <col min="2326" max="2560" width="8.81640625" style="282" hidden="1"/>
    <col min="2561" max="2561" width="32.7265625" style="282" hidden="1" customWidth="1"/>
    <col min="2562" max="2563" width="12.1796875" style="282" hidden="1" customWidth="1"/>
    <col min="2564" max="2564" width="12.81640625" style="282" hidden="1" customWidth="1"/>
    <col min="2565" max="2570" width="12.1796875" style="282" hidden="1" customWidth="1"/>
    <col min="2571" max="2581" width="8.81640625" style="282" hidden="1" customWidth="1"/>
    <col min="2582" max="2816" width="8.81640625" style="282" hidden="1"/>
    <col min="2817" max="2817" width="32.7265625" style="282" hidden="1" customWidth="1"/>
    <col min="2818" max="2819" width="12.1796875" style="282" hidden="1" customWidth="1"/>
    <col min="2820" max="2820" width="12.81640625" style="282" hidden="1" customWidth="1"/>
    <col min="2821" max="2826" width="12.1796875" style="282" hidden="1" customWidth="1"/>
    <col min="2827" max="2837" width="8.81640625" style="282" hidden="1" customWidth="1"/>
    <col min="2838" max="3072" width="8.81640625" style="282" hidden="1"/>
    <col min="3073" max="3073" width="32.7265625" style="282" hidden="1" customWidth="1"/>
    <col min="3074" max="3075" width="12.1796875" style="282" hidden="1" customWidth="1"/>
    <col min="3076" max="3076" width="12.81640625" style="282" hidden="1" customWidth="1"/>
    <col min="3077" max="3082" width="12.1796875" style="282" hidden="1" customWidth="1"/>
    <col min="3083" max="3093" width="8.81640625" style="282" hidden="1" customWidth="1"/>
    <col min="3094" max="3328" width="8.81640625" style="282" hidden="1"/>
    <col min="3329" max="3329" width="32.7265625" style="282" hidden="1" customWidth="1"/>
    <col min="3330" max="3331" width="12.1796875" style="282" hidden="1" customWidth="1"/>
    <col min="3332" max="3332" width="12.81640625" style="282" hidden="1" customWidth="1"/>
    <col min="3333" max="3338" width="12.1796875" style="282" hidden="1" customWidth="1"/>
    <col min="3339" max="3349" width="8.81640625" style="282" hidden="1" customWidth="1"/>
    <col min="3350" max="3584" width="8.81640625" style="282" hidden="1"/>
    <col min="3585" max="3585" width="32.7265625" style="282" hidden="1" customWidth="1"/>
    <col min="3586" max="3587" width="12.1796875" style="282" hidden="1" customWidth="1"/>
    <col min="3588" max="3588" width="12.81640625" style="282" hidden="1" customWidth="1"/>
    <col min="3589" max="3594" width="12.1796875" style="282" hidden="1" customWidth="1"/>
    <col min="3595" max="3605" width="8.81640625" style="282" hidden="1" customWidth="1"/>
    <col min="3606" max="3840" width="8.81640625" style="282" hidden="1"/>
    <col min="3841" max="3841" width="32.7265625" style="282" hidden="1" customWidth="1"/>
    <col min="3842" max="3843" width="12.1796875" style="282" hidden="1" customWidth="1"/>
    <col min="3844" max="3844" width="12.81640625" style="282" hidden="1" customWidth="1"/>
    <col min="3845" max="3850" width="12.1796875" style="282" hidden="1" customWidth="1"/>
    <col min="3851" max="3861" width="8.81640625" style="282" hidden="1" customWidth="1"/>
    <col min="3862" max="4096" width="8.81640625" style="282" hidden="1"/>
    <col min="4097" max="4097" width="32.7265625" style="282" hidden="1" customWidth="1"/>
    <col min="4098" max="4099" width="12.1796875" style="282" hidden="1" customWidth="1"/>
    <col min="4100" max="4100" width="12.81640625" style="282" hidden="1" customWidth="1"/>
    <col min="4101" max="4106" width="12.1796875" style="282" hidden="1" customWidth="1"/>
    <col min="4107" max="4117" width="8.81640625" style="282" hidden="1" customWidth="1"/>
    <col min="4118" max="4352" width="8.81640625" style="282" hidden="1"/>
    <col min="4353" max="4353" width="32.7265625" style="282" hidden="1" customWidth="1"/>
    <col min="4354" max="4355" width="12.1796875" style="282" hidden="1" customWidth="1"/>
    <col min="4356" max="4356" width="12.81640625" style="282" hidden="1" customWidth="1"/>
    <col min="4357" max="4362" width="12.1796875" style="282" hidden="1" customWidth="1"/>
    <col min="4363" max="4373" width="8.81640625" style="282" hidden="1" customWidth="1"/>
    <col min="4374" max="4608" width="8.81640625" style="282" hidden="1"/>
    <col min="4609" max="4609" width="32.7265625" style="282" hidden="1" customWidth="1"/>
    <col min="4610" max="4611" width="12.1796875" style="282" hidden="1" customWidth="1"/>
    <col min="4612" max="4612" width="12.81640625" style="282" hidden="1" customWidth="1"/>
    <col min="4613" max="4618" width="12.1796875" style="282" hidden="1" customWidth="1"/>
    <col min="4619" max="4629" width="8.81640625" style="282" hidden="1" customWidth="1"/>
    <col min="4630" max="4864" width="8.81640625" style="282" hidden="1"/>
    <col min="4865" max="4865" width="32.7265625" style="282" hidden="1" customWidth="1"/>
    <col min="4866" max="4867" width="12.1796875" style="282" hidden="1" customWidth="1"/>
    <col min="4868" max="4868" width="12.81640625" style="282" hidden="1" customWidth="1"/>
    <col min="4869" max="4874" width="12.1796875" style="282" hidden="1" customWidth="1"/>
    <col min="4875" max="4885" width="8.81640625" style="282" hidden="1" customWidth="1"/>
    <col min="4886" max="5120" width="8.81640625" style="282" hidden="1"/>
    <col min="5121" max="5121" width="32.7265625" style="282" hidden="1" customWidth="1"/>
    <col min="5122" max="5123" width="12.1796875" style="282" hidden="1" customWidth="1"/>
    <col min="5124" max="5124" width="12.81640625" style="282" hidden="1" customWidth="1"/>
    <col min="5125" max="5130" width="12.1796875" style="282" hidden="1" customWidth="1"/>
    <col min="5131" max="5141" width="8.81640625" style="282" hidden="1" customWidth="1"/>
    <col min="5142" max="5376" width="8.81640625" style="282" hidden="1"/>
    <col min="5377" max="5377" width="32.7265625" style="282" hidden="1" customWidth="1"/>
    <col min="5378" max="5379" width="12.1796875" style="282" hidden="1" customWidth="1"/>
    <col min="5380" max="5380" width="12.81640625" style="282" hidden="1" customWidth="1"/>
    <col min="5381" max="5386" width="12.1796875" style="282" hidden="1" customWidth="1"/>
    <col min="5387" max="5397" width="8.81640625" style="282" hidden="1" customWidth="1"/>
    <col min="5398" max="5632" width="8.81640625" style="282" hidden="1"/>
    <col min="5633" max="5633" width="32.7265625" style="282" hidden="1" customWidth="1"/>
    <col min="5634" max="5635" width="12.1796875" style="282" hidden="1" customWidth="1"/>
    <col min="5636" max="5636" width="12.81640625" style="282" hidden="1" customWidth="1"/>
    <col min="5637" max="5642" width="12.1796875" style="282" hidden="1" customWidth="1"/>
    <col min="5643" max="5653" width="8.81640625" style="282" hidden="1" customWidth="1"/>
    <col min="5654" max="5888" width="8.81640625" style="282" hidden="1"/>
    <col min="5889" max="5889" width="32.7265625" style="282" hidden="1" customWidth="1"/>
    <col min="5890" max="5891" width="12.1796875" style="282" hidden="1" customWidth="1"/>
    <col min="5892" max="5892" width="12.81640625" style="282" hidden="1" customWidth="1"/>
    <col min="5893" max="5898" width="12.1796875" style="282" hidden="1" customWidth="1"/>
    <col min="5899" max="5909" width="8.81640625" style="282" hidden="1" customWidth="1"/>
    <col min="5910" max="6144" width="8.81640625" style="282" hidden="1"/>
    <col min="6145" max="6145" width="32.7265625" style="282" hidden="1" customWidth="1"/>
    <col min="6146" max="6147" width="12.1796875" style="282" hidden="1" customWidth="1"/>
    <col min="6148" max="6148" width="12.81640625" style="282" hidden="1" customWidth="1"/>
    <col min="6149" max="6154" width="12.1796875" style="282" hidden="1" customWidth="1"/>
    <col min="6155" max="6165" width="8.81640625" style="282" hidden="1" customWidth="1"/>
    <col min="6166" max="6400" width="8.81640625" style="282" hidden="1"/>
    <col min="6401" max="6401" width="32.7265625" style="282" hidden="1" customWidth="1"/>
    <col min="6402" max="6403" width="12.1796875" style="282" hidden="1" customWidth="1"/>
    <col min="6404" max="6404" width="12.81640625" style="282" hidden="1" customWidth="1"/>
    <col min="6405" max="6410" width="12.1796875" style="282" hidden="1" customWidth="1"/>
    <col min="6411" max="6421" width="8.81640625" style="282" hidden="1" customWidth="1"/>
    <col min="6422" max="6656" width="8.81640625" style="282" hidden="1"/>
    <col min="6657" max="6657" width="32.7265625" style="282" hidden="1" customWidth="1"/>
    <col min="6658" max="6659" width="12.1796875" style="282" hidden="1" customWidth="1"/>
    <col min="6660" max="6660" width="12.81640625" style="282" hidden="1" customWidth="1"/>
    <col min="6661" max="6666" width="12.1796875" style="282" hidden="1" customWidth="1"/>
    <col min="6667" max="6677" width="8.81640625" style="282" hidden="1" customWidth="1"/>
    <col min="6678" max="6912" width="8.81640625" style="282" hidden="1"/>
    <col min="6913" max="6913" width="32.7265625" style="282" hidden="1" customWidth="1"/>
    <col min="6914" max="6915" width="12.1796875" style="282" hidden="1" customWidth="1"/>
    <col min="6916" max="6916" width="12.81640625" style="282" hidden="1" customWidth="1"/>
    <col min="6917" max="6922" width="12.1796875" style="282" hidden="1" customWidth="1"/>
    <col min="6923" max="6933" width="8.81640625" style="282" hidden="1" customWidth="1"/>
    <col min="6934" max="7168" width="8.81640625" style="282" hidden="1"/>
    <col min="7169" max="7169" width="32.7265625" style="282" hidden="1" customWidth="1"/>
    <col min="7170" max="7171" width="12.1796875" style="282" hidden="1" customWidth="1"/>
    <col min="7172" max="7172" width="12.81640625" style="282" hidden="1" customWidth="1"/>
    <col min="7173" max="7178" width="12.1796875" style="282" hidden="1" customWidth="1"/>
    <col min="7179" max="7189" width="8.81640625" style="282" hidden="1" customWidth="1"/>
    <col min="7190" max="7424" width="8.81640625" style="282" hidden="1"/>
    <col min="7425" max="7425" width="32.7265625" style="282" hidden="1" customWidth="1"/>
    <col min="7426" max="7427" width="12.1796875" style="282" hidden="1" customWidth="1"/>
    <col min="7428" max="7428" width="12.81640625" style="282" hidden="1" customWidth="1"/>
    <col min="7429" max="7434" width="12.1796875" style="282" hidden="1" customWidth="1"/>
    <col min="7435" max="7445" width="8.81640625" style="282" hidden="1" customWidth="1"/>
    <col min="7446" max="7680" width="8.81640625" style="282" hidden="1"/>
    <col min="7681" max="7681" width="32.7265625" style="282" hidden="1" customWidth="1"/>
    <col min="7682" max="7683" width="12.1796875" style="282" hidden="1" customWidth="1"/>
    <col min="7684" max="7684" width="12.81640625" style="282" hidden="1" customWidth="1"/>
    <col min="7685" max="7690" width="12.1796875" style="282" hidden="1" customWidth="1"/>
    <col min="7691" max="7701" width="8.81640625" style="282" hidden="1" customWidth="1"/>
    <col min="7702" max="7936" width="8.81640625" style="282" hidden="1"/>
    <col min="7937" max="7937" width="32.7265625" style="282" hidden="1" customWidth="1"/>
    <col min="7938" max="7939" width="12.1796875" style="282" hidden="1" customWidth="1"/>
    <col min="7940" max="7940" width="12.81640625" style="282" hidden="1" customWidth="1"/>
    <col min="7941" max="7946" width="12.1796875" style="282" hidden="1" customWidth="1"/>
    <col min="7947" max="7957" width="8.81640625" style="282" hidden="1" customWidth="1"/>
    <col min="7958" max="8192" width="8.81640625" style="282" hidden="1"/>
    <col min="8193" max="8193" width="32.7265625" style="282" hidden="1" customWidth="1"/>
    <col min="8194" max="8195" width="12.1796875" style="282" hidden="1" customWidth="1"/>
    <col min="8196" max="8196" width="12.81640625" style="282" hidden="1" customWidth="1"/>
    <col min="8197" max="8202" width="12.1796875" style="282" hidden="1" customWidth="1"/>
    <col min="8203" max="8213" width="8.81640625" style="282" hidden="1" customWidth="1"/>
    <col min="8214" max="8448" width="8.81640625" style="282" hidden="1"/>
    <col min="8449" max="8449" width="32.7265625" style="282" hidden="1" customWidth="1"/>
    <col min="8450" max="8451" width="12.1796875" style="282" hidden="1" customWidth="1"/>
    <col min="8452" max="8452" width="12.81640625" style="282" hidden="1" customWidth="1"/>
    <col min="8453" max="8458" width="12.1796875" style="282" hidden="1" customWidth="1"/>
    <col min="8459" max="8469" width="8.81640625" style="282" hidden="1" customWidth="1"/>
    <col min="8470" max="8704" width="8.81640625" style="282" hidden="1"/>
    <col min="8705" max="8705" width="32.7265625" style="282" hidden="1" customWidth="1"/>
    <col min="8706" max="8707" width="12.1796875" style="282" hidden="1" customWidth="1"/>
    <col min="8708" max="8708" width="12.81640625" style="282" hidden="1" customWidth="1"/>
    <col min="8709" max="8714" width="12.1796875" style="282" hidden="1" customWidth="1"/>
    <col min="8715" max="8725" width="8.81640625" style="282" hidden="1" customWidth="1"/>
    <col min="8726" max="8960" width="8.81640625" style="282" hidden="1"/>
    <col min="8961" max="8961" width="32.7265625" style="282" hidden="1" customWidth="1"/>
    <col min="8962" max="8963" width="12.1796875" style="282" hidden="1" customWidth="1"/>
    <col min="8964" max="8964" width="12.81640625" style="282" hidden="1" customWidth="1"/>
    <col min="8965" max="8970" width="12.1796875" style="282" hidden="1" customWidth="1"/>
    <col min="8971" max="8981" width="8.81640625" style="282" hidden="1" customWidth="1"/>
    <col min="8982" max="9216" width="8.81640625" style="282" hidden="1"/>
    <col min="9217" max="9217" width="32.7265625" style="282" hidden="1" customWidth="1"/>
    <col min="9218" max="9219" width="12.1796875" style="282" hidden="1" customWidth="1"/>
    <col min="9220" max="9220" width="12.81640625" style="282" hidden="1" customWidth="1"/>
    <col min="9221" max="9226" width="12.1796875" style="282" hidden="1" customWidth="1"/>
    <col min="9227" max="9237" width="8.81640625" style="282" hidden="1" customWidth="1"/>
    <col min="9238" max="9472" width="8.81640625" style="282" hidden="1"/>
    <col min="9473" max="9473" width="32.7265625" style="282" hidden="1" customWidth="1"/>
    <col min="9474" max="9475" width="12.1796875" style="282" hidden="1" customWidth="1"/>
    <col min="9476" max="9476" width="12.81640625" style="282" hidden="1" customWidth="1"/>
    <col min="9477" max="9482" width="12.1796875" style="282" hidden="1" customWidth="1"/>
    <col min="9483" max="9493" width="8.81640625" style="282" hidden="1" customWidth="1"/>
    <col min="9494" max="9728" width="8.81640625" style="282" hidden="1"/>
    <col min="9729" max="9729" width="32.7265625" style="282" hidden="1" customWidth="1"/>
    <col min="9730" max="9731" width="12.1796875" style="282" hidden="1" customWidth="1"/>
    <col min="9732" max="9732" width="12.81640625" style="282" hidden="1" customWidth="1"/>
    <col min="9733" max="9738" width="12.1796875" style="282" hidden="1" customWidth="1"/>
    <col min="9739" max="9749" width="8.81640625" style="282" hidden="1" customWidth="1"/>
    <col min="9750" max="9984" width="8.81640625" style="282" hidden="1"/>
    <col min="9985" max="9985" width="32.7265625" style="282" hidden="1" customWidth="1"/>
    <col min="9986" max="9987" width="12.1796875" style="282" hidden="1" customWidth="1"/>
    <col min="9988" max="9988" width="12.81640625" style="282" hidden="1" customWidth="1"/>
    <col min="9989" max="9994" width="12.1796875" style="282" hidden="1" customWidth="1"/>
    <col min="9995" max="10005" width="8.81640625" style="282" hidden="1" customWidth="1"/>
    <col min="10006" max="10240" width="8.81640625" style="282" hidden="1"/>
    <col min="10241" max="10241" width="32.7265625" style="282" hidden="1" customWidth="1"/>
    <col min="10242" max="10243" width="12.1796875" style="282" hidden="1" customWidth="1"/>
    <col min="10244" max="10244" width="12.81640625" style="282" hidden="1" customWidth="1"/>
    <col min="10245" max="10250" width="12.1796875" style="282" hidden="1" customWidth="1"/>
    <col min="10251" max="10261" width="8.81640625" style="282" hidden="1" customWidth="1"/>
    <col min="10262" max="10496" width="8.81640625" style="282" hidden="1"/>
    <col min="10497" max="10497" width="32.7265625" style="282" hidden="1" customWidth="1"/>
    <col min="10498" max="10499" width="12.1796875" style="282" hidden="1" customWidth="1"/>
    <col min="10500" max="10500" width="12.81640625" style="282" hidden="1" customWidth="1"/>
    <col min="10501" max="10506" width="12.1796875" style="282" hidden="1" customWidth="1"/>
    <col min="10507" max="10517" width="8.81640625" style="282" hidden="1" customWidth="1"/>
    <col min="10518" max="10752" width="8.81640625" style="282" hidden="1"/>
    <col min="10753" max="10753" width="32.7265625" style="282" hidden="1" customWidth="1"/>
    <col min="10754" max="10755" width="12.1796875" style="282" hidden="1" customWidth="1"/>
    <col min="10756" max="10756" width="12.81640625" style="282" hidden="1" customWidth="1"/>
    <col min="10757" max="10762" width="12.1796875" style="282" hidden="1" customWidth="1"/>
    <col min="10763" max="10773" width="8.81640625" style="282" hidden="1" customWidth="1"/>
    <col min="10774" max="11008" width="8.81640625" style="282" hidden="1"/>
    <col min="11009" max="11009" width="32.7265625" style="282" hidden="1" customWidth="1"/>
    <col min="11010" max="11011" width="12.1796875" style="282" hidden="1" customWidth="1"/>
    <col min="11012" max="11012" width="12.81640625" style="282" hidden="1" customWidth="1"/>
    <col min="11013" max="11018" width="12.1796875" style="282" hidden="1" customWidth="1"/>
    <col min="11019" max="11029" width="8.81640625" style="282" hidden="1" customWidth="1"/>
    <col min="11030" max="11264" width="8.81640625" style="282" hidden="1"/>
    <col min="11265" max="11265" width="32.7265625" style="282" hidden="1" customWidth="1"/>
    <col min="11266" max="11267" width="12.1796875" style="282" hidden="1" customWidth="1"/>
    <col min="11268" max="11268" width="12.81640625" style="282" hidden="1" customWidth="1"/>
    <col min="11269" max="11274" width="12.1796875" style="282" hidden="1" customWidth="1"/>
    <col min="11275" max="11285" width="8.81640625" style="282" hidden="1" customWidth="1"/>
    <col min="11286" max="11520" width="8.81640625" style="282" hidden="1"/>
    <col min="11521" max="11521" width="32.7265625" style="282" hidden="1" customWidth="1"/>
    <col min="11522" max="11523" width="12.1796875" style="282" hidden="1" customWidth="1"/>
    <col min="11524" max="11524" width="12.81640625" style="282" hidden="1" customWidth="1"/>
    <col min="11525" max="11530" width="12.1796875" style="282" hidden="1" customWidth="1"/>
    <col min="11531" max="11541" width="8.81640625" style="282" hidden="1" customWidth="1"/>
    <col min="11542" max="11776" width="8.81640625" style="282" hidden="1"/>
    <col min="11777" max="11777" width="32.7265625" style="282" hidden="1" customWidth="1"/>
    <col min="11778" max="11779" width="12.1796875" style="282" hidden="1" customWidth="1"/>
    <col min="11780" max="11780" width="12.81640625" style="282" hidden="1" customWidth="1"/>
    <col min="11781" max="11786" width="12.1796875" style="282" hidden="1" customWidth="1"/>
    <col min="11787" max="11797" width="8.81640625" style="282" hidden="1" customWidth="1"/>
    <col min="11798" max="12032" width="8.81640625" style="282" hidden="1"/>
    <col min="12033" max="12033" width="32.7265625" style="282" hidden="1" customWidth="1"/>
    <col min="12034" max="12035" width="12.1796875" style="282" hidden="1" customWidth="1"/>
    <col min="12036" max="12036" width="12.81640625" style="282" hidden="1" customWidth="1"/>
    <col min="12037" max="12042" width="12.1796875" style="282" hidden="1" customWidth="1"/>
    <col min="12043" max="12053" width="8.81640625" style="282" hidden="1" customWidth="1"/>
    <col min="12054" max="12288" width="8.81640625" style="282" hidden="1"/>
    <col min="12289" max="12289" width="32.7265625" style="282" hidden="1" customWidth="1"/>
    <col min="12290" max="12291" width="12.1796875" style="282" hidden="1" customWidth="1"/>
    <col min="12292" max="12292" width="12.81640625" style="282" hidden="1" customWidth="1"/>
    <col min="12293" max="12298" width="12.1796875" style="282" hidden="1" customWidth="1"/>
    <col min="12299" max="12309" width="8.81640625" style="282" hidden="1" customWidth="1"/>
    <col min="12310" max="12544" width="8.81640625" style="282" hidden="1"/>
    <col min="12545" max="12545" width="32.7265625" style="282" hidden="1" customWidth="1"/>
    <col min="12546" max="12547" width="12.1796875" style="282" hidden="1" customWidth="1"/>
    <col min="12548" max="12548" width="12.81640625" style="282" hidden="1" customWidth="1"/>
    <col min="12549" max="12554" width="12.1796875" style="282" hidden="1" customWidth="1"/>
    <col min="12555" max="12565" width="8.81640625" style="282" hidden="1" customWidth="1"/>
    <col min="12566" max="12800" width="8.81640625" style="282" hidden="1"/>
    <col min="12801" max="12801" width="32.7265625" style="282" hidden="1" customWidth="1"/>
    <col min="12802" max="12803" width="12.1796875" style="282" hidden="1" customWidth="1"/>
    <col min="12804" max="12804" width="12.81640625" style="282" hidden="1" customWidth="1"/>
    <col min="12805" max="12810" width="12.1796875" style="282" hidden="1" customWidth="1"/>
    <col min="12811" max="12821" width="8.81640625" style="282" hidden="1" customWidth="1"/>
    <col min="12822" max="13056" width="8.81640625" style="282" hidden="1"/>
    <col min="13057" max="13057" width="32.7265625" style="282" hidden="1" customWidth="1"/>
    <col min="13058" max="13059" width="12.1796875" style="282" hidden="1" customWidth="1"/>
    <col min="13060" max="13060" width="12.81640625" style="282" hidden="1" customWidth="1"/>
    <col min="13061" max="13066" width="12.1796875" style="282" hidden="1" customWidth="1"/>
    <col min="13067" max="13077" width="8.81640625" style="282" hidden="1" customWidth="1"/>
    <col min="13078" max="13312" width="8.81640625" style="282" hidden="1"/>
    <col min="13313" max="13313" width="32.7265625" style="282" hidden="1" customWidth="1"/>
    <col min="13314" max="13315" width="12.1796875" style="282" hidden="1" customWidth="1"/>
    <col min="13316" max="13316" width="12.81640625" style="282" hidden="1" customWidth="1"/>
    <col min="13317" max="13322" width="12.1796875" style="282" hidden="1" customWidth="1"/>
    <col min="13323" max="13333" width="8.81640625" style="282" hidden="1" customWidth="1"/>
    <col min="13334" max="13568" width="8.81640625" style="282" hidden="1"/>
    <col min="13569" max="13569" width="32.7265625" style="282" hidden="1" customWidth="1"/>
    <col min="13570" max="13571" width="12.1796875" style="282" hidden="1" customWidth="1"/>
    <col min="13572" max="13572" width="12.81640625" style="282" hidden="1" customWidth="1"/>
    <col min="13573" max="13578" width="12.1796875" style="282" hidden="1" customWidth="1"/>
    <col min="13579" max="13589" width="8.81640625" style="282" hidden="1" customWidth="1"/>
    <col min="13590" max="13824" width="8.81640625" style="282" hidden="1"/>
    <col min="13825" max="13825" width="32.7265625" style="282" hidden="1" customWidth="1"/>
    <col min="13826" max="13827" width="12.1796875" style="282" hidden="1" customWidth="1"/>
    <col min="13828" max="13828" width="12.81640625" style="282" hidden="1" customWidth="1"/>
    <col min="13829" max="13834" width="12.1796875" style="282" hidden="1" customWidth="1"/>
    <col min="13835" max="13845" width="8.81640625" style="282" hidden="1" customWidth="1"/>
    <col min="13846" max="14080" width="8.81640625" style="282" hidden="1"/>
    <col min="14081" max="14081" width="32.7265625" style="282" hidden="1" customWidth="1"/>
    <col min="14082" max="14083" width="12.1796875" style="282" hidden="1" customWidth="1"/>
    <col min="14084" max="14084" width="12.81640625" style="282" hidden="1" customWidth="1"/>
    <col min="14085" max="14090" width="12.1796875" style="282" hidden="1" customWidth="1"/>
    <col min="14091" max="14101" width="8.81640625" style="282" hidden="1" customWidth="1"/>
    <col min="14102" max="14336" width="8.81640625" style="282" hidden="1"/>
    <col min="14337" max="14337" width="32.7265625" style="282" hidden="1" customWidth="1"/>
    <col min="14338" max="14339" width="12.1796875" style="282" hidden="1" customWidth="1"/>
    <col min="14340" max="14340" width="12.81640625" style="282" hidden="1" customWidth="1"/>
    <col min="14341" max="14346" width="12.1796875" style="282" hidden="1" customWidth="1"/>
    <col min="14347" max="14357" width="8.81640625" style="282" hidden="1" customWidth="1"/>
    <col min="14358" max="14592" width="8.81640625" style="282" hidden="1"/>
    <col min="14593" max="14593" width="32.7265625" style="282" hidden="1" customWidth="1"/>
    <col min="14594" max="14595" width="12.1796875" style="282" hidden="1" customWidth="1"/>
    <col min="14596" max="14596" width="12.81640625" style="282" hidden="1" customWidth="1"/>
    <col min="14597" max="14602" width="12.1796875" style="282" hidden="1" customWidth="1"/>
    <col min="14603" max="14613" width="8.81640625" style="282" hidden="1" customWidth="1"/>
    <col min="14614" max="14848" width="8.81640625" style="282" hidden="1"/>
    <col min="14849" max="14849" width="32.7265625" style="282" hidden="1" customWidth="1"/>
    <col min="14850" max="14851" width="12.1796875" style="282" hidden="1" customWidth="1"/>
    <col min="14852" max="14852" width="12.81640625" style="282" hidden="1" customWidth="1"/>
    <col min="14853" max="14858" width="12.1796875" style="282" hidden="1" customWidth="1"/>
    <col min="14859" max="14869" width="8.81640625" style="282" hidden="1" customWidth="1"/>
    <col min="14870" max="15104" width="8.81640625" style="282" hidden="1"/>
    <col min="15105" max="15105" width="32.7265625" style="282" hidden="1" customWidth="1"/>
    <col min="15106" max="15107" width="12.1796875" style="282" hidden="1" customWidth="1"/>
    <col min="15108" max="15108" width="12.81640625" style="282" hidden="1" customWidth="1"/>
    <col min="15109" max="15114" width="12.1796875" style="282" hidden="1" customWidth="1"/>
    <col min="15115" max="15125" width="8.81640625" style="282" hidden="1" customWidth="1"/>
    <col min="15126" max="15360" width="8.81640625" style="282" hidden="1"/>
    <col min="15361" max="15361" width="32.7265625" style="282" hidden="1" customWidth="1"/>
    <col min="15362" max="15363" width="12.1796875" style="282" hidden="1" customWidth="1"/>
    <col min="15364" max="15364" width="12.81640625" style="282" hidden="1" customWidth="1"/>
    <col min="15365" max="15370" width="12.1796875" style="282" hidden="1" customWidth="1"/>
    <col min="15371" max="15381" width="8.81640625" style="282" hidden="1" customWidth="1"/>
    <col min="15382" max="15616" width="8.81640625" style="282" hidden="1"/>
    <col min="15617" max="15617" width="32.7265625" style="282" hidden="1" customWidth="1"/>
    <col min="15618" max="15619" width="12.1796875" style="282" hidden="1" customWidth="1"/>
    <col min="15620" max="15620" width="12.81640625" style="282" hidden="1" customWidth="1"/>
    <col min="15621" max="15626" width="12.1796875" style="282" hidden="1" customWidth="1"/>
    <col min="15627" max="15637" width="8.81640625" style="282" hidden="1" customWidth="1"/>
    <col min="15638" max="15872" width="8.81640625" style="282" hidden="1"/>
    <col min="15873" max="15873" width="32.7265625" style="282" hidden="1" customWidth="1"/>
    <col min="15874" max="15875" width="12.1796875" style="282" hidden="1" customWidth="1"/>
    <col min="15876" max="15876" width="12.81640625" style="282" hidden="1" customWidth="1"/>
    <col min="15877" max="15882" width="12.1796875" style="282" hidden="1" customWidth="1"/>
    <col min="15883" max="15893" width="8.81640625" style="282" hidden="1" customWidth="1"/>
    <col min="15894" max="16128" width="8.81640625" style="282" hidden="1"/>
    <col min="16129" max="16129" width="32.7265625" style="282" hidden="1" customWidth="1"/>
    <col min="16130" max="16131" width="12.1796875" style="282" hidden="1" customWidth="1"/>
    <col min="16132" max="16132" width="12.81640625" style="282" hidden="1" customWidth="1"/>
    <col min="16133" max="16138" width="12.1796875" style="282" hidden="1" customWidth="1"/>
    <col min="16139" max="16149" width="8.81640625" style="282" hidden="1" customWidth="1"/>
    <col min="16150" max="16384" width="8.81640625" style="282" hidden="1"/>
  </cols>
  <sheetData>
    <row r="1" spans="1:11" s="249" customFormat="1" ht="13">
      <c r="A1" s="1806" t="s">
        <v>1916</v>
      </c>
      <c r="B1" s="1807"/>
      <c r="C1" s="1807"/>
      <c r="D1" s="1807"/>
      <c r="E1" s="1807"/>
      <c r="F1" s="1807"/>
      <c r="G1" s="1807"/>
      <c r="H1" s="1807"/>
      <c r="I1" s="1807"/>
      <c r="J1" s="1808"/>
      <c r="K1" s="248"/>
    </row>
    <row r="2" spans="1:11" s="290" customFormat="1" ht="69">
      <c r="A2" s="287"/>
      <c r="B2" s="288" t="s">
        <v>1917</v>
      </c>
      <c r="C2" s="288" t="s">
        <v>1918</v>
      </c>
      <c r="D2" s="288" t="s">
        <v>1919</v>
      </c>
      <c r="E2" s="288" t="s">
        <v>1920</v>
      </c>
      <c r="F2" s="288" t="s">
        <v>1921</v>
      </c>
      <c r="G2" s="288" t="s">
        <v>1922</v>
      </c>
      <c r="H2" s="288" t="s">
        <v>1923</v>
      </c>
      <c r="I2" s="288" t="s">
        <v>1924</v>
      </c>
      <c r="J2" s="288" t="s">
        <v>1925</v>
      </c>
      <c r="K2" s="289"/>
    </row>
    <row r="3" spans="1:11" s="253" customFormat="1" ht="12">
      <c r="A3" s="250" t="s">
        <v>1798</v>
      </c>
      <c r="B3" s="251"/>
      <c r="C3" s="251"/>
      <c r="D3" s="251"/>
      <c r="E3" s="251"/>
      <c r="F3" s="251"/>
      <c r="G3" s="251"/>
      <c r="H3" s="251"/>
      <c r="I3" s="251"/>
      <c r="J3" s="251"/>
      <c r="K3" s="252"/>
    </row>
    <row r="4" spans="1:11" s="253" customFormat="1">
      <c r="A4" s="257" t="s">
        <v>1799</v>
      </c>
      <c r="B4" s="254">
        <f>'Sources and Uses Budget'!C4</f>
        <v>1440000</v>
      </c>
      <c r="C4" s="255">
        <v>1440000</v>
      </c>
      <c r="D4" s="255"/>
      <c r="E4" s="256"/>
      <c r="F4" s="256"/>
      <c r="G4" s="256"/>
      <c r="H4" s="256"/>
      <c r="I4" s="256"/>
      <c r="J4" s="256"/>
      <c r="K4" s="252"/>
    </row>
    <row r="5" spans="1:11" s="253" customFormat="1">
      <c r="A5" s="257" t="s">
        <v>1800</v>
      </c>
      <c r="B5" s="254">
        <f>'Sources and Uses Budget'!C5</f>
        <v>0</v>
      </c>
      <c r="C5" s="255"/>
      <c r="D5" s="255"/>
      <c r="E5" s="256"/>
      <c r="F5" s="256"/>
      <c r="G5" s="256"/>
      <c r="H5" s="256"/>
      <c r="I5" s="256"/>
      <c r="J5" s="256"/>
      <c r="K5" s="252"/>
    </row>
    <row r="6" spans="1:11" s="253" customFormat="1">
      <c r="A6" s="257" t="s">
        <v>1801</v>
      </c>
      <c r="B6" s="254">
        <f>'Sources and Uses Budget'!C6</f>
        <v>0</v>
      </c>
      <c r="C6" s="255"/>
      <c r="D6" s="255"/>
      <c r="E6" s="256"/>
      <c r="F6" s="256"/>
      <c r="G6" s="256"/>
      <c r="H6" s="256"/>
      <c r="I6" s="256"/>
      <c r="J6" s="256"/>
      <c r="K6" s="252"/>
    </row>
    <row r="7" spans="1:11" s="253" customFormat="1">
      <c r="A7" s="257" t="s">
        <v>1802</v>
      </c>
      <c r="B7" s="254">
        <f>'Sources and Uses Budget'!C7</f>
        <v>0</v>
      </c>
      <c r="C7" s="255"/>
      <c r="D7" s="255"/>
      <c r="E7" s="256"/>
      <c r="F7" s="256"/>
      <c r="G7" s="256"/>
      <c r="H7" s="256"/>
      <c r="I7" s="256"/>
      <c r="J7" s="256"/>
      <c r="K7" s="252"/>
    </row>
    <row r="8" spans="1:11" s="253" customFormat="1">
      <c r="A8" s="258" t="s">
        <v>1803</v>
      </c>
      <c r="B8" s="254">
        <f>'Sources and Uses Budget'!C8</f>
        <v>1440000</v>
      </c>
      <c r="C8" s="254">
        <f>SUM(C4:C7)</f>
        <v>1440000</v>
      </c>
      <c r="D8" s="254">
        <f>SUM(D4:D7)</f>
        <v>0</v>
      </c>
      <c r="E8" s="256"/>
      <c r="F8" s="256"/>
      <c r="G8" s="256"/>
      <c r="H8" s="256"/>
      <c r="I8" s="256"/>
      <c r="J8" s="256"/>
      <c r="K8" s="252"/>
    </row>
    <row r="9" spans="1:11" s="253" customFormat="1">
      <c r="A9" s="257" t="s">
        <v>1804</v>
      </c>
      <c r="B9" s="254">
        <f>'Sources and Uses Budget'!C9</f>
        <v>0</v>
      </c>
      <c r="C9" s="255"/>
      <c r="D9" s="255"/>
      <c r="E9" s="256"/>
      <c r="F9" s="256"/>
      <c r="G9" s="256"/>
      <c r="H9" s="254">
        <f>'Sources and Uses Budget'!T9</f>
        <v>0</v>
      </c>
      <c r="I9" s="255"/>
      <c r="J9" s="255"/>
      <c r="K9" s="252"/>
    </row>
    <row r="10" spans="1:11" s="253" customFormat="1">
      <c r="A10" s="257" t="s">
        <v>1805</v>
      </c>
      <c r="B10" s="254">
        <f>'Sources and Uses Budget'!C10</f>
        <v>500000</v>
      </c>
      <c r="C10" s="255">
        <v>500000</v>
      </c>
      <c r="D10" s="255"/>
      <c r="E10" s="254">
        <f>'Sources and Uses Budget'!S10</f>
        <v>500000</v>
      </c>
      <c r="F10" s="255">
        <v>500000</v>
      </c>
      <c r="G10" s="255"/>
      <c r="H10" s="254">
        <f>'Sources and Uses Budget'!T10</f>
        <v>0</v>
      </c>
      <c r="I10" s="255"/>
      <c r="J10" s="255"/>
      <c r="K10" s="252"/>
    </row>
    <row r="11" spans="1:11" s="253" customFormat="1">
      <c r="A11" s="258" t="s">
        <v>1806</v>
      </c>
      <c r="B11" s="254">
        <f>'Sources and Uses Budget'!C11</f>
        <v>500000</v>
      </c>
      <c r="C11" s="254">
        <f>SUM(C9:C10)</f>
        <v>500000</v>
      </c>
      <c r="D11" s="254">
        <f>SUM(D9:D10)</f>
        <v>0</v>
      </c>
      <c r="E11" s="256"/>
      <c r="F11" s="256"/>
      <c r="G11" s="256"/>
      <c r="H11" s="254">
        <f>'Sources and Uses Budget'!T11</f>
        <v>0</v>
      </c>
      <c r="I11" s="254">
        <f>SUM(I9:I10)</f>
        <v>0</v>
      </c>
      <c r="J11" s="254">
        <f>SUM(J9:J10)</f>
        <v>0</v>
      </c>
      <c r="K11" s="252"/>
    </row>
    <row r="12" spans="1:11" s="253" customFormat="1">
      <c r="A12" s="258" t="s">
        <v>1807</v>
      </c>
      <c r="B12" s="254">
        <f>'Sources and Uses Budget'!C12</f>
        <v>1940000</v>
      </c>
      <c r="C12" s="254">
        <f>SUM(C8+C11)</f>
        <v>1940000</v>
      </c>
      <c r="D12" s="254">
        <f>SUM(D8+D11)</f>
        <v>0</v>
      </c>
      <c r="E12" s="256"/>
      <c r="F12" s="256"/>
      <c r="G12" s="256"/>
      <c r="H12" s="256"/>
      <c r="I12" s="256"/>
      <c r="J12" s="256"/>
      <c r="K12" s="252"/>
    </row>
    <row r="13" spans="1:11" s="253" customFormat="1">
      <c r="A13" s="259" t="s">
        <v>1808</v>
      </c>
      <c r="B13" s="254">
        <f>'Sources and Uses Budget'!C13</f>
        <v>0</v>
      </c>
      <c r="C13" s="255"/>
      <c r="D13" s="255"/>
      <c r="E13" s="254">
        <f>'Sources and Uses Budget'!S13</f>
        <v>0</v>
      </c>
      <c r="F13" s="255"/>
      <c r="G13" s="255"/>
      <c r="H13" s="254">
        <f>'Sources and Uses Budget'!T13</f>
        <v>0</v>
      </c>
      <c r="I13" s="255"/>
      <c r="J13" s="255"/>
      <c r="K13" s="252"/>
    </row>
    <row r="14" spans="1:11" s="253" customFormat="1" ht="23">
      <c r="A14" s="257" t="s">
        <v>1926</v>
      </c>
      <c r="B14" s="254">
        <f>'Sources and Uses Budget'!C14</f>
        <v>0</v>
      </c>
      <c r="C14" s="255"/>
      <c r="D14" s="255"/>
      <c r="E14" s="254">
        <f>'Sources and Uses Budget'!S14</f>
        <v>0</v>
      </c>
      <c r="F14" s="255"/>
      <c r="G14" s="255"/>
      <c r="H14" s="254">
        <f>'Sources and Uses Budget'!T14</f>
        <v>0</v>
      </c>
      <c r="I14" s="255"/>
      <c r="J14" s="255"/>
      <c r="K14" s="252"/>
    </row>
    <row r="15" spans="1:11" s="253" customFormat="1">
      <c r="A15" s="257" t="s">
        <v>1810</v>
      </c>
      <c r="B15" s="254">
        <f>'Sources and Uses Budget'!C15</f>
        <v>0</v>
      </c>
      <c r="C15" s="255"/>
      <c r="D15" s="255"/>
      <c r="E15" s="256">
        <f>'Sources and Uses Budget'!S15</f>
        <v>0</v>
      </c>
      <c r="F15" s="256"/>
      <c r="G15" s="256"/>
      <c r="H15" s="256">
        <f>'Sources and Uses Budget'!T15</f>
        <v>0</v>
      </c>
      <c r="I15" s="256"/>
      <c r="J15" s="256"/>
      <c r="K15" s="252"/>
    </row>
    <row r="16" spans="1:11" s="253" customFormat="1" ht="12">
      <c r="A16" s="250" t="s">
        <v>1811</v>
      </c>
      <c r="B16" s="251"/>
      <c r="C16" s="251"/>
      <c r="D16" s="251"/>
      <c r="E16" s="251"/>
      <c r="F16" s="251"/>
      <c r="G16" s="251"/>
      <c r="H16" s="251"/>
      <c r="I16" s="251"/>
      <c r="J16" s="251"/>
      <c r="K16" s="252"/>
    </row>
    <row r="17" spans="1:11" s="253" customFormat="1">
      <c r="A17" s="257" t="s">
        <v>1812</v>
      </c>
      <c r="B17" s="254">
        <f>'Sources and Uses Budget'!C17</f>
        <v>0</v>
      </c>
      <c r="C17" s="255"/>
      <c r="D17" s="255"/>
      <c r="E17" s="254">
        <f>'Sources and Uses Budget'!S17</f>
        <v>0</v>
      </c>
      <c r="F17" s="255"/>
      <c r="G17" s="255"/>
      <c r="H17" s="254">
        <f>'Sources and Uses Budget'!T17</f>
        <v>0</v>
      </c>
      <c r="I17" s="255"/>
      <c r="J17" s="255"/>
      <c r="K17" s="252"/>
    </row>
    <row r="18" spans="1:11" s="253" customFormat="1">
      <c r="A18" s="257" t="s">
        <v>1813</v>
      </c>
      <c r="B18" s="254">
        <f>'Sources and Uses Budget'!C18</f>
        <v>0</v>
      </c>
      <c r="C18" s="255"/>
      <c r="D18" s="255"/>
      <c r="E18" s="254">
        <f>'Sources and Uses Budget'!S18</f>
        <v>0</v>
      </c>
      <c r="F18" s="255"/>
      <c r="G18" s="255"/>
      <c r="H18" s="254">
        <f>'Sources and Uses Budget'!T18</f>
        <v>0</v>
      </c>
      <c r="I18" s="255"/>
      <c r="J18" s="255"/>
      <c r="K18" s="252"/>
    </row>
    <row r="19" spans="1:11" s="253" customFormat="1">
      <c r="A19" s="257" t="s">
        <v>1814</v>
      </c>
      <c r="B19" s="254">
        <f>'Sources and Uses Budget'!C19</f>
        <v>0</v>
      </c>
      <c r="C19" s="255"/>
      <c r="D19" s="255"/>
      <c r="E19" s="254">
        <f>'Sources and Uses Budget'!S19</f>
        <v>0</v>
      </c>
      <c r="F19" s="255"/>
      <c r="G19" s="255"/>
      <c r="H19" s="254">
        <f>'Sources and Uses Budget'!T19</f>
        <v>0</v>
      </c>
      <c r="I19" s="255"/>
      <c r="J19" s="255"/>
      <c r="K19" s="252"/>
    </row>
    <row r="20" spans="1:11" s="253" customFormat="1">
      <c r="A20" s="257" t="s">
        <v>1815</v>
      </c>
      <c r="B20" s="254">
        <f>'Sources and Uses Budget'!C20</f>
        <v>0</v>
      </c>
      <c r="C20" s="255"/>
      <c r="D20" s="255"/>
      <c r="E20" s="254">
        <f>'Sources and Uses Budget'!S20</f>
        <v>0</v>
      </c>
      <c r="F20" s="255"/>
      <c r="G20" s="255"/>
      <c r="H20" s="254">
        <f>'Sources and Uses Budget'!T20</f>
        <v>0</v>
      </c>
      <c r="I20" s="255"/>
      <c r="J20" s="255"/>
      <c r="K20" s="252"/>
    </row>
    <row r="21" spans="1:11" s="253" customFormat="1">
      <c r="A21" s="257" t="s">
        <v>1816</v>
      </c>
      <c r="B21" s="254">
        <f>'Sources and Uses Budget'!C21</f>
        <v>0</v>
      </c>
      <c r="C21" s="255"/>
      <c r="D21" s="255"/>
      <c r="E21" s="254">
        <f>'Sources and Uses Budget'!S21</f>
        <v>0</v>
      </c>
      <c r="F21" s="255"/>
      <c r="G21" s="255"/>
      <c r="H21" s="254">
        <f>'Sources and Uses Budget'!T21</f>
        <v>0</v>
      </c>
      <c r="I21" s="255"/>
      <c r="J21" s="255"/>
      <c r="K21" s="252"/>
    </row>
    <row r="22" spans="1:11" s="253" customFormat="1">
      <c r="A22" s="257" t="s">
        <v>1817</v>
      </c>
      <c r="B22" s="254">
        <f>'Sources and Uses Budget'!C22</f>
        <v>0</v>
      </c>
      <c r="C22" s="255"/>
      <c r="D22" s="255"/>
      <c r="E22" s="254">
        <f>'Sources and Uses Budget'!S22</f>
        <v>0</v>
      </c>
      <c r="F22" s="255"/>
      <c r="G22" s="255"/>
      <c r="H22" s="254">
        <f>'Sources and Uses Budget'!T22</f>
        <v>0</v>
      </c>
      <c r="I22" s="255"/>
      <c r="J22" s="255"/>
      <c r="K22" s="252"/>
    </row>
    <row r="23" spans="1:11" s="253" customFormat="1">
      <c r="A23" s="257" t="s">
        <v>1818</v>
      </c>
      <c r="B23" s="254">
        <f>'Sources and Uses Budget'!C23</f>
        <v>0</v>
      </c>
      <c r="C23" s="255"/>
      <c r="D23" s="255"/>
      <c r="E23" s="254">
        <f>'Sources and Uses Budget'!S23</f>
        <v>0</v>
      </c>
      <c r="F23" s="255"/>
      <c r="G23" s="255"/>
      <c r="H23" s="254">
        <f>'Sources and Uses Budget'!T23</f>
        <v>0</v>
      </c>
      <c r="I23" s="255"/>
      <c r="J23" s="255"/>
      <c r="K23" s="252"/>
    </row>
    <row r="24" spans="1:11" s="253" customFormat="1">
      <c r="A24" s="380" t="s">
        <v>1819</v>
      </c>
      <c r="B24" s="254">
        <f>'Sources and Uses Budget'!C24</f>
        <v>0</v>
      </c>
      <c r="C24" s="255"/>
      <c r="D24" s="255"/>
      <c r="E24" s="254">
        <f>'Sources and Uses Budget'!S24</f>
        <v>0</v>
      </c>
      <c r="F24" s="255"/>
      <c r="G24" s="255"/>
      <c r="H24" s="254">
        <f>'Sources and Uses Budget'!T24</f>
        <v>0</v>
      </c>
      <c r="I24" s="255"/>
      <c r="J24" s="255"/>
      <c r="K24" s="252"/>
    </row>
    <row r="25" spans="1:11" s="253" customFormat="1">
      <c r="A25" s="257" t="str">
        <f>'Sources and Uses Budget'!$A25</f>
        <v>Other: (Specify)</v>
      </c>
      <c r="B25" s="254">
        <f>'Sources and Uses Budget'!C25</f>
        <v>0</v>
      </c>
      <c r="C25" s="255"/>
      <c r="D25" s="255"/>
      <c r="E25" s="254">
        <f>'Sources and Uses Budget'!S25</f>
        <v>0</v>
      </c>
      <c r="F25" s="255"/>
      <c r="G25" s="255"/>
      <c r="H25" s="254">
        <f>'Sources and Uses Budget'!T25</f>
        <v>0</v>
      </c>
      <c r="I25" s="255"/>
      <c r="J25" s="255"/>
      <c r="K25" s="252"/>
    </row>
    <row r="26" spans="1:11" s="253" customFormat="1">
      <c r="A26" s="258" t="s">
        <v>1821</v>
      </c>
      <c r="B26" s="254">
        <f>'Sources and Uses Budget'!C26</f>
        <v>0</v>
      </c>
      <c r="C26" s="254">
        <f>SUM(C17:C25)</f>
        <v>0</v>
      </c>
      <c r="D26" s="254">
        <f>SUM(D17:D25)</f>
        <v>0</v>
      </c>
      <c r="E26" s="254">
        <f>'Sources and Uses Budget'!S26</f>
        <v>0</v>
      </c>
      <c r="F26" s="260">
        <f>SUM(F17:F25)</f>
        <v>0</v>
      </c>
      <c r="G26" s="260">
        <f>SUM(G17:G25)</f>
        <v>0</v>
      </c>
      <c r="H26" s="254">
        <f>'Sources and Uses Budget'!T26</f>
        <v>0</v>
      </c>
      <c r="I26" s="260">
        <f>SUM(I17:I25)</f>
        <v>0</v>
      </c>
      <c r="J26" s="260">
        <f>SUM(J17:J25)</f>
        <v>0</v>
      </c>
      <c r="K26" s="252"/>
    </row>
    <row r="27" spans="1:11" s="253" customFormat="1">
      <c r="A27" s="258" t="s">
        <v>1822</v>
      </c>
      <c r="B27" s="254">
        <f>'Sources and Uses Budget'!C27</f>
        <v>0</v>
      </c>
      <c r="C27" s="255"/>
      <c r="D27" s="255"/>
      <c r="E27" s="254">
        <f>'Sources and Uses Budget'!S27</f>
        <v>0</v>
      </c>
      <c r="F27" s="255"/>
      <c r="G27" s="255"/>
      <c r="H27" s="254">
        <f>'Sources and Uses Budget'!T27</f>
        <v>0</v>
      </c>
      <c r="I27" s="255"/>
      <c r="J27" s="255"/>
      <c r="K27" s="252"/>
    </row>
    <row r="28" spans="1:11" s="253" customFormat="1" ht="12">
      <c r="A28" s="250" t="s">
        <v>1823</v>
      </c>
      <c r="B28" s="251"/>
      <c r="C28" s="251"/>
      <c r="D28" s="251"/>
      <c r="E28" s="251"/>
      <c r="F28" s="251"/>
      <c r="G28" s="251"/>
      <c r="H28" s="251"/>
      <c r="I28" s="251"/>
      <c r="J28" s="251"/>
      <c r="K28" s="252"/>
    </row>
    <row r="29" spans="1:11" s="253" customFormat="1">
      <c r="A29" s="181" t="s">
        <v>1812</v>
      </c>
      <c r="B29" s="254">
        <f>'Sources and Uses Budget'!C29</f>
        <v>1000000</v>
      </c>
      <c r="C29" s="255">
        <v>1000000</v>
      </c>
      <c r="D29" s="255"/>
      <c r="E29" s="254">
        <f>'Sources and Uses Budget'!S29</f>
        <v>1000000</v>
      </c>
      <c r="F29" s="255">
        <v>1000000</v>
      </c>
      <c r="G29" s="255"/>
      <c r="H29" s="254">
        <f>'Sources and Uses Budget'!T29</f>
        <v>0</v>
      </c>
      <c r="I29" s="255"/>
      <c r="J29" s="255"/>
      <c r="K29" s="252"/>
    </row>
    <row r="30" spans="1:11" s="253" customFormat="1">
      <c r="A30" s="181" t="s">
        <v>1813</v>
      </c>
      <c r="B30" s="254">
        <f>'Sources and Uses Budget'!C30</f>
        <v>17510152</v>
      </c>
      <c r="C30" s="255">
        <v>17510152</v>
      </c>
      <c r="D30" s="255"/>
      <c r="E30" s="254">
        <f>'Sources and Uses Budget'!S30</f>
        <v>17510152</v>
      </c>
      <c r="F30" s="255">
        <v>17510152</v>
      </c>
      <c r="G30" s="255"/>
      <c r="H30" s="254">
        <f>'Sources and Uses Budget'!T30</f>
        <v>0</v>
      </c>
      <c r="I30" s="255"/>
      <c r="J30" s="255"/>
      <c r="K30" s="252"/>
    </row>
    <row r="31" spans="1:11" s="253" customFormat="1">
      <c r="A31" s="181" t="s">
        <v>1814</v>
      </c>
      <c r="B31" s="254">
        <f>'Sources and Uses Budget'!C31</f>
        <v>1368731</v>
      </c>
      <c r="C31" s="255">
        <v>1368731</v>
      </c>
      <c r="D31" s="255"/>
      <c r="E31" s="254">
        <f>'Sources and Uses Budget'!S31</f>
        <v>1368731</v>
      </c>
      <c r="F31" s="255">
        <v>1368731</v>
      </c>
      <c r="G31" s="255"/>
      <c r="H31" s="254">
        <f>'Sources and Uses Budget'!T31</f>
        <v>0</v>
      </c>
      <c r="I31" s="255"/>
      <c r="J31" s="255"/>
      <c r="K31" s="252"/>
    </row>
    <row r="32" spans="1:11" s="253" customFormat="1">
      <c r="A32" s="181" t="s">
        <v>1815</v>
      </c>
      <c r="B32" s="254">
        <f>'Sources and Uses Budget'!C32</f>
        <v>912488</v>
      </c>
      <c r="C32" s="255">
        <v>912488</v>
      </c>
      <c r="D32" s="255"/>
      <c r="E32" s="254">
        <f>'Sources and Uses Budget'!S32</f>
        <v>912488</v>
      </c>
      <c r="F32" s="255">
        <v>912488</v>
      </c>
      <c r="G32" s="255"/>
      <c r="H32" s="254">
        <f>'Sources and Uses Budget'!T32</f>
        <v>0</v>
      </c>
      <c r="I32" s="255"/>
      <c r="J32" s="255"/>
      <c r="K32" s="252"/>
    </row>
    <row r="33" spans="1:11" s="253" customFormat="1">
      <c r="A33" s="181" t="s">
        <v>1816</v>
      </c>
      <c r="B33" s="254">
        <f>'Sources and Uses Budget'!C33</f>
        <v>912487</v>
      </c>
      <c r="C33" s="255">
        <v>912487</v>
      </c>
      <c r="D33" s="255"/>
      <c r="E33" s="254">
        <f>'Sources and Uses Budget'!S33</f>
        <v>912487</v>
      </c>
      <c r="F33" s="255">
        <v>912487</v>
      </c>
      <c r="G33" s="255"/>
      <c r="H33" s="254">
        <f>'Sources and Uses Budget'!T33</f>
        <v>0</v>
      </c>
      <c r="I33" s="255"/>
      <c r="J33" s="255"/>
      <c r="K33" s="252"/>
    </row>
    <row r="34" spans="1:11" s="253" customFormat="1">
      <c r="A34" s="181" t="s">
        <v>1817</v>
      </c>
      <c r="B34" s="254">
        <f>'Sources and Uses Budget'!C34</f>
        <v>3802030</v>
      </c>
      <c r="C34" s="255">
        <v>3802030</v>
      </c>
      <c r="D34" s="255"/>
      <c r="E34" s="254">
        <f>'Sources and Uses Budget'!S34</f>
        <v>3802030</v>
      </c>
      <c r="F34" s="255">
        <v>3802030</v>
      </c>
      <c r="G34" s="255"/>
      <c r="H34" s="254">
        <f>'Sources and Uses Budget'!T34</f>
        <v>0</v>
      </c>
      <c r="I34" s="255"/>
      <c r="J34" s="255"/>
      <c r="K34" s="252"/>
    </row>
    <row r="35" spans="1:11" s="253" customFormat="1">
      <c r="A35" s="181" t="s">
        <v>1818</v>
      </c>
      <c r="B35" s="254">
        <f>'Sources and Uses Budget'!C35</f>
        <v>260059</v>
      </c>
      <c r="C35" s="255">
        <v>260059</v>
      </c>
      <c r="D35" s="255"/>
      <c r="E35" s="254">
        <f>'Sources and Uses Budget'!S35</f>
        <v>260059</v>
      </c>
      <c r="F35" s="255">
        <v>260059</v>
      </c>
      <c r="G35" s="255"/>
      <c r="H35" s="254">
        <f>'Sources and Uses Budget'!T35</f>
        <v>0</v>
      </c>
      <c r="I35" s="255"/>
      <c r="J35" s="255"/>
      <c r="K35" s="252"/>
    </row>
    <row r="36" spans="1:11" s="253" customFormat="1">
      <c r="A36" s="380" t="s">
        <v>1819</v>
      </c>
      <c r="B36" s="254">
        <f>'Sources and Uses Budget'!C36</f>
        <v>0</v>
      </c>
      <c r="C36" s="255"/>
      <c r="D36" s="255"/>
      <c r="E36" s="254">
        <f>'Sources and Uses Budget'!S36</f>
        <v>0</v>
      </c>
      <c r="F36" s="255"/>
      <c r="G36" s="255"/>
      <c r="H36" s="254">
        <f>'Sources and Uses Budget'!T36</f>
        <v>0</v>
      </c>
      <c r="I36" s="255"/>
      <c r="J36" s="255"/>
      <c r="K36" s="252"/>
    </row>
    <row r="37" spans="1:11" s="253" customFormat="1">
      <c r="A37" s="257" t="str">
        <f>'Sources and Uses Budget'!$A37</f>
        <v>Other: (Specify)</v>
      </c>
      <c r="B37" s="254">
        <f>'Sources and Uses Budget'!C37</f>
        <v>0</v>
      </c>
      <c r="C37" s="255"/>
      <c r="D37" s="255"/>
      <c r="E37" s="254">
        <f>'Sources and Uses Budget'!S37</f>
        <v>0</v>
      </c>
      <c r="F37" s="255"/>
      <c r="G37" s="255"/>
      <c r="H37" s="254">
        <f>'Sources and Uses Budget'!T37</f>
        <v>0</v>
      </c>
      <c r="I37" s="255"/>
      <c r="J37" s="255"/>
      <c r="K37" s="252"/>
    </row>
    <row r="38" spans="1:11" s="253" customFormat="1">
      <c r="A38" s="258" t="s">
        <v>1824</v>
      </c>
      <c r="B38" s="254">
        <f>'Sources and Uses Budget'!C38</f>
        <v>25765947</v>
      </c>
      <c r="C38" s="254">
        <f>SUM(C29:C37)</f>
        <v>25765947</v>
      </c>
      <c r="D38" s="254">
        <f>SUM(D29:D37)</f>
        <v>0</v>
      </c>
      <c r="E38" s="254">
        <f>'Sources and Uses Budget'!S38</f>
        <v>25765947</v>
      </c>
      <c r="F38" s="260">
        <f>SUM(F29:F37)</f>
        <v>25765947</v>
      </c>
      <c r="G38" s="260">
        <f>SUM(G29:G37)</f>
        <v>0</v>
      </c>
      <c r="H38" s="254">
        <f>'Sources and Uses Budget'!T38</f>
        <v>0</v>
      </c>
      <c r="I38" s="260">
        <f>SUM(I29:I37)</f>
        <v>0</v>
      </c>
      <c r="J38" s="260">
        <f>SUM(J29:J37)</f>
        <v>0</v>
      </c>
      <c r="K38" s="252"/>
    </row>
    <row r="39" spans="1:11" s="253" customFormat="1" ht="12">
      <c r="A39" s="250" t="s">
        <v>1825</v>
      </c>
      <c r="B39" s="251"/>
      <c r="C39" s="251"/>
      <c r="D39" s="251"/>
      <c r="E39" s="251"/>
      <c r="F39" s="251"/>
      <c r="G39" s="251"/>
      <c r="H39" s="251"/>
      <c r="I39" s="251"/>
      <c r="J39" s="251"/>
      <c r="K39" s="252"/>
    </row>
    <row r="40" spans="1:11" s="253" customFormat="1">
      <c r="A40" s="257" t="s">
        <v>1826</v>
      </c>
      <c r="B40" s="254">
        <f>'Sources and Uses Budget'!C40</f>
        <v>1060000</v>
      </c>
      <c r="C40" s="255">
        <v>1060000</v>
      </c>
      <c r="D40" s="255"/>
      <c r="E40" s="254">
        <f>'Sources and Uses Budget'!S40</f>
        <v>1060000</v>
      </c>
      <c r="F40" s="255">
        <v>1060000</v>
      </c>
      <c r="G40" s="255"/>
      <c r="H40" s="254">
        <f>'Sources and Uses Budget'!T40</f>
        <v>0</v>
      </c>
      <c r="I40" s="255"/>
      <c r="J40" s="255"/>
      <c r="K40" s="252"/>
    </row>
    <row r="41" spans="1:11" s="253" customFormat="1">
      <c r="A41" s="257" t="s">
        <v>1827</v>
      </c>
      <c r="B41" s="254">
        <f>'Sources and Uses Budget'!C41</f>
        <v>0</v>
      </c>
      <c r="C41" s="255"/>
      <c r="D41" s="255"/>
      <c r="E41" s="254">
        <f>'Sources and Uses Budget'!S41</f>
        <v>0</v>
      </c>
      <c r="F41" s="255"/>
      <c r="G41" s="255"/>
      <c r="H41" s="254">
        <f>'Sources and Uses Budget'!T41</f>
        <v>0</v>
      </c>
      <c r="I41" s="255"/>
      <c r="J41" s="255"/>
      <c r="K41" s="252"/>
    </row>
    <row r="42" spans="1:11" s="253" customFormat="1">
      <c r="A42" s="258" t="s">
        <v>1828</v>
      </c>
      <c r="B42" s="254">
        <f>'Sources and Uses Budget'!C42</f>
        <v>1060000</v>
      </c>
      <c r="C42" s="254">
        <f>SUM(C39:C41)</f>
        <v>1060000</v>
      </c>
      <c r="D42" s="254">
        <f>SUM(D39:D41)</f>
        <v>0</v>
      </c>
      <c r="E42" s="254">
        <f>'Sources and Uses Budget'!S42</f>
        <v>1060000</v>
      </c>
      <c r="F42" s="260">
        <f>SUM(F40:F41)</f>
        <v>1060000</v>
      </c>
      <c r="G42" s="260">
        <f>SUM(G40:G41)</f>
        <v>0</v>
      </c>
      <c r="H42" s="254">
        <f>'Sources and Uses Budget'!T42</f>
        <v>0</v>
      </c>
      <c r="I42" s="260">
        <f>SUM(I40:I41)</f>
        <v>0</v>
      </c>
      <c r="J42" s="260">
        <f>SUM(J40:J41)</f>
        <v>0</v>
      </c>
      <c r="K42" s="252"/>
    </row>
    <row r="43" spans="1:11" s="253" customFormat="1">
      <c r="A43" s="258" t="s">
        <v>1829</v>
      </c>
      <c r="B43" s="254">
        <f>'Sources and Uses Budget'!C43</f>
        <v>650000</v>
      </c>
      <c r="C43" s="255">
        <v>650000</v>
      </c>
      <c r="D43" s="255"/>
      <c r="E43" s="254">
        <f>'Sources and Uses Budget'!S43</f>
        <v>650000</v>
      </c>
      <c r="F43" s="255">
        <v>650000</v>
      </c>
      <c r="G43" s="255"/>
      <c r="H43" s="254">
        <f>'Sources and Uses Budget'!T43</f>
        <v>0</v>
      </c>
      <c r="I43" s="255"/>
      <c r="J43" s="255"/>
      <c r="K43" s="252"/>
    </row>
    <row r="44" spans="1:11" s="253" customFormat="1" ht="12">
      <c r="A44" s="250" t="s">
        <v>1830</v>
      </c>
      <c r="B44" s="251"/>
      <c r="C44" s="251"/>
      <c r="D44" s="251"/>
      <c r="E44" s="251"/>
      <c r="F44" s="251"/>
      <c r="G44" s="251"/>
      <c r="H44" s="251"/>
      <c r="I44" s="251"/>
      <c r="J44" s="251"/>
      <c r="K44" s="252"/>
    </row>
    <row r="45" spans="1:11" s="253" customFormat="1">
      <c r="A45" s="257" t="s">
        <v>1831</v>
      </c>
      <c r="B45" s="254">
        <f>'Sources and Uses Budget'!C45</f>
        <v>3840280</v>
      </c>
      <c r="C45" s="255">
        <f>B45</f>
        <v>3840280</v>
      </c>
      <c r="D45" s="255"/>
      <c r="E45" s="254">
        <f>'Sources and Uses Budget'!S45</f>
        <v>2296741</v>
      </c>
      <c r="F45" s="255">
        <v>2296741</v>
      </c>
      <c r="G45" s="255"/>
      <c r="H45" s="254">
        <f>'Sources and Uses Budget'!T45</f>
        <v>0</v>
      </c>
      <c r="I45" s="255"/>
      <c r="J45" s="255"/>
      <c r="K45" s="252"/>
    </row>
    <row r="46" spans="1:11" s="253" customFormat="1">
      <c r="A46" s="257" t="s">
        <v>1832</v>
      </c>
      <c r="B46" s="254">
        <f>'Sources and Uses Budget'!C46</f>
        <v>261383</v>
      </c>
      <c r="C46" s="255">
        <v>261383</v>
      </c>
      <c r="D46" s="255"/>
      <c r="E46" s="254">
        <f>'Sources and Uses Budget'!S46</f>
        <v>196037</v>
      </c>
      <c r="F46" s="255">
        <v>196037</v>
      </c>
      <c r="G46" s="255"/>
      <c r="H46" s="254">
        <f>'Sources and Uses Budget'!T46</f>
        <v>0</v>
      </c>
      <c r="I46" s="255"/>
      <c r="J46" s="255"/>
      <c r="K46" s="252"/>
    </row>
    <row r="47" spans="1:11" s="253" customFormat="1" ht="12" customHeight="1">
      <c r="A47" s="257" t="s">
        <v>1833</v>
      </c>
      <c r="B47" s="254">
        <f>'Sources and Uses Budget'!C47</f>
        <v>15000</v>
      </c>
      <c r="C47" s="255">
        <v>15000</v>
      </c>
      <c r="D47" s="255"/>
      <c r="E47" s="254">
        <f>'Sources and Uses Budget'!S47</f>
        <v>11250</v>
      </c>
      <c r="F47" s="255">
        <v>11250</v>
      </c>
      <c r="G47" s="255"/>
      <c r="H47" s="254">
        <f>'Sources and Uses Budget'!T47</f>
        <v>0</v>
      </c>
      <c r="I47" s="255"/>
      <c r="J47" s="255"/>
      <c r="K47" s="252"/>
    </row>
    <row r="48" spans="1:11" s="253" customFormat="1">
      <c r="A48" s="257" t="s">
        <v>1834</v>
      </c>
      <c r="B48" s="254">
        <f>'Sources and Uses Budget'!C48</f>
        <v>234053</v>
      </c>
      <c r="C48" s="255">
        <v>234053</v>
      </c>
      <c r="D48" s="255"/>
      <c r="E48" s="254">
        <f>'Sources and Uses Budget'!S48</f>
        <v>234053</v>
      </c>
      <c r="F48" s="255">
        <v>234053</v>
      </c>
      <c r="G48" s="255"/>
      <c r="H48" s="254">
        <f>'Sources and Uses Budget'!T48</f>
        <v>0</v>
      </c>
      <c r="I48" s="255"/>
      <c r="J48" s="255"/>
      <c r="K48" s="252"/>
    </row>
    <row r="49" spans="1:11" s="253" customFormat="1">
      <c r="A49" s="181" t="s">
        <v>1835</v>
      </c>
      <c r="B49" s="254">
        <f>'Sources and Uses Budget'!C49</f>
        <v>65346</v>
      </c>
      <c r="C49" s="255">
        <v>65346</v>
      </c>
      <c r="D49" s="255"/>
      <c r="E49" s="254">
        <f>'Sources and Uses Budget'!S49</f>
        <v>65346</v>
      </c>
      <c r="F49" s="255">
        <v>65346</v>
      </c>
      <c r="G49" s="255"/>
      <c r="H49" s="254">
        <f>'Sources and Uses Budget'!T49</f>
        <v>0</v>
      </c>
      <c r="I49" s="255"/>
      <c r="J49" s="255"/>
      <c r="K49" s="252"/>
    </row>
    <row r="50" spans="1:11" s="253" customFormat="1">
      <c r="A50" s="257" t="s">
        <v>1836</v>
      </c>
      <c r="B50" s="254">
        <f>'Sources and Uses Budget'!C50</f>
        <v>100000</v>
      </c>
      <c r="C50" s="255">
        <v>100000</v>
      </c>
      <c r="D50" s="255"/>
      <c r="E50" s="254">
        <f>'Sources and Uses Budget'!S50</f>
        <v>75000</v>
      </c>
      <c r="F50" s="255">
        <v>75000</v>
      </c>
      <c r="G50" s="255"/>
      <c r="H50" s="254">
        <f>'Sources and Uses Budget'!T50</f>
        <v>0</v>
      </c>
      <c r="I50" s="255"/>
      <c r="J50" s="255"/>
      <c r="K50" s="252"/>
    </row>
    <row r="51" spans="1:11" s="253" customFormat="1">
      <c r="A51" s="257" t="s">
        <v>1837</v>
      </c>
      <c r="B51" s="254">
        <f>'Sources and Uses Budget'!C51</f>
        <v>105000</v>
      </c>
      <c r="C51" s="255">
        <v>105000</v>
      </c>
      <c r="D51" s="255"/>
      <c r="E51" s="254">
        <f>'Sources and Uses Budget'!S51</f>
        <v>105000</v>
      </c>
      <c r="F51" s="255">
        <v>105000</v>
      </c>
      <c r="G51" s="255"/>
      <c r="H51" s="254">
        <f>'Sources and Uses Budget'!T51</f>
        <v>0</v>
      </c>
      <c r="I51" s="255"/>
      <c r="J51" s="255"/>
      <c r="K51" s="252"/>
    </row>
    <row r="52" spans="1:11" s="253" customFormat="1">
      <c r="A52" s="257" t="s">
        <v>1838</v>
      </c>
      <c r="B52" s="254">
        <f>'Sources and Uses Budget'!C52</f>
        <v>398000</v>
      </c>
      <c r="C52" s="255">
        <v>398000</v>
      </c>
      <c r="D52" s="255"/>
      <c r="E52" s="254">
        <f>'Sources and Uses Budget'!S52</f>
        <v>398000</v>
      </c>
      <c r="F52" s="255">
        <v>398000</v>
      </c>
      <c r="G52" s="255"/>
      <c r="H52" s="254">
        <f>'Sources and Uses Budget'!T52</f>
        <v>0</v>
      </c>
      <c r="I52" s="255"/>
      <c r="J52" s="255"/>
      <c r="K52" s="252"/>
    </row>
    <row r="53" spans="1:11" s="253" customFormat="1">
      <c r="A53" s="257" t="str">
        <f>'Sources and Uses Budget'!$A53</f>
        <v>Other: Employee Reporting</v>
      </c>
      <c r="B53" s="254">
        <f>'Sources and Uses Budget'!C53</f>
        <v>25000</v>
      </c>
      <c r="C53" s="255">
        <v>25000</v>
      </c>
      <c r="D53" s="255"/>
      <c r="E53" s="254">
        <f>'Sources and Uses Budget'!S53</f>
        <v>25000</v>
      </c>
      <c r="F53" s="255">
        <v>25000</v>
      </c>
      <c r="G53" s="255"/>
      <c r="H53" s="254">
        <f>'Sources and Uses Budget'!T53</f>
        <v>0</v>
      </c>
      <c r="I53" s="255"/>
      <c r="J53" s="255"/>
      <c r="K53" s="252"/>
    </row>
    <row r="54" spans="1:11" s="262" customFormat="1">
      <c r="A54" s="258" t="s">
        <v>1840</v>
      </c>
      <c r="B54" s="254">
        <f>'Sources and Uses Budget'!C54</f>
        <v>5044062</v>
      </c>
      <c r="C54" s="260">
        <f>SUM(C45:C53)</f>
        <v>5044062</v>
      </c>
      <c r="D54" s="260">
        <f>SUM(D45:D53)</f>
        <v>0</v>
      </c>
      <c r="E54" s="254">
        <f>'Sources and Uses Budget'!S54</f>
        <v>3406427</v>
      </c>
      <c r="F54" s="260">
        <f>SUM(F45:F53)</f>
        <v>3406427</v>
      </c>
      <c r="G54" s="260">
        <f>SUM(G45:G53)</f>
        <v>0</v>
      </c>
      <c r="H54" s="254">
        <f>'Sources and Uses Budget'!T54</f>
        <v>0</v>
      </c>
      <c r="I54" s="260">
        <f>SUM(I45:I53)</f>
        <v>0</v>
      </c>
      <c r="J54" s="260">
        <f>SUM(J45:J53)</f>
        <v>0</v>
      </c>
      <c r="K54" s="261"/>
    </row>
    <row r="55" spans="1:11" s="253" customFormat="1" ht="12">
      <c r="A55" s="250" t="s">
        <v>1415</v>
      </c>
      <c r="B55" s="251"/>
      <c r="C55" s="251"/>
      <c r="D55" s="251"/>
      <c r="E55" s="251"/>
      <c r="F55" s="251"/>
      <c r="G55" s="251"/>
      <c r="H55" s="251"/>
      <c r="I55" s="251"/>
      <c r="J55" s="251"/>
      <c r="K55" s="252"/>
    </row>
    <row r="56" spans="1:11" s="253" customFormat="1">
      <c r="A56" s="257" t="s">
        <v>1841</v>
      </c>
      <c r="B56" s="254">
        <f>'Sources and Uses Budget'!C56</f>
        <v>0</v>
      </c>
      <c r="C56" s="255"/>
      <c r="D56" s="255"/>
      <c r="E56" s="256"/>
      <c r="F56" s="256"/>
      <c r="G56" s="256"/>
      <c r="H56" s="256"/>
      <c r="I56" s="256"/>
      <c r="J56" s="256"/>
      <c r="K56" s="252"/>
    </row>
    <row r="57" spans="1:11" s="253" customFormat="1" ht="12" customHeight="1">
      <c r="A57" s="257" t="s">
        <v>1833</v>
      </c>
      <c r="B57" s="254">
        <f>'Sources and Uses Budget'!C57</f>
        <v>0</v>
      </c>
      <c r="C57" s="255"/>
      <c r="D57" s="255"/>
      <c r="E57" s="256"/>
      <c r="F57" s="256"/>
      <c r="G57" s="256"/>
      <c r="H57" s="256"/>
      <c r="I57" s="256"/>
      <c r="J57" s="256"/>
      <c r="K57" s="252"/>
    </row>
    <row r="58" spans="1:11" s="253" customFormat="1">
      <c r="A58" s="257" t="s">
        <v>1836</v>
      </c>
      <c r="B58" s="254">
        <f>'Sources and Uses Budget'!C58</f>
        <v>10000</v>
      </c>
      <c r="C58" s="255">
        <v>10000</v>
      </c>
      <c r="D58" s="255"/>
      <c r="E58" s="256"/>
      <c r="F58" s="256"/>
      <c r="G58" s="256"/>
      <c r="H58" s="256"/>
      <c r="I58" s="256"/>
      <c r="J58" s="256"/>
      <c r="K58" s="252"/>
    </row>
    <row r="59" spans="1:11" s="253" customFormat="1">
      <c r="A59" s="257" t="s">
        <v>1837</v>
      </c>
      <c r="B59" s="254">
        <f>'Sources and Uses Budget'!C59</f>
        <v>0</v>
      </c>
      <c r="C59" s="255"/>
      <c r="D59" s="255"/>
      <c r="E59" s="256"/>
      <c r="F59" s="256"/>
      <c r="G59" s="256"/>
      <c r="H59" s="256"/>
      <c r="I59" s="256"/>
      <c r="J59" s="256"/>
      <c r="K59" s="252"/>
    </row>
    <row r="60" spans="1:11" s="253" customFormat="1">
      <c r="A60" s="257" t="s">
        <v>1838</v>
      </c>
      <c r="B60" s="254">
        <f>'Sources and Uses Budget'!C60</f>
        <v>15000</v>
      </c>
      <c r="C60" s="255">
        <v>15000</v>
      </c>
      <c r="D60" s="255"/>
      <c r="E60" s="256"/>
      <c r="F60" s="256"/>
      <c r="G60" s="256"/>
      <c r="H60" s="256"/>
      <c r="I60" s="256"/>
      <c r="J60" s="256"/>
      <c r="K60" s="252"/>
    </row>
    <row r="61" spans="1:11" s="253" customFormat="1">
      <c r="A61" s="257">
        <f>'Sources and Uses Budget'!$A61</f>
        <v>100000</v>
      </c>
      <c r="B61" s="254">
        <f>'Sources and Uses Budget'!C61</f>
        <v>0</v>
      </c>
      <c r="C61" s="255"/>
      <c r="D61" s="255"/>
      <c r="E61" s="256"/>
      <c r="F61" s="256"/>
      <c r="G61" s="256"/>
      <c r="H61" s="256"/>
      <c r="I61" s="256"/>
      <c r="J61" s="256"/>
      <c r="K61" s="252"/>
    </row>
    <row r="62" spans="1:11" s="253" customFormat="1" ht="13.75" customHeight="1">
      <c r="A62" s="258" t="s">
        <v>1842</v>
      </c>
      <c r="B62" s="254">
        <f>'Sources and Uses Budget'!C62</f>
        <v>25000</v>
      </c>
      <c r="C62" s="254">
        <f>SUM(C56:C61)</f>
        <v>25000</v>
      </c>
      <c r="D62" s="254">
        <f>SUM(D56:D61)</f>
        <v>0</v>
      </c>
      <c r="E62" s="256"/>
      <c r="F62" s="256"/>
      <c r="G62" s="256"/>
      <c r="H62" s="256"/>
      <c r="I62" s="256"/>
      <c r="J62" s="256"/>
      <c r="K62" s="252"/>
    </row>
    <row r="63" spans="1:11" s="253" customFormat="1">
      <c r="A63" s="263" t="s">
        <v>1843</v>
      </c>
      <c r="B63" s="254">
        <f>'Sources and Uses Budget'!C63</f>
        <v>34485009</v>
      </c>
      <c r="C63" s="254">
        <f>SUM(C8+C11+C13+C14+C15+C26+C27+C38+C42+C43+C54+C62)</f>
        <v>34485009</v>
      </c>
      <c r="D63" s="254">
        <f>SUM(D8+D11+D13+D14+D15+D26+D27+D38+D42+D43+D54+D62)</f>
        <v>0</v>
      </c>
      <c r="E63" s="254">
        <f>'Sources and Uses Budget'!S63</f>
        <v>31382374</v>
      </c>
      <c r="F63" s="254">
        <f>SUM(F10+F13+F14+F15+F26+F27+F38+F42+F43+F54)</f>
        <v>31382374</v>
      </c>
      <c r="G63" s="254">
        <f>SUM(G10+G13+G14+G15+G26+G27+G38+G42+G43+G54)</f>
        <v>0</v>
      </c>
      <c r="H63" s="254">
        <f>'Sources and Uses Budget'!T63</f>
        <v>0</v>
      </c>
      <c r="I63" s="254">
        <f>SUM(I11+I13+I14+I15+I26+I27+I38+I42+I43+I54)</f>
        <v>0</v>
      </c>
      <c r="J63" s="254">
        <f>SUM(J11+J13+J14+J15+J26+J27+J38+J42+J43+J54)</f>
        <v>0</v>
      </c>
      <c r="K63" s="252"/>
    </row>
    <row r="64" spans="1:11" s="253" customFormat="1" ht="24">
      <c r="A64" s="82" t="s">
        <v>1844</v>
      </c>
      <c r="B64" s="251"/>
      <c r="C64" s="251"/>
      <c r="D64" s="251"/>
      <c r="E64" s="251"/>
      <c r="F64" s="251"/>
      <c r="G64" s="251"/>
      <c r="H64" s="251"/>
      <c r="I64" s="251"/>
      <c r="J64" s="251"/>
      <c r="K64" s="252"/>
    </row>
    <row r="65" spans="1:11" s="253" customFormat="1">
      <c r="A65" s="181" t="s">
        <v>1845</v>
      </c>
      <c r="B65" s="254">
        <f>'Sources and Uses Budget'!C65</f>
        <v>100000</v>
      </c>
      <c r="C65" s="255">
        <v>100000</v>
      </c>
      <c r="D65" s="255"/>
      <c r="E65" s="254">
        <f>'Sources and Uses Budget'!S65</f>
        <v>100000</v>
      </c>
      <c r="F65" s="255">
        <v>100000</v>
      </c>
      <c r="G65" s="255"/>
      <c r="H65" s="254">
        <f>'Sources and Uses Budget'!T65</f>
        <v>0</v>
      </c>
      <c r="I65" s="255"/>
      <c r="J65" s="255"/>
      <c r="K65" s="252"/>
    </row>
    <row r="66" spans="1:11" s="253" customFormat="1" ht="23">
      <c r="A66" s="181" t="s">
        <v>1846</v>
      </c>
      <c r="B66" s="254">
        <f>'Sources and Uses Budget'!C66</f>
        <v>0</v>
      </c>
      <c r="C66" s="255"/>
      <c r="D66" s="255"/>
      <c r="E66" s="254">
        <f>'Sources and Uses Budget'!S66</f>
        <v>0</v>
      </c>
      <c r="F66" s="255"/>
      <c r="G66" s="255"/>
      <c r="H66" s="254">
        <f>'Sources and Uses Budget'!T66</f>
        <v>0</v>
      </c>
      <c r="I66" s="255"/>
      <c r="J66" s="255"/>
      <c r="K66" s="252"/>
    </row>
    <row r="67" spans="1:11" s="253" customFormat="1" ht="23">
      <c r="A67" s="181" t="s">
        <v>1847</v>
      </c>
      <c r="B67" s="254">
        <f>'Sources and Uses Budget'!C67</f>
        <v>0</v>
      </c>
      <c r="C67" s="255"/>
      <c r="D67" s="255"/>
      <c r="E67" s="254">
        <f>'Sources and Uses Budget'!S67</f>
        <v>0</v>
      </c>
      <c r="F67" s="255"/>
      <c r="G67" s="255"/>
      <c r="H67" s="254">
        <f>'Sources and Uses Budget'!T67</f>
        <v>0</v>
      </c>
      <c r="I67" s="255"/>
      <c r="J67" s="255"/>
      <c r="K67" s="252"/>
    </row>
    <row r="68" spans="1:11" s="253" customFormat="1">
      <c r="A68" s="181" t="s">
        <v>1848</v>
      </c>
      <c r="B68" s="254">
        <f>'Sources and Uses Budget'!C68</f>
        <v>0</v>
      </c>
      <c r="C68" s="255"/>
      <c r="D68" s="255"/>
      <c r="E68" s="254">
        <f>'Sources and Uses Budget'!S68</f>
        <v>0</v>
      </c>
      <c r="F68" s="255"/>
      <c r="G68" s="255"/>
      <c r="H68" s="254">
        <f>'Sources and Uses Budget'!T68</f>
        <v>0</v>
      </c>
      <c r="I68" s="255"/>
      <c r="J68" s="255"/>
      <c r="K68" s="252"/>
    </row>
    <row r="69" spans="1:11" s="253" customFormat="1">
      <c r="A69" s="257" t="str">
        <f>'Sources and Uses Budget'!$A69</f>
        <v>Other: Legal</v>
      </c>
      <c r="B69" s="254">
        <f>'Sources and Uses Budget'!C69</f>
        <v>225000</v>
      </c>
      <c r="C69" s="255">
        <v>225000</v>
      </c>
      <c r="D69" s="255"/>
      <c r="E69" s="254">
        <f>'Sources and Uses Budget'!S69</f>
        <v>75000</v>
      </c>
      <c r="F69" s="255">
        <v>75000</v>
      </c>
      <c r="G69" s="255"/>
      <c r="H69" s="254">
        <f>'Sources and Uses Budget'!T69</f>
        <v>0</v>
      </c>
      <c r="I69" s="255"/>
      <c r="J69" s="255"/>
      <c r="K69" s="252"/>
    </row>
    <row r="70" spans="1:11" s="253" customFormat="1">
      <c r="A70" s="258" t="s">
        <v>1927</v>
      </c>
      <c r="B70" s="254">
        <f>'Sources and Uses Budget'!C70</f>
        <v>325000</v>
      </c>
      <c r="C70" s="254">
        <f>SUM(C64:C69)</f>
        <v>325000</v>
      </c>
      <c r="D70" s="254">
        <f>SUM(D64:D69)</f>
        <v>0</v>
      </c>
      <c r="E70" s="254">
        <f>'Sources and Uses Budget'!S70</f>
        <v>175000</v>
      </c>
      <c r="F70" s="260">
        <f>SUM(F65:F69)</f>
        <v>175000</v>
      </c>
      <c r="G70" s="260">
        <f>SUM(G65:G69)</f>
        <v>0</v>
      </c>
      <c r="H70" s="254">
        <f>'Sources and Uses Budget'!T70</f>
        <v>0</v>
      </c>
      <c r="I70" s="260">
        <f>SUM(I65:I69)</f>
        <v>0</v>
      </c>
      <c r="J70" s="260">
        <f>SUM(J65:J69)</f>
        <v>0</v>
      </c>
      <c r="K70" s="252"/>
    </row>
    <row r="71" spans="1:11" s="253" customFormat="1" ht="12">
      <c r="A71" s="250" t="s">
        <v>1851</v>
      </c>
      <c r="B71" s="251"/>
      <c r="C71" s="251"/>
      <c r="D71" s="251"/>
      <c r="E71" s="251"/>
      <c r="F71" s="251"/>
      <c r="G71" s="251"/>
      <c r="H71" s="251"/>
      <c r="I71" s="251"/>
      <c r="J71" s="251"/>
      <c r="K71" s="252"/>
    </row>
    <row r="72" spans="1:11" s="253" customFormat="1">
      <c r="A72" s="257" t="s">
        <v>1852</v>
      </c>
      <c r="B72" s="254">
        <f>'Sources and Uses Budget'!C72</f>
        <v>0</v>
      </c>
      <c r="C72" s="255"/>
      <c r="D72" s="255"/>
      <c r="E72" s="256"/>
      <c r="F72" s="256"/>
      <c r="G72" s="256"/>
      <c r="H72" s="256"/>
      <c r="I72" s="256"/>
      <c r="J72" s="256"/>
      <c r="K72" s="252"/>
    </row>
    <row r="73" spans="1:11" s="253" customFormat="1">
      <c r="A73" s="257" t="s">
        <v>1853</v>
      </c>
      <c r="B73" s="254">
        <f>'Sources and Uses Budget'!C73</f>
        <v>0</v>
      </c>
      <c r="C73" s="255"/>
      <c r="D73" s="255"/>
      <c r="E73" s="256"/>
      <c r="F73" s="256"/>
      <c r="G73" s="256"/>
      <c r="H73" s="256"/>
      <c r="I73" s="256"/>
      <c r="J73" s="256"/>
      <c r="K73" s="252"/>
    </row>
    <row r="74" spans="1:11" s="253" customFormat="1">
      <c r="A74" s="259" t="s">
        <v>1854</v>
      </c>
      <c r="B74" s="254">
        <f>'Sources and Uses Budget'!C74</f>
        <v>0</v>
      </c>
      <c r="C74" s="255"/>
      <c r="D74" s="255"/>
      <c r="E74" s="256"/>
      <c r="F74" s="256"/>
      <c r="G74" s="256"/>
      <c r="H74" s="256"/>
      <c r="I74" s="256"/>
      <c r="J74" s="256"/>
      <c r="K74" s="252"/>
    </row>
    <row r="75" spans="1:11" s="253" customFormat="1">
      <c r="A75" s="257" t="s">
        <v>1855</v>
      </c>
      <c r="B75" s="254">
        <f>'Sources and Uses Budget'!C75</f>
        <v>381230</v>
      </c>
      <c r="C75" s="255">
        <v>381230</v>
      </c>
      <c r="D75" s="255"/>
      <c r="E75" s="256"/>
      <c r="F75" s="256"/>
      <c r="G75" s="256"/>
      <c r="H75" s="256"/>
      <c r="I75" s="256"/>
      <c r="J75" s="256"/>
      <c r="K75" s="252"/>
    </row>
    <row r="76" spans="1:11" s="253" customFormat="1">
      <c r="A76" s="257" t="str">
        <f>'Sources and Uses Budget'!$A76</f>
        <v>Other: (Specify)</v>
      </c>
      <c r="B76" s="254">
        <f>'Sources and Uses Budget'!C76</f>
        <v>0</v>
      </c>
      <c r="C76" s="255"/>
      <c r="D76" s="255"/>
      <c r="E76" s="256"/>
      <c r="F76" s="256"/>
      <c r="G76" s="256"/>
      <c r="H76" s="256"/>
      <c r="I76" s="256"/>
      <c r="J76" s="256"/>
      <c r="K76" s="252"/>
    </row>
    <row r="77" spans="1:11" s="253" customFormat="1">
      <c r="A77" s="258" t="s">
        <v>1856</v>
      </c>
      <c r="B77" s="254">
        <f>'Sources and Uses Budget'!C77</f>
        <v>381230</v>
      </c>
      <c r="C77" s="254">
        <f>SUM(C72:C76)</f>
        <v>381230</v>
      </c>
      <c r="D77" s="254">
        <f>SUM(D72:D76)</f>
        <v>0</v>
      </c>
      <c r="E77" s="256"/>
      <c r="F77" s="256"/>
      <c r="G77" s="256"/>
      <c r="H77" s="256"/>
      <c r="I77" s="256"/>
      <c r="J77" s="256"/>
      <c r="K77" s="252"/>
    </row>
    <row r="78" spans="1:11" s="253" customFormat="1" ht="12">
      <c r="A78" s="250" t="s">
        <v>1857</v>
      </c>
      <c r="B78" s="251"/>
      <c r="C78" s="251"/>
      <c r="D78" s="251"/>
      <c r="E78" s="251"/>
      <c r="F78" s="251"/>
      <c r="G78" s="251"/>
      <c r="H78" s="251"/>
      <c r="I78" s="251"/>
      <c r="J78" s="251"/>
      <c r="K78" s="252"/>
    </row>
    <row r="79" spans="1:11" s="253" customFormat="1">
      <c r="A79" s="257" t="s">
        <v>1858</v>
      </c>
      <c r="B79" s="254">
        <f>'Sources and Uses Budget'!C79</f>
        <v>1325000</v>
      </c>
      <c r="C79" s="255">
        <v>1325000</v>
      </c>
      <c r="D79" s="255"/>
      <c r="E79" s="254">
        <f>'Sources and Uses Budget'!S79</f>
        <v>1325000</v>
      </c>
      <c r="F79" s="255">
        <v>1325000</v>
      </c>
      <c r="G79" s="255"/>
      <c r="H79" s="254">
        <f>'Sources and Uses Budget'!T79</f>
        <v>0</v>
      </c>
      <c r="I79" s="255"/>
      <c r="J79" s="255"/>
      <c r="K79" s="252"/>
    </row>
    <row r="80" spans="1:11" s="253" customFormat="1">
      <c r="A80" s="257" t="s">
        <v>1859</v>
      </c>
      <c r="B80" s="254">
        <f>'Sources and Uses Budget'!C80</f>
        <v>460594</v>
      </c>
      <c r="C80" s="255">
        <v>460594</v>
      </c>
      <c r="D80" s="255"/>
      <c r="E80" s="254">
        <f>'Sources and Uses Budget'!S80</f>
        <v>460594</v>
      </c>
      <c r="F80" s="255">
        <v>460594</v>
      </c>
      <c r="G80" s="255"/>
      <c r="H80" s="254">
        <f>'Sources and Uses Budget'!T80</f>
        <v>0</v>
      </c>
      <c r="I80" s="255"/>
      <c r="J80" s="255"/>
      <c r="K80" s="252"/>
    </row>
    <row r="81" spans="1:11" s="253" customFormat="1">
      <c r="A81" s="258" t="s">
        <v>1860</v>
      </c>
      <c r="B81" s="254">
        <f>'Sources and Uses Budget'!C81</f>
        <v>1785594</v>
      </c>
      <c r="C81" s="254">
        <f>SUM(C79:C80)</f>
        <v>1785594</v>
      </c>
      <c r="D81" s="254">
        <f>SUM(D79:D80)</f>
        <v>0</v>
      </c>
      <c r="E81" s="254">
        <f>'Sources and Uses Budget'!S81</f>
        <v>1785594</v>
      </c>
      <c r="F81" s="254">
        <f>SUM(F79:F80)</f>
        <v>1785594</v>
      </c>
      <c r="G81" s="254">
        <f>SUM(G79:G80)</f>
        <v>0</v>
      </c>
      <c r="H81" s="254">
        <f>'Sources and Uses Budget'!T81</f>
        <v>0</v>
      </c>
      <c r="I81" s="254">
        <f>SUM(I79:I80)</f>
        <v>0</v>
      </c>
      <c r="J81" s="254">
        <f>SUM(J79:J80)</f>
        <v>0</v>
      </c>
      <c r="K81" s="252"/>
    </row>
    <row r="82" spans="1:11" s="253" customFormat="1" ht="12">
      <c r="A82" s="250" t="s">
        <v>1861</v>
      </c>
      <c r="B82" s="251"/>
      <c r="C82" s="251"/>
      <c r="D82" s="251"/>
      <c r="E82" s="251"/>
      <c r="F82" s="251"/>
      <c r="G82" s="251"/>
      <c r="H82" s="251"/>
      <c r="I82" s="251"/>
      <c r="J82" s="251"/>
      <c r="K82" s="252"/>
    </row>
    <row r="83" spans="1:11" s="253" customFormat="1" ht="13.75" customHeight="1">
      <c r="A83" s="181" t="s">
        <v>1862</v>
      </c>
      <c r="B83" s="254">
        <f>'Sources and Uses Budget'!C83</f>
        <v>60552</v>
      </c>
      <c r="C83" s="255">
        <v>60552</v>
      </c>
      <c r="D83" s="255"/>
      <c r="E83" s="256"/>
      <c r="F83" s="256"/>
      <c r="G83" s="256"/>
      <c r="H83" s="256"/>
      <c r="I83" s="256"/>
      <c r="J83" s="256"/>
      <c r="K83" s="252"/>
    </row>
    <row r="84" spans="1:11" s="253" customFormat="1">
      <c r="A84" s="181" t="s">
        <v>1863</v>
      </c>
      <c r="B84" s="254">
        <f>'Sources and Uses Budget'!C84</f>
        <v>50000</v>
      </c>
      <c r="C84" s="255">
        <v>50000</v>
      </c>
      <c r="D84" s="255"/>
      <c r="E84" s="254">
        <f>'Sources and Uses Budget'!S84</f>
        <v>50000</v>
      </c>
      <c r="F84" s="255">
        <v>50000</v>
      </c>
      <c r="G84" s="255"/>
      <c r="H84" s="254">
        <f>'Sources and Uses Budget'!T84</f>
        <v>0</v>
      </c>
      <c r="I84" s="255"/>
      <c r="J84" s="255"/>
      <c r="K84" s="252"/>
    </row>
    <row r="85" spans="1:11" s="253" customFormat="1">
      <c r="A85" s="181" t="s">
        <v>1864</v>
      </c>
      <c r="B85" s="254">
        <f>'Sources and Uses Budget'!C85</f>
        <v>2120000</v>
      </c>
      <c r="C85" s="255">
        <v>2120000</v>
      </c>
      <c r="D85" s="255"/>
      <c r="E85" s="254">
        <f>'Sources and Uses Budget'!S85</f>
        <v>2120000</v>
      </c>
      <c r="F85" s="255">
        <v>2120000</v>
      </c>
      <c r="G85" s="255"/>
      <c r="H85" s="254">
        <f>'Sources and Uses Budget'!T85</f>
        <v>0</v>
      </c>
      <c r="I85" s="255"/>
      <c r="J85" s="255"/>
      <c r="K85" s="252"/>
    </row>
    <row r="86" spans="1:11" s="253" customFormat="1">
      <c r="A86" s="181" t="s">
        <v>1865</v>
      </c>
      <c r="B86" s="254">
        <f>'Sources and Uses Budget'!C86</f>
        <v>795000</v>
      </c>
      <c r="C86" s="255">
        <v>795000</v>
      </c>
      <c r="D86" s="255"/>
      <c r="E86" s="254">
        <f>'Sources and Uses Budget'!S86</f>
        <v>795000</v>
      </c>
      <c r="F86" s="255">
        <v>795000</v>
      </c>
      <c r="G86" s="255"/>
      <c r="H86" s="254">
        <f>'Sources and Uses Budget'!T86</f>
        <v>0</v>
      </c>
      <c r="I86" s="255"/>
      <c r="J86" s="255"/>
      <c r="K86" s="252"/>
    </row>
    <row r="87" spans="1:11" s="253" customFormat="1">
      <c r="A87" s="181" t="s">
        <v>1866</v>
      </c>
      <c r="B87" s="254">
        <f>'Sources and Uses Budget'!C87</f>
        <v>0</v>
      </c>
      <c r="C87" s="255"/>
      <c r="D87" s="255"/>
      <c r="E87" s="254">
        <f>'Sources and Uses Budget'!S87</f>
        <v>0</v>
      </c>
      <c r="F87" s="255"/>
      <c r="G87" s="255"/>
      <c r="H87" s="254">
        <f>'Sources and Uses Budget'!T87</f>
        <v>0</v>
      </c>
      <c r="I87" s="255"/>
      <c r="J87" s="255"/>
      <c r="K87" s="252"/>
    </row>
    <row r="88" spans="1:11" s="253" customFormat="1">
      <c r="A88" s="181" t="s">
        <v>1867</v>
      </c>
      <c r="B88" s="254">
        <f>'Sources and Uses Budget'!C88</f>
        <v>150000</v>
      </c>
      <c r="C88" s="255">
        <v>150000</v>
      </c>
      <c r="D88" s="255"/>
      <c r="E88" s="256"/>
      <c r="F88" s="256"/>
      <c r="G88" s="256"/>
      <c r="H88" s="256"/>
      <c r="I88" s="256"/>
      <c r="J88" s="256"/>
      <c r="K88" s="252"/>
    </row>
    <row r="89" spans="1:11" s="253" customFormat="1">
      <c r="A89" s="181" t="s">
        <v>1868</v>
      </c>
      <c r="B89" s="254">
        <f>'Sources and Uses Budget'!C89</f>
        <v>150000</v>
      </c>
      <c r="C89" s="255">
        <v>150000</v>
      </c>
      <c r="D89" s="255"/>
      <c r="E89" s="254">
        <f>'Sources and Uses Budget'!S89</f>
        <v>150000</v>
      </c>
      <c r="F89" s="255">
        <v>150000</v>
      </c>
      <c r="G89" s="255"/>
      <c r="H89" s="254">
        <f>'Sources and Uses Budget'!T89</f>
        <v>0</v>
      </c>
      <c r="I89" s="255"/>
      <c r="J89" s="255"/>
      <c r="K89" s="252"/>
    </row>
    <row r="90" spans="1:11" s="253" customFormat="1">
      <c r="A90" s="181" t="s">
        <v>1869</v>
      </c>
      <c r="B90" s="254">
        <f>'Sources and Uses Budget'!C90</f>
        <v>15000</v>
      </c>
      <c r="C90" s="255">
        <v>15000</v>
      </c>
      <c r="D90" s="255"/>
      <c r="E90" s="254">
        <f>'Sources and Uses Budget'!S90</f>
        <v>15000</v>
      </c>
      <c r="F90" s="255">
        <v>15000</v>
      </c>
      <c r="G90" s="255"/>
      <c r="H90" s="254">
        <f>'Sources and Uses Budget'!T90</f>
        <v>0</v>
      </c>
      <c r="I90" s="255"/>
      <c r="J90" s="255"/>
      <c r="K90" s="252"/>
    </row>
    <row r="91" spans="1:11" s="253" customFormat="1">
      <c r="A91" s="380" t="s">
        <v>1870</v>
      </c>
      <c r="B91" s="254">
        <f>'Sources and Uses Budget'!C91</f>
        <v>50000</v>
      </c>
      <c r="C91" s="255">
        <v>50000</v>
      </c>
      <c r="D91" s="255"/>
      <c r="E91" s="254">
        <f>'Sources and Uses Budget'!S91</f>
        <v>50000</v>
      </c>
      <c r="F91" s="255">
        <v>50000</v>
      </c>
      <c r="G91" s="255"/>
      <c r="H91" s="254">
        <f>'Sources and Uses Budget'!T91</f>
        <v>0</v>
      </c>
      <c r="I91" s="255"/>
      <c r="J91" s="255"/>
      <c r="K91" s="252"/>
    </row>
    <row r="92" spans="1:11" s="253" customFormat="1">
      <c r="A92" s="380" t="s">
        <v>1871</v>
      </c>
      <c r="B92" s="254">
        <f>'Sources and Uses Budget'!C92</f>
        <v>20000</v>
      </c>
      <c r="C92" s="255">
        <v>20000</v>
      </c>
      <c r="D92" s="255"/>
      <c r="E92" s="254">
        <f>'Sources and Uses Budget'!S92</f>
        <v>20000</v>
      </c>
      <c r="F92" s="255">
        <v>20000</v>
      </c>
      <c r="G92" s="255"/>
      <c r="H92" s="254">
        <f>'Sources and Uses Budget'!T92</f>
        <v>0</v>
      </c>
      <c r="I92" s="255"/>
      <c r="J92" s="255"/>
      <c r="K92" s="252"/>
    </row>
    <row r="93" spans="1:11" s="253" customFormat="1" ht="23">
      <c r="A93" s="257" t="str">
        <f>'Sources and Uses Budget'!$A93</f>
        <v>Other: Prevailing wage monitoring, Misc Third Party Cost, Pre Dev Loan Interest</v>
      </c>
      <c r="B93" s="254">
        <f>'Sources and Uses Budget'!C93</f>
        <v>492000</v>
      </c>
      <c r="C93" s="255">
        <v>492000</v>
      </c>
      <c r="D93" s="255"/>
      <c r="E93" s="254">
        <f>'Sources and Uses Budget'!S93</f>
        <v>492000</v>
      </c>
      <c r="F93" s="255">
        <v>492000</v>
      </c>
      <c r="G93" s="255"/>
      <c r="H93" s="254">
        <f>'Sources and Uses Budget'!T93</f>
        <v>0</v>
      </c>
      <c r="I93" s="255"/>
      <c r="J93" s="255"/>
      <c r="K93" s="252"/>
    </row>
    <row r="94" spans="1:11" s="253" customFormat="1">
      <c r="A94" s="257" t="str">
        <f>'Sources and Uses Budget'!$A94</f>
        <v>Other: CDLAC Fee</v>
      </c>
      <c r="B94" s="254">
        <f>'Sources and Uses Budget'!C94</f>
        <v>7861</v>
      </c>
      <c r="C94" s="255">
        <v>7861</v>
      </c>
      <c r="D94" s="255"/>
      <c r="E94" s="254">
        <f>'Sources and Uses Budget'!S94</f>
        <v>7861</v>
      </c>
      <c r="F94" s="255">
        <v>7861</v>
      </c>
      <c r="G94" s="255"/>
      <c r="H94" s="254">
        <f>'Sources and Uses Budget'!T94</f>
        <v>0</v>
      </c>
      <c r="I94" s="255"/>
      <c r="J94" s="255"/>
      <c r="K94" s="252"/>
    </row>
    <row r="95" spans="1:11" s="253" customFormat="1">
      <c r="A95" s="257" t="str">
        <f>'Sources and Uses Budget'!$A95</f>
        <v>Other: (Specify)</v>
      </c>
      <c r="B95" s="254">
        <f>'Sources and Uses Budget'!C95</f>
        <v>0</v>
      </c>
      <c r="C95" s="255"/>
      <c r="D95" s="255"/>
      <c r="E95" s="254">
        <f>'Sources and Uses Budget'!S95</f>
        <v>0</v>
      </c>
      <c r="F95" s="255"/>
      <c r="G95" s="255"/>
      <c r="H95" s="254">
        <f>'Sources and Uses Budget'!T95</f>
        <v>0</v>
      </c>
      <c r="I95" s="255"/>
      <c r="J95" s="255"/>
      <c r="K95" s="252"/>
    </row>
    <row r="96" spans="1:11" s="253" customFormat="1">
      <c r="A96" s="258" t="s">
        <v>1874</v>
      </c>
      <c r="B96" s="254">
        <f>'Sources and Uses Budget'!C96</f>
        <v>3910413</v>
      </c>
      <c r="C96" s="254">
        <f>SUM(C83:C95)</f>
        <v>3910413</v>
      </c>
      <c r="D96" s="254">
        <f>SUM(D83:D95)</f>
        <v>0</v>
      </c>
      <c r="E96" s="254">
        <f>'Sources and Uses Budget'!S96</f>
        <v>3699861</v>
      </c>
      <c r="F96" s="260">
        <f>SUM(F84:F87,F89:F95)</f>
        <v>3699861</v>
      </c>
      <c r="G96" s="260">
        <f>SUM(G84:G87,G89:G95)</f>
        <v>0</v>
      </c>
      <c r="H96" s="254">
        <f>'Sources and Uses Budget'!T96</f>
        <v>0</v>
      </c>
      <c r="I96" s="254">
        <f>SUM(I84:I87,I89:I95)</f>
        <v>0</v>
      </c>
      <c r="J96" s="254">
        <f>SUM(J84:J87,J89:J95)</f>
        <v>0</v>
      </c>
      <c r="K96" s="252"/>
    </row>
    <row r="97" spans="1:11" s="253" customFormat="1">
      <c r="A97" s="258" t="s">
        <v>1928</v>
      </c>
      <c r="B97" s="254">
        <f>'Sources and Uses Budget'!C97</f>
        <v>40887246</v>
      </c>
      <c r="C97" s="254">
        <f>SUM(C63+C70+C77+C81+C96)</f>
        <v>40887246</v>
      </c>
      <c r="D97" s="254">
        <f>SUM(D63+D70+D77+D81+D96)</f>
        <v>0</v>
      </c>
      <c r="E97" s="254">
        <f>'Sources and Uses Budget'!S97</f>
        <v>37042829</v>
      </c>
      <c r="F97" s="260">
        <f>SUM(+F63+F70+F81+F96)</f>
        <v>37042829</v>
      </c>
      <c r="G97" s="260">
        <f>SUM(+G63+G70+G81+G96)</f>
        <v>0</v>
      </c>
      <c r="H97" s="254">
        <f>'Sources and Uses Budget'!T97</f>
        <v>0</v>
      </c>
      <c r="I97" s="260">
        <f>SUM(I63+I70+I81+I96)</f>
        <v>0</v>
      </c>
      <c r="J97" s="260">
        <f>SUM(J63+J70+J81+J96)</f>
        <v>0</v>
      </c>
      <c r="K97" s="252"/>
    </row>
    <row r="98" spans="1:11" s="253" customFormat="1" ht="12">
      <c r="A98" s="250" t="s">
        <v>1876</v>
      </c>
      <c r="B98" s="251"/>
      <c r="C98" s="251"/>
      <c r="D98" s="251"/>
      <c r="E98" s="251"/>
      <c r="F98" s="251"/>
      <c r="G98" s="251"/>
      <c r="H98" s="251"/>
      <c r="I98" s="251"/>
      <c r="J98" s="251"/>
      <c r="K98" s="252"/>
    </row>
    <row r="99" spans="1:11" s="253" customFormat="1">
      <c r="A99" s="181" t="s">
        <v>1877</v>
      </c>
      <c r="B99" s="254">
        <f>'Sources and Uses Budget'!C99</f>
        <v>5556424</v>
      </c>
      <c r="C99" s="255">
        <v>5556424</v>
      </c>
      <c r="D99" s="255"/>
      <c r="E99" s="254">
        <f>'Sources and Uses Budget'!S99</f>
        <v>5556424</v>
      </c>
      <c r="F99" s="255">
        <v>5556424</v>
      </c>
      <c r="G99" s="255"/>
      <c r="H99" s="254">
        <f>'Sources and Uses Budget'!T99</f>
        <v>0</v>
      </c>
      <c r="I99" s="255"/>
      <c r="J99" s="255"/>
      <c r="K99" s="252"/>
    </row>
    <row r="100" spans="1:11" s="253" customFormat="1">
      <c r="A100" s="181" t="s">
        <v>1878</v>
      </c>
      <c r="B100" s="254">
        <f>'Sources and Uses Budget'!C100</f>
        <v>0</v>
      </c>
      <c r="C100" s="255"/>
      <c r="D100" s="255"/>
      <c r="E100" s="254">
        <f>'Sources and Uses Budget'!S100</f>
        <v>0</v>
      </c>
      <c r="F100" s="255"/>
      <c r="G100" s="255"/>
      <c r="H100" s="254">
        <f>'Sources and Uses Budget'!T100</f>
        <v>0</v>
      </c>
      <c r="I100" s="255"/>
      <c r="J100" s="255"/>
      <c r="K100" s="252"/>
    </row>
    <row r="101" spans="1:11" s="253" customFormat="1">
      <c r="A101" s="181" t="s">
        <v>1879</v>
      </c>
      <c r="B101" s="254">
        <f>'Sources and Uses Budget'!C101</f>
        <v>0</v>
      </c>
      <c r="C101" s="255"/>
      <c r="D101" s="255"/>
      <c r="E101" s="254">
        <f>'Sources and Uses Budget'!S101</f>
        <v>0</v>
      </c>
      <c r="F101" s="255"/>
      <c r="G101" s="255"/>
      <c r="H101" s="254">
        <f>'Sources and Uses Budget'!T101</f>
        <v>0</v>
      </c>
      <c r="I101" s="255"/>
      <c r="J101" s="255"/>
      <c r="K101" s="252"/>
    </row>
    <row r="102" spans="1:11" s="253" customFormat="1" ht="12" customHeight="1">
      <c r="A102" s="181" t="s">
        <v>1880</v>
      </c>
      <c r="B102" s="254">
        <f>'Sources and Uses Budget'!C102</f>
        <v>0</v>
      </c>
      <c r="C102" s="255"/>
      <c r="D102" s="255"/>
      <c r="E102" s="254">
        <f>'Sources and Uses Budget'!S102</f>
        <v>0</v>
      </c>
      <c r="F102" s="255"/>
      <c r="G102" s="255"/>
      <c r="H102" s="254">
        <f>'Sources and Uses Budget'!T102</f>
        <v>0</v>
      </c>
      <c r="I102" s="255"/>
      <c r="J102" s="255"/>
      <c r="K102" s="252"/>
    </row>
    <row r="103" spans="1:11" s="253" customFormat="1">
      <c r="A103" s="257" t="str">
        <f>'Sources and Uses Budget'!$A103</f>
        <v>Other: (Specify)</v>
      </c>
      <c r="B103" s="254">
        <f>'Sources and Uses Budget'!C103</f>
        <v>0</v>
      </c>
      <c r="C103" s="255"/>
      <c r="D103" s="255"/>
      <c r="E103" s="254">
        <f>'Sources and Uses Budget'!S103</f>
        <v>0</v>
      </c>
      <c r="F103" s="255"/>
      <c r="G103" s="255"/>
      <c r="H103" s="254">
        <f>'Sources and Uses Budget'!T103</f>
        <v>0</v>
      </c>
      <c r="I103" s="255"/>
      <c r="J103" s="255"/>
      <c r="K103" s="252"/>
    </row>
    <row r="104" spans="1:11" s="253" customFormat="1">
      <c r="A104" s="258" t="s">
        <v>1881</v>
      </c>
      <c r="B104" s="254">
        <f>'Sources and Uses Budget'!C104</f>
        <v>5556424</v>
      </c>
      <c r="C104" s="254">
        <f>SUM(C99:C103)</f>
        <v>5556424</v>
      </c>
      <c r="D104" s="254">
        <f>SUM(D99:D103)</f>
        <v>0</v>
      </c>
      <c r="E104" s="254">
        <f>'Sources and Uses Budget'!S104</f>
        <v>5556424</v>
      </c>
      <c r="F104" s="260">
        <f>SUM(F99:F103)</f>
        <v>5556424</v>
      </c>
      <c r="G104" s="260">
        <f>SUM(G99:G103)</f>
        <v>0</v>
      </c>
      <c r="H104" s="254">
        <f>'Sources and Uses Budget'!T104</f>
        <v>0</v>
      </c>
      <c r="I104" s="260">
        <f>SUM(I99:I103)</f>
        <v>0</v>
      </c>
      <c r="J104" s="260">
        <f>SUM(J99:J103)</f>
        <v>0</v>
      </c>
      <c r="K104" s="252"/>
    </row>
    <row r="105" spans="1:11" s="253" customFormat="1">
      <c r="A105" s="258" t="s">
        <v>1929</v>
      </c>
      <c r="B105" s="254">
        <f>'Sources and Uses Budget'!C105</f>
        <v>46443670</v>
      </c>
      <c r="C105" s="260">
        <f>SUM(C97+C104)</f>
        <v>46443670</v>
      </c>
      <c r="D105" s="260">
        <f>SUM(D97+D104)</f>
        <v>0</v>
      </c>
      <c r="E105" s="254">
        <f>'Sources and Uses Budget'!S105</f>
        <v>42599253</v>
      </c>
      <c r="F105" s="260">
        <f>F97+F104</f>
        <v>42599253</v>
      </c>
      <c r="G105" s="260">
        <f>G97+G104</f>
        <v>0</v>
      </c>
      <c r="H105" s="254">
        <f>'Sources and Uses Budget'!T105</f>
        <v>0</v>
      </c>
      <c r="I105" s="260">
        <f>I97+I104</f>
        <v>0</v>
      </c>
      <c r="J105" s="260">
        <f>J97+J104</f>
        <v>0</v>
      </c>
      <c r="K105" s="252"/>
    </row>
    <row r="106" spans="1:11" s="253" customFormat="1">
      <c r="A106" s="264"/>
      <c r="B106" s="265"/>
      <c r="C106" s="265"/>
      <c r="D106" s="265"/>
      <c r="E106" s="254">
        <f>'Sources and Uses Budget'!S106</f>
        <v>0</v>
      </c>
      <c r="F106" s="255"/>
      <c r="G106" s="255"/>
      <c r="H106" s="254">
        <f>'Sources and Uses Budget'!T106</f>
        <v>0</v>
      </c>
      <c r="I106" s="255"/>
      <c r="J106" s="255"/>
      <c r="K106" s="252"/>
    </row>
    <row r="107" spans="1:11" s="253" customFormat="1">
      <c r="A107" s="266"/>
      <c r="B107" s="267"/>
      <c r="C107" s="265"/>
      <c r="D107" s="332" t="s">
        <v>1930</v>
      </c>
      <c r="E107" s="254">
        <f>'Sources and Uses Budget'!S107</f>
        <v>42599253</v>
      </c>
      <c r="F107" s="260">
        <f>F105+F106</f>
        <v>42599253</v>
      </c>
      <c r="G107" s="260">
        <f>G105+G106</f>
        <v>0</v>
      </c>
      <c r="H107" s="254">
        <f>'Sources and Uses Budget'!T107</f>
        <v>0</v>
      </c>
      <c r="I107" s="260">
        <f>I105+I106</f>
        <v>0</v>
      </c>
      <c r="J107" s="260">
        <f>J105+J106</f>
        <v>0</v>
      </c>
      <c r="K107" s="252"/>
    </row>
    <row r="108" spans="1:11" s="253" customFormat="1">
      <c r="A108" s="266"/>
      <c r="B108" s="268"/>
      <c r="C108" s="268"/>
      <c r="D108" s="268"/>
      <c r="J108" s="269"/>
      <c r="K108" s="252"/>
    </row>
    <row r="109" spans="1:11" s="253" customFormat="1">
      <c r="A109" s="266"/>
      <c r="B109" s="268"/>
      <c r="C109" s="268"/>
      <c r="D109" s="268"/>
      <c r="J109" s="269"/>
      <c r="K109" s="252"/>
    </row>
    <row r="110" spans="1:11" s="253" customFormat="1">
      <c r="A110" s="266"/>
      <c r="B110" s="268"/>
      <c r="C110" s="268"/>
      <c r="D110" s="268"/>
      <c r="J110" s="269"/>
      <c r="K110" s="252"/>
    </row>
    <row r="111" spans="1:11" s="253" customFormat="1" ht="13">
      <c r="A111" s="1130"/>
      <c r="B111" s="268"/>
      <c r="C111" s="268"/>
      <c r="D111" s="268"/>
      <c r="J111" s="269"/>
      <c r="K111" s="252"/>
    </row>
    <row r="112" spans="1:11" s="253" customFormat="1" ht="13">
      <c r="A112" s="1130"/>
      <c r="B112" s="268"/>
      <c r="C112" s="268"/>
      <c r="D112" s="268"/>
      <c r="J112" s="269"/>
      <c r="K112" s="252"/>
    </row>
    <row r="113" spans="1:11" s="253" customFormat="1" ht="15">
      <c r="A113" s="270"/>
      <c r="B113" s="268"/>
      <c r="C113" s="268"/>
      <c r="D113" s="268"/>
      <c r="J113" s="269"/>
      <c r="K113" s="252"/>
    </row>
    <row r="114" spans="1:11" s="253" customFormat="1" ht="13">
      <c r="A114" s="1130"/>
      <c r="J114" s="269"/>
      <c r="K114" s="252"/>
    </row>
    <row r="115" spans="1:11" s="253" customFormat="1" ht="15">
      <c r="A115" s="270"/>
      <c r="J115" s="269"/>
      <c r="K115" s="252"/>
    </row>
    <row r="116" spans="1:11" s="253" customFormat="1" ht="15">
      <c r="A116" s="270"/>
      <c r="J116" s="269"/>
      <c r="K116" s="252"/>
    </row>
    <row r="117" spans="1:11" s="253" customFormat="1">
      <c r="B117" s="268"/>
      <c r="C117" s="268"/>
      <c r="D117" s="268"/>
      <c r="J117" s="269"/>
      <c r="K117" s="252"/>
    </row>
    <row r="118" spans="1:11" s="253" customFormat="1">
      <c r="J118" s="269"/>
      <c r="K118" s="252"/>
    </row>
    <row r="119" spans="1:11" s="253" customFormat="1">
      <c r="J119" s="269"/>
      <c r="K119" s="252"/>
    </row>
    <row r="120" spans="1:11" s="253" customFormat="1">
      <c r="J120" s="269"/>
      <c r="K120" s="252"/>
    </row>
    <row r="121" spans="1:11" s="253" customFormat="1" ht="15">
      <c r="A121" s="270"/>
      <c r="J121" s="269"/>
      <c r="K121" s="252"/>
    </row>
    <row r="122" spans="1:11" s="272" customFormat="1" ht="15.5">
      <c r="A122" s="271"/>
      <c r="J122" s="273"/>
      <c r="K122" s="274"/>
    </row>
    <row r="123" spans="1:11" s="253" customFormat="1">
      <c r="A123" s="275"/>
      <c r="J123" s="269"/>
      <c r="K123" s="252"/>
    </row>
    <row r="124" spans="1:11" s="253" customFormat="1">
      <c r="B124" s="276"/>
      <c r="D124" s="1804"/>
      <c r="E124" s="1287"/>
      <c r="F124" s="1287"/>
      <c r="G124" s="1287"/>
      <c r="H124" s="1287"/>
      <c r="I124" s="1287"/>
      <c r="J124" s="269"/>
      <c r="K124" s="252"/>
    </row>
    <row r="125" spans="1:11" s="253" customFormat="1" ht="12.5">
      <c r="A125" s="1140"/>
      <c r="B125" s="276"/>
      <c r="C125" s="1140"/>
      <c r="D125" s="1287"/>
      <c r="E125" s="1287"/>
      <c r="F125" s="1287"/>
      <c r="G125" s="1287"/>
      <c r="H125" s="1287"/>
      <c r="I125" s="1287"/>
      <c r="J125" s="269"/>
      <c r="K125" s="252"/>
    </row>
    <row r="126" spans="1:11" s="253" customFormat="1" ht="12.5">
      <c r="A126" s="1140"/>
      <c r="B126" s="276"/>
      <c r="C126" s="1140"/>
      <c r="D126" s="1287"/>
      <c r="E126" s="1287"/>
      <c r="F126" s="1287"/>
      <c r="G126" s="1287"/>
      <c r="H126" s="1287"/>
      <c r="I126" s="1287"/>
      <c r="J126" s="269"/>
      <c r="K126" s="252"/>
    </row>
    <row r="127" spans="1:11" s="253" customFormat="1" ht="12.5">
      <c r="A127" s="1140"/>
      <c r="B127" s="276"/>
      <c r="C127" s="1140"/>
      <c r="D127" s="277"/>
      <c r="E127" s="1140"/>
      <c r="F127" s="1140"/>
      <c r="G127" s="1140"/>
      <c r="J127" s="269"/>
      <c r="K127" s="252"/>
    </row>
    <row r="128" spans="1:11" s="253" customFormat="1" ht="12.5">
      <c r="A128" s="1140"/>
      <c r="B128" s="276"/>
      <c r="C128" s="1140"/>
      <c r="D128" s="277"/>
      <c r="E128" s="1140"/>
      <c r="F128" s="1140"/>
      <c r="G128" s="1140"/>
      <c r="J128" s="269"/>
      <c r="K128" s="252"/>
    </row>
    <row r="129" spans="1:11" s="253" customFormat="1" ht="12.5">
      <c r="A129" s="1140"/>
      <c r="B129" s="276"/>
      <c r="C129" s="1140"/>
      <c r="D129" s="1140"/>
      <c r="E129" s="1140"/>
      <c r="F129" s="1140"/>
      <c r="G129" s="1140"/>
      <c r="J129" s="269"/>
      <c r="K129" s="252"/>
    </row>
    <row r="130" spans="1:11" s="253" customFormat="1" ht="12.5">
      <c r="A130" s="1140"/>
      <c r="B130" s="276"/>
      <c r="C130" s="1140"/>
      <c r="D130" s="1140"/>
      <c r="E130" s="1140"/>
      <c r="F130" s="1140"/>
      <c r="G130" s="1140"/>
      <c r="J130" s="269"/>
      <c r="K130" s="252"/>
    </row>
    <row r="131" spans="1:11" s="253" customFormat="1" ht="12.5">
      <c r="A131" s="1140"/>
      <c r="B131" s="278"/>
      <c r="C131" s="1140"/>
      <c r="D131" s="1140"/>
      <c r="E131" s="1140"/>
      <c r="F131" s="1140"/>
      <c r="G131" s="1140"/>
      <c r="J131" s="269"/>
      <c r="K131" s="252"/>
    </row>
    <row r="132" spans="1:11" s="253" customFormat="1" ht="13">
      <c r="A132" s="279"/>
      <c r="B132" s="280"/>
      <c r="C132" s="1140"/>
      <c r="D132" s="281"/>
      <c r="E132" s="1140"/>
      <c r="F132" s="1140"/>
      <c r="G132" s="1140"/>
      <c r="J132" s="269"/>
      <c r="K132" s="252"/>
    </row>
    <row r="133" spans="1:11" s="253" customFormat="1" ht="12.5">
      <c r="A133" s="1181"/>
      <c r="B133" s="1140"/>
      <c r="C133" s="1140"/>
      <c r="D133" s="1140"/>
      <c r="E133" s="1140"/>
      <c r="F133" s="1140"/>
      <c r="G133" s="1140"/>
      <c r="J133" s="269"/>
      <c r="K133" s="252"/>
    </row>
    <row r="134" spans="1:11" s="253" customFormat="1" ht="12.5">
      <c r="A134" s="1181"/>
      <c r="B134" s="1140"/>
      <c r="C134" s="1140"/>
      <c r="D134" s="1140"/>
      <c r="E134" s="1140"/>
      <c r="F134" s="1140"/>
      <c r="G134" s="1140"/>
      <c r="J134" s="269"/>
      <c r="K134" s="252"/>
    </row>
    <row r="135" spans="1:11" s="253" customFormat="1" ht="12.5">
      <c r="A135" s="1122"/>
      <c r="B135" s="1140"/>
      <c r="C135" s="1140"/>
      <c r="D135" s="1140"/>
      <c r="E135" s="1140"/>
      <c r="F135" s="1140"/>
      <c r="G135" s="1140"/>
      <c r="J135" s="269"/>
      <c r="K135" s="252"/>
    </row>
    <row r="136" spans="1:11" s="253" customFormat="1" ht="13">
      <c r="A136" s="1130"/>
      <c r="B136" s="1140"/>
      <c r="C136" s="1140"/>
      <c r="D136" s="1140"/>
      <c r="E136" s="1140"/>
      <c r="F136" s="1140"/>
      <c r="G136" s="1140"/>
      <c r="J136" s="269"/>
      <c r="K136" s="252"/>
    </row>
    <row r="137" spans="1:11" ht="12.5">
      <c r="A137" s="1181"/>
      <c r="B137" s="1140"/>
      <c r="C137" s="1140"/>
      <c r="D137" s="1140"/>
      <c r="E137" s="1140"/>
      <c r="F137" s="1140"/>
      <c r="G137" s="1140"/>
    </row>
    <row r="138" spans="1:11" ht="12" customHeight="1">
      <c r="A138" s="1181"/>
      <c r="B138" s="1140"/>
      <c r="C138" s="1140"/>
      <c r="D138" s="1140"/>
      <c r="E138" s="1140"/>
      <c r="F138" s="1140"/>
      <c r="G138" s="1140"/>
    </row>
    <row r="139" spans="1:11" ht="12" customHeight="1">
      <c r="A139" s="1805"/>
      <c r="B139" s="1287"/>
      <c r="C139" s="1287"/>
      <c r="D139" s="249"/>
      <c r="E139" s="1140"/>
      <c r="F139" s="1140"/>
      <c r="G139" s="1140"/>
    </row>
    <row r="140" spans="1:11" ht="12" customHeight="1">
      <c r="A140" s="1248"/>
      <c r="B140" s="1248"/>
      <c r="C140" s="1248"/>
      <c r="D140" s="249"/>
      <c r="E140" s="1140"/>
      <c r="F140" s="1140"/>
      <c r="G140" s="1140"/>
    </row>
    <row r="141" spans="1:11" ht="12" customHeight="1">
      <c r="A141" s="1181"/>
      <c r="B141" s="1140"/>
      <c r="C141" s="1140"/>
      <c r="D141" s="249"/>
      <c r="E141" s="1140"/>
      <c r="F141" s="1140"/>
      <c r="G141" s="1140"/>
      <c r="H141" s="283"/>
      <c r="I141" s="283"/>
    </row>
    <row r="142" spans="1:11" ht="12" customHeight="1">
      <c r="A142" s="285"/>
      <c r="B142" s="249"/>
      <c r="C142" s="249"/>
      <c r="D142" s="249"/>
      <c r="E142" s="1140"/>
      <c r="F142" s="1140"/>
      <c r="G142" s="1140"/>
      <c r="H142" s="283"/>
      <c r="I142" s="283"/>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103" zoomScale="110" zoomScaleNormal="110" workbookViewId="0">
      <selection activeCell="T124" sqref="T124:W124"/>
    </sheetView>
  </sheetViews>
  <sheetFormatPr defaultColWidth="0" defaultRowHeight="12.5" zeroHeight="1"/>
  <cols>
    <col min="1" max="1" width="2.7265625" style="12" customWidth="1"/>
    <col min="2" max="3" width="2.453125" style="12" customWidth="1"/>
    <col min="4" max="4" width="3.1796875" style="12" customWidth="1"/>
    <col min="5" max="5" width="3.453125" style="12" customWidth="1"/>
    <col min="6" max="6" width="2.81640625" style="12" customWidth="1"/>
    <col min="7" max="14" width="2.453125" style="12" customWidth="1"/>
    <col min="15" max="15" width="2.81640625" style="12" customWidth="1"/>
    <col min="16" max="16" width="2.453125" style="12" customWidth="1"/>
    <col min="17" max="17" width="3.81640625" style="12" customWidth="1"/>
    <col min="18" max="18" width="4.453125" style="12" customWidth="1"/>
    <col min="19" max="19" width="3.26953125" style="12" customWidth="1"/>
    <col min="20" max="32" width="2.453125" style="12" customWidth="1"/>
    <col min="33" max="33" width="3.453125" style="12" customWidth="1"/>
    <col min="34" max="36" width="2.453125" style="12" customWidth="1"/>
    <col min="37" max="37" width="5.453125" style="12" customWidth="1"/>
    <col min="38" max="38" width="2.453125" style="12" customWidth="1"/>
    <col min="39" max="39" width="3.453125" style="12" customWidth="1"/>
    <col min="40" max="40" width="5.453125" style="403" customWidth="1"/>
    <col min="41" max="41" width="5.453125" style="24" hidden="1" customWidth="1"/>
    <col min="42" max="45" width="5.453125" style="12" hidden="1" customWidth="1"/>
    <col min="46" max="46" width="10.81640625" style="12" hidden="1" customWidth="1"/>
    <col min="47" max="48" width="5.453125" style="12" hidden="1" customWidth="1"/>
    <col min="49" max="49" width="8.7265625" style="12" hidden="1" customWidth="1"/>
    <col min="50" max="50" width="7.453125" style="12" hidden="1" customWidth="1"/>
    <col min="51" max="55" width="5.453125" style="12" hidden="1" customWidth="1"/>
    <col min="56" max="60" width="5.453125" style="26" hidden="1" customWidth="1"/>
    <col min="61" max="81" width="5.453125" style="12" hidden="1" customWidth="1"/>
    <col min="82" max="16384" width="9.1796875" style="12" hidden="1"/>
  </cols>
  <sheetData>
    <row r="1" spans="1:42" ht="15.75" customHeight="1">
      <c r="A1" s="1841" t="s">
        <v>1931</v>
      </c>
      <c r="B1" s="1841"/>
      <c r="C1" s="1841"/>
      <c r="D1" s="1841"/>
      <c r="E1" s="1841"/>
      <c r="F1" s="1841"/>
      <c r="G1" s="1841"/>
      <c r="H1" s="1841"/>
      <c r="I1" s="1841"/>
      <c r="J1" s="1841"/>
      <c r="K1" s="1841"/>
      <c r="L1" s="1841"/>
      <c r="M1" s="1841"/>
      <c r="N1" s="1841"/>
      <c r="O1" s="1841"/>
      <c r="P1" s="1841"/>
      <c r="Q1" s="1841"/>
      <c r="R1" s="1841"/>
      <c r="S1" s="1841"/>
      <c r="T1" s="1841"/>
      <c r="U1" s="1841"/>
      <c r="V1" s="1841"/>
      <c r="W1" s="1841"/>
      <c r="X1" s="1841"/>
      <c r="Y1" s="1841"/>
      <c r="Z1" s="1841"/>
      <c r="AA1" s="1841"/>
      <c r="AB1" s="1841"/>
      <c r="AC1" s="1841"/>
      <c r="AD1" s="1841"/>
      <c r="AE1" s="1841"/>
      <c r="AF1" s="1841"/>
      <c r="AG1" s="1841"/>
      <c r="AH1" s="1841"/>
      <c r="AI1" s="1841"/>
      <c r="AJ1" s="1841"/>
      <c r="AK1" s="1841"/>
      <c r="AL1" s="1841"/>
      <c r="AM1" s="1841"/>
    </row>
    <row r="2" spans="1:42" s="405" customFormat="1" ht="12.75" customHeight="1" thickBot="1">
      <c r="A2" s="1842"/>
      <c r="B2" s="1842"/>
      <c r="C2" s="1842"/>
      <c r="D2" s="1842"/>
      <c r="E2" s="1842"/>
      <c r="F2" s="1842"/>
      <c r="G2" s="1842"/>
      <c r="H2" s="1842"/>
      <c r="I2" s="1842"/>
      <c r="J2" s="1842"/>
      <c r="K2" s="1842"/>
      <c r="L2" s="1842"/>
      <c r="M2" s="1842"/>
      <c r="N2" s="1842"/>
      <c r="O2" s="1842"/>
      <c r="P2" s="1842"/>
      <c r="Q2" s="1842"/>
      <c r="R2" s="1842"/>
      <c r="S2" s="1842"/>
      <c r="T2" s="1842"/>
      <c r="U2" s="1842"/>
      <c r="V2" s="1842"/>
      <c r="W2" s="1842"/>
      <c r="X2" s="1842"/>
      <c r="Y2" s="1842"/>
      <c r="Z2" s="1842"/>
      <c r="AA2" s="1842"/>
      <c r="AB2" s="1842"/>
      <c r="AC2" s="1842"/>
      <c r="AD2" s="1842"/>
      <c r="AE2" s="1842"/>
      <c r="AF2" s="1842"/>
      <c r="AG2" s="1842"/>
      <c r="AH2" s="1842"/>
      <c r="AI2" s="1842"/>
      <c r="AJ2" s="1842"/>
      <c r="AK2" s="1842"/>
      <c r="AL2" s="1842"/>
      <c r="AM2" s="1842"/>
      <c r="AN2" s="404"/>
    </row>
    <row r="3" spans="1:42" s="405" customFormat="1" ht="12.75" customHeight="1" thickTop="1">
      <c r="A3" s="406"/>
      <c r="B3" s="406"/>
      <c r="C3" s="406"/>
      <c r="D3" s="406"/>
      <c r="E3" s="406"/>
      <c r="F3" s="406"/>
      <c r="G3" s="406"/>
      <c r="H3" s="406"/>
      <c r="I3" s="406"/>
      <c r="J3" s="406"/>
      <c r="K3" s="406"/>
      <c r="L3" s="406"/>
      <c r="M3" s="406"/>
      <c r="N3" s="406"/>
      <c r="O3" s="406"/>
      <c r="P3" s="406"/>
      <c r="Q3" s="406"/>
      <c r="R3" s="406"/>
      <c r="S3" s="406"/>
      <c r="T3" s="406"/>
      <c r="U3" s="406"/>
      <c r="V3" s="406"/>
      <c r="W3" s="406"/>
      <c r="X3" s="406"/>
      <c r="Y3" s="406"/>
      <c r="Z3" s="406"/>
      <c r="AA3" s="406"/>
      <c r="AB3" s="406"/>
      <c r="AC3" s="406"/>
      <c r="AD3" s="406"/>
      <c r="AE3" s="406"/>
      <c r="AF3" s="406"/>
      <c r="AG3" s="406"/>
      <c r="AH3" s="406"/>
      <c r="AI3" s="406"/>
      <c r="AJ3" s="406"/>
      <c r="AK3" s="406"/>
      <c r="AL3" s="406"/>
      <c r="AM3" s="406"/>
      <c r="AN3" s="404"/>
    </row>
    <row r="4" spans="1:42" s="405" customFormat="1" ht="12.75" customHeight="1">
      <c r="A4" s="407" t="s">
        <v>1932</v>
      </c>
      <c r="B4" s="408" t="s">
        <v>1933</v>
      </c>
      <c r="C4" s="409"/>
      <c r="D4" s="409"/>
      <c r="E4" s="409"/>
      <c r="F4" s="409"/>
      <c r="G4" s="409"/>
      <c r="H4" s="409"/>
      <c r="I4" s="409"/>
      <c r="J4" s="409"/>
      <c r="K4" s="409"/>
      <c r="L4" s="409"/>
      <c r="M4" s="409"/>
      <c r="N4" s="409"/>
      <c r="O4" s="409"/>
      <c r="P4" s="409"/>
      <c r="Q4" s="409"/>
      <c r="R4" s="409"/>
      <c r="S4" s="409"/>
      <c r="T4" s="409"/>
      <c r="U4" s="409"/>
      <c r="V4" s="409"/>
      <c r="W4" s="409"/>
      <c r="X4" s="409"/>
      <c r="Y4" s="409"/>
      <c r="Z4" s="409"/>
      <c r="AA4" s="409"/>
      <c r="AB4" s="409"/>
      <c r="AC4" s="409"/>
      <c r="AD4" s="409"/>
      <c r="AE4" s="409"/>
      <c r="AF4" s="409"/>
      <c r="AG4" s="409"/>
      <c r="AH4" s="409"/>
      <c r="AI4" s="409"/>
      <c r="AJ4" s="409"/>
      <c r="AK4" s="409"/>
      <c r="AL4" s="409"/>
      <c r="AM4" s="409"/>
      <c r="AN4" s="404"/>
    </row>
    <row r="5" spans="1:42" s="405" customFormat="1" ht="12.75" customHeight="1" thickBot="1">
      <c r="A5" s="407"/>
      <c r="B5" s="408"/>
      <c r="C5" s="409"/>
      <c r="D5" s="409"/>
      <c r="E5" s="409"/>
      <c r="F5" s="409"/>
      <c r="G5" s="409"/>
      <c r="H5" s="409"/>
      <c r="I5" s="409"/>
      <c r="J5" s="409"/>
      <c r="K5" s="409"/>
      <c r="L5" s="409"/>
      <c r="M5" s="409"/>
      <c r="N5" s="409"/>
      <c r="O5" s="409"/>
      <c r="P5" s="409"/>
      <c r="Q5" s="409"/>
      <c r="R5" s="409"/>
      <c r="S5" s="409"/>
      <c r="T5" s="409"/>
      <c r="U5" s="409"/>
      <c r="V5" s="409"/>
      <c r="W5" s="409"/>
      <c r="X5" s="409"/>
      <c r="Y5" s="409"/>
      <c r="Z5" s="409"/>
      <c r="AA5" s="409"/>
      <c r="AB5" s="409"/>
      <c r="AC5" s="409"/>
      <c r="AD5" s="409"/>
      <c r="AE5" s="409"/>
      <c r="AF5" s="409"/>
      <c r="AG5" s="409"/>
      <c r="AH5" s="409"/>
      <c r="AI5" s="409"/>
      <c r="AJ5" s="409"/>
      <c r="AK5" s="409"/>
      <c r="AL5" s="409"/>
      <c r="AM5" s="409"/>
      <c r="AN5" s="404"/>
    </row>
    <row r="6" spans="1:42" s="405" customFormat="1" ht="12.75" customHeight="1" thickTop="1">
      <c r="A6" s="410"/>
      <c r="B6" s="410"/>
      <c r="C6" s="410"/>
      <c r="D6" s="410"/>
      <c r="E6" s="410"/>
      <c r="F6" s="410"/>
      <c r="G6" s="410"/>
      <c r="H6" s="410"/>
      <c r="I6" s="410"/>
      <c r="J6" s="410"/>
      <c r="K6" s="410"/>
      <c r="L6" s="410"/>
      <c r="M6" s="410"/>
      <c r="N6" s="410"/>
      <c r="O6" s="410"/>
      <c r="P6" s="410"/>
      <c r="Q6" s="410"/>
      <c r="R6" s="410"/>
      <c r="S6" s="410"/>
      <c r="T6" s="410"/>
      <c r="U6" s="410"/>
      <c r="V6" s="410"/>
      <c r="W6" s="410"/>
      <c r="X6" s="410"/>
      <c r="Y6" s="410"/>
      <c r="Z6" s="410"/>
      <c r="AA6" s="410"/>
      <c r="AB6" s="410"/>
      <c r="AC6" s="410"/>
      <c r="AD6" s="410"/>
      <c r="AE6" s="410"/>
      <c r="AF6" s="410"/>
      <c r="AG6" s="410"/>
      <c r="AH6" s="410"/>
      <c r="AI6" s="410"/>
      <c r="AJ6" s="410"/>
      <c r="AK6" s="410"/>
      <c r="AL6" s="410"/>
      <c r="AM6" s="411"/>
      <c r="AN6" s="404"/>
    </row>
    <row r="7" spans="1:42" s="405" customFormat="1" ht="12.75" customHeight="1">
      <c r="A7" s="407" t="s">
        <v>1934</v>
      </c>
      <c r="B7" s="408" t="s">
        <v>1935</v>
      </c>
      <c r="C7" s="408"/>
      <c r="D7" s="408"/>
      <c r="E7" s="408"/>
      <c r="F7" s="408"/>
      <c r="G7" s="408"/>
      <c r="H7" s="408"/>
      <c r="I7" s="408"/>
      <c r="J7" s="408"/>
      <c r="K7" s="408"/>
      <c r="L7" s="408"/>
      <c r="M7" s="408"/>
      <c r="N7" s="408"/>
      <c r="O7" s="408"/>
      <c r="P7" s="408"/>
      <c r="Q7" s="408"/>
      <c r="R7" s="408"/>
      <c r="S7" s="408"/>
      <c r="T7" s="408"/>
      <c r="U7" s="408"/>
      <c r="V7" s="408"/>
      <c r="W7" s="408"/>
      <c r="X7" s="408"/>
      <c r="Y7" s="408"/>
      <c r="Z7" s="408"/>
      <c r="AA7" s="408"/>
      <c r="AB7" s="408"/>
      <c r="AC7" s="408"/>
      <c r="AD7" s="408"/>
      <c r="AE7" s="1825" t="s">
        <v>1936</v>
      </c>
      <c r="AF7" s="1825"/>
      <c r="AG7" s="1825"/>
      <c r="AH7" s="1825"/>
      <c r="AI7" s="1825"/>
      <c r="AJ7" s="1825"/>
      <c r="AK7" s="1825"/>
      <c r="AL7" s="409"/>
      <c r="AM7" s="409"/>
      <c r="AN7" s="404"/>
    </row>
    <row r="8" spans="1:42" s="405" customFormat="1" ht="12.75" customHeight="1">
      <c r="A8" s="407"/>
      <c r="B8" s="408" t="s">
        <v>1937</v>
      </c>
      <c r="C8" s="408"/>
      <c r="D8" s="408"/>
      <c r="E8" s="408"/>
      <c r="F8" s="408"/>
      <c r="G8" s="408"/>
      <c r="H8" s="408"/>
      <c r="I8" s="408"/>
      <c r="J8" s="408"/>
      <c r="K8" s="408"/>
      <c r="L8" s="408"/>
      <c r="M8" s="408"/>
      <c r="N8" s="408"/>
      <c r="O8" s="408"/>
      <c r="P8" s="408"/>
      <c r="Q8" s="408"/>
      <c r="R8" s="408"/>
      <c r="S8" s="408"/>
      <c r="T8" s="408"/>
      <c r="U8" s="408"/>
      <c r="V8" s="408"/>
      <c r="W8" s="408"/>
      <c r="X8" s="408"/>
      <c r="Y8" s="408"/>
      <c r="Z8" s="408"/>
      <c r="AA8" s="408"/>
      <c r="AB8" s="408"/>
      <c r="AC8" s="408"/>
      <c r="AD8" s="408"/>
      <c r="AE8" s="1183"/>
      <c r="AF8" s="1183"/>
      <c r="AG8" s="1183"/>
      <c r="AH8" s="1183"/>
      <c r="AI8" s="1183"/>
      <c r="AJ8" s="1183"/>
      <c r="AK8" s="1183"/>
      <c r="AL8" s="409"/>
      <c r="AM8" s="409"/>
      <c r="AN8" s="404"/>
    </row>
    <row r="9" spans="1:42" s="405" customFormat="1" ht="12.75" customHeight="1">
      <c r="A9" s="407"/>
      <c r="B9" s="408"/>
      <c r="C9" s="408"/>
      <c r="D9" s="408"/>
      <c r="E9" s="408"/>
      <c r="F9" s="408"/>
      <c r="G9" s="408"/>
      <c r="H9" s="408"/>
      <c r="I9" s="408"/>
      <c r="J9" s="408"/>
      <c r="K9" s="408"/>
      <c r="L9" s="408"/>
      <c r="M9" s="408"/>
      <c r="N9" s="408"/>
      <c r="O9" s="408"/>
      <c r="P9" s="408"/>
      <c r="Q9" s="408"/>
      <c r="R9" s="408"/>
      <c r="S9" s="408"/>
      <c r="T9" s="408"/>
      <c r="U9" s="408"/>
      <c r="V9" s="408"/>
      <c r="W9" s="408"/>
      <c r="X9" s="408"/>
      <c r="Y9" s="408"/>
      <c r="Z9" s="408"/>
      <c r="AA9" s="408"/>
      <c r="AB9" s="408"/>
      <c r="AC9" s="408"/>
      <c r="AD9" s="408"/>
      <c r="AE9" s="1183"/>
      <c r="AF9" s="1183"/>
      <c r="AG9" s="1183"/>
      <c r="AH9" s="1183"/>
      <c r="AI9" s="1183"/>
      <c r="AJ9" s="1183"/>
      <c r="AK9" s="1183"/>
      <c r="AL9" s="409"/>
      <c r="AM9" s="409"/>
      <c r="AN9" s="404"/>
    </row>
    <row r="10" spans="1:42" s="405" customFormat="1" ht="12.75" customHeight="1">
      <c r="A10" s="407"/>
      <c r="B10" s="408" t="s">
        <v>1938</v>
      </c>
      <c r="C10" s="408"/>
      <c r="D10" s="408"/>
      <c r="E10" s="408"/>
      <c r="F10" s="408"/>
      <c r="G10" s="408"/>
      <c r="H10" s="408"/>
      <c r="I10" s="408"/>
      <c r="J10" s="408"/>
      <c r="K10" s="408"/>
      <c r="L10" s="408"/>
      <c r="M10" s="408"/>
      <c r="N10" s="408"/>
      <c r="O10" s="408"/>
      <c r="P10" s="408"/>
      <c r="Q10" s="408"/>
      <c r="R10" s="408"/>
      <c r="S10" s="408"/>
      <c r="T10" s="408"/>
      <c r="U10" s="408"/>
      <c r="V10" s="408"/>
      <c r="W10" s="408"/>
      <c r="X10" s="408"/>
      <c r="Y10" s="408"/>
      <c r="Z10" s="408"/>
      <c r="AA10" s="408"/>
      <c r="AB10" s="408"/>
      <c r="AC10" s="408"/>
      <c r="AD10" s="408"/>
      <c r="AE10" s="1183"/>
      <c r="AF10" s="1183"/>
      <c r="AG10" s="1183"/>
      <c r="AH10" s="1183"/>
      <c r="AI10" s="1183"/>
      <c r="AJ10" s="1183"/>
      <c r="AK10" s="1183"/>
      <c r="AL10" s="409"/>
      <c r="AM10" s="409"/>
      <c r="AN10" s="404"/>
    </row>
    <row r="11" spans="1:42" s="405" customFormat="1" ht="12.75" customHeight="1">
      <c r="A11" s="409"/>
      <c r="C11" s="953" t="s">
        <v>1939</v>
      </c>
      <c r="D11" s="953"/>
      <c r="E11" s="953"/>
      <c r="F11" s="953"/>
      <c r="G11" s="953"/>
      <c r="H11" s="953"/>
      <c r="I11" s="953"/>
      <c r="J11" s="953"/>
      <c r="K11" s="953"/>
      <c r="L11" s="953"/>
      <c r="M11" s="953"/>
      <c r="N11" s="953"/>
      <c r="O11" s="953"/>
      <c r="P11" s="953"/>
      <c r="Q11" s="953"/>
      <c r="R11" s="953"/>
      <c r="S11" s="953"/>
      <c r="T11" s="953"/>
      <c r="U11" s="953"/>
      <c r="V11" s="953"/>
      <c r="W11" s="953"/>
      <c r="X11" s="953"/>
      <c r="Y11" s="953"/>
      <c r="Z11" s="953"/>
      <c r="AA11" s="953"/>
      <c r="AB11" s="953"/>
      <c r="AC11" s="953"/>
      <c r="AD11" s="953"/>
      <c r="AE11" s="953"/>
      <c r="AF11" s="953"/>
      <c r="AG11" s="953"/>
      <c r="AH11" s="953"/>
      <c r="AI11" s="953"/>
      <c r="AJ11" s="953"/>
      <c r="AK11" s="409"/>
      <c r="AL11" s="409"/>
      <c r="AM11" s="409"/>
      <c r="AN11" s="404"/>
      <c r="AO11" s="1115"/>
      <c r="AP11" s="413"/>
    </row>
    <row r="12" spans="1:42" s="405" customFormat="1" ht="12.75" customHeight="1">
      <c r="A12" s="409"/>
      <c r="B12" s="414"/>
      <c r="C12" s="409"/>
      <c r="D12" s="409"/>
      <c r="E12" s="409"/>
      <c r="F12" s="409"/>
      <c r="G12" s="409"/>
      <c r="H12" s="409"/>
      <c r="I12" s="409"/>
      <c r="J12" s="409"/>
      <c r="K12" s="409"/>
      <c r="L12" s="409"/>
      <c r="M12" s="409"/>
      <c r="N12" s="409"/>
      <c r="O12" s="409"/>
      <c r="P12" s="409"/>
      <c r="Q12" s="409"/>
      <c r="R12" s="409"/>
      <c r="S12" s="409"/>
      <c r="T12" s="409"/>
      <c r="U12" s="409"/>
      <c r="V12" s="409"/>
      <c r="W12" s="409"/>
      <c r="X12" s="409"/>
      <c r="Y12" s="409"/>
      <c r="Z12" s="409"/>
      <c r="AA12" s="409"/>
      <c r="AB12" s="409"/>
      <c r="AC12" s="409"/>
      <c r="AD12" s="409"/>
      <c r="AE12" s="409"/>
      <c r="AF12" s="409"/>
      <c r="AG12" s="409"/>
      <c r="AH12" s="409"/>
      <c r="AI12" s="409"/>
      <c r="AJ12" s="409"/>
      <c r="AK12" s="409"/>
      <c r="AL12" s="409"/>
      <c r="AM12" s="409"/>
      <c r="AN12" s="404"/>
      <c r="AP12" s="12"/>
    </row>
    <row r="13" spans="1:42" s="405" customFormat="1" ht="12.75" customHeight="1">
      <c r="A13" s="409"/>
      <c r="B13" s="1815" t="s">
        <v>299</v>
      </c>
      <c r="C13" s="1815"/>
      <c r="D13" s="415"/>
      <c r="E13" s="416" t="s">
        <v>1940</v>
      </c>
      <c r="F13" s="417"/>
      <c r="G13" s="417"/>
      <c r="H13" s="417"/>
      <c r="I13" s="417"/>
      <c r="J13" s="417"/>
      <c r="K13" s="417"/>
      <c r="L13" s="417"/>
      <c r="M13" s="417"/>
      <c r="N13" s="417"/>
      <c r="O13" s="417"/>
      <c r="P13" s="417"/>
      <c r="Q13" s="417"/>
      <c r="R13" s="417"/>
      <c r="S13" s="417"/>
      <c r="T13" s="417"/>
      <c r="U13" s="417"/>
      <c r="V13" s="417"/>
      <c r="W13" s="417"/>
      <c r="X13" s="417"/>
      <c r="Y13" s="417"/>
      <c r="Z13" s="417"/>
      <c r="AA13" s="417"/>
      <c r="AB13" s="417"/>
      <c r="AC13" s="417"/>
      <c r="AD13" s="417"/>
      <c r="AE13" s="417"/>
      <c r="AF13" s="417"/>
      <c r="AG13" s="1843"/>
      <c r="AH13" s="1843"/>
      <c r="AI13" s="1843"/>
      <c r="AJ13" s="1844"/>
      <c r="AK13" s="409"/>
      <c r="AL13" s="409"/>
      <c r="AM13" s="409"/>
      <c r="AN13" s="404"/>
      <c r="AO13" s="418">
        <f>IF($B13="yes",20,0)</f>
        <v>0</v>
      </c>
      <c r="AP13" s="12"/>
    </row>
    <row r="14" spans="1:42" s="405" customFormat="1" ht="12.75" customHeight="1">
      <c r="A14" s="409"/>
      <c r="B14" s="409"/>
      <c r="C14" s="409"/>
      <c r="D14" s="12"/>
      <c r="E14" s="409"/>
      <c r="F14" s="409"/>
      <c r="G14" s="409"/>
      <c r="H14" s="409"/>
      <c r="I14" s="409"/>
      <c r="J14" s="409"/>
      <c r="K14" s="409"/>
      <c r="L14" s="409"/>
      <c r="M14" s="409"/>
      <c r="N14" s="409"/>
      <c r="O14" s="409"/>
      <c r="P14" s="409"/>
      <c r="Q14" s="409"/>
      <c r="R14" s="409"/>
      <c r="S14" s="409"/>
      <c r="T14" s="409"/>
      <c r="U14" s="409"/>
      <c r="V14" s="409"/>
      <c r="W14" s="409"/>
      <c r="X14" s="409"/>
      <c r="Y14" s="409"/>
      <c r="Z14" s="409"/>
      <c r="AA14" s="409"/>
      <c r="AB14" s="409"/>
      <c r="AC14" s="409"/>
      <c r="AD14" s="409"/>
      <c r="AE14" s="409"/>
      <c r="AF14" s="409"/>
      <c r="AG14" s="409"/>
      <c r="AH14" s="409"/>
      <c r="AI14" s="409"/>
      <c r="AJ14" s="409"/>
      <c r="AK14" s="409"/>
      <c r="AL14" s="409"/>
      <c r="AM14" s="409"/>
      <c r="AN14" s="404"/>
      <c r="AO14" s="418">
        <f>IF(AND($B16="yes",E20&gt;0),20,0)</f>
        <v>0</v>
      </c>
      <c r="AP14" s="12"/>
    </row>
    <row r="15" spans="1:42" s="405" customFormat="1" ht="12.75" customHeight="1">
      <c r="A15" s="409"/>
      <c r="B15" s="409"/>
      <c r="C15" s="409"/>
      <c r="D15" s="418"/>
      <c r="E15" s="409"/>
      <c r="F15" s="409"/>
      <c r="G15" s="409"/>
      <c r="H15" s="409"/>
      <c r="I15" s="409"/>
      <c r="J15" s="409"/>
      <c r="K15" s="409"/>
      <c r="L15" s="409"/>
      <c r="M15" s="409"/>
      <c r="N15" s="409"/>
      <c r="O15" s="409"/>
      <c r="P15" s="409"/>
      <c r="Q15" s="409"/>
      <c r="R15" s="409"/>
      <c r="S15" s="409"/>
      <c r="T15" s="409"/>
      <c r="U15" s="409"/>
      <c r="V15" s="409"/>
      <c r="W15" s="409"/>
      <c r="X15" s="409"/>
      <c r="Y15" s="409"/>
      <c r="Z15" s="409"/>
      <c r="AA15" s="409"/>
      <c r="AB15" s="409"/>
      <c r="AC15" s="409"/>
      <c r="AD15" s="409"/>
      <c r="AE15" s="409"/>
      <c r="AF15" s="409"/>
      <c r="AG15" s="409"/>
      <c r="AH15" s="409"/>
      <c r="AI15" s="409"/>
      <c r="AJ15" s="409"/>
      <c r="AK15" s="409"/>
      <c r="AL15" s="409"/>
      <c r="AM15" s="409"/>
      <c r="AN15" s="404"/>
      <c r="AO15" s="418">
        <f>IF($B22="yes",20,0)</f>
        <v>0</v>
      </c>
      <c r="AP15" s="12"/>
    </row>
    <row r="16" spans="1:42" s="405" customFormat="1" ht="12.75" customHeight="1">
      <c r="A16" s="409"/>
      <c r="B16" s="1815" t="s">
        <v>299</v>
      </c>
      <c r="C16" s="1815"/>
      <c r="D16" s="415"/>
      <c r="E16" s="1826" t="s">
        <v>1941</v>
      </c>
      <c r="F16" s="1827"/>
      <c r="G16" s="1827"/>
      <c r="H16" s="1827"/>
      <c r="I16" s="1827"/>
      <c r="J16" s="1827"/>
      <c r="K16" s="1827"/>
      <c r="L16" s="1827"/>
      <c r="M16" s="1827"/>
      <c r="N16" s="1827"/>
      <c r="O16" s="1827"/>
      <c r="P16" s="1827"/>
      <c r="Q16" s="1827"/>
      <c r="R16" s="1827"/>
      <c r="S16" s="1827"/>
      <c r="T16" s="1827"/>
      <c r="U16" s="1827"/>
      <c r="V16" s="1827"/>
      <c r="W16" s="1827"/>
      <c r="X16" s="1827"/>
      <c r="Y16" s="1827"/>
      <c r="Z16" s="1827"/>
      <c r="AA16" s="1827"/>
      <c r="AB16" s="1827"/>
      <c r="AC16" s="1827"/>
      <c r="AD16" s="1827"/>
      <c r="AE16" s="1827"/>
      <c r="AF16" s="1827"/>
      <c r="AG16" s="1827"/>
      <c r="AH16" s="1827"/>
      <c r="AI16" s="1827"/>
      <c r="AJ16" s="1828"/>
      <c r="AK16" s="409"/>
      <c r="AL16" s="409"/>
      <c r="AM16" s="409"/>
      <c r="AN16" s="404"/>
      <c r="AO16" s="418">
        <f>IF($B25="yes",20,0)</f>
        <v>0</v>
      </c>
      <c r="AP16" s="12"/>
    </row>
    <row r="17" spans="1:42" s="405" customFormat="1" ht="12.75" customHeight="1">
      <c r="A17" s="409"/>
      <c r="B17" s="409"/>
      <c r="C17" s="409"/>
      <c r="D17" s="419"/>
      <c r="E17" s="1829"/>
      <c r="F17" s="1830"/>
      <c r="G17" s="1830"/>
      <c r="H17" s="1830"/>
      <c r="I17" s="1830"/>
      <c r="J17" s="1830"/>
      <c r="K17" s="1830"/>
      <c r="L17" s="1830"/>
      <c r="M17" s="1830"/>
      <c r="N17" s="1830"/>
      <c r="O17" s="1830"/>
      <c r="P17" s="1830"/>
      <c r="Q17" s="1830"/>
      <c r="R17" s="1830"/>
      <c r="S17" s="1830"/>
      <c r="T17" s="1830"/>
      <c r="U17" s="1830"/>
      <c r="V17" s="1830"/>
      <c r="W17" s="1830"/>
      <c r="X17" s="1830"/>
      <c r="Y17" s="1830"/>
      <c r="Z17" s="1830"/>
      <c r="AA17" s="1830"/>
      <c r="AB17" s="1830"/>
      <c r="AC17" s="1830"/>
      <c r="AD17" s="1830"/>
      <c r="AE17" s="1830"/>
      <c r="AF17" s="1830"/>
      <c r="AG17" s="1830"/>
      <c r="AH17" s="1830"/>
      <c r="AI17" s="1830"/>
      <c r="AJ17" s="1831"/>
      <c r="AK17" s="409"/>
      <c r="AL17" s="409"/>
      <c r="AM17" s="409"/>
      <c r="AN17" s="404"/>
      <c r="AO17" s="405">
        <f>IF(SUM(AO13:AO16)&gt;20,20,(SUM(AO13:AO16)))</f>
        <v>0</v>
      </c>
      <c r="AP17" s="405" t="s">
        <v>1942</v>
      </c>
    </row>
    <row r="18" spans="1:42" s="405" customFormat="1" ht="12.75" customHeight="1">
      <c r="A18" s="409"/>
      <c r="B18" s="409"/>
      <c r="C18" s="409"/>
      <c r="D18" s="419"/>
      <c r="E18" s="1829"/>
      <c r="F18" s="1830"/>
      <c r="G18" s="1830"/>
      <c r="H18" s="1830"/>
      <c r="I18" s="1830"/>
      <c r="J18" s="1830"/>
      <c r="K18" s="1830"/>
      <c r="L18" s="1830"/>
      <c r="M18" s="1830"/>
      <c r="N18" s="1830"/>
      <c r="O18" s="1830"/>
      <c r="P18" s="1830"/>
      <c r="Q18" s="1830"/>
      <c r="R18" s="1830"/>
      <c r="S18" s="1830"/>
      <c r="T18" s="1830"/>
      <c r="U18" s="1830"/>
      <c r="V18" s="1830"/>
      <c r="W18" s="1830"/>
      <c r="X18" s="1830"/>
      <c r="Y18" s="1830"/>
      <c r="Z18" s="1830"/>
      <c r="AA18" s="1830"/>
      <c r="AB18" s="1830"/>
      <c r="AC18" s="1830"/>
      <c r="AD18" s="1830"/>
      <c r="AE18" s="1830"/>
      <c r="AF18" s="1830"/>
      <c r="AG18" s="1830"/>
      <c r="AH18" s="1830"/>
      <c r="AI18" s="1830"/>
      <c r="AJ18" s="1831"/>
      <c r="AK18" s="409"/>
      <c r="AL18" s="409"/>
      <c r="AM18" s="409"/>
      <c r="AN18" s="404"/>
    </row>
    <row r="19" spans="1:42" s="405" customFormat="1" ht="12.75" customHeight="1">
      <c r="A19" s="409"/>
      <c r="B19" s="409"/>
      <c r="C19" s="409"/>
      <c r="D19" s="419"/>
      <c r="E19" s="420" t="s">
        <v>1943</v>
      </c>
      <c r="F19" s="1185"/>
      <c r="G19" s="1185"/>
      <c r="H19" s="1185"/>
      <c r="I19" s="1185"/>
      <c r="J19" s="1185"/>
      <c r="K19" s="1185"/>
      <c r="L19" s="1185"/>
      <c r="M19" s="1185"/>
      <c r="N19" s="1185"/>
      <c r="O19" s="1185"/>
      <c r="P19" s="1185"/>
      <c r="Q19" s="1185"/>
      <c r="R19" s="1185"/>
      <c r="S19" s="1185"/>
      <c r="T19" s="1185"/>
      <c r="U19" s="1185"/>
      <c r="V19" s="1185"/>
      <c r="W19" s="1185"/>
      <c r="X19" s="1185"/>
      <c r="Y19" s="1185"/>
      <c r="Z19" s="1185"/>
      <c r="AA19" s="1185"/>
      <c r="AB19" s="1185"/>
      <c r="AC19" s="1185"/>
      <c r="AD19" s="1185"/>
      <c r="AE19" s="1185"/>
      <c r="AF19" s="1185"/>
      <c r="AG19" s="1185"/>
      <c r="AH19" s="1185"/>
      <c r="AI19" s="1185"/>
      <c r="AJ19" s="1186"/>
      <c r="AK19" s="409"/>
      <c r="AL19" s="409"/>
      <c r="AM19" s="409"/>
      <c r="AN19" s="404"/>
    </row>
    <row r="20" spans="1:42" s="405" customFormat="1" ht="12.75" customHeight="1">
      <c r="A20" s="409"/>
      <c r="B20" s="409"/>
      <c r="C20" s="409"/>
      <c r="D20" s="419"/>
      <c r="E20" s="1854"/>
      <c r="F20" s="1855"/>
      <c r="G20" s="1855"/>
      <c r="H20" s="1855"/>
      <c r="I20" s="1855"/>
      <c r="J20" s="1855"/>
      <c r="K20" s="1855"/>
      <c r="L20" s="1855"/>
      <c r="M20" s="1855"/>
      <c r="N20" s="1855"/>
      <c r="O20" s="1855"/>
      <c r="P20" s="1855"/>
      <c r="Q20" s="1855"/>
      <c r="R20" s="1855"/>
      <c r="S20" s="1855"/>
      <c r="T20" s="1855"/>
      <c r="U20" s="1855"/>
      <c r="V20" s="1855"/>
      <c r="W20" s="1855"/>
      <c r="X20" s="1855"/>
      <c r="Y20" s="1855"/>
      <c r="Z20" s="1855"/>
      <c r="AA20" s="1855"/>
      <c r="AB20" s="1855"/>
      <c r="AC20" s="1855"/>
      <c r="AD20" s="1855"/>
      <c r="AE20" s="1855"/>
      <c r="AF20" s="1855"/>
      <c r="AG20" s="1855"/>
      <c r="AH20" s="1855"/>
      <c r="AI20" s="1855"/>
      <c r="AJ20" s="1856"/>
      <c r="AK20" s="409"/>
      <c r="AL20" s="409"/>
      <c r="AM20" s="409"/>
      <c r="AN20" s="404"/>
      <c r="AO20" s="418">
        <f>IF($B30="yes",14,0)</f>
        <v>0</v>
      </c>
    </row>
    <row r="21" spans="1:42" s="405" customFormat="1" ht="12.75" customHeight="1">
      <c r="A21" s="409"/>
      <c r="B21" s="409"/>
      <c r="C21" s="409"/>
      <c r="E21" s="409"/>
      <c r="F21" s="409"/>
      <c r="G21" s="409"/>
      <c r="H21" s="409"/>
      <c r="I21" s="409"/>
      <c r="J21" s="409"/>
      <c r="K21" s="409"/>
      <c r="L21" s="409"/>
      <c r="M21" s="409"/>
      <c r="N21" s="409"/>
      <c r="O21" s="409"/>
      <c r="P21" s="409"/>
      <c r="Q21" s="409"/>
      <c r="R21" s="409"/>
      <c r="S21" s="409"/>
      <c r="T21" s="409"/>
      <c r="U21" s="409"/>
      <c r="V21" s="409"/>
      <c r="W21" s="409"/>
      <c r="X21" s="409"/>
      <c r="Y21" s="409"/>
      <c r="Z21" s="409"/>
      <c r="AA21" s="409"/>
      <c r="AB21" s="409"/>
      <c r="AC21" s="409"/>
      <c r="AD21" s="409"/>
      <c r="AE21" s="409"/>
      <c r="AF21" s="409"/>
      <c r="AG21" s="409"/>
      <c r="AH21" s="409"/>
      <c r="AI21" s="409"/>
      <c r="AJ21" s="409"/>
      <c r="AK21" s="409"/>
      <c r="AL21" s="409"/>
      <c r="AM21" s="409"/>
      <c r="AN21" s="404"/>
      <c r="AO21" s="418">
        <f>IF($B33="yes",14,0)</f>
        <v>0</v>
      </c>
      <c r="AP21" s="12"/>
    </row>
    <row r="22" spans="1:42" s="405" customFormat="1" ht="12.75" customHeight="1">
      <c r="A22" s="409"/>
      <c r="B22" s="1815" t="s">
        <v>299</v>
      </c>
      <c r="C22" s="1815"/>
      <c r="D22" s="415"/>
      <c r="E22" s="1848" t="s">
        <v>1944</v>
      </c>
      <c r="F22" s="1849"/>
      <c r="G22" s="1849"/>
      <c r="H22" s="1849"/>
      <c r="I22" s="1849"/>
      <c r="J22" s="1849"/>
      <c r="K22" s="1849"/>
      <c r="L22" s="1849"/>
      <c r="M22" s="1849"/>
      <c r="N22" s="1849"/>
      <c r="O22" s="1849"/>
      <c r="P22" s="1849"/>
      <c r="Q22" s="1849"/>
      <c r="R22" s="1849"/>
      <c r="S22" s="1849"/>
      <c r="T22" s="1849"/>
      <c r="U22" s="1849"/>
      <c r="V22" s="1849"/>
      <c r="W22" s="1849"/>
      <c r="X22" s="1849"/>
      <c r="Y22" s="1849"/>
      <c r="Z22" s="1849"/>
      <c r="AA22" s="1849"/>
      <c r="AB22" s="1849"/>
      <c r="AC22" s="1849"/>
      <c r="AD22" s="1849"/>
      <c r="AE22" s="1849"/>
      <c r="AF22" s="1849"/>
      <c r="AG22" s="1849"/>
      <c r="AH22" s="1849"/>
      <c r="AI22" s="1849"/>
      <c r="AJ22" s="1850"/>
      <c r="AK22" s="409"/>
      <c r="AL22" s="409"/>
      <c r="AM22" s="409"/>
      <c r="AN22" s="404"/>
      <c r="AO22" s="405">
        <f>IF(SUM(AO20:AO21)&gt;14,14,SUM(AO20:AO21))</f>
        <v>0</v>
      </c>
      <c r="AP22" s="405" t="s">
        <v>1942</v>
      </c>
    </row>
    <row r="23" spans="1:42" s="405" customFormat="1" ht="12.75" customHeight="1">
      <c r="A23" s="409"/>
      <c r="B23" s="409"/>
      <c r="C23" s="409"/>
      <c r="D23" s="418"/>
      <c r="E23" s="1851"/>
      <c r="F23" s="1852"/>
      <c r="G23" s="1852"/>
      <c r="H23" s="1852"/>
      <c r="I23" s="1852"/>
      <c r="J23" s="1852"/>
      <c r="K23" s="1852"/>
      <c r="L23" s="1852"/>
      <c r="M23" s="1852"/>
      <c r="N23" s="1852"/>
      <c r="O23" s="1852"/>
      <c r="P23" s="1852"/>
      <c r="Q23" s="1852"/>
      <c r="R23" s="1852"/>
      <c r="S23" s="1852"/>
      <c r="T23" s="1852"/>
      <c r="U23" s="1852"/>
      <c r="V23" s="1852"/>
      <c r="W23" s="1852"/>
      <c r="X23" s="1852"/>
      <c r="Y23" s="1852"/>
      <c r="Z23" s="1852"/>
      <c r="AA23" s="1852"/>
      <c r="AB23" s="1852"/>
      <c r="AC23" s="1852"/>
      <c r="AD23" s="1852"/>
      <c r="AE23" s="1852"/>
      <c r="AF23" s="1852"/>
      <c r="AG23" s="1852"/>
      <c r="AH23" s="1852"/>
      <c r="AI23" s="1852"/>
      <c r="AJ23" s="1853"/>
      <c r="AK23" s="409"/>
      <c r="AL23" s="409"/>
      <c r="AM23" s="409"/>
      <c r="AN23" s="404"/>
    </row>
    <row r="24" spans="1:42" s="405" customFormat="1" ht="12.75" customHeight="1">
      <c r="A24" s="409"/>
      <c r="B24" s="409"/>
      <c r="C24" s="409"/>
      <c r="D24" s="419"/>
      <c r="E24" s="409"/>
      <c r="F24" s="409"/>
      <c r="G24" s="409"/>
      <c r="H24" s="409"/>
      <c r="I24" s="409"/>
      <c r="J24" s="409"/>
      <c r="K24" s="409"/>
      <c r="L24" s="409"/>
      <c r="M24" s="409"/>
      <c r="N24" s="409"/>
      <c r="O24" s="409"/>
      <c r="P24" s="409"/>
      <c r="Q24" s="409"/>
      <c r="R24" s="409"/>
      <c r="S24" s="409"/>
      <c r="T24" s="409"/>
      <c r="U24" s="409"/>
      <c r="V24" s="409"/>
      <c r="W24" s="409"/>
      <c r="X24" s="409"/>
      <c r="Y24" s="409"/>
      <c r="Z24" s="409"/>
      <c r="AA24" s="409"/>
      <c r="AB24" s="409"/>
      <c r="AC24" s="409"/>
      <c r="AD24" s="409"/>
      <c r="AE24" s="409"/>
      <c r="AF24" s="409"/>
      <c r="AG24" s="409"/>
      <c r="AH24" s="409"/>
      <c r="AI24" s="409"/>
      <c r="AJ24" s="409"/>
      <c r="AK24" s="409"/>
      <c r="AL24" s="409"/>
      <c r="AM24" s="409"/>
      <c r="AN24" s="404"/>
      <c r="AO24" s="418">
        <f>IF($B39="yes",6,0)</f>
        <v>0</v>
      </c>
    </row>
    <row r="25" spans="1:42" s="405" customFormat="1" ht="12.75" customHeight="1">
      <c r="A25" s="409"/>
      <c r="B25" s="1815" t="s">
        <v>299</v>
      </c>
      <c r="C25" s="1815"/>
      <c r="D25" s="415"/>
      <c r="E25" s="1816" t="s">
        <v>1945</v>
      </c>
      <c r="F25" s="1817"/>
      <c r="G25" s="1817"/>
      <c r="H25" s="1817"/>
      <c r="I25" s="1817"/>
      <c r="J25" s="1817"/>
      <c r="K25" s="1817"/>
      <c r="L25" s="1817"/>
      <c r="M25" s="1817"/>
      <c r="N25" s="1817"/>
      <c r="O25" s="1817"/>
      <c r="P25" s="1817"/>
      <c r="Q25" s="1817"/>
      <c r="R25" s="1817"/>
      <c r="S25" s="1817"/>
      <c r="T25" s="1817"/>
      <c r="U25" s="1817"/>
      <c r="V25" s="1817"/>
      <c r="W25" s="1817"/>
      <c r="X25" s="1817"/>
      <c r="Y25" s="1817"/>
      <c r="Z25" s="1817"/>
      <c r="AA25" s="1817"/>
      <c r="AB25" s="1817"/>
      <c r="AC25" s="1817"/>
      <c r="AD25" s="1817"/>
      <c r="AE25" s="1817"/>
      <c r="AF25" s="1817"/>
      <c r="AG25" s="1817"/>
      <c r="AH25" s="1817"/>
      <c r="AI25" s="1817"/>
      <c r="AJ25" s="1818"/>
      <c r="AK25" s="409"/>
      <c r="AL25" s="409"/>
      <c r="AM25" s="409"/>
      <c r="AN25" s="404"/>
      <c r="AO25" s="405">
        <f>IF(AO24&gt;6,6,AO24)</f>
        <v>0</v>
      </c>
      <c r="AP25" s="405" t="s">
        <v>1942</v>
      </c>
    </row>
    <row r="26" spans="1:42" s="405" customFormat="1" ht="12.75" customHeight="1">
      <c r="A26" s="409"/>
      <c r="B26" s="409"/>
      <c r="C26" s="409"/>
      <c r="D26" s="418"/>
      <c r="E26" s="1819"/>
      <c r="F26" s="1820"/>
      <c r="G26" s="1820"/>
      <c r="H26" s="1820"/>
      <c r="I26" s="1820"/>
      <c r="J26" s="1820"/>
      <c r="K26" s="1820"/>
      <c r="L26" s="1820"/>
      <c r="M26" s="1820"/>
      <c r="N26" s="1820"/>
      <c r="O26" s="1820"/>
      <c r="P26" s="1820"/>
      <c r="Q26" s="1820"/>
      <c r="R26" s="1820"/>
      <c r="S26" s="1820"/>
      <c r="T26" s="1820"/>
      <c r="U26" s="1820"/>
      <c r="V26" s="1820"/>
      <c r="W26" s="1820"/>
      <c r="X26" s="1820"/>
      <c r="Y26" s="1820"/>
      <c r="Z26" s="1820"/>
      <c r="AA26" s="1820"/>
      <c r="AB26" s="1820"/>
      <c r="AC26" s="1820"/>
      <c r="AD26" s="1820"/>
      <c r="AE26" s="1820"/>
      <c r="AF26" s="1820"/>
      <c r="AG26" s="1820"/>
      <c r="AH26" s="1820"/>
      <c r="AI26" s="1820"/>
      <c r="AJ26" s="1821"/>
      <c r="AK26" s="409"/>
      <c r="AL26" s="409"/>
      <c r="AM26" s="409"/>
      <c r="AN26" s="404"/>
      <c r="AO26" s="418"/>
    </row>
    <row r="27" spans="1:42" s="405" customFormat="1" ht="12.75" customHeight="1">
      <c r="A27" s="409"/>
      <c r="B27" s="409"/>
      <c r="C27" s="409"/>
      <c r="D27" s="418"/>
      <c r="E27" s="409"/>
      <c r="F27" s="409"/>
      <c r="G27" s="409"/>
      <c r="H27" s="409"/>
      <c r="I27" s="409"/>
      <c r="J27" s="409"/>
      <c r="K27" s="409"/>
      <c r="L27" s="409"/>
      <c r="M27" s="409"/>
      <c r="N27" s="409"/>
      <c r="O27" s="409"/>
      <c r="P27" s="409"/>
      <c r="Q27" s="409"/>
      <c r="R27" s="409"/>
      <c r="S27" s="409"/>
      <c r="T27" s="409"/>
      <c r="U27" s="409"/>
      <c r="V27" s="409"/>
      <c r="W27" s="409"/>
      <c r="X27" s="409"/>
      <c r="Y27" s="409"/>
      <c r="Z27" s="409"/>
      <c r="AA27" s="409"/>
      <c r="AB27" s="409"/>
      <c r="AC27" s="409"/>
      <c r="AD27" s="409"/>
      <c r="AE27" s="409"/>
      <c r="AF27" s="409"/>
      <c r="AG27" s="409"/>
      <c r="AH27" s="409"/>
      <c r="AI27" s="409"/>
      <c r="AJ27" s="409"/>
      <c r="AK27" s="409"/>
      <c r="AL27" s="409"/>
      <c r="AM27" s="409"/>
      <c r="AN27" s="404"/>
      <c r="AO27" s="418"/>
    </row>
    <row r="28" spans="1:42" s="405" customFormat="1" ht="12.75" customHeight="1">
      <c r="A28" s="409"/>
      <c r="C28" s="412" t="s">
        <v>1946</v>
      </c>
      <c r="E28" s="409"/>
      <c r="F28" s="409"/>
      <c r="G28" s="409"/>
      <c r="H28" s="409"/>
      <c r="I28" s="409"/>
      <c r="J28" s="409"/>
      <c r="K28" s="409"/>
      <c r="L28" s="409"/>
      <c r="M28" s="409"/>
      <c r="N28" s="409"/>
      <c r="O28" s="409"/>
      <c r="P28" s="409"/>
      <c r="Q28" s="409"/>
      <c r="R28" s="409"/>
      <c r="S28" s="409"/>
      <c r="T28" s="409"/>
      <c r="U28" s="409"/>
      <c r="V28" s="409"/>
      <c r="W28" s="409"/>
      <c r="X28" s="409"/>
      <c r="Y28" s="409"/>
      <c r="Z28" s="409"/>
      <c r="AA28" s="409"/>
      <c r="AB28" s="409"/>
      <c r="AC28" s="409"/>
      <c r="AD28" s="409"/>
      <c r="AE28" s="409"/>
      <c r="AF28" s="409"/>
      <c r="AG28" s="409"/>
      <c r="AH28" s="409"/>
      <c r="AI28" s="409"/>
      <c r="AJ28" s="409"/>
      <c r="AK28" s="409"/>
      <c r="AL28" s="409"/>
      <c r="AM28" s="409"/>
      <c r="AN28" s="404"/>
      <c r="AO28" s="418">
        <f>IF(AND(B46="Yes",B50="Yes",B52="Yes"),20,0)</f>
        <v>0</v>
      </c>
    </row>
    <row r="29" spans="1:42" s="405" customFormat="1" ht="12.75" customHeight="1">
      <c r="A29" s="409"/>
      <c r="B29" s="409"/>
      <c r="C29" s="409"/>
      <c r="E29" s="409"/>
      <c r="F29" s="409"/>
      <c r="G29" s="409"/>
      <c r="H29" s="409"/>
      <c r="I29" s="409"/>
      <c r="J29" s="409"/>
      <c r="K29" s="409"/>
      <c r="L29" s="409"/>
      <c r="M29" s="409"/>
      <c r="N29" s="409"/>
      <c r="O29" s="409"/>
      <c r="P29" s="409"/>
      <c r="Q29" s="409"/>
      <c r="R29" s="409"/>
      <c r="S29" s="409"/>
      <c r="T29" s="409"/>
      <c r="U29" s="409"/>
      <c r="V29" s="409"/>
      <c r="W29" s="409"/>
      <c r="X29" s="409"/>
      <c r="Y29" s="409"/>
      <c r="Z29" s="409"/>
      <c r="AA29" s="409"/>
      <c r="AB29" s="409"/>
      <c r="AC29" s="409"/>
      <c r="AD29" s="409"/>
      <c r="AE29" s="409"/>
      <c r="AF29" s="409"/>
      <c r="AG29" s="409"/>
      <c r="AH29" s="409"/>
      <c r="AI29" s="409"/>
      <c r="AJ29" s="409"/>
      <c r="AK29" s="409"/>
      <c r="AL29" s="409"/>
      <c r="AM29" s="409"/>
      <c r="AN29" s="404"/>
      <c r="AO29" s="405">
        <f>IF(AO28&gt;20,20,AO28)</f>
        <v>0</v>
      </c>
      <c r="AP29" s="405" t="s">
        <v>1942</v>
      </c>
    </row>
    <row r="30" spans="1:42" s="405" customFormat="1" ht="12.75" customHeight="1">
      <c r="A30" s="409"/>
      <c r="B30" s="1815" t="s">
        <v>299</v>
      </c>
      <c r="C30" s="1815"/>
      <c r="D30" s="415"/>
      <c r="E30" s="1848" t="s">
        <v>1947</v>
      </c>
      <c r="F30" s="1849"/>
      <c r="G30" s="1849"/>
      <c r="H30" s="1849"/>
      <c r="I30" s="1849"/>
      <c r="J30" s="1849"/>
      <c r="K30" s="1849"/>
      <c r="L30" s="1849"/>
      <c r="M30" s="1849"/>
      <c r="N30" s="1849"/>
      <c r="O30" s="1849"/>
      <c r="P30" s="1849"/>
      <c r="Q30" s="1849"/>
      <c r="R30" s="1849"/>
      <c r="S30" s="1849"/>
      <c r="T30" s="1849"/>
      <c r="U30" s="1849"/>
      <c r="V30" s="1849"/>
      <c r="W30" s="1849"/>
      <c r="X30" s="1849"/>
      <c r="Y30" s="1849"/>
      <c r="Z30" s="1849"/>
      <c r="AA30" s="1849"/>
      <c r="AB30" s="1849"/>
      <c r="AC30" s="1849"/>
      <c r="AD30" s="1849"/>
      <c r="AE30" s="1849"/>
      <c r="AF30" s="1849"/>
      <c r="AG30" s="1849"/>
      <c r="AH30" s="1849"/>
      <c r="AI30" s="1849"/>
      <c r="AJ30" s="1850"/>
      <c r="AK30" s="409"/>
      <c r="AL30" s="409"/>
      <c r="AM30" s="409"/>
      <c r="AN30" s="404"/>
      <c r="AO30" s="418"/>
    </row>
    <row r="31" spans="1:42" s="405" customFormat="1" ht="12.75" customHeight="1">
      <c r="A31" s="409"/>
      <c r="B31" s="409"/>
      <c r="C31" s="409"/>
      <c r="E31" s="1851"/>
      <c r="F31" s="1852"/>
      <c r="G31" s="1852"/>
      <c r="H31" s="1852"/>
      <c r="I31" s="1852"/>
      <c r="J31" s="1852"/>
      <c r="K31" s="1852"/>
      <c r="L31" s="1852"/>
      <c r="M31" s="1852"/>
      <c r="N31" s="1852"/>
      <c r="O31" s="1852"/>
      <c r="P31" s="1852"/>
      <c r="Q31" s="1852"/>
      <c r="R31" s="1852"/>
      <c r="S31" s="1852"/>
      <c r="T31" s="1852"/>
      <c r="U31" s="1852"/>
      <c r="V31" s="1852"/>
      <c r="W31" s="1852"/>
      <c r="X31" s="1852"/>
      <c r="Y31" s="1852"/>
      <c r="Z31" s="1852"/>
      <c r="AA31" s="1852"/>
      <c r="AB31" s="1852"/>
      <c r="AC31" s="1852"/>
      <c r="AD31" s="1852"/>
      <c r="AE31" s="1852"/>
      <c r="AF31" s="1852"/>
      <c r="AG31" s="1852"/>
      <c r="AH31" s="1852"/>
      <c r="AI31" s="1852"/>
      <c r="AJ31" s="1853"/>
      <c r="AK31" s="409"/>
      <c r="AL31" s="409"/>
      <c r="AM31" s="409"/>
      <c r="AN31" s="404"/>
    </row>
    <row r="32" spans="1:42" s="405" customFormat="1" ht="12.75" customHeight="1">
      <c r="A32" s="409"/>
      <c r="B32" s="409"/>
      <c r="C32" s="409"/>
      <c r="F32" s="1187"/>
      <c r="G32" s="1187"/>
      <c r="H32" s="1187"/>
      <c r="I32" s="1187"/>
      <c r="J32" s="1187"/>
      <c r="K32" s="1187"/>
      <c r="L32" s="1187"/>
      <c r="M32" s="1187"/>
      <c r="N32" s="1187"/>
      <c r="O32" s="1187"/>
      <c r="P32" s="1187"/>
      <c r="Q32" s="1187"/>
      <c r="R32" s="1187"/>
      <c r="S32" s="1187"/>
      <c r="T32" s="1187"/>
      <c r="U32" s="1187"/>
      <c r="V32" s="1187"/>
      <c r="W32" s="1187"/>
      <c r="X32" s="1187"/>
      <c r="Y32" s="1187"/>
      <c r="Z32" s="1187"/>
      <c r="AA32" s="1187"/>
      <c r="AB32" s="1187"/>
      <c r="AC32" s="1187"/>
      <c r="AD32" s="1187"/>
      <c r="AE32" s="1187"/>
      <c r="AF32" s="1187"/>
      <c r="AG32" s="1187"/>
      <c r="AH32" s="1187"/>
      <c r="AI32" s="1187"/>
      <c r="AJ32" s="1187"/>
      <c r="AK32" s="409"/>
      <c r="AL32" s="409"/>
      <c r="AM32" s="409"/>
      <c r="AN32" s="404"/>
    </row>
    <row r="33" spans="1:41" s="405" customFormat="1" ht="12.75" customHeight="1">
      <c r="A33" s="409"/>
      <c r="B33" s="1815" t="s">
        <v>299</v>
      </c>
      <c r="C33" s="1815"/>
      <c r="D33" s="415"/>
      <c r="E33" s="1816" t="s">
        <v>1948</v>
      </c>
      <c r="F33" s="1817"/>
      <c r="G33" s="1817"/>
      <c r="H33" s="1817"/>
      <c r="I33" s="1817"/>
      <c r="J33" s="1817"/>
      <c r="K33" s="1817"/>
      <c r="L33" s="1817"/>
      <c r="M33" s="1817"/>
      <c r="N33" s="1817"/>
      <c r="O33" s="1817"/>
      <c r="P33" s="1817"/>
      <c r="Q33" s="1817"/>
      <c r="R33" s="1817"/>
      <c r="S33" s="1817"/>
      <c r="T33" s="1817"/>
      <c r="U33" s="1817"/>
      <c r="V33" s="1817"/>
      <c r="W33" s="1817"/>
      <c r="X33" s="1817"/>
      <c r="Y33" s="1817"/>
      <c r="Z33" s="1817"/>
      <c r="AA33" s="1817"/>
      <c r="AB33" s="1817"/>
      <c r="AC33" s="1817"/>
      <c r="AD33" s="1817"/>
      <c r="AE33" s="1817"/>
      <c r="AF33" s="1817"/>
      <c r="AG33" s="1817"/>
      <c r="AH33" s="1817"/>
      <c r="AI33" s="1817"/>
      <c r="AJ33" s="1818"/>
      <c r="AK33" s="409"/>
      <c r="AL33" s="409"/>
      <c r="AM33" s="409"/>
      <c r="AN33" s="404"/>
    </row>
    <row r="34" spans="1:41" s="405" customFormat="1" ht="12.75" customHeight="1">
      <c r="A34" s="409"/>
      <c r="B34" s="409"/>
      <c r="C34" s="409"/>
      <c r="E34" s="1822"/>
      <c r="F34" s="1823"/>
      <c r="G34" s="1823"/>
      <c r="H34" s="1823"/>
      <c r="I34" s="1823"/>
      <c r="J34" s="1823"/>
      <c r="K34" s="1823"/>
      <c r="L34" s="1823"/>
      <c r="M34" s="1823"/>
      <c r="N34" s="1823"/>
      <c r="O34" s="1823"/>
      <c r="P34" s="1823"/>
      <c r="Q34" s="1823"/>
      <c r="R34" s="1823"/>
      <c r="S34" s="1823"/>
      <c r="T34" s="1823"/>
      <c r="U34" s="1823"/>
      <c r="V34" s="1823"/>
      <c r="W34" s="1823"/>
      <c r="X34" s="1823"/>
      <c r="Y34" s="1823"/>
      <c r="Z34" s="1823"/>
      <c r="AA34" s="1823"/>
      <c r="AB34" s="1823"/>
      <c r="AC34" s="1823"/>
      <c r="AD34" s="1823"/>
      <c r="AE34" s="1823"/>
      <c r="AF34" s="1823"/>
      <c r="AG34" s="1823"/>
      <c r="AH34" s="1823"/>
      <c r="AI34" s="1823"/>
      <c r="AJ34" s="1824"/>
      <c r="AK34" s="409"/>
      <c r="AL34" s="409"/>
      <c r="AM34" s="409"/>
      <c r="AN34" s="404"/>
    </row>
    <row r="35" spans="1:41" s="405" customFormat="1" ht="12.75" customHeight="1">
      <c r="A35" s="409"/>
      <c r="B35" s="409"/>
      <c r="C35" s="409"/>
      <c r="E35" s="1819"/>
      <c r="F35" s="1820"/>
      <c r="G35" s="1820"/>
      <c r="H35" s="1820"/>
      <c r="I35" s="1820"/>
      <c r="J35" s="1820"/>
      <c r="K35" s="1820"/>
      <c r="L35" s="1820"/>
      <c r="M35" s="1820"/>
      <c r="N35" s="1820"/>
      <c r="O35" s="1820"/>
      <c r="P35" s="1820"/>
      <c r="Q35" s="1820"/>
      <c r="R35" s="1820"/>
      <c r="S35" s="1820"/>
      <c r="T35" s="1820"/>
      <c r="U35" s="1820"/>
      <c r="V35" s="1820"/>
      <c r="W35" s="1820"/>
      <c r="X35" s="1820"/>
      <c r="Y35" s="1820"/>
      <c r="Z35" s="1820"/>
      <c r="AA35" s="1820"/>
      <c r="AB35" s="1820"/>
      <c r="AC35" s="1820"/>
      <c r="AD35" s="1820"/>
      <c r="AE35" s="1820"/>
      <c r="AF35" s="1820"/>
      <c r="AG35" s="1820"/>
      <c r="AH35" s="1820"/>
      <c r="AI35" s="1820"/>
      <c r="AJ35" s="1821"/>
      <c r="AK35" s="409"/>
      <c r="AL35" s="409"/>
      <c r="AM35" s="409"/>
      <c r="AN35" s="404"/>
    </row>
    <row r="36" spans="1:41" s="405" customFormat="1" ht="12.75" customHeight="1">
      <c r="A36" s="409"/>
      <c r="B36" s="409"/>
      <c r="C36" s="409"/>
      <c r="E36" s="409"/>
      <c r="F36" s="409"/>
      <c r="G36" s="409"/>
      <c r="H36" s="409"/>
      <c r="I36" s="409"/>
      <c r="J36" s="409"/>
      <c r="K36" s="409"/>
      <c r="L36" s="409"/>
      <c r="M36" s="409"/>
      <c r="N36" s="409"/>
      <c r="O36" s="409"/>
      <c r="P36" s="409"/>
      <c r="Q36" s="409"/>
      <c r="R36" s="409"/>
      <c r="S36" s="409"/>
      <c r="T36" s="409"/>
      <c r="U36" s="409"/>
      <c r="V36" s="409"/>
      <c r="W36" s="409"/>
      <c r="X36" s="409"/>
      <c r="Y36" s="409"/>
      <c r="Z36" s="409"/>
      <c r="AA36" s="409"/>
      <c r="AB36" s="409"/>
      <c r="AC36" s="409"/>
      <c r="AD36" s="409"/>
      <c r="AE36" s="409"/>
      <c r="AF36" s="409"/>
      <c r="AG36" s="409"/>
      <c r="AH36" s="409"/>
      <c r="AI36" s="409"/>
      <c r="AJ36" s="409"/>
      <c r="AK36" s="409"/>
      <c r="AL36" s="409"/>
      <c r="AM36" s="409"/>
      <c r="AN36" s="404"/>
      <c r="AO36" s="405">
        <f>MAX(AO17,AO22,AO25,AO29)</f>
        <v>0</v>
      </c>
    </row>
    <row r="37" spans="1:41" s="405" customFormat="1" ht="12.75" customHeight="1">
      <c r="A37" s="409"/>
      <c r="C37" s="412" t="s">
        <v>1949</v>
      </c>
      <c r="E37" s="409"/>
      <c r="F37" s="409"/>
      <c r="G37" s="409"/>
      <c r="H37" s="409"/>
      <c r="I37" s="409"/>
      <c r="J37" s="409"/>
      <c r="K37" s="409"/>
      <c r="L37" s="409"/>
      <c r="M37" s="409"/>
      <c r="N37" s="409"/>
      <c r="O37" s="409"/>
      <c r="P37" s="409"/>
      <c r="Q37" s="409"/>
      <c r="R37" s="409"/>
      <c r="S37" s="409"/>
      <c r="T37" s="409"/>
      <c r="U37" s="409"/>
      <c r="V37" s="409"/>
      <c r="W37" s="409"/>
      <c r="X37" s="409"/>
      <c r="Y37" s="409"/>
      <c r="Z37" s="409"/>
      <c r="AA37" s="409"/>
      <c r="AB37" s="409"/>
      <c r="AC37" s="409"/>
      <c r="AD37" s="409"/>
      <c r="AE37" s="409"/>
      <c r="AF37" s="409"/>
      <c r="AG37" s="409"/>
      <c r="AH37" s="409"/>
      <c r="AI37" s="409"/>
      <c r="AJ37" s="409"/>
      <c r="AK37" s="409"/>
      <c r="AL37" s="409"/>
      <c r="AM37" s="409"/>
      <c r="AN37" s="404"/>
    </row>
    <row r="38" spans="1:41" s="405" customFormat="1" ht="12.75" customHeight="1">
      <c r="A38" s="409"/>
      <c r="C38" s="954"/>
      <c r="D38" s="954"/>
      <c r="E38" s="954"/>
      <c r="F38" s="954"/>
      <c r="G38" s="954"/>
      <c r="H38" s="954"/>
      <c r="I38" s="954"/>
      <c r="J38" s="954"/>
      <c r="K38" s="954"/>
      <c r="L38" s="954"/>
      <c r="M38" s="954"/>
      <c r="N38" s="954"/>
      <c r="O38" s="954"/>
      <c r="P38" s="954"/>
      <c r="Q38" s="954"/>
      <c r="R38" s="954"/>
      <c r="S38" s="954"/>
      <c r="T38" s="954"/>
      <c r="U38" s="954"/>
      <c r="V38" s="954"/>
      <c r="W38" s="954"/>
      <c r="X38" s="954"/>
      <c r="Y38" s="954"/>
      <c r="Z38" s="954"/>
      <c r="AA38" s="954"/>
      <c r="AB38" s="954"/>
      <c r="AC38" s="954"/>
      <c r="AD38" s="954"/>
      <c r="AE38" s="954"/>
      <c r="AF38" s="954"/>
      <c r="AG38" s="954"/>
      <c r="AH38" s="954"/>
      <c r="AI38" s="954"/>
      <c r="AJ38" s="954"/>
      <c r="AK38" s="954"/>
      <c r="AL38" s="409"/>
      <c r="AM38" s="409"/>
      <c r="AN38" s="404"/>
    </row>
    <row r="39" spans="1:41" s="405" customFormat="1" ht="12.75" customHeight="1">
      <c r="A39" s="409"/>
      <c r="B39" s="1815" t="s">
        <v>299</v>
      </c>
      <c r="C39" s="1815"/>
      <c r="D39" s="954"/>
      <c r="E39" s="1816" t="s">
        <v>1950</v>
      </c>
      <c r="F39" s="1817"/>
      <c r="G39" s="1817"/>
      <c r="H39" s="1817"/>
      <c r="I39" s="1817"/>
      <c r="J39" s="1817"/>
      <c r="K39" s="1817"/>
      <c r="L39" s="1817"/>
      <c r="M39" s="1817"/>
      <c r="N39" s="1817"/>
      <c r="O39" s="1817"/>
      <c r="P39" s="1817"/>
      <c r="Q39" s="1817"/>
      <c r="R39" s="1817"/>
      <c r="S39" s="1817"/>
      <c r="T39" s="1817"/>
      <c r="U39" s="1817"/>
      <c r="V39" s="1817"/>
      <c r="W39" s="1817"/>
      <c r="X39" s="1817"/>
      <c r="Y39" s="1817"/>
      <c r="Z39" s="1817"/>
      <c r="AA39" s="1817"/>
      <c r="AB39" s="1817"/>
      <c r="AC39" s="1817"/>
      <c r="AD39" s="1817"/>
      <c r="AE39" s="1817"/>
      <c r="AF39" s="1817"/>
      <c r="AG39" s="1817"/>
      <c r="AH39" s="1817"/>
      <c r="AI39" s="1817"/>
      <c r="AJ39" s="1818"/>
      <c r="AK39" s="954"/>
      <c r="AL39" s="409"/>
      <c r="AM39" s="409"/>
      <c r="AN39" s="404"/>
    </row>
    <row r="40" spans="1:41" s="405" customFormat="1" ht="12.75" customHeight="1">
      <c r="A40" s="409"/>
      <c r="B40" s="409"/>
      <c r="C40" s="409"/>
      <c r="E40" s="1822"/>
      <c r="F40" s="1823"/>
      <c r="G40" s="1823"/>
      <c r="H40" s="1823"/>
      <c r="I40" s="1823"/>
      <c r="J40" s="1823"/>
      <c r="K40" s="1823"/>
      <c r="L40" s="1823"/>
      <c r="M40" s="1823"/>
      <c r="N40" s="1823"/>
      <c r="O40" s="1823"/>
      <c r="P40" s="1823"/>
      <c r="Q40" s="1823"/>
      <c r="R40" s="1823"/>
      <c r="S40" s="1823"/>
      <c r="T40" s="1823"/>
      <c r="U40" s="1823"/>
      <c r="V40" s="1823"/>
      <c r="W40" s="1823"/>
      <c r="X40" s="1823"/>
      <c r="Y40" s="1823"/>
      <c r="Z40" s="1823"/>
      <c r="AA40" s="1823"/>
      <c r="AB40" s="1823"/>
      <c r="AC40" s="1823"/>
      <c r="AD40" s="1823"/>
      <c r="AE40" s="1823"/>
      <c r="AF40" s="1823"/>
      <c r="AG40" s="1823"/>
      <c r="AH40" s="1823"/>
      <c r="AI40" s="1823"/>
      <c r="AJ40" s="1824"/>
      <c r="AK40" s="409"/>
      <c r="AL40" s="409"/>
      <c r="AM40" s="409"/>
      <c r="AN40" s="404"/>
    </row>
    <row r="41" spans="1:41" s="405" customFormat="1" ht="12.75" customHeight="1">
      <c r="A41" s="409"/>
      <c r="D41" s="415"/>
      <c r="E41" s="1819"/>
      <c r="F41" s="1820"/>
      <c r="G41" s="1820"/>
      <c r="H41" s="1820"/>
      <c r="I41" s="1820"/>
      <c r="J41" s="1820"/>
      <c r="K41" s="1820"/>
      <c r="L41" s="1820"/>
      <c r="M41" s="1820"/>
      <c r="N41" s="1820"/>
      <c r="O41" s="1820"/>
      <c r="P41" s="1820"/>
      <c r="Q41" s="1820"/>
      <c r="R41" s="1820"/>
      <c r="S41" s="1820"/>
      <c r="T41" s="1820"/>
      <c r="U41" s="1820"/>
      <c r="V41" s="1820"/>
      <c r="W41" s="1820"/>
      <c r="X41" s="1820"/>
      <c r="Y41" s="1820"/>
      <c r="Z41" s="1820"/>
      <c r="AA41" s="1820"/>
      <c r="AB41" s="1820"/>
      <c r="AC41" s="1820"/>
      <c r="AD41" s="1820"/>
      <c r="AE41" s="1820"/>
      <c r="AF41" s="1820"/>
      <c r="AG41" s="1820"/>
      <c r="AH41" s="1820"/>
      <c r="AI41" s="1820"/>
      <c r="AJ41" s="1821"/>
      <c r="AK41" s="409"/>
      <c r="AL41" s="409"/>
      <c r="AM41" s="409"/>
      <c r="AN41" s="404"/>
      <c r="AO41" s="422"/>
    </row>
    <row r="42" spans="1:41" s="405" customFormat="1" ht="12.75" customHeight="1">
      <c r="A42" s="409"/>
      <c r="B42" s="409"/>
      <c r="C42" s="409"/>
      <c r="E42" s="409"/>
      <c r="F42" s="409"/>
      <c r="G42" s="409"/>
      <c r="H42" s="409"/>
      <c r="I42" s="409"/>
      <c r="J42" s="409"/>
      <c r="K42" s="409"/>
      <c r="L42" s="409"/>
      <c r="M42" s="409"/>
      <c r="N42" s="409"/>
      <c r="O42" s="409"/>
      <c r="P42" s="409"/>
      <c r="Q42" s="409"/>
      <c r="R42" s="409"/>
      <c r="S42" s="409"/>
      <c r="T42" s="409"/>
      <c r="U42" s="409"/>
      <c r="V42" s="409"/>
      <c r="W42" s="409"/>
      <c r="X42" s="409"/>
      <c r="Y42" s="409"/>
      <c r="Z42" s="409"/>
      <c r="AA42" s="409"/>
      <c r="AB42" s="409"/>
      <c r="AC42" s="409"/>
      <c r="AD42" s="409"/>
      <c r="AE42" s="409"/>
      <c r="AF42" s="409"/>
      <c r="AG42" s="409"/>
      <c r="AH42" s="409"/>
      <c r="AI42" s="409"/>
      <c r="AJ42" s="409"/>
      <c r="AK42" s="409"/>
      <c r="AL42" s="409"/>
      <c r="AM42" s="409"/>
      <c r="AN42" s="404"/>
      <c r="AO42" s="422"/>
    </row>
    <row r="43" spans="1:41" s="405" customFormat="1" ht="12.75" customHeight="1">
      <c r="A43" s="408"/>
      <c r="B43" s="408" t="s">
        <v>1951</v>
      </c>
      <c r="C43" s="415"/>
      <c r="D43" s="415"/>
      <c r="E43" s="423"/>
      <c r="F43" s="409"/>
      <c r="G43" s="409"/>
      <c r="H43" s="409"/>
      <c r="I43" s="409"/>
      <c r="J43" s="409"/>
      <c r="K43" s="409"/>
      <c r="L43" s="409"/>
      <c r="M43" s="409"/>
      <c r="N43" s="409"/>
      <c r="O43" s="409"/>
      <c r="P43" s="409"/>
      <c r="Q43" s="409"/>
      <c r="R43" s="409"/>
      <c r="S43" s="409"/>
      <c r="T43" s="409"/>
      <c r="U43" s="409"/>
      <c r="V43" s="409"/>
      <c r="W43" s="409"/>
      <c r="X43" s="409"/>
      <c r="Y43" s="409"/>
      <c r="Z43" s="409"/>
      <c r="AA43" s="409"/>
      <c r="AB43" s="409"/>
      <c r="AC43" s="409"/>
      <c r="AD43" s="409"/>
      <c r="AE43" s="409"/>
      <c r="AF43" s="409"/>
      <c r="AG43" s="409"/>
      <c r="AH43" s="409"/>
      <c r="AI43" s="409"/>
      <c r="AJ43" s="409"/>
      <c r="AK43" s="409"/>
      <c r="AL43" s="409"/>
      <c r="AM43" s="409"/>
      <c r="AN43" s="404"/>
      <c r="AO43" s="422"/>
    </row>
    <row r="44" spans="1:41" s="405" customFormat="1" ht="12.75" customHeight="1">
      <c r="A44" s="409"/>
      <c r="B44" s="409"/>
      <c r="C44" s="953" t="s">
        <v>1952</v>
      </c>
      <c r="D44" s="409"/>
      <c r="E44" s="409"/>
      <c r="F44" s="409"/>
      <c r="G44" s="409"/>
      <c r="H44" s="409"/>
      <c r="I44" s="409"/>
      <c r="J44" s="409"/>
      <c r="K44" s="409"/>
      <c r="L44" s="409"/>
      <c r="M44" s="409"/>
      <c r="N44" s="409"/>
      <c r="O44" s="409"/>
      <c r="P44" s="409"/>
      <c r="Q44" s="409"/>
      <c r="R44" s="409"/>
      <c r="S44" s="409"/>
      <c r="T44" s="409"/>
      <c r="U44" s="409"/>
      <c r="V44" s="409"/>
      <c r="W44" s="409"/>
      <c r="X44" s="409"/>
      <c r="Y44" s="409"/>
      <c r="Z44" s="409"/>
      <c r="AA44" s="409"/>
      <c r="AB44" s="409"/>
      <c r="AC44" s="409"/>
      <c r="AD44" s="409"/>
      <c r="AE44" s="409"/>
      <c r="AF44" s="409"/>
      <c r="AG44" s="409"/>
      <c r="AH44" s="409"/>
      <c r="AI44" s="409"/>
      <c r="AJ44" s="409"/>
      <c r="AK44" s="409"/>
      <c r="AL44" s="409"/>
      <c r="AM44" s="409"/>
      <c r="AN44" s="404"/>
      <c r="AO44" s="422"/>
    </row>
    <row r="45" spans="1:41" s="405" customFormat="1" ht="12.75" customHeight="1">
      <c r="A45" s="415"/>
      <c r="B45" s="415"/>
      <c r="C45" s="415"/>
      <c r="D45" s="415"/>
      <c r="E45" s="424"/>
      <c r="F45" s="409"/>
      <c r="G45" s="409"/>
      <c r="H45" s="409"/>
      <c r="I45" s="409"/>
      <c r="J45" s="409"/>
      <c r="K45" s="409"/>
      <c r="L45" s="409"/>
      <c r="M45" s="409"/>
      <c r="N45" s="409"/>
      <c r="O45" s="409"/>
      <c r="P45" s="409"/>
      <c r="Q45" s="409"/>
      <c r="R45" s="409"/>
      <c r="S45" s="409"/>
      <c r="T45" s="409"/>
      <c r="U45" s="409"/>
      <c r="V45" s="409"/>
      <c r="W45" s="409"/>
      <c r="X45" s="409"/>
      <c r="Y45" s="409"/>
      <c r="Z45" s="409"/>
      <c r="AA45" s="409"/>
      <c r="AB45" s="409"/>
      <c r="AC45" s="409"/>
      <c r="AD45" s="409"/>
      <c r="AE45" s="409"/>
      <c r="AF45" s="409"/>
      <c r="AG45" s="409"/>
      <c r="AH45" s="409"/>
      <c r="AI45" s="409"/>
      <c r="AJ45" s="409"/>
      <c r="AK45" s="409"/>
      <c r="AL45" s="409"/>
      <c r="AM45" s="409"/>
      <c r="AN45" s="404"/>
      <c r="AO45" s="422"/>
    </row>
    <row r="46" spans="1:41" s="405" customFormat="1" ht="12.75" customHeight="1">
      <c r="A46" s="409"/>
      <c r="B46" s="1815" t="s">
        <v>299</v>
      </c>
      <c r="C46" s="1815"/>
      <c r="D46" s="409"/>
      <c r="E46" s="1816" t="s">
        <v>1953</v>
      </c>
      <c r="F46" s="1817"/>
      <c r="G46" s="1817"/>
      <c r="H46" s="1817"/>
      <c r="I46" s="1817"/>
      <c r="J46" s="1817"/>
      <c r="K46" s="1817"/>
      <c r="L46" s="1817"/>
      <c r="M46" s="1817"/>
      <c r="N46" s="1817"/>
      <c r="O46" s="1817"/>
      <c r="P46" s="1817"/>
      <c r="Q46" s="1817"/>
      <c r="R46" s="1817"/>
      <c r="S46" s="1817"/>
      <c r="T46" s="1817"/>
      <c r="U46" s="1817"/>
      <c r="V46" s="1817"/>
      <c r="W46" s="1817"/>
      <c r="X46" s="1817"/>
      <c r="Y46" s="1817"/>
      <c r="Z46" s="1817"/>
      <c r="AA46" s="1817"/>
      <c r="AB46" s="1817"/>
      <c r="AC46" s="1817"/>
      <c r="AD46" s="1817"/>
      <c r="AE46" s="1817"/>
      <c r="AF46" s="1817"/>
      <c r="AG46" s="1817"/>
      <c r="AH46" s="1817"/>
      <c r="AI46" s="1817"/>
      <c r="AJ46" s="1818"/>
      <c r="AK46" s="409"/>
      <c r="AL46" s="409"/>
      <c r="AM46" s="409"/>
      <c r="AN46" s="404"/>
      <c r="AO46" s="425"/>
    </row>
    <row r="47" spans="1:41" s="405" customFormat="1" ht="12.75" customHeight="1">
      <c r="A47" s="409"/>
      <c r="D47" s="415"/>
      <c r="E47" s="1822"/>
      <c r="F47" s="1823"/>
      <c r="G47" s="1823"/>
      <c r="H47" s="1823"/>
      <c r="I47" s="1823"/>
      <c r="J47" s="1823"/>
      <c r="K47" s="1823"/>
      <c r="L47" s="1823"/>
      <c r="M47" s="1823"/>
      <c r="N47" s="1823"/>
      <c r="O47" s="1823"/>
      <c r="P47" s="1823"/>
      <c r="Q47" s="1823"/>
      <c r="R47" s="1823"/>
      <c r="S47" s="1823"/>
      <c r="T47" s="1823"/>
      <c r="U47" s="1823"/>
      <c r="V47" s="1823"/>
      <c r="W47" s="1823"/>
      <c r="X47" s="1823"/>
      <c r="Y47" s="1823"/>
      <c r="Z47" s="1823"/>
      <c r="AA47" s="1823"/>
      <c r="AB47" s="1823"/>
      <c r="AC47" s="1823"/>
      <c r="AD47" s="1823"/>
      <c r="AE47" s="1823"/>
      <c r="AF47" s="1823"/>
      <c r="AG47" s="1823"/>
      <c r="AH47" s="1823"/>
      <c r="AI47" s="1823"/>
      <c r="AJ47" s="1824"/>
      <c r="AK47" s="409"/>
      <c r="AL47" s="409"/>
      <c r="AM47" s="409"/>
      <c r="AN47" s="404"/>
      <c r="AO47" s="425"/>
    </row>
    <row r="48" spans="1:41" s="405" customFormat="1" ht="12.75" customHeight="1">
      <c r="A48" s="409"/>
      <c r="D48" s="409"/>
      <c r="E48" s="1819"/>
      <c r="F48" s="1820"/>
      <c r="G48" s="1820"/>
      <c r="H48" s="1820"/>
      <c r="I48" s="1820"/>
      <c r="J48" s="1820"/>
      <c r="K48" s="1820"/>
      <c r="L48" s="1820"/>
      <c r="M48" s="1820"/>
      <c r="N48" s="1820"/>
      <c r="O48" s="1820"/>
      <c r="P48" s="1820"/>
      <c r="Q48" s="1820"/>
      <c r="R48" s="1820"/>
      <c r="S48" s="1820"/>
      <c r="T48" s="1820"/>
      <c r="U48" s="1820"/>
      <c r="V48" s="1820"/>
      <c r="W48" s="1820"/>
      <c r="X48" s="1820"/>
      <c r="Y48" s="1820"/>
      <c r="Z48" s="1820"/>
      <c r="AA48" s="1820"/>
      <c r="AB48" s="1820"/>
      <c r="AC48" s="1820"/>
      <c r="AD48" s="1820"/>
      <c r="AE48" s="1820"/>
      <c r="AF48" s="1820"/>
      <c r="AG48" s="1820"/>
      <c r="AH48" s="1820"/>
      <c r="AI48" s="1820"/>
      <c r="AJ48" s="1821"/>
      <c r="AK48" s="409"/>
      <c r="AL48" s="409"/>
      <c r="AM48" s="409"/>
      <c r="AN48" s="404"/>
    </row>
    <row r="49" spans="1:50" s="405" customFormat="1" ht="12.75" customHeight="1">
      <c r="A49" s="409"/>
      <c r="B49" s="409"/>
      <c r="C49" s="409"/>
      <c r="D49" s="415"/>
      <c r="E49" s="424"/>
      <c r="F49" s="422"/>
      <c r="G49" s="422"/>
      <c r="H49" s="409"/>
      <c r="I49" s="409"/>
      <c r="J49" s="409"/>
      <c r="K49" s="409"/>
      <c r="L49" s="409"/>
      <c r="M49" s="409"/>
      <c r="N49" s="409"/>
      <c r="O49" s="409"/>
      <c r="P49" s="409"/>
      <c r="Q49" s="409"/>
      <c r="R49" s="409"/>
      <c r="S49" s="409"/>
      <c r="T49" s="409"/>
      <c r="U49" s="409"/>
      <c r="V49" s="409"/>
      <c r="W49" s="409"/>
      <c r="X49" s="409"/>
      <c r="Y49" s="409"/>
      <c r="Z49" s="409"/>
      <c r="AA49" s="409"/>
      <c r="AB49" s="409"/>
      <c r="AC49" s="409"/>
      <c r="AD49" s="409"/>
      <c r="AE49" s="409"/>
      <c r="AF49" s="409"/>
      <c r="AG49" s="409"/>
      <c r="AH49" s="409"/>
      <c r="AI49" s="409"/>
      <c r="AJ49" s="409"/>
      <c r="AK49" s="409"/>
      <c r="AL49" s="409"/>
      <c r="AM49" s="409"/>
      <c r="AN49" s="404"/>
    </row>
    <row r="50" spans="1:50" s="405" customFormat="1" ht="12.75" customHeight="1">
      <c r="A50" s="409"/>
      <c r="B50" s="1815" t="s">
        <v>299</v>
      </c>
      <c r="C50" s="1815"/>
      <c r="D50" s="409"/>
      <c r="E50" s="1836" t="s">
        <v>1954</v>
      </c>
      <c r="F50" s="1837"/>
      <c r="G50" s="1837"/>
      <c r="H50" s="1837"/>
      <c r="I50" s="1837"/>
      <c r="J50" s="1837"/>
      <c r="K50" s="1837"/>
      <c r="L50" s="1837"/>
      <c r="M50" s="1837"/>
      <c r="N50" s="1837"/>
      <c r="O50" s="1837"/>
      <c r="P50" s="1837"/>
      <c r="Q50" s="1837"/>
      <c r="R50" s="1837"/>
      <c r="S50" s="1837"/>
      <c r="T50" s="1837"/>
      <c r="U50" s="1837"/>
      <c r="V50" s="1837"/>
      <c r="W50" s="1837"/>
      <c r="X50" s="1837"/>
      <c r="Y50" s="1837"/>
      <c r="Z50" s="1837"/>
      <c r="AA50" s="1837"/>
      <c r="AB50" s="1837"/>
      <c r="AC50" s="1837"/>
      <c r="AD50" s="1837"/>
      <c r="AE50" s="1837"/>
      <c r="AF50" s="1837"/>
      <c r="AG50" s="1837"/>
      <c r="AH50" s="1837"/>
      <c r="AI50" s="1837"/>
      <c r="AJ50" s="1838"/>
      <c r="AK50" s="409"/>
      <c r="AL50" s="409"/>
      <c r="AM50" s="409"/>
      <c r="AN50" s="404"/>
    </row>
    <row r="51" spans="1:50" s="405" customFormat="1" ht="12.75" customHeight="1">
      <c r="A51" s="409"/>
      <c r="B51" s="409"/>
      <c r="C51" s="409"/>
      <c r="D51" s="415"/>
      <c r="E51" s="426"/>
      <c r="F51" s="422"/>
      <c r="G51" s="422"/>
      <c r="H51" s="409"/>
      <c r="I51" s="409"/>
      <c r="J51" s="409"/>
      <c r="K51" s="409"/>
      <c r="L51" s="409"/>
      <c r="M51" s="409"/>
      <c r="N51" s="409"/>
      <c r="O51" s="409"/>
      <c r="P51" s="409"/>
      <c r="Q51" s="409"/>
      <c r="R51" s="409"/>
      <c r="S51" s="409"/>
      <c r="T51" s="409"/>
      <c r="U51" s="409"/>
      <c r="V51" s="409"/>
      <c r="W51" s="409"/>
      <c r="X51" s="409"/>
      <c r="Y51" s="409"/>
      <c r="Z51" s="409"/>
      <c r="AA51" s="409"/>
      <c r="AB51" s="409"/>
      <c r="AC51" s="409"/>
      <c r="AD51" s="409"/>
      <c r="AE51" s="409"/>
      <c r="AF51" s="409"/>
      <c r="AG51" s="409"/>
      <c r="AH51" s="409"/>
      <c r="AI51" s="409"/>
      <c r="AJ51" s="409"/>
      <c r="AK51" s="409"/>
      <c r="AL51" s="409"/>
      <c r="AM51" s="409"/>
      <c r="AN51" s="404"/>
    </row>
    <row r="52" spans="1:50" s="405" customFormat="1" ht="12.75" customHeight="1">
      <c r="A52" s="409"/>
      <c r="B52" s="1815" t="s">
        <v>299</v>
      </c>
      <c r="C52" s="1815"/>
      <c r="D52" s="409"/>
      <c r="E52" s="1816" t="s">
        <v>1955</v>
      </c>
      <c r="F52" s="1817"/>
      <c r="G52" s="1817"/>
      <c r="H52" s="1817"/>
      <c r="I52" s="1817"/>
      <c r="J52" s="1817"/>
      <c r="K52" s="1817"/>
      <c r="L52" s="1817"/>
      <c r="M52" s="1817"/>
      <c r="N52" s="1817"/>
      <c r="O52" s="1817"/>
      <c r="P52" s="1817"/>
      <c r="Q52" s="1817"/>
      <c r="R52" s="1817"/>
      <c r="S52" s="1817"/>
      <c r="T52" s="1817"/>
      <c r="U52" s="1817"/>
      <c r="V52" s="1817"/>
      <c r="W52" s="1817"/>
      <c r="X52" s="1817"/>
      <c r="Y52" s="1817"/>
      <c r="Z52" s="1817"/>
      <c r="AA52" s="1817"/>
      <c r="AB52" s="1817"/>
      <c r="AC52" s="1817"/>
      <c r="AD52" s="1817"/>
      <c r="AE52" s="1817"/>
      <c r="AF52" s="1817"/>
      <c r="AG52" s="1817"/>
      <c r="AH52" s="1817"/>
      <c r="AI52" s="1817"/>
      <c r="AJ52" s="1818"/>
      <c r="AK52" s="409"/>
      <c r="AL52" s="409"/>
      <c r="AM52" s="409"/>
      <c r="AN52" s="404"/>
    </row>
    <row r="53" spans="1:50" s="405" customFormat="1" ht="12.75" customHeight="1">
      <c r="A53" s="409"/>
      <c r="B53" s="415"/>
      <c r="C53" s="415"/>
      <c r="D53" s="415"/>
      <c r="E53" s="1819"/>
      <c r="F53" s="1820"/>
      <c r="G53" s="1820"/>
      <c r="H53" s="1820"/>
      <c r="I53" s="1820"/>
      <c r="J53" s="1820"/>
      <c r="K53" s="1820"/>
      <c r="L53" s="1820"/>
      <c r="M53" s="1820"/>
      <c r="N53" s="1820"/>
      <c r="O53" s="1820"/>
      <c r="P53" s="1820"/>
      <c r="Q53" s="1820"/>
      <c r="R53" s="1820"/>
      <c r="S53" s="1820"/>
      <c r="T53" s="1820"/>
      <c r="U53" s="1820"/>
      <c r="V53" s="1820"/>
      <c r="W53" s="1820"/>
      <c r="X53" s="1820"/>
      <c r="Y53" s="1820"/>
      <c r="Z53" s="1820"/>
      <c r="AA53" s="1820"/>
      <c r="AB53" s="1820"/>
      <c r="AC53" s="1820"/>
      <c r="AD53" s="1820"/>
      <c r="AE53" s="1820"/>
      <c r="AF53" s="1820"/>
      <c r="AG53" s="1820"/>
      <c r="AH53" s="1820"/>
      <c r="AI53" s="1820"/>
      <c r="AJ53" s="1821"/>
      <c r="AK53" s="409"/>
      <c r="AL53" s="409"/>
      <c r="AM53" s="409"/>
      <c r="AN53" s="404"/>
      <c r="AX53" s="408"/>
    </row>
    <row r="54" spans="1:50" s="405" customFormat="1" ht="12.75" customHeight="1">
      <c r="A54" s="409"/>
      <c r="B54" s="415"/>
      <c r="C54" s="415"/>
      <c r="D54" s="415"/>
      <c r="E54" s="426"/>
      <c r="F54" s="409"/>
      <c r="G54" s="409"/>
      <c r="H54" s="409"/>
      <c r="I54" s="409"/>
      <c r="J54" s="409"/>
      <c r="K54" s="409"/>
      <c r="L54" s="409"/>
      <c r="M54" s="409"/>
      <c r="N54" s="409"/>
      <c r="O54" s="409"/>
      <c r="P54" s="409"/>
      <c r="Q54" s="409"/>
      <c r="R54" s="409"/>
      <c r="S54" s="409"/>
      <c r="T54" s="409"/>
      <c r="U54" s="409"/>
      <c r="V54" s="409"/>
      <c r="W54" s="409"/>
      <c r="X54" s="409"/>
      <c r="Y54" s="409"/>
      <c r="Z54" s="409"/>
      <c r="AA54" s="409"/>
      <c r="AB54" s="409"/>
      <c r="AC54" s="409"/>
      <c r="AD54" s="409"/>
      <c r="AE54" s="409"/>
      <c r="AF54" s="409"/>
      <c r="AG54" s="409"/>
      <c r="AH54" s="409"/>
      <c r="AI54" s="409"/>
      <c r="AJ54" s="409"/>
      <c r="AK54" s="409"/>
      <c r="AL54" s="409"/>
      <c r="AM54" s="409"/>
      <c r="AN54" s="404"/>
      <c r="AX54" s="408"/>
    </row>
    <row r="55" spans="1:50" s="405" customFormat="1" ht="12.75" customHeight="1">
      <c r="A55" s="409"/>
      <c r="B55" s="409"/>
      <c r="C55" s="409"/>
      <c r="D55" s="409"/>
      <c r="E55" s="409"/>
      <c r="F55" s="409"/>
      <c r="G55" s="409"/>
      <c r="H55" s="409"/>
      <c r="I55" s="409"/>
      <c r="J55" s="409"/>
      <c r="K55" s="409"/>
      <c r="L55" s="409"/>
      <c r="M55" s="409"/>
      <c r="N55" s="409"/>
      <c r="O55" s="409"/>
      <c r="P55" s="409"/>
      <c r="Q55" s="409"/>
      <c r="R55" s="409"/>
      <c r="S55" s="409"/>
      <c r="T55" s="409"/>
      <c r="U55" s="409"/>
      <c r="V55" s="409"/>
      <c r="W55" s="409"/>
      <c r="X55" s="409"/>
      <c r="Y55" s="409"/>
      <c r="Z55" s="409"/>
      <c r="AA55" s="409"/>
      <c r="AB55" s="409"/>
      <c r="AC55" s="409"/>
      <c r="AD55" s="409"/>
      <c r="AE55" s="409"/>
      <c r="AF55" s="409"/>
      <c r="AG55" s="409"/>
      <c r="AH55" s="409"/>
      <c r="AI55" s="409"/>
      <c r="AJ55" s="409"/>
      <c r="AK55" s="409"/>
      <c r="AL55" s="409"/>
      <c r="AM55" s="409"/>
      <c r="AN55" s="404"/>
    </row>
    <row r="56" spans="1:50" s="405" customFormat="1" ht="12.75" customHeight="1">
      <c r="A56" s="427"/>
      <c r="B56" s="428"/>
      <c r="C56" s="428"/>
      <c r="D56" s="428"/>
      <c r="E56" s="428"/>
      <c r="F56" s="428"/>
      <c r="G56" s="429"/>
      <c r="H56" s="430"/>
      <c r="I56" s="430"/>
      <c r="J56" s="430"/>
      <c r="K56" s="430"/>
      <c r="L56" s="430"/>
      <c r="M56" s="430"/>
      <c r="N56" s="430"/>
      <c r="O56" s="430"/>
      <c r="P56" s="430"/>
      <c r="Q56" s="430"/>
      <c r="R56" s="430"/>
      <c r="S56" s="430"/>
      <c r="T56" s="430"/>
      <c r="U56" s="430"/>
      <c r="V56" s="430"/>
      <c r="W56" s="430"/>
      <c r="X56" s="430"/>
      <c r="Y56" s="430"/>
      <c r="Z56" s="430"/>
      <c r="AA56" s="430"/>
      <c r="AB56" s="430"/>
      <c r="AC56" s="430"/>
      <c r="AD56" s="430"/>
      <c r="AE56" s="430"/>
      <c r="AF56" s="430"/>
      <c r="AG56" s="430"/>
      <c r="AH56" s="430"/>
      <c r="AI56" s="431"/>
      <c r="AJ56" s="431" t="s">
        <v>1956</v>
      </c>
      <c r="AK56" s="1845">
        <f>AO36</f>
        <v>0</v>
      </c>
      <c r="AL56" s="1846"/>
      <c r="AM56" s="1847"/>
      <c r="AN56" s="404"/>
    </row>
    <row r="57" spans="1:50" s="405" customFormat="1" ht="12.75" customHeight="1" thickBot="1">
      <c r="A57" s="432"/>
      <c r="B57" s="433"/>
      <c r="C57" s="434"/>
      <c r="D57" s="434"/>
      <c r="E57" s="434"/>
      <c r="F57" s="434"/>
      <c r="G57" s="434"/>
      <c r="H57" s="434"/>
      <c r="I57" s="434"/>
      <c r="J57" s="434"/>
      <c r="K57" s="434"/>
      <c r="L57" s="434"/>
      <c r="M57" s="434"/>
      <c r="N57" s="434"/>
      <c r="O57" s="434"/>
      <c r="P57" s="434"/>
      <c r="Q57" s="434"/>
      <c r="R57" s="434"/>
      <c r="S57" s="434"/>
      <c r="T57" s="434"/>
      <c r="U57" s="434"/>
      <c r="V57" s="434"/>
      <c r="W57" s="434"/>
      <c r="X57" s="434"/>
      <c r="Y57" s="434"/>
      <c r="Z57" s="434"/>
      <c r="AA57" s="434"/>
      <c r="AB57" s="434"/>
      <c r="AC57" s="434"/>
      <c r="AD57" s="434"/>
      <c r="AE57" s="434"/>
      <c r="AF57" s="434"/>
      <c r="AG57" s="434"/>
      <c r="AH57" s="434"/>
      <c r="AI57" s="434"/>
      <c r="AJ57" s="434"/>
      <c r="AK57" s="434"/>
      <c r="AL57" s="434"/>
      <c r="AM57" s="435"/>
      <c r="AN57" s="404"/>
    </row>
    <row r="58" spans="1:50" s="405" customFormat="1" ht="12.75" customHeight="1" thickTop="1">
      <c r="A58" s="436"/>
      <c r="B58" s="437"/>
      <c r="C58" s="438"/>
      <c r="D58" s="438"/>
      <c r="E58" s="438"/>
      <c r="F58" s="438"/>
      <c r="G58" s="438"/>
      <c r="H58" s="438"/>
      <c r="I58" s="1203"/>
      <c r="J58" s="1203"/>
      <c r="K58" s="1203"/>
      <c r="L58" s="1203"/>
      <c r="M58" s="1203"/>
      <c r="N58" s="1203"/>
      <c r="O58" s="1203"/>
      <c r="P58" s="1203"/>
      <c r="Q58" s="1203"/>
      <c r="R58" s="436"/>
      <c r="S58" s="408"/>
      <c r="T58" s="408"/>
      <c r="U58" s="408"/>
      <c r="V58" s="408"/>
      <c r="W58" s="408"/>
      <c r="X58" s="408"/>
      <c r="Y58" s="408"/>
      <c r="Z58" s="408"/>
      <c r="AA58" s="408"/>
      <c r="AB58" s="408"/>
      <c r="AC58" s="408"/>
      <c r="AD58" s="408"/>
      <c r="AE58" s="408"/>
      <c r="AF58" s="436"/>
      <c r="AG58" s="408"/>
      <c r="AH58" s="408"/>
      <c r="AI58" s="408"/>
      <c r="AJ58" s="408"/>
      <c r="AK58" s="418"/>
      <c r="AL58" s="418"/>
      <c r="AM58" s="418"/>
      <c r="AN58" s="404"/>
    </row>
    <row r="59" spans="1:50" s="405" customFormat="1" ht="12.75" customHeight="1">
      <c r="A59" s="407" t="s">
        <v>1957</v>
      </c>
      <c r="B59" s="408" t="s">
        <v>785</v>
      </c>
      <c r="C59" s="408"/>
      <c r="D59" s="408"/>
      <c r="E59" s="408"/>
      <c r="F59" s="408"/>
      <c r="G59" s="408"/>
      <c r="H59" s="408"/>
      <c r="I59" s="408"/>
      <c r="J59" s="408"/>
      <c r="K59" s="408"/>
      <c r="L59" s="408"/>
      <c r="M59" s="408"/>
      <c r="N59" s="408"/>
      <c r="O59" s="408"/>
      <c r="P59" s="408"/>
      <c r="Q59" s="408"/>
      <c r="R59" s="408"/>
      <c r="S59" s="408"/>
      <c r="T59" s="408"/>
      <c r="U59" s="408"/>
      <c r="V59" s="408"/>
      <c r="W59" s="408"/>
      <c r="X59" s="408"/>
      <c r="Y59" s="408"/>
      <c r="Z59" s="408"/>
      <c r="AA59" s="408"/>
      <c r="AB59" s="408"/>
      <c r="AC59" s="408"/>
      <c r="AD59" s="408"/>
      <c r="AE59" s="1825" t="s">
        <v>1958</v>
      </c>
      <c r="AF59" s="1825"/>
      <c r="AG59" s="1825"/>
      <c r="AH59" s="1825"/>
      <c r="AI59" s="1825"/>
      <c r="AJ59" s="1825"/>
      <c r="AK59" s="1825"/>
      <c r="AL59" s="409"/>
      <c r="AM59" s="409"/>
      <c r="AN59" s="404"/>
    </row>
    <row r="60" spans="1:50" s="405" customFormat="1" ht="12.75" customHeight="1">
      <c r="A60" s="407"/>
      <c r="B60" s="408" t="s">
        <v>1959</v>
      </c>
      <c r="C60" s="408"/>
      <c r="D60" s="408"/>
      <c r="E60" s="408"/>
      <c r="F60" s="408"/>
      <c r="G60" s="408"/>
      <c r="H60" s="408"/>
      <c r="I60" s="408"/>
      <c r="J60" s="408"/>
      <c r="K60" s="408"/>
      <c r="L60" s="408"/>
      <c r="M60" s="408"/>
      <c r="N60" s="408"/>
      <c r="O60" s="408"/>
      <c r="P60" s="408"/>
      <c r="Q60" s="408"/>
      <c r="R60" s="408"/>
      <c r="S60" s="408"/>
      <c r="T60" s="408"/>
      <c r="U60" s="408"/>
      <c r="V60" s="408"/>
      <c r="W60" s="408"/>
      <c r="X60" s="408"/>
      <c r="Y60" s="408"/>
      <c r="Z60" s="408"/>
      <c r="AA60" s="408"/>
      <c r="AB60" s="408"/>
      <c r="AC60" s="408"/>
      <c r="AD60" s="408"/>
      <c r="AE60" s="1183"/>
      <c r="AF60" s="1183"/>
      <c r="AG60" s="1183"/>
      <c r="AH60" s="1183"/>
      <c r="AI60" s="1183"/>
      <c r="AJ60" s="1183"/>
      <c r="AK60" s="1183"/>
      <c r="AL60" s="409"/>
      <c r="AM60" s="409"/>
      <c r="AN60" s="404"/>
    </row>
    <row r="61" spans="1:50" s="405" customFormat="1" ht="12.75" customHeight="1">
      <c r="A61" s="407"/>
      <c r="B61" s="408"/>
      <c r="C61" s="408"/>
      <c r="D61" s="408"/>
      <c r="E61" s="408"/>
      <c r="F61" s="408"/>
      <c r="G61" s="408"/>
      <c r="H61" s="408"/>
      <c r="I61" s="408"/>
      <c r="J61" s="408"/>
      <c r="K61" s="408"/>
      <c r="L61" s="408"/>
      <c r="M61" s="408"/>
      <c r="N61" s="408"/>
      <c r="O61" s="408"/>
      <c r="P61" s="408"/>
      <c r="Q61" s="408"/>
      <c r="R61" s="408"/>
      <c r="S61" s="408"/>
      <c r="T61" s="408"/>
      <c r="U61" s="408"/>
      <c r="V61" s="408"/>
      <c r="W61" s="408"/>
      <c r="X61" s="408"/>
      <c r="Y61" s="408"/>
      <c r="Z61" s="408"/>
      <c r="AA61" s="408"/>
      <c r="AB61" s="408"/>
      <c r="AC61" s="408"/>
      <c r="AD61" s="408"/>
      <c r="AE61" s="1183"/>
      <c r="AF61" s="1183"/>
      <c r="AG61" s="1183"/>
      <c r="AH61" s="1183"/>
      <c r="AI61" s="1183"/>
      <c r="AJ61" s="1183"/>
      <c r="AK61" s="1183"/>
      <c r="AL61" s="409"/>
      <c r="AM61" s="409"/>
      <c r="AN61" s="404"/>
    </row>
    <row r="62" spans="1:50" s="405" customFormat="1" ht="12.75" customHeight="1">
      <c r="A62" s="407"/>
      <c r="B62" s="1815" t="s">
        <v>837</v>
      </c>
      <c r="C62" s="1815"/>
      <c r="D62" s="415" t="s">
        <v>1960</v>
      </c>
      <c r="E62" s="1826" t="s">
        <v>1961</v>
      </c>
      <c r="F62" s="1827"/>
      <c r="G62" s="1827"/>
      <c r="H62" s="1827"/>
      <c r="I62" s="1827"/>
      <c r="J62" s="1827"/>
      <c r="K62" s="1827"/>
      <c r="L62" s="1827"/>
      <c r="M62" s="1827"/>
      <c r="N62" s="1827"/>
      <c r="O62" s="1827"/>
      <c r="P62" s="1827"/>
      <c r="Q62" s="1827"/>
      <c r="R62" s="1827"/>
      <c r="S62" s="1827"/>
      <c r="T62" s="1827"/>
      <c r="U62" s="1827"/>
      <c r="V62" s="1827"/>
      <c r="W62" s="1827"/>
      <c r="X62" s="1827"/>
      <c r="Y62" s="1827"/>
      <c r="Z62" s="1827"/>
      <c r="AA62" s="1827"/>
      <c r="AB62" s="1827"/>
      <c r="AC62" s="1827"/>
      <c r="AD62" s="1827"/>
      <c r="AE62" s="1827"/>
      <c r="AF62" s="1827"/>
      <c r="AG62" s="1827"/>
      <c r="AH62" s="1827"/>
      <c r="AI62" s="1827"/>
      <c r="AJ62" s="1828"/>
      <c r="AK62" s="1183"/>
      <c r="AL62" s="409"/>
      <c r="AM62" s="409"/>
      <c r="AN62" s="404"/>
      <c r="AO62" s="418">
        <f>IF($B62="yes",10,0)</f>
        <v>10</v>
      </c>
    </row>
    <row r="63" spans="1:50" s="405" customFormat="1" ht="12.75" customHeight="1">
      <c r="A63" s="407"/>
      <c r="B63" s="409"/>
      <c r="C63" s="409"/>
      <c r="D63" s="419"/>
      <c r="E63" s="1829"/>
      <c r="F63" s="1830"/>
      <c r="G63" s="1830"/>
      <c r="H63" s="1830"/>
      <c r="I63" s="1830"/>
      <c r="J63" s="1830"/>
      <c r="K63" s="1830"/>
      <c r="L63" s="1830"/>
      <c r="M63" s="1830"/>
      <c r="N63" s="1830"/>
      <c r="O63" s="1830"/>
      <c r="P63" s="1830"/>
      <c r="Q63" s="1830"/>
      <c r="R63" s="1830"/>
      <c r="S63" s="1830"/>
      <c r="T63" s="1830"/>
      <c r="U63" s="1830"/>
      <c r="V63" s="1830"/>
      <c r="W63" s="1830"/>
      <c r="X63" s="1830"/>
      <c r="Y63" s="1830"/>
      <c r="Z63" s="1830"/>
      <c r="AA63" s="1830"/>
      <c r="AB63" s="1830"/>
      <c r="AC63" s="1830"/>
      <c r="AD63" s="1830"/>
      <c r="AE63" s="1830"/>
      <c r="AF63" s="1830"/>
      <c r="AG63" s="1830"/>
      <c r="AH63" s="1830"/>
      <c r="AI63" s="1830"/>
      <c r="AJ63" s="1831"/>
      <c r="AK63" s="1183"/>
      <c r="AL63" s="409"/>
      <c r="AM63" s="409"/>
      <c r="AN63" s="404"/>
      <c r="AO63" s="418">
        <f>IF($B68="yes",10,0)</f>
        <v>0</v>
      </c>
    </row>
    <row r="64" spans="1:50" s="405" customFormat="1" ht="12.75" customHeight="1">
      <c r="A64" s="407"/>
      <c r="B64" s="409"/>
      <c r="C64" s="409"/>
      <c r="D64" s="419"/>
      <c r="E64" s="1829"/>
      <c r="F64" s="1830"/>
      <c r="G64" s="1830"/>
      <c r="H64" s="1830"/>
      <c r="I64" s="1830"/>
      <c r="J64" s="1830"/>
      <c r="K64" s="1830"/>
      <c r="L64" s="1830"/>
      <c r="M64" s="1830"/>
      <c r="N64" s="1830"/>
      <c r="O64" s="1830"/>
      <c r="P64" s="1830"/>
      <c r="Q64" s="1830"/>
      <c r="R64" s="1830"/>
      <c r="S64" s="1830"/>
      <c r="T64" s="1830"/>
      <c r="U64" s="1830"/>
      <c r="V64" s="1830"/>
      <c r="W64" s="1830"/>
      <c r="X64" s="1830"/>
      <c r="Y64" s="1830"/>
      <c r="Z64" s="1830"/>
      <c r="AA64" s="1830"/>
      <c r="AB64" s="1830"/>
      <c r="AC64" s="1830"/>
      <c r="AD64" s="1830"/>
      <c r="AE64" s="1830"/>
      <c r="AF64" s="1830"/>
      <c r="AG64" s="1830"/>
      <c r="AH64" s="1830"/>
      <c r="AI64" s="1830"/>
      <c r="AJ64" s="1831"/>
      <c r="AK64" s="1183"/>
      <c r="AL64" s="409"/>
      <c r="AM64" s="409"/>
      <c r="AN64" s="404"/>
      <c r="AO64" s="418">
        <f>IF($B75="yes",10,0)</f>
        <v>0</v>
      </c>
    </row>
    <row r="65" spans="1:42" s="405" customFormat="1" ht="12.75" customHeight="1">
      <c r="A65" s="407"/>
      <c r="B65" s="409"/>
      <c r="C65" s="409"/>
      <c r="D65" s="419"/>
      <c r="E65" s="1829"/>
      <c r="F65" s="1830"/>
      <c r="G65" s="1830"/>
      <c r="H65" s="1830"/>
      <c r="I65" s="1830"/>
      <c r="J65" s="1830"/>
      <c r="K65" s="1830"/>
      <c r="L65" s="1830"/>
      <c r="M65" s="1830"/>
      <c r="N65" s="1830"/>
      <c r="O65" s="1830"/>
      <c r="P65" s="1830"/>
      <c r="Q65" s="1830"/>
      <c r="R65" s="1830"/>
      <c r="S65" s="1830"/>
      <c r="T65" s="1830"/>
      <c r="U65" s="1830"/>
      <c r="V65" s="1830"/>
      <c r="W65" s="1830"/>
      <c r="X65" s="1830"/>
      <c r="Y65" s="1830"/>
      <c r="Z65" s="1830"/>
      <c r="AA65" s="1830"/>
      <c r="AB65" s="1830"/>
      <c r="AC65" s="1830"/>
      <c r="AD65" s="1830"/>
      <c r="AE65" s="1830"/>
      <c r="AF65" s="1830"/>
      <c r="AG65" s="1830"/>
      <c r="AH65" s="1830"/>
      <c r="AI65" s="1830"/>
      <c r="AJ65" s="1831"/>
      <c r="AK65" s="1183"/>
      <c r="AL65" s="409"/>
      <c r="AM65" s="409"/>
      <c r="AN65" s="404"/>
      <c r="AO65" s="405">
        <f>IF(SUM(AO62:AO64)&gt;10,10,(SUM(AO62:AO64)))</f>
        <v>10</v>
      </c>
      <c r="AP65" s="439" t="s">
        <v>1962</v>
      </c>
    </row>
    <row r="66" spans="1:42" s="405" customFormat="1" ht="12.75" customHeight="1">
      <c r="A66" s="407"/>
      <c r="B66" s="409"/>
      <c r="C66" s="409"/>
      <c r="D66" s="419"/>
      <c r="E66" s="1832"/>
      <c r="F66" s="1833"/>
      <c r="G66" s="1833"/>
      <c r="H66" s="1833"/>
      <c r="I66" s="1833"/>
      <c r="J66" s="1833"/>
      <c r="K66" s="1833"/>
      <c r="L66" s="1833"/>
      <c r="M66" s="1833"/>
      <c r="N66" s="1833"/>
      <c r="O66" s="1833"/>
      <c r="P66" s="1833"/>
      <c r="Q66" s="1833"/>
      <c r="R66" s="1833"/>
      <c r="S66" s="1833"/>
      <c r="T66" s="1833"/>
      <c r="U66" s="1833"/>
      <c r="V66" s="1833"/>
      <c r="W66" s="1833"/>
      <c r="X66" s="1833"/>
      <c r="Y66" s="1833"/>
      <c r="Z66" s="1833"/>
      <c r="AA66" s="1833"/>
      <c r="AB66" s="1833"/>
      <c r="AC66" s="1833"/>
      <c r="AD66" s="1833"/>
      <c r="AE66" s="1833"/>
      <c r="AF66" s="1833"/>
      <c r="AG66" s="1833"/>
      <c r="AH66" s="1833"/>
      <c r="AI66" s="1833"/>
      <c r="AJ66" s="1834"/>
      <c r="AK66" s="1183"/>
      <c r="AL66" s="409"/>
      <c r="AM66" s="409"/>
      <c r="AN66" s="404"/>
    </row>
    <row r="67" spans="1:42" s="405" customFormat="1" ht="12.75" customHeight="1">
      <c r="A67" s="407"/>
      <c r="B67" s="409"/>
      <c r="C67" s="409"/>
      <c r="E67" s="409"/>
      <c r="F67" s="409"/>
      <c r="G67" s="409"/>
      <c r="H67" s="409"/>
      <c r="I67" s="409"/>
      <c r="J67" s="409"/>
      <c r="K67" s="409"/>
      <c r="L67" s="409"/>
      <c r="M67" s="409"/>
      <c r="N67" s="409"/>
      <c r="O67" s="409"/>
      <c r="P67" s="409"/>
      <c r="Q67" s="409"/>
      <c r="R67" s="409"/>
      <c r="S67" s="409"/>
      <c r="T67" s="409"/>
      <c r="U67" s="409"/>
      <c r="V67" s="409"/>
      <c r="W67" s="409"/>
      <c r="X67" s="409"/>
      <c r="Y67" s="409"/>
      <c r="Z67" s="409"/>
      <c r="AA67" s="409"/>
      <c r="AB67" s="409"/>
      <c r="AC67" s="409"/>
      <c r="AD67" s="409"/>
      <c r="AE67" s="409"/>
      <c r="AF67" s="409"/>
      <c r="AG67" s="409"/>
      <c r="AH67" s="409"/>
      <c r="AI67" s="409"/>
      <c r="AJ67" s="409"/>
      <c r="AK67" s="1183"/>
      <c r="AL67" s="409"/>
      <c r="AM67" s="409"/>
      <c r="AN67" s="404"/>
    </row>
    <row r="68" spans="1:42" s="405" customFormat="1" ht="12.75" customHeight="1">
      <c r="A68" s="407"/>
      <c r="B68" s="1815" t="s">
        <v>299</v>
      </c>
      <c r="C68" s="1815"/>
      <c r="D68" s="415" t="s">
        <v>1963</v>
      </c>
      <c r="E68" s="793" t="s">
        <v>1964</v>
      </c>
      <c r="F68" s="794"/>
      <c r="G68" s="794"/>
      <c r="H68" s="794"/>
      <c r="I68" s="794"/>
      <c r="J68" s="794"/>
      <c r="K68" s="794"/>
      <c r="L68" s="794"/>
      <c r="M68" s="794"/>
      <c r="N68" s="794"/>
      <c r="O68" s="794"/>
      <c r="P68" s="794"/>
      <c r="Q68" s="794"/>
      <c r="R68" s="794"/>
      <c r="S68" s="794"/>
      <c r="T68" s="794"/>
      <c r="U68" s="794"/>
      <c r="V68" s="794"/>
      <c r="W68" s="794"/>
      <c r="X68" s="794"/>
      <c r="Y68" s="794"/>
      <c r="Z68" s="794"/>
      <c r="AA68" s="794"/>
      <c r="AB68" s="794"/>
      <c r="AC68" s="794"/>
      <c r="AD68" s="794"/>
      <c r="AE68" s="794"/>
      <c r="AF68" s="794"/>
      <c r="AG68" s="794"/>
      <c r="AH68" s="794"/>
      <c r="AI68" s="794"/>
      <c r="AJ68" s="795"/>
      <c r="AK68" s="1183"/>
      <c r="AL68" s="409"/>
      <c r="AM68" s="409"/>
      <c r="AN68" s="404"/>
    </row>
    <row r="69" spans="1:42" s="405" customFormat="1" ht="12.75" customHeight="1">
      <c r="A69" s="407"/>
      <c r="B69" s="409"/>
      <c r="C69" s="409"/>
      <c r="D69" s="418"/>
      <c r="E69" s="1835" t="s">
        <v>299</v>
      </c>
      <c r="F69" s="1815"/>
      <c r="G69" s="440"/>
      <c r="H69" s="424" t="s">
        <v>1965</v>
      </c>
      <c r="I69" s="1182"/>
      <c r="J69" s="440"/>
      <c r="K69" s="440"/>
      <c r="L69" s="440"/>
      <c r="M69" s="440"/>
      <c r="N69" s="440"/>
      <c r="O69" s="440"/>
      <c r="P69" s="440"/>
      <c r="Q69" s="440"/>
      <c r="R69" s="440"/>
      <c r="S69" s="440"/>
      <c r="T69" s="440"/>
      <c r="U69" s="440"/>
      <c r="V69" s="440"/>
      <c r="W69" s="440"/>
      <c r="X69" s="440"/>
      <c r="Y69" s="440"/>
      <c r="Z69" s="440"/>
      <c r="AA69" s="440"/>
      <c r="AB69" s="440"/>
      <c r="AC69" s="440"/>
      <c r="AD69" s="440"/>
      <c r="AE69" s="440"/>
      <c r="AF69" s="440"/>
      <c r="AG69" s="440"/>
      <c r="AH69" s="440"/>
      <c r="AI69" s="440"/>
      <c r="AJ69" s="796"/>
      <c r="AK69" s="1183"/>
      <c r="AL69" s="409"/>
      <c r="AM69" s="409"/>
      <c r="AN69" s="404"/>
    </row>
    <row r="70" spans="1:42" s="405" customFormat="1" ht="12.75" customHeight="1">
      <c r="A70" s="407"/>
      <c r="B70" s="409"/>
      <c r="C70" s="409"/>
      <c r="D70" s="418"/>
      <c r="E70" s="1813" t="s">
        <v>299</v>
      </c>
      <c r="F70" s="1814"/>
      <c r="G70" s="440"/>
      <c r="H70" s="424" t="s">
        <v>1966</v>
      </c>
      <c r="I70" s="440"/>
      <c r="J70" s="440"/>
      <c r="K70" s="440"/>
      <c r="L70" s="440"/>
      <c r="M70" s="440"/>
      <c r="N70" s="440"/>
      <c r="O70" s="440"/>
      <c r="P70" s="440"/>
      <c r="Q70" s="440"/>
      <c r="R70" s="440"/>
      <c r="S70" s="440"/>
      <c r="T70" s="440"/>
      <c r="U70" s="440"/>
      <c r="V70" s="440"/>
      <c r="W70" s="440"/>
      <c r="X70" s="440"/>
      <c r="Y70" s="440"/>
      <c r="Z70" s="440"/>
      <c r="AA70" s="440"/>
      <c r="AB70" s="440"/>
      <c r="AC70" s="440"/>
      <c r="AD70" s="440"/>
      <c r="AE70" s="440"/>
      <c r="AF70" s="440"/>
      <c r="AG70" s="440"/>
      <c r="AH70" s="440"/>
      <c r="AI70" s="440"/>
      <c r="AJ70" s="796"/>
      <c r="AK70" s="1183"/>
      <c r="AL70" s="409"/>
      <c r="AM70" s="409"/>
      <c r="AN70" s="404"/>
    </row>
    <row r="71" spans="1:42" s="405" customFormat="1" ht="12.75" customHeight="1">
      <c r="A71" s="407"/>
      <c r="B71" s="409"/>
      <c r="C71" s="409"/>
      <c r="D71" s="418"/>
      <c r="E71" s="1813" t="s">
        <v>299</v>
      </c>
      <c r="F71" s="1814"/>
      <c r="G71" s="440"/>
      <c r="H71" s="424" t="s">
        <v>1967</v>
      </c>
      <c r="I71" s="440"/>
      <c r="J71" s="440"/>
      <c r="K71" s="440"/>
      <c r="L71" s="440"/>
      <c r="M71" s="440"/>
      <c r="N71" s="440"/>
      <c r="O71" s="440"/>
      <c r="P71" s="440"/>
      <c r="Q71" s="440"/>
      <c r="R71" s="440"/>
      <c r="S71" s="440"/>
      <c r="T71" s="440"/>
      <c r="U71" s="440"/>
      <c r="V71" s="440"/>
      <c r="W71" s="440"/>
      <c r="X71" s="440"/>
      <c r="Y71" s="440"/>
      <c r="Z71" s="440"/>
      <c r="AA71" s="440"/>
      <c r="AB71" s="440"/>
      <c r="AC71" s="440"/>
      <c r="AD71" s="440"/>
      <c r="AE71" s="440"/>
      <c r="AF71" s="440"/>
      <c r="AG71" s="440"/>
      <c r="AH71" s="440"/>
      <c r="AI71" s="440"/>
      <c r="AJ71" s="796"/>
      <c r="AK71" s="1183"/>
      <c r="AL71" s="409"/>
      <c r="AM71" s="409"/>
      <c r="AN71" s="404"/>
    </row>
    <row r="72" spans="1:42" s="405" customFormat="1" ht="12.75" customHeight="1">
      <c r="A72" s="407"/>
      <c r="B72" s="409"/>
      <c r="C72" s="409"/>
      <c r="D72" s="418"/>
      <c r="E72" s="513"/>
      <c r="F72" s="440"/>
      <c r="G72" s="440"/>
      <c r="H72" s="440"/>
      <c r="I72" s="440"/>
      <c r="J72" s="440"/>
      <c r="K72" s="440"/>
      <c r="L72" s="440"/>
      <c r="M72" s="440"/>
      <c r="N72" s="440"/>
      <c r="O72" s="440"/>
      <c r="P72" s="440"/>
      <c r="Q72" s="440"/>
      <c r="R72" s="440"/>
      <c r="S72" s="440"/>
      <c r="T72" s="440"/>
      <c r="U72" s="440"/>
      <c r="V72" s="440"/>
      <c r="W72" s="440"/>
      <c r="X72" s="440"/>
      <c r="Y72" s="440"/>
      <c r="Z72" s="440"/>
      <c r="AA72" s="440"/>
      <c r="AB72" s="440"/>
      <c r="AC72" s="440"/>
      <c r="AD72" s="440"/>
      <c r="AE72" s="440"/>
      <c r="AF72" s="440"/>
      <c r="AG72" s="440"/>
      <c r="AH72" s="440"/>
      <c r="AI72" s="440"/>
      <c r="AJ72" s="796"/>
      <c r="AK72" s="1183"/>
      <c r="AL72" s="409"/>
      <c r="AM72" s="409"/>
      <c r="AN72" s="404"/>
    </row>
    <row r="73" spans="1:42" s="405" customFormat="1" ht="12.75" customHeight="1">
      <c r="A73" s="407"/>
      <c r="B73" s="409"/>
      <c r="C73" s="409"/>
      <c r="D73" s="418"/>
      <c r="E73" s="1835" t="s">
        <v>299</v>
      </c>
      <c r="F73" s="1815"/>
      <c r="G73" s="1187"/>
      <c r="H73" s="798" t="s">
        <v>1968</v>
      </c>
      <c r="I73" s="1187"/>
      <c r="J73" s="1187"/>
      <c r="K73" s="1187"/>
      <c r="L73" s="1187"/>
      <c r="M73" s="1187"/>
      <c r="N73" s="1187"/>
      <c r="O73" s="1187"/>
      <c r="P73" s="1187"/>
      <c r="Q73" s="1187"/>
      <c r="R73" s="1187"/>
      <c r="S73" s="1187"/>
      <c r="T73" s="1187"/>
      <c r="U73" s="1187"/>
      <c r="V73" s="1187"/>
      <c r="W73" s="1187"/>
      <c r="X73" s="1187"/>
      <c r="Y73" s="1187"/>
      <c r="Z73" s="1187"/>
      <c r="AA73" s="1187"/>
      <c r="AB73" s="1187"/>
      <c r="AC73" s="1187"/>
      <c r="AD73" s="1187"/>
      <c r="AE73" s="1187"/>
      <c r="AF73" s="1187"/>
      <c r="AG73" s="1187"/>
      <c r="AH73" s="1187"/>
      <c r="AI73" s="1187"/>
      <c r="AJ73" s="1188"/>
      <c r="AK73" s="1183"/>
      <c r="AL73" s="409"/>
      <c r="AM73" s="409"/>
      <c r="AN73" s="404"/>
    </row>
    <row r="74" spans="1:42" s="405" customFormat="1" ht="12.75" customHeight="1">
      <c r="A74" s="407"/>
      <c r="B74" s="409"/>
      <c r="C74" s="409"/>
      <c r="D74" s="419"/>
      <c r="E74" s="409"/>
      <c r="F74" s="409"/>
      <c r="G74" s="409"/>
      <c r="H74" s="409"/>
      <c r="I74" s="409"/>
      <c r="J74" s="409"/>
      <c r="K74" s="409"/>
      <c r="L74" s="409"/>
      <c r="M74" s="409"/>
      <c r="N74" s="409"/>
      <c r="O74" s="409"/>
      <c r="P74" s="409"/>
      <c r="Q74" s="409"/>
      <c r="R74" s="409"/>
      <c r="S74" s="409"/>
      <c r="T74" s="409"/>
      <c r="U74" s="409"/>
      <c r="V74" s="409"/>
      <c r="W74" s="409"/>
      <c r="X74" s="409"/>
      <c r="Y74" s="409"/>
      <c r="Z74" s="409"/>
      <c r="AA74" s="409"/>
      <c r="AB74" s="409"/>
      <c r="AC74" s="409"/>
      <c r="AD74" s="409"/>
      <c r="AE74" s="409"/>
      <c r="AF74" s="409"/>
      <c r="AG74" s="409"/>
      <c r="AH74" s="409"/>
      <c r="AI74" s="409"/>
      <c r="AJ74" s="409"/>
      <c r="AK74" s="1183"/>
      <c r="AL74" s="409"/>
      <c r="AM74" s="409"/>
      <c r="AN74" s="404"/>
    </row>
    <row r="75" spans="1:42" s="405" customFormat="1" ht="12.75" customHeight="1">
      <c r="A75" s="407"/>
      <c r="B75" s="1815" t="s">
        <v>299</v>
      </c>
      <c r="C75" s="1815"/>
      <c r="D75" s="415" t="s">
        <v>1969</v>
      </c>
      <c r="E75" s="1816" t="s">
        <v>1970</v>
      </c>
      <c r="F75" s="1817"/>
      <c r="G75" s="1817"/>
      <c r="H75" s="1817"/>
      <c r="I75" s="1817"/>
      <c r="J75" s="1817"/>
      <c r="K75" s="1817"/>
      <c r="L75" s="1817"/>
      <c r="M75" s="1817"/>
      <c r="N75" s="1817"/>
      <c r="O75" s="1817"/>
      <c r="P75" s="1817"/>
      <c r="Q75" s="1817"/>
      <c r="R75" s="1817"/>
      <c r="S75" s="1817"/>
      <c r="T75" s="1817"/>
      <c r="U75" s="1817"/>
      <c r="V75" s="1817"/>
      <c r="W75" s="1817"/>
      <c r="X75" s="1817"/>
      <c r="Y75" s="1817"/>
      <c r="Z75" s="1817"/>
      <c r="AA75" s="1817"/>
      <c r="AB75" s="1817"/>
      <c r="AC75" s="1817"/>
      <c r="AD75" s="1817"/>
      <c r="AE75" s="1817"/>
      <c r="AF75" s="1817"/>
      <c r="AG75" s="1817"/>
      <c r="AH75" s="1817"/>
      <c r="AI75" s="1817"/>
      <c r="AJ75" s="1818"/>
      <c r="AK75" s="1183"/>
      <c r="AL75" s="409"/>
      <c r="AM75" s="409"/>
      <c r="AN75" s="404"/>
    </row>
    <row r="76" spans="1:42" s="405" customFormat="1" ht="12.75" customHeight="1">
      <c r="A76" s="407"/>
      <c r="B76" s="409"/>
      <c r="C76" s="409"/>
      <c r="D76" s="418"/>
      <c r="E76" s="1819"/>
      <c r="F76" s="1820"/>
      <c r="G76" s="1820"/>
      <c r="H76" s="1820"/>
      <c r="I76" s="1820"/>
      <c r="J76" s="1820"/>
      <c r="K76" s="1820"/>
      <c r="L76" s="1820"/>
      <c r="M76" s="1820"/>
      <c r="N76" s="1820"/>
      <c r="O76" s="1820"/>
      <c r="P76" s="1820"/>
      <c r="Q76" s="1820"/>
      <c r="R76" s="1820"/>
      <c r="S76" s="1820"/>
      <c r="T76" s="1820"/>
      <c r="U76" s="1820"/>
      <c r="V76" s="1820"/>
      <c r="W76" s="1820"/>
      <c r="X76" s="1820"/>
      <c r="Y76" s="1820"/>
      <c r="Z76" s="1820"/>
      <c r="AA76" s="1820"/>
      <c r="AB76" s="1820"/>
      <c r="AC76" s="1820"/>
      <c r="AD76" s="1820"/>
      <c r="AE76" s="1820"/>
      <c r="AF76" s="1820"/>
      <c r="AG76" s="1820"/>
      <c r="AH76" s="1820"/>
      <c r="AI76" s="1820"/>
      <c r="AJ76" s="1821"/>
      <c r="AK76" s="1183"/>
      <c r="AL76" s="409"/>
      <c r="AM76" s="409"/>
      <c r="AN76" s="404"/>
    </row>
    <row r="77" spans="1:42" s="405" customFormat="1" ht="12.75" customHeight="1">
      <c r="A77" s="407"/>
      <c r="B77" s="409"/>
      <c r="C77" s="409"/>
      <c r="D77" s="418"/>
      <c r="E77" s="409"/>
      <c r="F77" s="409"/>
      <c r="G77" s="409"/>
      <c r="H77" s="409"/>
      <c r="I77" s="409"/>
      <c r="J77" s="409"/>
      <c r="K77" s="409"/>
      <c r="L77" s="409"/>
      <c r="M77" s="409"/>
      <c r="N77" s="409"/>
      <c r="O77" s="409"/>
      <c r="P77" s="409"/>
      <c r="Q77" s="409"/>
      <c r="R77" s="409"/>
      <c r="S77" s="409"/>
      <c r="T77" s="409"/>
      <c r="U77" s="409"/>
      <c r="V77" s="409"/>
      <c r="W77" s="409"/>
      <c r="X77" s="409"/>
      <c r="Y77" s="409"/>
      <c r="Z77" s="409"/>
      <c r="AA77" s="409"/>
      <c r="AB77" s="409"/>
      <c r="AC77" s="409"/>
      <c r="AD77" s="409"/>
      <c r="AE77" s="409"/>
      <c r="AF77" s="409"/>
      <c r="AG77" s="409"/>
      <c r="AH77" s="409"/>
      <c r="AI77" s="409"/>
      <c r="AJ77" s="409"/>
      <c r="AK77" s="1183"/>
      <c r="AL77" s="409"/>
      <c r="AM77" s="409"/>
      <c r="AN77" s="404"/>
    </row>
    <row r="78" spans="1:42" s="405" customFormat="1" ht="12.75" customHeight="1">
      <c r="A78" s="427"/>
      <c r="B78" s="428"/>
      <c r="C78" s="428"/>
      <c r="D78" s="428"/>
      <c r="E78" s="428"/>
      <c r="F78" s="428"/>
      <c r="G78" s="429"/>
      <c r="H78" s="430"/>
      <c r="I78" s="430"/>
      <c r="J78" s="430"/>
      <c r="K78" s="430"/>
      <c r="L78" s="430"/>
      <c r="M78" s="430"/>
      <c r="N78" s="430"/>
      <c r="O78" s="430"/>
      <c r="P78" s="430"/>
      <c r="Q78" s="430"/>
      <c r="R78" s="430"/>
      <c r="S78" s="430"/>
      <c r="T78" s="430"/>
      <c r="U78" s="430"/>
      <c r="V78" s="430"/>
      <c r="W78" s="430"/>
      <c r="X78" s="430"/>
      <c r="Y78" s="430"/>
      <c r="Z78" s="430"/>
      <c r="AA78" s="430"/>
      <c r="AB78" s="430"/>
      <c r="AC78" s="430"/>
      <c r="AD78" s="430"/>
      <c r="AE78" s="430"/>
      <c r="AF78" s="430"/>
      <c r="AG78" s="430"/>
      <c r="AH78" s="430"/>
      <c r="AI78" s="431"/>
      <c r="AJ78" s="431" t="s">
        <v>1971</v>
      </c>
      <c r="AK78" s="1845">
        <f>IF(AK56&gt;0,0,AO65)</f>
        <v>10</v>
      </c>
      <c r="AL78" s="1846"/>
      <c r="AM78" s="1847"/>
      <c r="AN78" s="404"/>
    </row>
    <row r="79" spans="1:42" s="405" customFormat="1" ht="12.75" customHeight="1" thickBot="1">
      <c r="A79" s="432"/>
      <c r="B79" s="433"/>
      <c r="C79" s="434"/>
      <c r="D79" s="434"/>
      <c r="E79" s="434"/>
      <c r="F79" s="434"/>
      <c r="G79" s="434"/>
      <c r="H79" s="434"/>
      <c r="I79" s="434"/>
      <c r="J79" s="434"/>
      <c r="K79" s="434"/>
      <c r="L79" s="434"/>
      <c r="M79" s="434"/>
      <c r="N79" s="434"/>
      <c r="O79" s="434"/>
      <c r="P79" s="434"/>
      <c r="Q79" s="434"/>
      <c r="R79" s="434"/>
      <c r="S79" s="434"/>
      <c r="T79" s="434"/>
      <c r="U79" s="434"/>
      <c r="V79" s="434"/>
      <c r="W79" s="434"/>
      <c r="X79" s="434"/>
      <c r="Y79" s="434"/>
      <c r="Z79" s="434"/>
      <c r="AA79" s="434"/>
      <c r="AB79" s="434"/>
      <c r="AC79" s="434"/>
      <c r="AD79" s="434"/>
      <c r="AE79" s="434"/>
      <c r="AF79" s="434"/>
      <c r="AG79" s="434"/>
      <c r="AH79" s="434"/>
      <c r="AI79" s="434"/>
      <c r="AJ79" s="434"/>
      <c r="AK79" s="434"/>
      <c r="AL79" s="434"/>
      <c r="AM79" s="435"/>
      <c r="AN79" s="404"/>
    </row>
    <row r="80" spans="1:42" s="405" customFormat="1" ht="12.75" customHeight="1" thickTop="1">
      <c r="A80" s="436"/>
      <c r="B80" s="437"/>
      <c r="C80" s="438"/>
      <c r="D80" s="438"/>
      <c r="E80" s="438"/>
      <c r="F80" s="438"/>
      <c r="G80" s="438"/>
      <c r="H80" s="438"/>
      <c r="I80" s="1203"/>
      <c r="J80" s="1203"/>
      <c r="K80" s="1203"/>
      <c r="L80" s="1203"/>
      <c r="M80" s="1203"/>
      <c r="N80" s="1203"/>
      <c r="O80" s="1203"/>
      <c r="P80" s="1203"/>
      <c r="Q80" s="1203"/>
      <c r="R80" s="436"/>
      <c r="S80" s="408"/>
      <c r="T80" s="408"/>
      <c r="U80" s="408"/>
      <c r="V80" s="408"/>
      <c r="W80" s="408"/>
      <c r="X80" s="408"/>
      <c r="Y80" s="408"/>
      <c r="Z80" s="408"/>
      <c r="AA80" s="408"/>
      <c r="AB80" s="408"/>
      <c r="AC80" s="408"/>
      <c r="AD80" s="408"/>
      <c r="AE80" s="408"/>
      <c r="AF80" s="436"/>
      <c r="AG80" s="408"/>
      <c r="AH80" s="408"/>
      <c r="AI80" s="408"/>
      <c r="AJ80" s="408"/>
      <c r="AK80" s="418"/>
      <c r="AL80" s="418"/>
      <c r="AM80" s="418"/>
      <c r="AN80" s="404"/>
    </row>
    <row r="81" spans="1:43" s="405" customFormat="1" ht="12.75" customHeight="1">
      <c r="A81" s="407" t="s">
        <v>1972</v>
      </c>
      <c r="B81" s="408" t="s">
        <v>1973</v>
      </c>
      <c r="C81" s="408"/>
      <c r="D81" s="408"/>
      <c r="E81" s="408"/>
      <c r="F81" s="408"/>
      <c r="G81" s="408"/>
      <c r="H81" s="408"/>
      <c r="I81" s="408"/>
      <c r="J81" s="408"/>
      <c r="K81" s="408"/>
      <c r="L81" s="408"/>
      <c r="M81" s="408"/>
      <c r="N81" s="408"/>
      <c r="O81" s="408"/>
      <c r="P81" s="408"/>
      <c r="Q81" s="408"/>
      <c r="R81" s="408"/>
      <c r="S81" s="408"/>
      <c r="T81" s="408"/>
      <c r="U81" s="408"/>
      <c r="V81" s="408"/>
      <c r="W81" s="408"/>
      <c r="X81" s="408"/>
      <c r="Y81" s="408"/>
      <c r="Z81" s="408"/>
      <c r="AA81" s="408"/>
      <c r="AB81" s="408"/>
      <c r="AC81" s="408"/>
      <c r="AD81" s="408"/>
      <c r="AE81" s="1825" t="s">
        <v>1936</v>
      </c>
      <c r="AF81" s="1825"/>
      <c r="AG81" s="1825"/>
      <c r="AH81" s="1825"/>
      <c r="AI81" s="1825"/>
      <c r="AJ81" s="1825"/>
      <c r="AK81" s="1825"/>
      <c r="AL81" s="409"/>
      <c r="AM81" s="409"/>
      <c r="AN81" s="404"/>
    </row>
    <row r="82" spans="1:43" s="405" customFormat="1" ht="12.75" customHeight="1">
      <c r="A82" s="407"/>
      <c r="B82" s="408" t="s">
        <v>1974</v>
      </c>
      <c r="C82" s="408"/>
      <c r="D82" s="408"/>
      <c r="E82" s="408"/>
      <c r="F82" s="408"/>
      <c r="G82" s="408"/>
      <c r="H82" s="408"/>
      <c r="I82" s="408"/>
      <c r="J82" s="408"/>
      <c r="K82" s="408"/>
      <c r="L82" s="408"/>
      <c r="M82" s="408"/>
      <c r="N82" s="408"/>
      <c r="O82" s="408"/>
      <c r="P82" s="408"/>
      <c r="Q82" s="408"/>
      <c r="R82" s="408"/>
      <c r="S82" s="408"/>
      <c r="T82" s="408"/>
      <c r="U82" s="408"/>
      <c r="V82" s="408"/>
      <c r="W82" s="408"/>
      <c r="X82" s="408"/>
      <c r="Y82" s="408"/>
      <c r="Z82" s="408"/>
      <c r="AA82" s="408"/>
      <c r="AB82" s="408"/>
      <c r="AC82" s="408"/>
      <c r="AD82" s="408"/>
      <c r="AE82" s="1183"/>
      <c r="AF82" s="1183"/>
      <c r="AG82" s="1183"/>
      <c r="AH82" s="1183"/>
      <c r="AI82" s="1183"/>
      <c r="AJ82" s="1183"/>
      <c r="AK82" s="1183"/>
      <c r="AL82" s="409"/>
      <c r="AM82" s="409"/>
      <c r="AN82" s="404"/>
    </row>
    <row r="83" spans="1:43" s="405" customFormat="1" ht="12.75" customHeight="1">
      <c r="A83" s="407"/>
      <c r="B83" s="408"/>
      <c r="C83" s="408"/>
      <c r="D83" s="408"/>
      <c r="E83" s="408"/>
      <c r="F83" s="408"/>
      <c r="G83" s="408"/>
      <c r="H83" s="408"/>
      <c r="I83" s="408"/>
      <c r="J83" s="408"/>
      <c r="K83" s="408"/>
      <c r="L83" s="408"/>
      <c r="M83" s="408"/>
      <c r="N83" s="408"/>
      <c r="O83" s="408"/>
      <c r="P83" s="408"/>
      <c r="Q83" s="408"/>
      <c r="R83" s="408"/>
      <c r="S83" s="408"/>
      <c r="T83" s="408"/>
      <c r="U83" s="408"/>
      <c r="V83" s="408"/>
      <c r="W83" s="408"/>
      <c r="X83" s="408"/>
      <c r="Y83" s="408"/>
      <c r="Z83" s="408"/>
      <c r="AA83" s="408"/>
      <c r="AB83" s="408"/>
      <c r="AC83" s="408"/>
      <c r="AD83" s="408"/>
      <c r="AE83" s="1183"/>
      <c r="AF83" s="1183"/>
      <c r="AG83" s="1183"/>
      <c r="AH83" s="1183"/>
      <c r="AI83" s="1183"/>
      <c r="AJ83" s="1183"/>
      <c r="AK83" s="1183"/>
      <c r="AL83" s="409"/>
      <c r="AM83" s="409"/>
      <c r="AN83" s="404"/>
    </row>
    <row r="84" spans="1:43" s="405" customFormat="1" ht="12.75" customHeight="1">
      <c r="A84" s="407"/>
      <c r="B84" s="1815" t="s">
        <v>837</v>
      </c>
      <c r="C84" s="1815"/>
      <c r="D84" s="415" t="s">
        <v>1960</v>
      </c>
      <c r="E84" s="1826" t="s">
        <v>1975</v>
      </c>
      <c r="F84" s="1827"/>
      <c r="G84" s="1827"/>
      <c r="H84" s="1827"/>
      <c r="I84" s="1827"/>
      <c r="J84" s="1827"/>
      <c r="K84" s="1827"/>
      <c r="L84" s="1827"/>
      <c r="M84" s="1827"/>
      <c r="N84" s="1827"/>
      <c r="O84" s="1827"/>
      <c r="P84" s="1827"/>
      <c r="Q84" s="1827"/>
      <c r="R84" s="1827"/>
      <c r="S84" s="1827"/>
      <c r="T84" s="1827"/>
      <c r="U84" s="1827"/>
      <c r="V84" s="1827"/>
      <c r="W84" s="1827"/>
      <c r="X84" s="1827"/>
      <c r="Y84" s="1827"/>
      <c r="Z84" s="1827"/>
      <c r="AA84" s="1827"/>
      <c r="AB84" s="1827"/>
      <c r="AC84" s="1827"/>
      <c r="AD84" s="1827"/>
      <c r="AE84" s="1827"/>
      <c r="AF84" s="1827"/>
      <c r="AG84" s="1827"/>
      <c r="AH84" s="1827"/>
      <c r="AI84" s="1827"/>
      <c r="AJ84" s="1828"/>
      <c r="AK84" s="1183"/>
      <c r="AL84" s="409"/>
      <c r="AM84" s="409"/>
      <c r="AN84" s="404"/>
    </row>
    <row r="85" spans="1:43" s="405" customFormat="1" ht="12.75" customHeight="1">
      <c r="A85" s="407"/>
      <c r="B85" s="408"/>
      <c r="C85" s="408"/>
      <c r="D85" s="408"/>
      <c r="E85" s="1829"/>
      <c r="F85" s="1830"/>
      <c r="G85" s="1830"/>
      <c r="H85" s="1830"/>
      <c r="I85" s="1830"/>
      <c r="J85" s="1830"/>
      <c r="K85" s="1830"/>
      <c r="L85" s="1830"/>
      <c r="M85" s="1830"/>
      <c r="N85" s="1830"/>
      <c r="O85" s="1830"/>
      <c r="P85" s="1830"/>
      <c r="Q85" s="1830"/>
      <c r="R85" s="1830"/>
      <c r="S85" s="1830"/>
      <c r="T85" s="1830"/>
      <c r="U85" s="1830"/>
      <c r="V85" s="1830"/>
      <c r="W85" s="1830"/>
      <c r="X85" s="1830"/>
      <c r="Y85" s="1830"/>
      <c r="Z85" s="1830"/>
      <c r="AA85" s="1830"/>
      <c r="AB85" s="1830"/>
      <c r="AC85" s="1830"/>
      <c r="AD85" s="1830"/>
      <c r="AE85" s="1830"/>
      <c r="AF85" s="1830"/>
      <c r="AG85" s="1830"/>
      <c r="AH85" s="1830"/>
      <c r="AI85" s="1830"/>
      <c r="AJ85" s="1831"/>
      <c r="AK85" s="1183"/>
      <c r="AL85" s="409"/>
      <c r="AM85" s="409"/>
      <c r="AN85" s="404"/>
    </row>
    <row r="86" spans="1:43" s="405" customFormat="1" ht="12.75" customHeight="1">
      <c r="A86" s="407"/>
      <c r="B86" s="408"/>
      <c r="C86" s="408"/>
      <c r="D86" s="408"/>
      <c r="E86" s="441"/>
      <c r="F86" s="442"/>
      <c r="G86" s="442"/>
      <c r="H86" s="442"/>
      <c r="I86" s="442"/>
      <c r="J86" s="442"/>
      <c r="K86" s="442"/>
      <c r="L86" s="442"/>
      <c r="M86" s="442"/>
      <c r="N86" s="442"/>
      <c r="O86" s="442"/>
      <c r="P86" s="442"/>
      <c r="Q86" s="442"/>
      <c r="R86" s="442"/>
      <c r="S86" s="442"/>
      <c r="T86" s="442"/>
      <c r="U86" s="442"/>
      <c r="V86" s="442"/>
      <c r="W86" s="442"/>
      <c r="X86" s="442"/>
      <c r="Y86" s="442"/>
      <c r="Z86" s="443"/>
      <c r="AA86" s="443"/>
      <c r="AB86" s="443"/>
      <c r="AC86" s="442"/>
      <c r="AD86" s="442"/>
      <c r="AE86" s="442"/>
      <c r="AF86" s="442"/>
      <c r="AG86" s="442"/>
      <c r="AH86" s="442"/>
      <c r="AI86" s="442"/>
      <c r="AJ86" s="444"/>
      <c r="AK86" s="1183"/>
      <c r="AL86" s="409"/>
      <c r="AM86" s="409"/>
      <c r="AN86" s="404"/>
    </row>
    <row r="87" spans="1:43" s="405" customFormat="1" ht="12.75" customHeight="1">
      <c r="A87" s="407"/>
      <c r="B87" s="408"/>
      <c r="C87" s="408"/>
      <c r="D87" s="408"/>
      <c r="E87" s="1809">
        <f>Application!AC753</f>
        <v>0.4557692307692307</v>
      </c>
      <c r="F87" s="1810"/>
      <c r="G87" s="1810"/>
      <c r="H87" s="1810"/>
      <c r="I87" s="442"/>
      <c r="J87" s="445" t="s">
        <v>1976</v>
      </c>
      <c r="K87" s="442"/>
      <c r="L87" s="442"/>
      <c r="M87" s="442"/>
      <c r="N87" s="442"/>
      <c r="O87" s="442"/>
      <c r="P87" s="442"/>
      <c r="Q87" s="442"/>
      <c r="R87" s="442"/>
      <c r="S87" s="442"/>
      <c r="T87" s="442"/>
      <c r="U87" s="442"/>
      <c r="V87" s="442"/>
      <c r="W87" s="442"/>
      <c r="X87" s="442"/>
      <c r="Y87" s="442"/>
      <c r="Z87" s="446"/>
      <c r="AA87" s="446"/>
      <c r="AB87" s="446"/>
      <c r="AC87" s="442"/>
      <c r="AD87" s="442"/>
      <c r="AE87" s="442"/>
      <c r="AF87" s="442"/>
      <c r="AG87" s="442"/>
      <c r="AH87" s="442"/>
      <c r="AI87" s="442"/>
      <c r="AJ87" s="444"/>
      <c r="AK87" s="1183"/>
      <c r="AL87" s="409"/>
      <c r="AM87" s="409"/>
      <c r="AN87" s="404"/>
    </row>
    <row r="88" spans="1:43" s="405" customFormat="1" ht="12.75" customHeight="1">
      <c r="A88" s="407"/>
      <c r="B88" s="408"/>
      <c r="C88" s="408"/>
      <c r="D88" s="408"/>
      <c r="E88" s="1811">
        <f>0.6-ROUNDUP(E87,2)</f>
        <v>0.13999999999999996</v>
      </c>
      <c r="F88" s="1812"/>
      <c r="G88" s="1812"/>
      <c r="H88" s="1812"/>
      <c r="I88" s="442"/>
      <c r="J88" s="445" t="s">
        <v>1977</v>
      </c>
      <c r="K88" s="442"/>
      <c r="L88" s="442"/>
      <c r="M88" s="442"/>
      <c r="N88" s="442"/>
      <c r="O88" s="442"/>
      <c r="P88" s="442"/>
      <c r="Q88" s="442"/>
      <c r="R88" s="442"/>
      <c r="S88" s="442"/>
      <c r="T88" s="442"/>
      <c r="U88" s="442"/>
      <c r="V88" s="442"/>
      <c r="W88" s="442"/>
      <c r="X88" s="442"/>
      <c r="Y88" s="442"/>
      <c r="Z88" s="442"/>
      <c r="AA88" s="442"/>
      <c r="AB88" s="442"/>
      <c r="AC88" s="442"/>
      <c r="AD88" s="442"/>
      <c r="AE88" s="442"/>
      <c r="AF88" s="442"/>
      <c r="AG88" s="442"/>
      <c r="AH88" s="442"/>
      <c r="AI88" s="442"/>
      <c r="AJ88" s="444"/>
      <c r="AK88" s="1183"/>
      <c r="AL88" s="409"/>
      <c r="AM88" s="409"/>
      <c r="AN88" s="404"/>
    </row>
    <row r="89" spans="1:43" s="405" customFormat="1" ht="12.75" customHeight="1">
      <c r="A89" s="407"/>
      <c r="B89" s="408"/>
      <c r="C89" s="408"/>
      <c r="D89" s="408"/>
      <c r="E89" s="1839">
        <f>IF(E88*200&gt;20,20,E88*200)</f>
        <v>20</v>
      </c>
      <c r="F89" s="1840"/>
      <c r="G89" s="1840"/>
      <c r="H89" s="1840"/>
      <c r="I89" s="442"/>
      <c r="J89" s="445" t="s">
        <v>1978</v>
      </c>
      <c r="K89" s="442"/>
      <c r="L89" s="442"/>
      <c r="M89" s="442"/>
      <c r="N89" s="442"/>
      <c r="O89" s="442"/>
      <c r="P89" s="442"/>
      <c r="Q89" s="442"/>
      <c r="R89" s="442"/>
      <c r="S89" s="442"/>
      <c r="T89" s="442"/>
      <c r="U89" s="442"/>
      <c r="V89" s="442"/>
      <c r="W89" s="442"/>
      <c r="X89" s="442"/>
      <c r="Y89" s="442"/>
      <c r="Z89" s="442"/>
      <c r="AA89" s="442"/>
      <c r="AB89" s="442"/>
      <c r="AC89" s="442"/>
      <c r="AD89" s="442"/>
      <c r="AE89" s="442"/>
      <c r="AF89" s="442"/>
      <c r="AG89" s="442"/>
      <c r="AH89" s="442"/>
      <c r="AI89" s="442"/>
      <c r="AJ89" s="444"/>
      <c r="AK89" s="1183"/>
      <c r="AL89" s="409"/>
      <c r="AM89" s="409"/>
      <c r="AN89" s="404"/>
      <c r="AP89" s="405">
        <f>IF(B84="yes",E89,0)</f>
        <v>20</v>
      </c>
      <c r="AQ89" s="405" t="s">
        <v>1942</v>
      </c>
    </row>
    <row r="90" spans="1:43" s="405" customFormat="1" ht="12.75" customHeight="1">
      <c r="A90" s="407"/>
      <c r="B90" s="408"/>
      <c r="C90" s="408"/>
      <c r="D90" s="408"/>
      <c r="E90" s="447"/>
      <c r="F90" s="448"/>
      <c r="G90" s="448"/>
      <c r="H90" s="448"/>
      <c r="I90" s="448"/>
      <c r="J90" s="448"/>
      <c r="K90" s="448"/>
      <c r="L90" s="448"/>
      <c r="M90" s="448"/>
      <c r="N90" s="448"/>
      <c r="O90" s="448"/>
      <c r="P90" s="448"/>
      <c r="Q90" s="448"/>
      <c r="R90" s="448"/>
      <c r="S90" s="448"/>
      <c r="T90" s="448"/>
      <c r="U90" s="448"/>
      <c r="V90" s="448"/>
      <c r="W90" s="448"/>
      <c r="X90" s="448"/>
      <c r="Y90" s="448"/>
      <c r="Z90" s="448"/>
      <c r="AA90" s="448"/>
      <c r="AB90" s="448"/>
      <c r="AC90" s="448"/>
      <c r="AD90" s="448"/>
      <c r="AE90" s="449"/>
      <c r="AF90" s="449"/>
      <c r="AG90" s="449"/>
      <c r="AH90" s="449"/>
      <c r="AI90" s="449"/>
      <c r="AJ90" s="450"/>
      <c r="AK90" s="1183"/>
      <c r="AL90" s="409"/>
      <c r="AM90" s="409"/>
      <c r="AN90" s="404"/>
    </row>
    <row r="91" spans="1:43" s="405" customFormat="1" ht="12.75" customHeight="1">
      <c r="A91" s="407"/>
      <c r="B91" s="408"/>
      <c r="C91" s="408"/>
      <c r="D91" s="408"/>
      <c r="E91" s="408"/>
      <c r="F91" s="408"/>
      <c r="G91" s="408"/>
      <c r="H91" s="408"/>
      <c r="I91" s="408"/>
      <c r="J91" s="408"/>
      <c r="K91" s="408"/>
      <c r="L91" s="408"/>
      <c r="M91" s="408"/>
      <c r="N91" s="408"/>
      <c r="O91" s="408"/>
      <c r="P91" s="408"/>
      <c r="Q91" s="408"/>
      <c r="R91" s="408"/>
      <c r="S91" s="408"/>
      <c r="T91" s="408"/>
      <c r="U91" s="408"/>
      <c r="V91" s="408"/>
      <c r="W91" s="408"/>
      <c r="X91" s="408"/>
      <c r="Y91" s="408"/>
      <c r="Z91" s="408"/>
      <c r="AA91" s="408"/>
      <c r="AB91" s="408"/>
      <c r="AC91" s="408"/>
      <c r="AD91" s="408"/>
      <c r="AE91" s="1183"/>
      <c r="AF91" s="1183"/>
      <c r="AG91" s="1183"/>
      <c r="AH91" s="1183"/>
      <c r="AI91" s="1183"/>
      <c r="AJ91" s="1183"/>
      <c r="AK91" s="1183"/>
      <c r="AL91" s="409"/>
      <c r="AM91" s="409"/>
      <c r="AN91" s="404"/>
    </row>
    <row r="92" spans="1:43" s="405" customFormat="1" ht="12.75" customHeight="1">
      <c r="A92" s="407"/>
      <c r="B92" s="1815" t="s">
        <v>299</v>
      </c>
      <c r="C92" s="1815"/>
      <c r="D92" s="415" t="s">
        <v>1963</v>
      </c>
      <c r="E92" s="1826" t="s">
        <v>1979</v>
      </c>
      <c r="F92" s="1827"/>
      <c r="G92" s="1827"/>
      <c r="H92" s="1827"/>
      <c r="I92" s="1827"/>
      <c r="J92" s="1827"/>
      <c r="K92" s="1827"/>
      <c r="L92" s="1827"/>
      <c r="M92" s="1827"/>
      <c r="N92" s="1827"/>
      <c r="O92" s="1827"/>
      <c r="P92" s="1827"/>
      <c r="Q92" s="1827"/>
      <c r="R92" s="1827"/>
      <c r="S92" s="1827"/>
      <c r="T92" s="1827"/>
      <c r="U92" s="1827"/>
      <c r="V92" s="1827"/>
      <c r="W92" s="1827"/>
      <c r="X92" s="1827"/>
      <c r="Y92" s="1827"/>
      <c r="Z92" s="1827"/>
      <c r="AA92" s="1827"/>
      <c r="AB92" s="1827"/>
      <c r="AC92" s="1827"/>
      <c r="AD92" s="1827"/>
      <c r="AE92" s="1827"/>
      <c r="AF92" s="1827"/>
      <c r="AG92" s="1827"/>
      <c r="AH92" s="1827"/>
      <c r="AI92" s="1827"/>
      <c r="AJ92" s="1828"/>
      <c r="AK92" s="1183"/>
      <c r="AL92" s="409"/>
      <c r="AM92" s="409"/>
      <c r="AN92" s="404"/>
    </row>
    <row r="93" spans="1:43" s="405" customFormat="1" ht="12.75" customHeight="1">
      <c r="A93" s="407"/>
      <c r="B93" s="408"/>
      <c r="C93" s="408"/>
      <c r="D93" s="408"/>
      <c r="E93" s="1829"/>
      <c r="F93" s="1830"/>
      <c r="G93" s="1830"/>
      <c r="H93" s="1830"/>
      <c r="I93" s="1830"/>
      <c r="J93" s="1830"/>
      <c r="K93" s="1830"/>
      <c r="L93" s="1830"/>
      <c r="M93" s="1830"/>
      <c r="N93" s="1830"/>
      <c r="O93" s="1830"/>
      <c r="P93" s="1830"/>
      <c r="Q93" s="1830"/>
      <c r="R93" s="1830"/>
      <c r="S93" s="1830"/>
      <c r="T93" s="1830"/>
      <c r="U93" s="1830"/>
      <c r="V93" s="1830"/>
      <c r="W93" s="1830"/>
      <c r="X93" s="1830"/>
      <c r="Y93" s="1830"/>
      <c r="Z93" s="1830"/>
      <c r="AA93" s="1830"/>
      <c r="AB93" s="1830"/>
      <c r="AC93" s="1830"/>
      <c r="AD93" s="1830"/>
      <c r="AE93" s="1830"/>
      <c r="AF93" s="1830"/>
      <c r="AG93" s="1830"/>
      <c r="AH93" s="1830"/>
      <c r="AI93" s="1830"/>
      <c r="AJ93" s="1831"/>
      <c r="AK93" s="1183"/>
      <c r="AL93" s="409"/>
      <c r="AM93" s="409"/>
      <c r="AN93" s="404"/>
    </row>
    <row r="94" spans="1:43" s="405" customFormat="1" ht="12.75" customHeight="1">
      <c r="A94" s="407"/>
      <c r="B94" s="408"/>
      <c r="C94" s="408"/>
      <c r="D94" s="408"/>
      <c r="E94" s="1829"/>
      <c r="F94" s="1830"/>
      <c r="G94" s="1830"/>
      <c r="H94" s="1830"/>
      <c r="I94" s="1830"/>
      <c r="J94" s="1830"/>
      <c r="K94" s="1830"/>
      <c r="L94" s="1830"/>
      <c r="M94" s="1830"/>
      <c r="N94" s="1830"/>
      <c r="O94" s="1830"/>
      <c r="P94" s="1830"/>
      <c r="Q94" s="1830"/>
      <c r="R94" s="1830"/>
      <c r="S94" s="1830"/>
      <c r="T94" s="1830"/>
      <c r="U94" s="1830"/>
      <c r="V94" s="1830"/>
      <c r="W94" s="1830"/>
      <c r="X94" s="1830"/>
      <c r="Y94" s="1830"/>
      <c r="Z94" s="1830"/>
      <c r="AA94" s="1830"/>
      <c r="AB94" s="1830"/>
      <c r="AC94" s="1830"/>
      <c r="AD94" s="1830"/>
      <c r="AE94" s="1830"/>
      <c r="AF94" s="1830"/>
      <c r="AG94" s="1830"/>
      <c r="AH94" s="1830"/>
      <c r="AI94" s="1830"/>
      <c r="AJ94" s="1831"/>
      <c r="AK94" s="1183"/>
      <c r="AL94" s="409"/>
      <c r="AM94" s="409"/>
      <c r="AN94" s="404"/>
    </row>
    <row r="95" spans="1:43" s="405" customFormat="1" ht="12.75" customHeight="1">
      <c r="A95" s="407"/>
      <c r="B95" s="408"/>
      <c r="C95" s="408"/>
      <c r="D95" s="408"/>
      <c r="E95" s="1829"/>
      <c r="F95" s="1830"/>
      <c r="G95" s="1830"/>
      <c r="H95" s="1830"/>
      <c r="I95" s="1830"/>
      <c r="J95" s="1830"/>
      <c r="K95" s="1830"/>
      <c r="L95" s="1830"/>
      <c r="M95" s="1830"/>
      <c r="N95" s="1830"/>
      <c r="O95" s="1830"/>
      <c r="P95" s="1830"/>
      <c r="Q95" s="1830"/>
      <c r="R95" s="1830"/>
      <c r="S95" s="1830"/>
      <c r="T95" s="1830"/>
      <c r="U95" s="1830"/>
      <c r="V95" s="1830"/>
      <c r="W95" s="1830"/>
      <c r="X95" s="1830"/>
      <c r="Y95" s="1830"/>
      <c r="Z95" s="1830"/>
      <c r="AA95" s="1830"/>
      <c r="AB95" s="1830"/>
      <c r="AC95" s="1830"/>
      <c r="AD95" s="1830"/>
      <c r="AE95" s="1830"/>
      <c r="AF95" s="1830"/>
      <c r="AG95" s="1830"/>
      <c r="AH95" s="1830"/>
      <c r="AI95" s="1830"/>
      <c r="AJ95" s="1831"/>
      <c r="AK95" s="1183"/>
      <c r="AL95" s="409"/>
      <c r="AM95" s="409"/>
      <c r="AN95" s="404"/>
    </row>
    <row r="96" spans="1:43" s="405" customFormat="1" ht="12.75" customHeight="1">
      <c r="A96" s="407"/>
      <c r="B96" s="408"/>
      <c r="C96" s="408"/>
      <c r="D96" s="408"/>
      <c r="E96" s="1184"/>
      <c r="F96" s="1185"/>
      <c r="G96" s="1185"/>
      <c r="H96" s="1185"/>
      <c r="I96" s="1185"/>
      <c r="J96" s="1185"/>
      <c r="K96" s="1185"/>
      <c r="L96" s="1185"/>
      <c r="M96" s="1185"/>
      <c r="N96" s="1185"/>
      <c r="O96" s="1185"/>
      <c r="P96" s="1185"/>
      <c r="Q96" s="1185"/>
      <c r="R96" s="1185"/>
      <c r="S96" s="1185"/>
      <c r="T96" s="1185"/>
      <c r="U96" s="1185"/>
      <c r="V96" s="1185"/>
      <c r="W96" s="1185"/>
      <c r="X96" s="1185"/>
      <c r="Y96" s="1185"/>
      <c r="Z96" s="1185"/>
      <c r="AA96" s="1185"/>
      <c r="AB96" s="1185"/>
      <c r="AC96" s="1185"/>
      <c r="AD96" s="1185"/>
      <c r="AE96" s="1185"/>
      <c r="AF96" s="1185"/>
      <c r="AG96" s="1185"/>
      <c r="AH96" s="1185"/>
      <c r="AI96" s="1185"/>
      <c r="AJ96" s="1186"/>
      <c r="AK96" s="1183"/>
      <c r="AL96" s="409"/>
      <c r="AM96" s="409"/>
      <c r="AN96" s="404"/>
    </row>
    <row r="97" spans="1:49" s="405" customFormat="1" ht="12.75" customHeight="1">
      <c r="A97" s="407"/>
      <c r="B97" s="408"/>
      <c r="C97" s="408"/>
      <c r="D97" s="408"/>
      <c r="E97" s="1809">
        <f>Application!AC753</f>
        <v>0.4557692307692307</v>
      </c>
      <c r="F97" s="1810"/>
      <c r="G97" s="1810"/>
      <c r="H97" s="1810"/>
      <c r="I97" s="442"/>
      <c r="J97" s="445" t="s">
        <v>1976</v>
      </c>
      <c r="K97" s="442"/>
      <c r="L97" s="442"/>
      <c r="M97" s="442"/>
      <c r="N97" s="442"/>
      <c r="O97" s="442"/>
      <c r="P97" s="442"/>
      <c r="Q97" s="442"/>
      <c r="R97" s="1185"/>
      <c r="S97" s="1185"/>
      <c r="T97" s="1185"/>
      <c r="U97" s="1185"/>
      <c r="V97" s="1185"/>
      <c r="W97" s="1185"/>
      <c r="X97" s="1185"/>
      <c r="Y97" s="1185"/>
      <c r="Z97" s="1185"/>
      <c r="AA97" s="1185"/>
      <c r="AB97" s="1185"/>
      <c r="AC97" s="1185"/>
      <c r="AD97" s="1185"/>
      <c r="AE97" s="1185"/>
      <c r="AF97" s="1185"/>
      <c r="AG97" s="1185"/>
      <c r="AH97" s="1185"/>
      <c r="AI97" s="1185"/>
      <c r="AJ97" s="1186"/>
      <c r="AK97" s="1183"/>
      <c r="AL97" s="409"/>
      <c r="AM97" s="409"/>
      <c r="AN97" s="404"/>
    </row>
    <row r="98" spans="1:49" s="405" customFormat="1" ht="12.75" customHeight="1">
      <c r="A98" s="407"/>
      <c r="B98" s="408"/>
      <c r="C98" s="408"/>
      <c r="D98" s="408"/>
      <c r="E98" s="1809">
        <f ca="1">SUMIF(Application!AC718:AG752,0.2,Application!G718:J752)/Application!G753+SUMIF(Application!AC718:AG752,0.25,Application!G718:J752)/Application!G753+SUMIF(Application!AC718:AG752,0.3,Application!G718:J752)/Application!G753</f>
        <v>0.48076923076923078</v>
      </c>
      <c r="F98" s="1810"/>
      <c r="G98" s="1810"/>
      <c r="H98" s="1810"/>
      <c r="I98" s="442"/>
      <c r="J98" s="445" t="s">
        <v>1980</v>
      </c>
      <c r="K98" s="442"/>
      <c r="L98" s="442"/>
      <c r="M98" s="442"/>
      <c r="N98" s="442"/>
      <c r="O98" s="442"/>
      <c r="P98" s="442"/>
      <c r="Q98" s="442"/>
      <c r="R98" s="1185"/>
      <c r="S98" s="1185"/>
      <c r="T98" s="1185"/>
      <c r="U98" s="1185"/>
      <c r="V98" s="1185"/>
      <c r="W98" s="1185"/>
      <c r="X98" s="1185"/>
      <c r="Y98" s="1185"/>
      <c r="Z98" s="1185"/>
      <c r="AA98" s="1185"/>
      <c r="AB98" s="1185"/>
      <c r="AC98" s="1185"/>
      <c r="AD98" s="1185"/>
      <c r="AE98" s="1185"/>
      <c r="AF98" s="1185"/>
      <c r="AG98" s="1185"/>
      <c r="AH98" s="1185"/>
      <c r="AI98" s="1185"/>
      <c r="AJ98" s="1186"/>
      <c r="AK98" s="1183"/>
      <c r="AL98" s="409"/>
      <c r="AM98" s="409"/>
      <c r="AN98" s="404"/>
      <c r="AU98" s="704"/>
    </row>
    <row r="99" spans="1:49" s="405" customFormat="1" ht="12.75" customHeight="1">
      <c r="A99" s="407"/>
      <c r="B99" s="408"/>
      <c r="C99" s="408"/>
      <c r="D99" s="408"/>
      <c r="E99" s="1809">
        <f ca="1">SUMIF(Application!AC718:AG752,0.35,Application!G718:J752)/Application!G753+SUMIF(Application!AC718:AG752,0.4,Application!G718:J752)/Application!G753+SUMIF(Application!AC718:AG752,0.45,Application!G718:J752)/Application!G753+SUMIF(Application!AC718:AG752,0.5,Application!G718:J752)/Application!G753</f>
        <v>0</v>
      </c>
      <c r="F99" s="1810"/>
      <c r="G99" s="1810"/>
      <c r="H99" s="1810"/>
      <c r="I99" s="442"/>
      <c r="J99" s="445" t="s">
        <v>1981</v>
      </c>
      <c r="K99" s="442"/>
      <c r="L99" s="442"/>
      <c r="M99" s="442"/>
      <c r="N99" s="442"/>
      <c r="O99" s="442"/>
      <c r="P99" s="442"/>
      <c r="Q99" s="442"/>
      <c r="R99" s="1185"/>
      <c r="S99" s="1185"/>
      <c r="T99" s="1185"/>
      <c r="U99" s="1185"/>
      <c r="V99" s="1185"/>
      <c r="W99" s="1185"/>
      <c r="X99" s="1185"/>
      <c r="Y99" s="1185"/>
      <c r="Z99" s="1185"/>
      <c r="AA99" s="1185"/>
      <c r="AB99" s="1185"/>
      <c r="AC99" s="1185"/>
      <c r="AD99" s="1185"/>
      <c r="AE99" s="1185"/>
      <c r="AF99" s="1185"/>
      <c r="AG99" s="1185"/>
      <c r="AH99" s="1185"/>
      <c r="AI99" s="1185"/>
      <c r="AJ99" s="1186"/>
      <c r="AK99" s="1183"/>
      <c r="AL99" s="409"/>
      <c r="AM99" s="409"/>
      <c r="AN99" s="404"/>
      <c r="AU99" s="704"/>
    </row>
    <row r="100" spans="1:49" s="405" customFormat="1" ht="12.75" customHeight="1">
      <c r="A100" s="407"/>
      <c r="B100" s="408"/>
      <c r="C100" s="408"/>
      <c r="D100" s="408"/>
      <c r="E100" s="1864">
        <f ca="1">IF(AND(E97&lt;=0.6,OR(AND(E98&gt;=0.1,E99&gt;=0.1),AND(E98&gt;0.1,(E98+E99)&gt;=0.2))),20,0)</f>
        <v>20</v>
      </c>
      <c r="F100" s="1865"/>
      <c r="G100" s="1865"/>
      <c r="H100" s="1865"/>
      <c r="I100" s="1185"/>
      <c r="J100" s="451" t="s">
        <v>1978</v>
      </c>
      <c r="K100" s="1185"/>
      <c r="L100" s="1185"/>
      <c r="M100" s="1185"/>
      <c r="N100" s="1185"/>
      <c r="O100" s="1185"/>
      <c r="P100" s="1185"/>
      <c r="Q100" s="1185"/>
      <c r="R100" s="1185"/>
      <c r="S100" s="1185"/>
      <c r="T100" s="1185"/>
      <c r="U100" s="1185"/>
      <c r="V100" s="1185"/>
      <c r="W100" s="1185"/>
      <c r="X100" s="1185"/>
      <c r="Y100" s="1185"/>
      <c r="Z100" s="1185"/>
      <c r="AA100" s="1185"/>
      <c r="AB100" s="1185"/>
      <c r="AC100" s="1185"/>
      <c r="AD100" s="1185"/>
      <c r="AE100" s="1185"/>
      <c r="AF100" s="1185"/>
      <c r="AG100" s="1185"/>
      <c r="AH100" s="1185"/>
      <c r="AI100" s="1185"/>
      <c r="AJ100" s="1186"/>
      <c r="AK100" s="1183"/>
      <c r="AL100" s="409"/>
      <c r="AM100" s="409"/>
      <c r="AN100" s="404"/>
      <c r="AP100" s="405">
        <f>IF(B92="yes",E100,0)</f>
        <v>0</v>
      </c>
      <c r="AQ100" s="405" t="s">
        <v>1942</v>
      </c>
    </row>
    <row r="101" spans="1:49" s="405" customFormat="1" ht="12.75" customHeight="1">
      <c r="A101" s="407"/>
      <c r="B101" s="408"/>
      <c r="C101" s="408"/>
      <c r="D101" s="408"/>
      <c r="E101" s="447"/>
      <c r="F101" s="448"/>
      <c r="G101" s="448"/>
      <c r="H101" s="448"/>
      <c r="I101" s="448"/>
      <c r="J101" s="448"/>
      <c r="K101" s="448"/>
      <c r="L101" s="448"/>
      <c r="M101" s="448"/>
      <c r="N101" s="448"/>
      <c r="O101" s="448"/>
      <c r="P101" s="448"/>
      <c r="Q101" s="448"/>
      <c r="R101" s="448"/>
      <c r="S101" s="448"/>
      <c r="T101" s="448"/>
      <c r="U101" s="448"/>
      <c r="V101" s="448"/>
      <c r="W101" s="448"/>
      <c r="X101" s="448"/>
      <c r="Y101" s="448"/>
      <c r="Z101" s="448"/>
      <c r="AA101" s="448"/>
      <c r="AB101" s="448"/>
      <c r="AC101" s="448"/>
      <c r="AD101" s="448"/>
      <c r="AE101" s="449"/>
      <c r="AF101" s="449"/>
      <c r="AG101" s="449"/>
      <c r="AH101" s="449"/>
      <c r="AI101" s="449"/>
      <c r="AJ101" s="450"/>
      <c r="AK101" s="1183"/>
      <c r="AL101" s="409"/>
      <c r="AM101" s="409"/>
      <c r="AN101" s="404"/>
    </row>
    <row r="102" spans="1:49" s="405" customFormat="1" ht="12.75" customHeight="1">
      <c r="A102" s="407"/>
      <c r="B102" s="408"/>
      <c r="C102" s="408"/>
      <c r="D102" s="408"/>
      <c r="E102" s="408"/>
      <c r="F102" s="408"/>
      <c r="G102" s="408"/>
      <c r="H102" s="408"/>
      <c r="I102" s="408"/>
      <c r="J102" s="408"/>
      <c r="K102" s="408"/>
      <c r="L102" s="408"/>
      <c r="M102" s="408"/>
      <c r="N102" s="408"/>
      <c r="O102" s="408"/>
      <c r="P102" s="408"/>
      <c r="Q102" s="408"/>
      <c r="R102" s="408"/>
      <c r="S102" s="408"/>
      <c r="T102" s="408"/>
      <c r="U102" s="408"/>
      <c r="V102" s="408"/>
      <c r="W102" s="408"/>
      <c r="X102" s="408"/>
      <c r="Y102" s="408"/>
      <c r="Z102" s="408"/>
      <c r="AA102" s="408"/>
      <c r="AB102" s="408"/>
      <c r="AC102" s="408"/>
      <c r="AD102" s="408"/>
      <c r="AE102" s="1183"/>
      <c r="AF102" s="1183"/>
      <c r="AG102" s="1183"/>
      <c r="AH102" s="1183"/>
      <c r="AI102" s="1183"/>
      <c r="AJ102" s="1183"/>
      <c r="AK102" s="1183"/>
      <c r="AL102" s="409"/>
      <c r="AM102" s="409"/>
      <c r="AN102" s="404"/>
    </row>
    <row r="103" spans="1:49" s="405" customFormat="1" ht="12.75" customHeight="1">
      <c r="A103" s="427"/>
      <c r="B103" s="428"/>
      <c r="C103" s="428"/>
      <c r="D103" s="428"/>
      <c r="E103" s="428"/>
      <c r="F103" s="428"/>
      <c r="G103" s="429"/>
      <c r="H103" s="430"/>
      <c r="I103" s="430"/>
      <c r="J103" s="430"/>
      <c r="K103" s="430"/>
      <c r="L103" s="430"/>
      <c r="M103" s="430"/>
      <c r="N103" s="430"/>
      <c r="O103" s="430"/>
      <c r="P103" s="430"/>
      <c r="Q103" s="430"/>
      <c r="R103" s="430"/>
      <c r="S103" s="430"/>
      <c r="T103" s="430"/>
      <c r="U103" s="430"/>
      <c r="V103" s="430"/>
      <c r="W103" s="430"/>
      <c r="X103" s="430"/>
      <c r="Y103" s="430"/>
      <c r="Z103" s="430"/>
      <c r="AA103" s="430"/>
      <c r="AB103" s="430"/>
      <c r="AC103" s="430"/>
      <c r="AD103" s="430"/>
      <c r="AE103" s="430"/>
      <c r="AF103" s="430"/>
      <c r="AG103" s="430"/>
      <c r="AH103" s="430"/>
      <c r="AI103" s="431"/>
      <c r="AJ103" s="431" t="s">
        <v>1982</v>
      </c>
      <c r="AK103" s="1845">
        <f>MAX(AP89,AP100)</f>
        <v>20</v>
      </c>
      <c r="AL103" s="1846"/>
      <c r="AM103" s="1847"/>
      <c r="AN103" s="404"/>
    </row>
    <row r="104" spans="1:49" s="405" customFormat="1" ht="12.75" customHeight="1" thickBot="1">
      <c r="A104" s="432"/>
      <c r="B104" s="433"/>
      <c r="C104" s="434"/>
      <c r="D104" s="434"/>
      <c r="E104" s="434"/>
      <c r="F104" s="434"/>
      <c r="G104" s="434"/>
      <c r="H104" s="434"/>
      <c r="I104" s="434"/>
      <c r="J104" s="434"/>
      <c r="K104" s="434"/>
      <c r="L104" s="434"/>
      <c r="M104" s="434"/>
      <c r="N104" s="434"/>
      <c r="O104" s="434"/>
      <c r="P104" s="434"/>
      <c r="Q104" s="434"/>
      <c r="R104" s="434"/>
      <c r="S104" s="434"/>
      <c r="T104" s="434"/>
      <c r="U104" s="434"/>
      <c r="V104" s="434"/>
      <c r="W104" s="434"/>
      <c r="X104" s="434"/>
      <c r="Y104" s="434"/>
      <c r="Z104" s="434"/>
      <c r="AA104" s="434"/>
      <c r="AB104" s="434"/>
      <c r="AC104" s="434"/>
      <c r="AD104" s="434"/>
      <c r="AE104" s="434"/>
      <c r="AF104" s="434"/>
      <c r="AG104" s="434"/>
      <c r="AH104" s="434"/>
      <c r="AI104" s="434"/>
      <c r="AJ104" s="434"/>
      <c r="AK104" s="434"/>
      <c r="AL104" s="434"/>
      <c r="AM104" s="435"/>
      <c r="AN104" s="404"/>
    </row>
    <row r="105" spans="1:49" s="405" customFormat="1" ht="12.75" customHeight="1" thickTop="1">
      <c r="A105" s="436"/>
      <c r="B105" s="437"/>
      <c r="C105" s="438"/>
      <c r="D105" s="438"/>
      <c r="E105" s="438"/>
      <c r="F105" s="438"/>
      <c r="G105" s="438"/>
      <c r="H105" s="438"/>
      <c r="I105" s="1203"/>
      <c r="J105" s="1203"/>
      <c r="K105" s="1203"/>
      <c r="L105" s="1203"/>
      <c r="M105" s="1203"/>
      <c r="N105" s="1203"/>
      <c r="O105" s="1203"/>
      <c r="P105" s="1203"/>
      <c r="Q105" s="1203"/>
      <c r="R105" s="436"/>
      <c r="S105" s="408"/>
      <c r="T105" s="408"/>
      <c r="U105" s="408"/>
      <c r="V105" s="408"/>
      <c r="W105" s="408"/>
      <c r="X105" s="408"/>
      <c r="Y105" s="408"/>
      <c r="Z105" s="408"/>
      <c r="AA105" s="408"/>
      <c r="AB105" s="408"/>
      <c r="AC105" s="408"/>
      <c r="AD105" s="408"/>
      <c r="AE105" s="408"/>
      <c r="AF105" s="436"/>
      <c r="AG105" s="408"/>
      <c r="AH105" s="408"/>
      <c r="AI105" s="408"/>
      <c r="AJ105" s="408"/>
      <c r="AK105" s="418"/>
      <c r="AL105" s="418"/>
      <c r="AM105" s="418"/>
      <c r="AN105" s="404"/>
    </row>
    <row r="106" spans="1:49" s="405" customFormat="1" ht="12.75" customHeight="1">
      <c r="A106" s="407" t="s">
        <v>1983</v>
      </c>
      <c r="B106" s="408" t="s">
        <v>1984</v>
      </c>
      <c r="C106" s="408"/>
      <c r="D106" s="408"/>
      <c r="E106" s="408"/>
      <c r="F106" s="408"/>
      <c r="G106" s="408"/>
      <c r="H106" s="408"/>
      <c r="I106" s="408"/>
      <c r="J106" s="408"/>
      <c r="K106" s="408"/>
      <c r="L106" s="408"/>
      <c r="M106" s="408"/>
      <c r="N106" s="408"/>
      <c r="O106" s="408"/>
      <c r="P106" s="408"/>
      <c r="Q106" s="408"/>
      <c r="R106" s="408"/>
      <c r="S106" s="408"/>
      <c r="T106" s="408"/>
      <c r="U106" s="408"/>
      <c r="V106" s="408"/>
      <c r="W106" s="408"/>
      <c r="X106" s="408"/>
      <c r="Y106" s="408"/>
      <c r="Z106" s="408"/>
      <c r="AA106" s="408"/>
      <c r="AB106" s="408"/>
      <c r="AC106" s="408"/>
      <c r="AD106" s="408"/>
      <c r="AE106" s="1825" t="s">
        <v>1958</v>
      </c>
      <c r="AF106" s="1825"/>
      <c r="AG106" s="1825"/>
      <c r="AH106" s="1825"/>
      <c r="AI106" s="1825"/>
      <c r="AJ106" s="1825"/>
      <c r="AK106" s="1825"/>
      <c r="AL106" s="409"/>
      <c r="AM106" s="409"/>
      <c r="AN106" s="404"/>
      <c r="AO106" s="405" t="str">
        <f>Application!B718</f>
        <v>1 Bedroom</v>
      </c>
      <c r="AQ106" s="405">
        <f>Application!O718</f>
        <v>1277</v>
      </c>
    </row>
    <row r="107" spans="1:49" s="405" customFormat="1" ht="12.75" customHeight="1">
      <c r="A107" s="409"/>
      <c r="B107" s="408" t="s">
        <v>1974</v>
      </c>
      <c r="C107" s="408"/>
      <c r="D107" s="408"/>
      <c r="E107" s="408"/>
      <c r="F107" s="408"/>
      <c r="G107" s="408"/>
      <c r="H107" s="408"/>
      <c r="I107" s="408"/>
      <c r="J107" s="408"/>
      <c r="K107" s="408"/>
      <c r="L107" s="408"/>
      <c r="M107" s="408"/>
      <c r="N107" s="408"/>
      <c r="O107" s="408"/>
      <c r="P107" s="408"/>
      <c r="Q107" s="408"/>
      <c r="R107" s="408"/>
      <c r="S107" s="408"/>
      <c r="T107" s="408"/>
      <c r="U107" s="408"/>
      <c r="V107" s="408"/>
      <c r="W107" s="408"/>
      <c r="X107" s="408"/>
      <c r="Y107" s="408"/>
      <c r="Z107" s="408"/>
      <c r="AA107" s="408"/>
      <c r="AB107" s="408"/>
      <c r="AC107" s="408"/>
      <c r="AD107" s="408"/>
      <c r="AE107" s="1183"/>
      <c r="AF107" s="1183"/>
      <c r="AG107" s="1183"/>
      <c r="AH107" s="1183"/>
      <c r="AI107" s="1183"/>
      <c r="AJ107" s="1183"/>
      <c r="AK107" s="409"/>
      <c r="AL107" s="409"/>
      <c r="AM107" s="409"/>
      <c r="AN107" s="404"/>
      <c r="AO107" s="405" t="str">
        <f>Application!B719</f>
        <v>2 Bedrooms</v>
      </c>
      <c r="AQ107" s="405">
        <f>Application!O719</f>
        <v>1517</v>
      </c>
    </row>
    <row r="108" spans="1:49" s="405" customFormat="1" ht="12.75" customHeight="1">
      <c r="A108" s="409"/>
      <c r="B108" s="408"/>
      <c r="C108" s="408"/>
      <c r="D108" s="408"/>
      <c r="E108" s="442"/>
      <c r="F108" s="442"/>
      <c r="G108" s="442"/>
      <c r="H108" s="442"/>
      <c r="I108" s="442"/>
      <c r="J108" s="442"/>
      <c r="K108" s="442"/>
      <c r="L108" s="442"/>
      <c r="M108" s="442"/>
      <c r="N108" s="442"/>
      <c r="O108" s="442"/>
      <c r="P108" s="442"/>
      <c r="Q108" s="442"/>
      <c r="R108" s="442"/>
      <c r="S108" s="442"/>
      <c r="T108" s="442"/>
      <c r="U108" s="442"/>
      <c r="V108" s="442"/>
      <c r="W108" s="442"/>
      <c r="X108" s="442"/>
      <c r="Y108" s="442"/>
      <c r="Z108" s="442"/>
      <c r="AA108" s="442"/>
      <c r="AB108" s="442"/>
      <c r="AC108" s="442"/>
      <c r="AD108" s="442"/>
      <c r="AE108" s="442"/>
      <c r="AF108" s="442"/>
      <c r="AG108" s="442"/>
      <c r="AH108" s="442"/>
      <c r="AI108" s="442"/>
      <c r="AJ108" s="442"/>
      <c r="AK108" s="409"/>
      <c r="AL108" s="409"/>
      <c r="AM108" s="409"/>
      <c r="AN108" s="404"/>
      <c r="AO108" s="405" t="str">
        <f>Application!B720</f>
        <v>2 Bedrooms</v>
      </c>
      <c r="AQ108" s="405">
        <f>Application!O720</f>
        <v>690</v>
      </c>
    </row>
    <row r="109" spans="1:49" s="405" customFormat="1" ht="12.75" customHeight="1">
      <c r="A109" s="409"/>
      <c r="B109" s="1815" t="s">
        <v>837</v>
      </c>
      <c r="C109" s="1815"/>
      <c r="D109" s="415" t="s">
        <v>1960</v>
      </c>
      <c r="E109" s="1826" t="s">
        <v>1985</v>
      </c>
      <c r="F109" s="1827"/>
      <c r="G109" s="1827"/>
      <c r="H109" s="1827"/>
      <c r="I109" s="1827"/>
      <c r="J109" s="1827"/>
      <c r="K109" s="1827"/>
      <c r="L109" s="1827"/>
      <c r="M109" s="1827"/>
      <c r="N109" s="1827"/>
      <c r="O109" s="1827"/>
      <c r="P109" s="1827"/>
      <c r="Q109" s="1827"/>
      <c r="R109" s="1827"/>
      <c r="S109" s="1827"/>
      <c r="T109" s="1827"/>
      <c r="U109" s="1827"/>
      <c r="V109" s="1827"/>
      <c r="W109" s="1827"/>
      <c r="X109" s="1827"/>
      <c r="Y109" s="1827"/>
      <c r="Z109" s="1827"/>
      <c r="AA109" s="1827"/>
      <c r="AB109" s="1827"/>
      <c r="AC109" s="1827"/>
      <c r="AD109" s="1827"/>
      <c r="AE109" s="1827"/>
      <c r="AF109" s="1827"/>
      <c r="AG109" s="1827"/>
      <c r="AH109" s="1827"/>
      <c r="AI109" s="1827"/>
      <c r="AJ109" s="1828"/>
      <c r="AK109" s="409"/>
      <c r="AL109" s="409"/>
      <c r="AM109" s="409"/>
      <c r="AN109" s="404"/>
      <c r="AO109" s="405" t="str">
        <f>Application!B721</f>
        <v>3 Bedrooms</v>
      </c>
      <c r="AQ109" s="405">
        <f>Application!O721</f>
        <v>1734</v>
      </c>
      <c r="AU109" s="405" t="s">
        <v>1986</v>
      </c>
      <c r="AV109" s="457" t="s">
        <v>1987</v>
      </c>
      <c r="AW109" s="405" t="s">
        <v>1988</v>
      </c>
    </row>
    <row r="110" spans="1:49" s="405" customFormat="1" ht="12.75" customHeight="1">
      <c r="A110" s="409"/>
      <c r="B110" s="408"/>
      <c r="C110" s="408"/>
      <c r="D110" s="408"/>
      <c r="E110" s="1829"/>
      <c r="F110" s="1830"/>
      <c r="G110" s="1830"/>
      <c r="H110" s="1830"/>
      <c r="I110" s="1830"/>
      <c r="J110" s="1830"/>
      <c r="K110" s="1830"/>
      <c r="L110" s="1830"/>
      <c r="M110" s="1830"/>
      <c r="N110" s="1830"/>
      <c r="O110" s="1830"/>
      <c r="P110" s="1830"/>
      <c r="Q110" s="1830"/>
      <c r="R110" s="1830"/>
      <c r="S110" s="1830"/>
      <c r="T110" s="1830"/>
      <c r="U110" s="1830"/>
      <c r="V110" s="1830"/>
      <c r="W110" s="1830"/>
      <c r="X110" s="1830"/>
      <c r="Y110" s="1830"/>
      <c r="Z110" s="1830"/>
      <c r="AA110" s="1830"/>
      <c r="AB110" s="1830"/>
      <c r="AC110" s="1830"/>
      <c r="AD110" s="1830"/>
      <c r="AE110" s="1830"/>
      <c r="AF110" s="1830"/>
      <c r="AG110" s="1830"/>
      <c r="AH110" s="1830"/>
      <c r="AI110" s="1830"/>
      <c r="AJ110" s="1831"/>
      <c r="AK110" s="409"/>
      <c r="AL110" s="409"/>
      <c r="AM110" s="409"/>
      <c r="AN110" s="404"/>
      <c r="AO110" s="405" t="str">
        <f>Application!B722</f>
        <v>3 Bedrooms</v>
      </c>
      <c r="AQ110" s="405">
        <f>Application!O722</f>
        <v>779</v>
      </c>
      <c r="AU110" s="699" t="str">
        <f>E118</f>
        <v>Studio/SRO</v>
      </c>
      <c r="AV110" s="405">
        <f t="array" ref="AV110">SUM(IF(Application!B718:F752="SRO/Studio",Application!G718:J752))</f>
        <v>0</v>
      </c>
      <c r="AW110" s="823">
        <f>AV110/AV116</f>
        <v>0</v>
      </c>
    </row>
    <row r="111" spans="1:49" s="405" customFormat="1" ht="12.75" customHeight="1">
      <c r="A111" s="409"/>
      <c r="B111" s="408"/>
      <c r="C111" s="408"/>
      <c r="D111" s="408"/>
      <c r="E111" s="1829"/>
      <c r="F111" s="1830"/>
      <c r="G111" s="1830"/>
      <c r="H111" s="1830"/>
      <c r="I111" s="1830"/>
      <c r="J111" s="1830"/>
      <c r="K111" s="1830"/>
      <c r="L111" s="1830"/>
      <c r="M111" s="1830"/>
      <c r="N111" s="1830"/>
      <c r="O111" s="1830"/>
      <c r="P111" s="1830"/>
      <c r="Q111" s="1830"/>
      <c r="R111" s="1830"/>
      <c r="S111" s="1830"/>
      <c r="T111" s="1830"/>
      <c r="U111" s="1830"/>
      <c r="V111" s="1830"/>
      <c r="W111" s="1830"/>
      <c r="X111" s="1830"/>
      <c r="Y111" s="1830"/>
      <c r="Z111" s="1830"/>
      <c r="AA111" s="1830"/>
      <c r="AB111" s="1830"/>
      <c r="AC111" s="1830"/>
      <c r="AD111" s="1830"/>
      <c r="AE111" s="1830"/>
      <c r="AF111" s="1830"/>
      <c r="AG111" s="1830"/>
      <c r="AH111" s="1830"/>
      <c r="AI111" s="1830"/>
      <c r="AJ111" s="1831"/>
      <c r="AK111" s="409"/>
      <c r="AL111" s="409"/>
      <c r="AM111" s="409"/>
      <c r="AN111" s="404"/>
      <c r="AO111" s="405">
        <f>Application!B723</f>
        <v>0</v>
      </c>
      <c r="AQ111" s="405">
        <f>Application!O723</f>
        <v>0</v>
      </c>
      <c r="AU111" s="699" t="str">
        <f>J118</f>
        <v>1-bedroom</v>
      </c>
      <c r="AV111" s="405">
        <f t="array" ref="AV111">SUM(IF(Application!B718:F752="1 Bedroom",Application!G718:J752))</f>
        <v>6</v>
      </c>
      <c r="AW111" s="823">
        <f>AV111/AV116</f>
        <v>0.11538461538461539</v>
      </c>
    </row>
    <row r="112" spans="1:49" s="405" customFormat="1" ht="12.75" customHeight="1">
      <c r="A112" s="409"/>
      <c r="B112" s="408"/>
      <c r="C112" s="408"/>
      <c r="D112" s="408"/>
      <c r="E112" s="1829"/>
      <c r="F112" s="1830"/>
      <c r="G112" s="1830"/>
      <c r="H112" s="1830"/>
      <c r="I112" s="1830"/>
      <c r="J112" s="1830"/>
      <c r="K112" s="1830"/>
      <c r="L112" s="1830"/>
      <c r="M112" s="1830"/>
      <c r="N112" s="1830"/>
      <c r="O112" s="1830"/>
      <c r="P112" s="1830"/>
      <c r="Q112" s="1830"/>
      <c r="R112" s="1830"/>
      <c r="S112" s="1830"/>
      <c r="T112" s="1830"/>
      <c r="U112" s="1830"/>
      <c r="V112" s="1830"/>
      <c r="W112" s="1830"/>
      <c r="X112" s="1830"/>
      <c r="Y112" s="1830"/>
      <c r="Z112" s="1830"/>
      <c r="AA112" s="1830"/>
      <c r="AB112" s="1830"/>
      <c r="AC112" s="1830"/>
      <c r="AD112" s="1830"/>
      <c r="AE112" s="1830"/>
      <c r="AF112" s="1830"/>
      <c r="AG112" s="1830"/>
      <c r="AH112" s="1830"/>
      <c r="AI112" s="1830"/>
      <c r="AJ112" s="1831"/>
      <c r="AK112" s="409"/>
      <c r="AL112" s="409"/>
      <c r="AM112" s="409"/>
      <c r="AN112" s="404"/>
      <c r="AO112" s="405">
        <f>Application!B724</f>
        <v>0</v>
      </c>
      <c r="AQ112" s="405">
        <f>Application!O724</f>
        <v>0</v>
      </c>
      <c r="AU112" s="699" t="str">
        <f>O118</f>
        <v>2-bedroom</v>
      </c>
      <c r="AV112" s="405">
        <f t="array" ref="AV112">SUM(IF(Application!B718:F752="2 Bedrooms",Application!G718:J752))</f>
        <v>24</v>
      </c>
      <c r="AW112" s="823">
        <f>AV112/AV116</f>
        <v>0.46153846153846156</v>
      </c>
    </row>
    <row r="113" spans="1:52" s="405" customFormat="1" ht="12.75" customHeight="1">
      <c r="A113" s="409"/>
      <c r="B113" s="408"/>
      <c r="C113" s="408"/>
      <c r="D113" s="408"/>
      <c r="E113" s="1829"/>
      <c r="F113" s="1830"/>
      <c r="G113" s="1830"/>
      <c r="H113" s="1830"/>
      <c r="I113" s="1830"/>
      <c r="J113" s="1830"/>
      <c r="K113" s="1830"/>
      <c r="L113" s="1830"/>
      <c r="M113" s="1830"/>
      <c r="N113" s="1830"/>
      <c r="O113" s="1830"/>
      <c r="P113" s="1830"/>
      <c r="Q113" s="1830"/>
      <c r="R113" s="1830"/>
      <c r="S113" s="1830"/>
      <c r="T113" s="1830"/>
      <c r="U113" s="1830"/>
      <c r="V113" s="1830"/>
      <c r="W113" s="1830"/>
      <c r="X113" s="1830"/>
      <c r="Y113" s="1830"/>
      <c r="Z113" s="1830"/>
      <c r="AA113" s="1830"/>
      <c r="AB113" s="1830"/>
      <c r="AC113" s="1830"/>
      <c r="AD113" s="1830"/>
      <c r="AE113" s="1830"/>
      <c r="AF113" s="1830"/>
      <c r="AG113" s="1830"/>
      <c r="AH113" s="1830"/>
      <c r="AI113" s="1830"/>
      <c r="AJ113" s="1831"/>
      <c r="AK113" s="409"/>
      <c r="AL113" s="409"/>
      <c r="AM113" s="409"/>
      <c r="AN113" s="404"/>
      <c r="AO113" s="405">
        <f>Application!B725</f>
        <v>0</v>
      </c>
      <c r="AQ113" s="405">
        <f>Application!O725</f>
        <v>0</v>
      </c>
      <c r="AU113" s="699" t="str">
        <f>T118</f>
        <v>3-bedroom</v>
      </c>
      <c r="AV113" s="405">
        <f t="array" ref="AV113">SUM(IF(Application!B718:F752="3 Bedrooms",Application!G718:J752))</f>
        <v>22</v>
      </c>
      <c r="AW113" s="823">
        <f>AV113/AV116</f>
        <v>0.42307692307692307</v>
      </c>
    </row>
    <row r="114" spans="1:52" s="405" customFormat="1" ht="12.75" customHeight="1">
      <c r="A114" s="409"/>
      <c r="B114" s="408"/>
      <c r="C114" s="408"/>
      <c r="D114" s="408"/>
      <c r="E114" s="1829"/>
      <c r="F114" s="1830"/>
      <c r="G114" s="1830"/>
      <c r="H114" s="1830"/>
      <c r="I114" s="1830"/>
      <c r="J114" s="1830"/>
      <c r="K114" s="1830"/>
      <c r="L114" s="1830"/>
      <c r="M114" s="1830"/>
      <c r="N114" s="1830"/>
      <c r="O114" s="1830"/>
      <c r="P114" s="1830"/>
      <c r="Q114" s="1830"/>
      <c r="R114" s="1830"/>
      <c r="S114" s="1830"/>
      <c r="T114" s="1830"/>
      <c r="U114" s="1830"/>
      <c r="V114" s="1830"/>
      <c r="W114" s="1830"/>
      <c r="X114" s="1830"/>
      <c r="Y114" s="1830"/>
      <c r="Z114" s="1830"/>
      <c r="AA114" s="1830"/>
      <c r="AB114" s="1830"/>
      <c r="AC114" s="1830"/>
      <c r="AD114" s="1830"/>
      <c r="AE114" s="1830"/>
      <c r="AF114" s="1830"/>
      <c r="AG114" s="1830"/>
      <c r="AH114" s="1830"/>
      <c r="AI114" s="1830"/>
      <c r="AJ114" s="1831"/>
      <c r="AK114" s="409"/>
      <c r="AL114" s="409"/>
      <c r="AM114" s="409"/>
      <c r="AN114" s="404"/>
      <c r="AO114" s="405">
        <f>Application!B726</f>
        <v>0</v>
      </c>
      <c r="AQ114" s="405">
        <f>Application!O726</f>
        <v>0</v>
      </c>
      <c r="AU114" s="699" t="str">
        <f>Y118</f>
        <v>4-bedroom</v>
      </c>
      <c r="AV114" s="405">
        <f t="array" ref="AV114">SUM(IF(Application!B718:F752="4 Bedrooms",Application!G718:J752))</f>
        <v>0</v>
      </c>
      <c r="AW114" s="823">
        <f>AV114/AV116</f>
        <v>0</v>
      </c>
    </row>
    <row r="115" spans="1:52" s="405" customFormat="1" ht="12.75" customHeight="1">
      <c r="A115" s="409"/>
      <c r="B115" s="408"/>
      <c r="C115" s="408"/>
      <c r="D115" s="408"/>
      <c r="E115" s="1829"/>
      <c r="F115" s="1830"/>
      <c r="G115" s="1830"/>
      <c r="H115" s="1830"/>
      <c r="I115" s="1830"/>
      <c r="J115" s="1830"/>
      <c r="K115" s="1830"/>
      <c r="L115" s="1830"/>
      <c r="M115" s="1830"/>
      <c r="N115" s="1830"/>
      <c r="O115" s="1830"/>
      <c r="P115" s="1830"/>
      <c r="Q115" s="1830"/>
      <c r="R115" s="1830"/>
      <c r="S115" s="1830"/>
      <c r="T115" s="1830"/>
      <c r="U115" s="1830"/>
      <c r="V115" s="1830"/>
      <c r="W115" s="1830"/>
      <c r="X115" s="1830"/>
      <c r="Y115" s="1830"/>
      <c r="Z115" s="1830"/>
      <c r="AA115" s="1830"/>
      <c r="AB115" s="1830"/>
      <c r="AC115" s="1830"/>
      <c r="AD115" s="1830"/>
      <c r="AE115" s="1830"/>
      <c r="AF115" s="1830"/>
      <c r="AG115" s="1830"/>
      <c r="AH115" s="1830"/>
      <c r="AI115" s="1830"/>
      <c r="AJ115" s="1831"/>
      <c r="AK115" s="409"/>
      <c r="AL115" s="409"/>
      <c r="AM115" s="409"/>
      <c r="AN115" s="404"/>
      <c r="AO115" s="405">
        <f>Application!B727</f>
        <v>0</v>
      </c>
      <c r="AQ115" s="405">
        <f>Application!O727</f>
        <v>0</v>
      </c>
      <c r="AU115" s="699" t="str">
        <f>AD118</f>
        <v>5-bedroom</v>
      </c>
      <c r="AV115" s="405">
        <f t="array" ref="AV115">SUM(IF(Application!B718:F752="5 Bedrooms",Application!G718:J752))</f>
        <v>0</v>
      </c>
      <c r="AW115" s="823">
        <f>AV115/AV116</f>
        <v>0</v>
      </c>
    </row>
    <row r="116" spans="1:52" s="405" customFormat="1" ht="12.75" customHeight="1">
      <c r="A116" s="409"/>
      <c r="B116" s="408"/>
      <c r="C116" s="408"/>
      <c r="D116" s="408"/>
      <c r="E116" s="1829"/>
      <c r="F116" s="1830"/>
      <c r="G116" s="1830"/>
      <c r="H116" s="1830"/>
      <c r="I116" s="1830"/>
      <c r="J116" s="1830"/>
      <c r="K116" s="1830"/>
      <c r="L116" s="1830"/>
      <c r="M116" s="1830"/>
      <c r="N116" s="1830"/>
      <c r="O116" s="1830"/>
      <c r="P116" s="1830"/>
      <c r="Q116" s="1830"/>
      <c r="R116" s="1830"/>
      <c r="S116" s="1830"/>
      <c r="T116" s="1830"/>
      <c r="U116" s="1830"/>
      <c r="V116" s="1830"/>
      <c r="W116" s="1830"/>
      <c r="X116" s="1830"/>
      <c r="Y116" s="1830"/>
      <c r="Z116" s="1830"/>
      <c r="AA116" s="1830"/>
      <c r="AB116" s="1830"/>
      <c r="AC116" s="1830"/>
      <c r="AD116" s="1830"/>
      <c r="AE116" s="1830"/>
      <c r="AF116" s="1830"/>
      <c r="AG116" s="1830"/>
      <c r="AH116" s="1830"/>
      <c r="AI116" s="1830"/>
      <c r="AJ116" s="1831"/>
      <c r="AK116" s="409"/>
      <c r="AL116" s="409"/>
      <c r="AM116" s="409"/>
      <c r="AN116" s="404"/>
      <c r="AO116" s="405">
        <f>Application!B728</f>
        <v>0</v>
      </c>
      <c r="AQ116" s="405">
        <f>Application!O728</f>
        <v>0</v>
      </c>
      <c r="AV116" s="405">
        <f>SUM(AV110:AV115)</f>
        <v>52</v>
      </c>
      <c r="AW116" s="823">
        <f>SUM(AW110:AW115)</f>
        <v>1</v>
      </c>
    </row>
    <row r="117" spans="1:52" s="405" customFormat="1" ht="12.75" customHeight="1">
      <c r="A117" s="409"/>
      <c r="B117" s="408"/>
      <c r="C117" s="408"/>
      <c r="D117" s="408"/>
      <c r="E117" s="1184"/>
      <c r="F117" s="1185"/>
      <c r="G117" s="1185"/>
      <c r="H117" s="1185"/>
      <c r="I117" s="1185"/>
      <c r="J117" s="1185"/>
      <c r="K117" s="1185"/>
      <c r="L117" s="1185"/>
      <c r="M117" s="1185"/>
      <c r="N117" s="1185"/>
      <c r="O117" s="1185"/>
      <c r="P117" s="1185"/>
      <c r="Q117" s="1185"/>
      <c r="R117" s="1185"/>
      <c r="S117" s="1185"/>
      <c r="T117" s="1185"/>
      <c r="U117" s="1185"/>
      <c r="V117" s="1185"/>
      <c r="W117" s="1185"/>
      <c r="X117" s="1185"/>
      <c r="Y117" s="1185"/>
      <c r="Z117" s="1185"/>
      <c r="AA117" s="1185"/>
      <c r="AB117" s="1185"/>
      <c r="AC117" s="1185"/>
      <c r="AD117" s="1185"/>
      <c r="AE117" s="1185"/>
      <c r="AF117" s="1185"/>
      <c r="AG117" s="1185"/>
      <c r="AH117" s="1185"/>
      <c r="AI117" s="1185"/>
      <c r="AJ117" s="1186"/>
      <c r="AK117" s="409"/>
      <c r="AL117" s="409"/>
      <c r="AM117" s="409"/>
      <c r="AN117" s="404"/>
      <c r="AO117" s="405">
        <f>Application!B729</f>
        <v>0</v>
      </c>
      <c r="AQ117" s="405">
        <f>Application!O729</f>
        <v>0</v>
      </c>
    </row>
    <row r="118" spans="1:52" s="405" customFormat="1" ht="12.75" customHeight="1">
      <c r="A118" s="409"/>
      <c r="B118" s="408"/>
      <c r="C118" s="409"/>
      <c r="D118" s="409"/>
      <c r="E118" s="1809" t="s">
        <v>1989</v>
      </c>
      <c r="F118" s="1810"/>
      <c r="G118" s="1810"/>
      <c r="H118" s="1810"/>
      <c r="I118" s="442"/>
      <c r="J118" s="1810" t="s">
        <v>1990</v>
      </c>
      <c r="K118" s="1810"/>
      <c r="L118" s="1810"/>
      <c r="M118" s="1810"/>
      <c r="N118" s="442"/>
      <c r="O118" s="1810" t="s">
        <v>1991</v>
      </c>
      <c r="P118" s="1810"/>
      <c r="Q118" s="1810"/>
      <c r="R118" s="1810"/>
      <c r="S118" s="442"/>
      <c r="T118" s="1810" t="s">
        <v>1992</v>
      </c>
      <c r="U118" s="1810"/>
      <c r="V118" s="1810"/>
      <c r="W118" s="1810"/>
      <c r="X118" s="442"/>
      <c r="Y118" s="1810" t="s">
        <v>1993</v>
      </c>
      <c r="Z118" s="1810"/>
      <c r="AA118" s="1810"/>
      <c r="AB118" s="1810"/>
      <c r="AC118" s="442"/>
      <c r="AD118" s="1810" t="s">
        <v>1994</v>
      </c>
      <c r="AE118" s="1810"/>
      <c r="AF118" s="1810"/>
      <c r="AG118" s="1810"/>
      <c r="AH118" s="442"/>
      <c r="AI118" s="442"/>
      <c r="AJ118" s="444"/>
      <c r="AK118" s="409"/>
      <c r="AL118" s="409"/>
      <c r="AM118" s="409"/>
      <c r="AN118" s="404"/>
      <c r="AO118" s="405">
        <f>Application!B730</f>
        <v>0</v>
      </c>
      <c r="AQ118" s="405">
        <f>Application!O730</f>
        <v>0</v>
      </c>
    </row>
    <row r="119" spans="1:52" s="405" customFormat="1" ht="12.75" customHeight="1">
      <c r="A119" s="409"/>
      <c r="B119" s="408"/>
      <c r="C119" s="409"/>
      <c r="D119" s="409"/>
      <c r="E119" s="707"/>
      <c r="F119" s="705"/>
      <c r="G119" s="705"/>
      <c r="H119" s="705"/>
      <c r="I119" s="442"/>
      <c r="J119" s="705"/>
      <c r="K119" s="705"/>
      <c r="L119" s="705"/>
      <c r="M119" s="705"/>
      <c r="N119" s="442"/>
      <c r="O119" s="705"/>
      <c r="P119" s="705"/>
      <c r="Q119" s="705"/>
      <c r="R119" s="705"/>
      <c r="S119" s="442"/>
      <c r="T119" s="705"/>
      <c r="U119" s="705"/>
      <c r="V119" s="705"/>
      <c r="W119" s="705"/>
      <c r="X119" s="442"/>
      <c r="Y119" s="705"/>
      <c r="Z119" s="705"/>
      <c r="AA119" s="705"/>
      <c r="AB119" s="705"/>
      <c r="AC119" s="442"/>
      <c r="AD119" s="705"/>
      <c r="AE119" s="705"/>
      <c r="AF119" s="705"/>
      <c r="AG119" s="705"/>
      <c r="AH119" s="442"/>
      <c r="AI119" s="442"/>
      <c r="AJ119" s="444"/>
      <c r="AK119" s="409"/>
      <c r="AL119" s="409"/>
      <c r="AM119" s="409"/>
      <c r="AN119" s="404"/>
      <c r="AO119" s="405">
        <f>Application!B731</f>
        <v>0</v>
      </c>
      <c r="AQ119" s="405">
        <f>Application!O731</f>
        <v>0</v>
      </c>
    </row>
    <row r="120" spans="1:52" s="405" customFormat="1" ht="12.75" customHeight="1">
      <c r="A120" s="409"/>
      <c r="B120" s="408"/>
      <c r="C120" s="409"/>
      <c r="D120" s="409"/>
      <c r="E120" s="708" t="s">
        <v>1995</v>
      </c>
      <c r="F120" s="705"/>
      <c r="G120" s="705"/>
      <c r="H120" s="705"/>
      <c r="I120" s="442"/>
      <c r="J120" s="705"/>
      <c r="K120" s="705"/>
      <c r="L120" s="705"/>
      <c r="M120" s="705"/>
      <c r="N120" s="442"/>
      <c r="O120" s="705"/>
      <c r="P120" s="705"/>
      <c r="Q120" s="705"/>
      <c r="R120" s="705"/>
      <c r="S120" s="442"/>
      <c r="T120" s="705"/>
      <c r="U120" s="705"/>
      <c r="V120" s="705"/>
      <c r="W120" s="705"/>
      <c r="X120" s="442"/>
      <c r="Y120" s="705"/>
      <c r="Z120" s="705"/>
      <c r="AA120" s="705"/>
      <c r="AB120" s="705"/>
      <c r="AC120" s="442"/>
      <c r="AD120" s="705"/>
      <c r="AE120" s="705"/>
      <c r="AF120" s="705"/>
      <c r="AG120" s="705"/>
      <c r="AH120" s="442"/>
      <c r="AI120" s="442"/>
      <c r="AJ120" s="444"/>
      <c r="AK120" s="409"/>
      <c r="AL120" s="409"/>
      <c r="AM120" s="409"/>
      <c r="AN120" s="404"/>
      <c r="AO120" s="405">
        <f>Application!B732</f>
        <v>0</v>
      </c>
      <c r="AQ120" s="405">
        <f>Application!O732</f>
        <v>0</v>
      </c>
    </row>
    <row r="121" spans="1:52" s="405" customFormat="1" ht="12.75" customHeight="1">
      <c r="A121" s="409"/>
      <c r="B121" s="408"/>
      <c r="C121" s="409"/>
      <c r="D121" s="409"/>
      <c r="E121" s="1866"/>
      <c r="F121" s="1867"/>
      <c r="G121" s="1867"/>
      <c r="H121" s="1867"/>
      <c r="I121" s="706"/>
      <c r="J121" s="1867">
        <v>2224</v>
      </c>
      <c r="K121" s="1867"/>
      <c r="L121" s="1867"/>
      <c r="M121" s="1867"/>
      <c r="N121" s="706"/>
      <c r="O121" s="1867">
        <v>2312</v>
      </c>
      <c r="P121" s="1867"/>
      <c r="Q121" s="1867"/>
      <c r="R121" s="1867"/>
      <c r="S121" s="706"/>
      <c r="T121" s="1867">
        <v>2851</v>
      </c>
      <c r="U121" s="1867"/>
      <c r="V121" s="1867"/>
      <c r="W121" s="1867"/>
      <c r="X121" s="706"/>
      <c r="Y121" s="1867"/>
      <c r="Z121" s="1867"/>
      <c r="AA121" s="1867"/>
      <c r="AB121" s="1867"/>
      <c r="AC121" s="706"/>
      <c r="AD121" s="1867"/>
      <c r="AE121" s="1867"/>
      <c r="AF121" s="1867"/>
      <c r="AG121" s="1867"/>
      <c r="AH121" s="442"/>
      <c r="AI121" s="442"/>
      <c r="AJ121" s="444"/>
      <c r="AK121" s="409"/>
      <c r="AL121" s="409"/>
      <c r="AM121" s="409"/>
      <c r="AN121" s="404"/>
      <c r="AO121" s="405">
        <f>Application!B733</f>
        <v>0</v>
      </c>
      <c r="AQ121" s="405">
        <f>Application!O733</f>
        <v>0</v>
      </c>
    </row>
    <row r="122" spans="1:52" s="405" customFormat="1" ht="12.75" customHeight="1">
      <c r="A122" s="409"/>
      <c r="B122" s="408"/>
      <c r="C122" s="409"/>
      <c r="D122" s="409"/>
      <c r="E122" s="707"/>
      <c r="F122" s="705"/>
      <c r="G122" s="705"/>
      <c r="H122" s="705"/>
      <c r="I122" s="442"/>
      <c r="J122" s="705"/>
      <c r="K122" s="705"/>
      <c r="L122" s="705"/>
      <c r="M122" s="705"/>
      <c r="N122" s="442"/>
      <c r="O122" s="705"/>
      <c r="P122" s="705"/>
      <c r="Q122" s="705"/>
      <c r="R122" s="705"/>
      <c r="S122" s="442"/>
      <c r="T122" s="705"/>
      <c r="U122" s="705"/>
      <c r="V122" s="705"/>
      <c r="W122" s="705"/>
      <c r="X122" s="442"/>
      <c r="Y122" s="705"/>
      <c r="Z122" s="705"/>
      <c r="AA122" s="705"/>
      <c r="AB122" s="705"/>
      <c r="AC122" s="442"/>
      <c r="AD122" s="705"/>
      <c r="AE122" s="705"/>
      <c r="AF122" s="705"/>
      <c r="AG122" s="705"/>
      <c r="AH122" s="442"/>
      <c r="AI122" s="442"/>
      <c r="AJ122" s="444"/>
      <c r="AK122" s="409"/>
      <c r="AL122" s="409"/>
      <c r="AM122" s="409"/>
      <c r="AN122" s="404"/>
      <c r="AO122" s="405">
        <f>Application!B734</f>
        <v>0</v>
      </c>
      <c r="AQ122" s="405">
        <f>Application!O734</f>
        <v>0</v>
      </c>
      <c r="AU122" s="821"/>
      <c r="AV122" s="821"/>
      <c r="AW122" s="821"/>
      <c r="AX122" s="821"/>
      <c r="AY122" s="821"/>
      <c r="AZ122" s="821"/>
    </row>
    <row r="123" spans="1:52" s="405" customFormat="1" ht="12.75" customHeight="1">
      <c r="A123" s="409"/>
      <c r="B123" s="408"/>
      <c r="C123" s="409"/>
      <c r="D123" s="409"/>
      <c r="E123" s="708" t="s">
        <v>1996</v>
      </c>
      <c r="F123" s="705"/>
      <c r="G123" s="705"/>
      <c r="H123" s="705"/>
      <c r="I123" s="442"/>
      <c r="J123" s="705"/>
      <c r="K123" s="705"/>
      <c r="L123" s="705"/>
      <c r="M123" s="705"/>
      <c r="N123" s="442"/>
      <c r="O123" s="705"/>
      <c r="P123" s="705"/>
      <c r="Q123" s="705"/>
      <c r="R123" s="705"/>
      <c r="S123" s="442"/>
      <c r="T123" s="705"/>
      <c r="U123" s="705"/>
      <c r="V123" s="705"/>
      <c r="W123" s="705"/>
      <c r="X123" s="442"/>
      <c r="Y123" s="705"/>
      <c r="Z123" s="705"/>
      <c r="AA123" s="705"/>
      <c r="AB123" s="705"/>
      <c r="AC123" s="442"/>
      <c r="AD123" s="705"/>
      <c r="AE123" s="705"/>
      <c r="AF123" s="705"/>
      <c r="AG123" s="705"/>
      <c r="AH123" s="442"/>
      <c r="AI123" s="442"/>
      <c r="AJ123" s="444"/>
      <c r="AK123" s="409"/>
      <c r="AL123" s="409"/>
      <c r="AM123" s="409"/>
      <c r="AN123" s="404"/>
      <c r="AO123" s="405">
        <f>Application!B735</f>
        <v>0</v>
      </c>
      <c r="AQ123" s="405">
        <f>Application!O735</f>
        <v>0</v>
      </c>
      <c r="AU123" s="821"/>
      <c r="AV123" s="821"/>
      <c r="AW123" s="821"/>
      <c r="AX123" s="821"/>
      <c r="AY123" s="821"/>
      <c r="AZ123" s="821"/>
    </row>
    <row r="124" spans="1:52" s="405" customFormat="1" ht="12.75" customHeight="1">
      <c r="A124" s="409"/>
      <c r="B124" s="408"/>
      <c r="C124" s="409"/>
      <c r="D124" s="409"/>
      <c r="E124" s="1859">
        <f>Application!DX670</f>
        <v>0</v>
      </c>
      <c r="F124" s="1860"/>
      <c r="G124" s="1860"/>
      <c r="H124" s="1860"/>
      <c r="I124" s="706"/>
      <c r="J124" s="1860">
        <f>Application!EC670</f>
        <v>1277</v>
      </c>
      <c r="K124" s="1860"/>
      <c r="L124" s="1860"/>
      <c r="M124" s="1860"/>
      <c r="N124" s="706"/>
      <c r="O124" s="1860">
        <f>Application!EH670</f>
        <v>1172.4166666666667</v>
      </c>
      <c r="P124" s="1860"/>
      <c r="Q124" s="1860"/>
      <c r="R124" s="1860"/>
      <c r="S124" s="710"/>
      <c r="T124" s="1860">
        <f>Application!EM670</f>
        <v>1082.8636363636365</v>
      </c>
      <c r="U124" s="1860"/>
      <c r="V124" s="1860"/>
      <c r="W124" s="1860"/>
      <c r="X124" s="710"/>
      <c r="Y124" s="1860">
        <f>Application!ER670</f>
        <v>0</v>
      </c>
      <c r="Z124" s="1860"/>
      <c r="AA124" s="1860"/>
      <c r="AB124" s="1860"/>
      <c r="AC124" s="710"/>
      <c r="AD124" s="1860">
        <f>Application!EW670</f>
        <v>0</v>
      </c>
      <c r="AE124" s="1860"/>
      <c r="AF124" s="1860"/>
      <c r="AG124" s="1860"/>
      <c r="AH124" s="442"/>
      <c r="AI124" s="442"/>
      <c r="AJ124" s="444"/>
      <c r="AK124" s="409"/>
      <c r="AL124" s="409"/>
      <c r="AM124" s="409"/>
      <c r="AN124" s="404"/>
      <c r="AO124" s="405">
        <f>Application!B736</f>
        <v>0</v>
      </c>
      <c r="AQ124" s="405">
        <f>Application!O736</f>
        <v>0</v>
      </c>
      <c r="AU124" s="821"/>
      <c r="AV124" s="821"/>
      <c r="AW124" s="822"/>
      <c r="AX124" s="822"/>
      <c r="AY124" s="821"/>
      <c r="AZ124" s="821"/>
    </row>
    <row r="125" spans="1:52" s="405" customFormat="1" ht="12.75" customHeight="1">
      <c r="A125" s="409"/>
      <c r="B125" s="408"/>
      <c r="C125" s="409"/>
      <c r="D125" s="409"/>
      <c r="E125" s="709"/>
      <c r="F125" s="705"/>
      <c r="G125" s="705"/>
      <c r="H125" s="705"/>
      <c r="I125" s="442"/>
      <c r="J125" s="445"/>
      <c r="K125" s="442"/>
      <c r="L125" s="442"/>
      <c r="M125" s="442"/>
      <c r="N125" s="442"/>
      <c r="O125" s="442"/>
      <c r="P125" s="442"/>
      <c r="Q125" s="442"/>
      <c r="R125" s="442"/>
      <c r="S125" s="442"/>
      <c r="T125" s="442"/>
      <c r="U125" s="442"/>
      <c r="V125" s="442"/>
      <c r="W125" s="442"/>
      <c r="X125" s="442"/>
      <c r="Y125" s="442"/>
      <c r="Z125" s="442"/>
      <c r="AA125" s="442"/>
      <c r="AB125" s="442"/>
      <c r="AC125" s="442"/>
      <c r="AD125" s="442"/>
      <c r="AE125" s="442"/>
      <c r="AF125" s="442"/>
      <c r="AG125" s="442"/>
      <c r="AH125" s="442"/>
      <c r="AI125" s="442"/>
      <c r="AJ125" s="444"/>
      <c r="AK125" s="409"/>
      <c r="AL125" s="409"/>
      <c r="AM125" s="409"/>
      <c r="AN125" s="404"/>
      <c r="AO125" s="405">
        <f>Application!B737</f>
        <v>0</v>
      </c>
      <c r="AQ125" s="405">
        <f>Application!O737</f>
        <v>0</v>
      </c>
      <c r="AU125" s="821"/>
      <c r="AV125" s="821"/>
      <c r="AW125" s="822"/>
      <c r="AX125" s="822"/>
      <c r="AY125" s="821"/>
      <c r="AZ125" s="821"/>
    </row>
    <row r="126" spans="1:52" s="405" customFormat="1" ht="12.75" customHeight="1">
      <c r="A126" s="409"/>
      <c r="B126" s="408"/>
      <c r="C126" s="409"/>
      <c r="D126" s="409"/>
      <c r="E126" s="708" t="s">
        <v>1997</v>
      </c>
      <c r="F126" s="705"/>
      <c r="G126" s="705"/>
      <c r="H126" s="705"/>
      <c r="I126" s="442"/>
      <c r="J126" s="445"/>
      <c r="K126" s="442"/>
      <c r="L126" s="442"/>
      <c r="M126" s="442"/>
      <c r="N126" s="442"/>
      <c r="O126" s="442"/>
      <c r="P126" s="442"/>
      <c r="Q126" s="442"/>
      <c r="R126" s="442"/>
      <c r="S126" s="442"/>
      <c r="T126" s="442"/>
      <c r="U126" s="442"/>
      <c r="V126" s="442"/>
      <c r="W126" s="442"/>
      <c r="X126" s="442"/>
      <c r="Y126" s="442"/>
      <c r="Z126" s="442"/>
      <c r="AA126" s="442"/>
      <c r="AB126" s="442"/>
      <c r="AC126" s="442"/>
      <c r="AD126" s="442"/>
      <c r="AE126" s="442"/>
      <c r="AF126" s="442"/>
      <c r="AG126" s="442"/>
      <c r="AH126" s="442"/>
      <c r="AI126" s="442"/>
      <c r="AJ126" s="444"/>
      <c r="AK126" s="409"/>
      <c r="AL126" s="409"/>
      <c r="AM126" s="409"/>
      <c r="AN126" s="404"/>
      <c r="AO126" s="405">
        <f>Application!B738</f>
        <v>0</v>
      </c>
      <c r="AQ126" s="405">
        <f>Application!O738</f>
        <v>0</v>
      </c>
      <c r="AU126" s="821"/>
      <c r="AV126" s="821"/>
      <c r="AW126" s="822"/>
      <c r="AX126" s="822"/>
      <c r="AY126" s="821"/>
      <c r="AZ126" s="821"/>
    </row>
    <row r="127" spans="1:52" s="405" customFormat="1" ht="12.75" customHeight="1">
      <c r="A127" s="409"/>
      <c r="B127" s="408"/>
      <c r="C127" s="409"/>
      <c r="D127" s="409"/>
      <c r="E127" s="2057" t="e">
        <f>(E121-E124)/E121</f>
        <v>#DIV/0!</v>
      </c>
      <c r="F127" s="1812"/>
      <c r="G127" s="1812"/>
      <c r="H127" s="2058"/>
      <c r="I127" s="442"/>
      <c r="J127" s="2057">
        <f>(J121-J124)/J121</f>
        <v>0.42580935251798563</v>
      </c>
      <c r="K127" s="1812"/>
      <c r="L127" s="1812"/>
      <c r="M127" s="2058"/>
      <c r="N127" s="442"/>
      <c r="O127" s="2057">
        <f>(O121-O124)/O121</f>
        <v>0.49289936562860437</v>
      </c>
      <c r="P127" s="1812"/>
      <c r="Q127" s="1812"/>
      <c r="R127" s="2058"/>
      <c r="S127" s="442"/>
      <c r="T127" s="2057">
        <f>(T121-T124)/T121</f>
        <v>0.62018111667357545</v>
      </c>
      <c r="U127" s="1812"/>
      <c r="V127" s="1812"/>
      <c r="W127" s="2058"/>
      <c r="X127" s="442"/>
      <c r="Y127" s="2057" t="e">
        <f>(Y121-Y124)/Y121</f>
        <v>#DIV/0!</v>
      </c>
      <c r="Z127" s="1812"/>
      <c r="AA127" s="1812"/>
      <c r="AB127" s="2058"/>
      <c r="AC127" s="442"/>
      <c r="AD127" s="2057" t="e">
        <f>(AD121-AD124)/AD121</f>
        <v>#DIV/0!</v>
      </c>
      <c r="AE127" s="1812"/>
      <c r="AF127" s="1812"/>
      <c r="AG127" s="2058"/>
      <c r="AH127" s="442"/>
      <c r="AI127" s="442"/>
      <c r="AJ127" s="444"/>
      <c r="AK127" s="409"/>
      <c r="AL127" s="409"/>
      <c r="AM127" s="409"/>
      <c r="AN127" s="404"/>
      <c r="AO127" s="405">
        <f>Application!B739</f>
        <v>0</v>
      </c>
      <c r="AQ127" s="405">
        <f>Application!O739</f>
        <v>0</v>
      </c>
      <c r="AU127" s="821"/>
      <c r="AV127" s="821"/>
      <c r="AW127" s="822"/>
      <c r="AX127" s="822"/>
      <c r="AY127" s="821"/>
      <c r="AZ127" s="821"/>
    </row>
    <row r="128" spans="1:52" s="405" customFormat="1" ht="12.75" customHeight="1">
      <c r="A128" s="409"/>
      <c r="B128" s="408"/>
      <c r="C128" s="409"/>
      <c r="D128" s="409"/>
      <c r="E128" s="819"/>
      <c r="F128" s="818"/>
      <c r="G128" s="818"/>
      <c r="H128" s="818"/>
      <c r="I128" s="442"/>
      <c r="J128" s="818"/>
      <c r="K128" s="818"/>
      <c r="L128" s="818"/>
      <c r="M128" s="818"/>
      <c r="N128" s="442"/>
      <c r="O128" s="818"/>
      <c r="P128" s="818"/>
      <c r="Q128" s="818"/>
      <c r="R128" s="818"/>
      <c r="S128" s="442"/>
      <c r="T128" s="818"/>
      <c r="U128" s="818"/>
      <c r="V128" s="818"/>
      <c r="W128" s="818"/>
      <c r="X128" s="442"/>
      <c r="Y128" s="818"/>
      <c r="Z128" s="818"/>
      <c r="AA128" s="818"/>
      <c r="AB128" s="818"/>
      <c r="AC128" s="442"/>
      <c r="AD128" s="818"/>
      <c r="AE128" s="818"/>
      <c r="AF128" s="818"/>
      <c r="AG128" s="818"/>
      <c r="AH128" s="442"/>
      <c r="AI128" s="442"/>
      <c r="AJ128" s="444"/>
      <c r="AK128" s="409"/>
      <c r="AL128" s="409"/>
      <c r="AM128" s="409"/>
      <c r="AN128" s="404"/>
      <c r="AO128" s="405">
        <f>Application!B740</f>
        <v>0</v>
      </c>
      <c r="AQ128" s="405">
        <f>Application!O740</f>
        <v>0</v>
      </c>
      <c r="AU128" s="821"/>
      <c r="AV128" s="821"/>
      <c r="AW128" s="822"/>
      <c r="AX128" s="822"/>
      <c r="AY128" s="821"/>
      <c r="AZ128" s="821"/>
    </row>
    <row r="129" spans="1:52" s="405" customFormat="1" ht="12.75" customHeight="1">
      <c r="A129" s="409"/>
      <c r="B129" s="408"/>
      <c r="C129" s="409"/>
      <c r="D129" s="409"/>
      <c r="E129" s="820" t="s">
        <v>1998</v>
      </c>
      <c r="F129" s="818"/>
      <c r="G129" s="818"/>
      <c r="H129" s="818"/>
      <c r="I129" s="442"/>
      <c r="J129" s="818"/>
      <c r="K129" s="818"/>
      <c r="L129" s="818"/>
      <c r="M129" s="818"/>
      <c r="N129" s="442"/>
      <c r="O129" s="818"/>
      <c r="P129" s="818"/>
      <c r="Q129" s="818"/>
      <c r="R129" s="818"/>
      <c r="S129" s="442"/>
      <c r="T129" s="818"/>
      <c r="U129" s="818"/>
      <c r="V129" s="818"/>
      <c r="W129" s="818"/>
      <c r="X129" s="442"/>
      <c r="Y129" s="818"/>
      <c r="Z129" s="818"/>
      <c r="AA129" s="818"/>
      <c r="AB129" s="818"/>
      <c r="AC129" s="442"/>
      <c r="AD129" s="818"/>
      <c r="AE129" s="818"/>
      <c r="AF129" s="818"/>
      <c r="AG129" s="818"/>
      <c r="AH129" s="442"/>
      <c r="AI129" s="442"/>
      <c r="AJ129" s="444"/>
      <c r="AK129" s="409"/>
      <c r="AL129" s="409"/>
      <c r="AM129" s="409"/>
      <c r="AN129" s="404"/>
      <c r="AO129" s="405">
        <f>Application!B741</f>
        <v>0</v>
      </c>
      <c r="AQ129" s="405">
        <f>Application!O741</f>
        <v>0</v>
      </c>
      <c r="AU129" s="822"/>
      <c r="AV129" s="821"/>
      <c r="AW129" s="822"/>
      <c r="AX129" s="822"/>
      <c r="AY129" s="821"/>
      <c r="AZ129" s="821"/>
    </row>
    <row r="130" spans="1:52" s="405" customFormat="1" ht="12.75" customHeight="1">
      <c r="A130" s="409"/>
      <c r="B130" s="408"/>
      <c r="C130" s="409"/>
      <c r="D130" s="409"/>
      <c r="E130" s="1861" t="e">
        <f>IF(((E127-0.1)*AW110)&gt;0,((E127-0.1)*AW110),0)</f>
        <v>#DIV/0!</v>
      </c>
      <c r="F130" s="1862"/>
      <c r="G130" s="1862"/>
      <c r="H130" s="1863"/>
      <c r="I130" s="442"/>
      <c r="J130" s="1861">
        <f>IF(((J127-0.1)*AW111)&gt;0,((J127-0.1)*AW111),0)</f>
        <v>3.7593386828998342E-2</v>
      </c>
      <c r="K130" s="1862"/>
      <c r="L130" s="1862"/>
      <c r="M130" s="1863"/>
      <c r="N130" s="442"/>
      <c r="O130" s="1861">
        <f>IF(((O127-0.1)*AW112)&gt;0,((O127-0.1)*AW112),0)</f>
        <v>0.18133816875166359</v>
      </c>
      <c r="P130" s="1862"/>
      <c r="Q130" s="1862"/>
      <c r="R130" s="1863"/>
      <c r="S130" s="442"/>
      <c r="T130" s="1861">
        <f>IF(((T127-0.1)*AW113)&gt;0,((T127-0.1)*AW113),0)</f>
        <v>0.22007662628497424</v>
      </c>
      <c r="U130" s="1862"/>
      <c r="V130" s="1862"/>
      <c r="W130" s="1863"/>
      <c r="X130" s="442"/>
      <c r="Y130" s="1861" t="e">
        <f>IF(((Y127-0.1)*AW114)&gt;0,((Y127-0.1)*AW114),0)</f>
        <v>#DIV/0!</v>
      </c>
      <c r="Z130" s="1862"/>
      <c r="AA130" s="1862"/>
      <c r="AB130" s="1863"/>
      <c r="AC130" s="442"/>
      <c r="AD130" s="1861" t="e">
        <f>IF(((AD127-0.1)*AW115)&gt;0,((AD127-0.1)*AW115),0)</f>
        <v>#DIV/0!</v>
      </c>
      <c r="AE130" s="1862"/>
      <c r="AF130" s="1862"/>
      <c r="AG130" s="1863"/>
      <c r="AH130" s="442"/>
      <c r="AI130" s="442"/>
      <c r="AJ130" s="444"/>
      <c r="AK130" s="409"/>
      <c r="AL130" s="409"/>
      <c r="AM130" s="409"/>
      <c r="AN130" s="404"/>
      <c r="AO130" s="405">
        <f>Application!B752</f>
        <v>0</v>
      </c>
      <c r="AQ130" s="405">
        <f>Application!O752</f>
        <v>0</v>
      </c>
      <c r="AU130" s="821"/>
      <c r="AV130" s="821"/>
      <c r="AW130" s="821"/>
      <c r="AX130" s="822"/>
      <c r="AY130" s="821"/>
      <c r="AZ130" s="821"/>
    </row>
    <row r="131" spans="1:52" s="405" customFormat="1" ht="12.75" customHeight="1">
      <c r="A131" s="409"/>
      <c r="B131" s="408"/>
      <c r="C131" s="409"/>
      <c r="D131" s="409"/>
      <c r="E131" s="709"/>
      <c r="F131" s="705"/>
      <c r="G131" s="705"/>
      <c r="H131" s="705"/>
      <c r="I131" s="442"/>
      <c r="J131" s="445"/>
      <c r="K131" s="442"/>
      <c r="L131" s="442"/>
      <c r="M131" s="442"/>
      <c r="N131" s="442"/>
      <c r="O131" s="442"/>
      <c r="P131" s="442"/>
      <c r="Q131" s="442"/>
      <c r="R131" s="442"/>
      <c r="S131" s="442"/>
      <c r="T131" s="442"/>
      <c r="U131" s="442"/>
      <c r="V131" s="442"/>
      <c r="W131" s="442"/>
      <c r="X131" s="442"/>
      <c r="Y131" s="442"/>
      <c r="Z131" s="442"/>
      <c r="AA131" s="442"/>
      <c r="AB131" s="442"/>
      <c r="AC131" s="442"/>
      <c r="AD131" s="442"/>
      <c r="AE131" s="442"/>
      <c r="AF131" s="442"/>
      <c r="AG131" s="442"/>
      <c r="AH131" s="442"/>
      <c r="AI131" s="442"/>
      <c r="AJ131" s="444"/>
      <c r="AK131" s="409"/>
      <c r="AL131" s="409"/>
      <c r="AM131" s="409"/>
      <c r="AN131" s="404"/>
      <c r="AU131" s="821"/>
      <c r="AV131" s="821"/>
      <c r="AW131" s="821"/>
      <c r="AX131" s="821"/>
      <c r="AY131" s="821"/>
      <c r="AZ131" s="821"/>
    </row>
    <row r="132" spans="1:52" s="405" customFormat="1" ht="12.75" customHeight="1">
      <c r="A132" s="409"/>
      <c r="B132" s="408"/>
      <c r="C132" s="409"/>
      <c r="D132" s="409"/>
      <c r="E132" s="2057">
        <f>ROUNDDOWN(SUMIF(E130:AG130,"&gt;0"),2)</f>
        <v>0.43</v>
      </c>
      <c r="F132" s="1812"/>
      <c r="G132" s="1812"/>
      <c r="H132" s="2058"/>
      <c r="I132" s="442"/>
      <c r="J132" s="445" t="s">
        <v>1999</v>
      </c>
      <c r="K132" s="442"/>
      <c r="L132" s="442"/>
      <c r="M132" s="442"/>
      <c r="N132" s="442"/>
      <c r="O132" s="442"/>
      <c r="P132" s="442"/>
      <c r="Q132" s="442"/>
      <c r="R132" s="442"/>
      <c r="S132" s="442"/>
      <c r="T132" s="442"/>
      <c r="U132" s="442"/>
      <c r="V132" s="442"/>
      <c r="W132" s="442"/>
      <c r="X132" s="442"/>
      <c r="Y132" s="442"/>
      <c r="Z132" s="442"/>
      <c r="AA132" s="442"/>
      <c r="AB132" s="442"/>
      <c r="AC132" s="442"/>
      <c r="AD132" s="711"/>
      <c r="AE132" s="711"/>
      <c r="AF132" s="711"/>
      <c r="AG132" s="711"/>
      <c r="AH132" s="442"/>
      <c r="AI132" s="442"/>
      <c r="AJ132" s="444"/>
      <c r="AK132" s="409"/>
      <c r="AL132" s="409"/>
      <c r="AM132" s="409"/>
      <c r="AN132" s="404"/>
      <c r="AU132" s="821"/>
      <c r="AV132" s="821"/>
      <c r="AW132" s="821"/>
      <c r="AX132" s="822"/>
      <c r="AY132" s="821"/>
      <c r="AZ132" s="821"/>
    </row>
    <row r="133" spans="1:52" s="405" customFormat="1" ht="12.75" customHeight="1">
      <c r="A133" s="409"/>
      <c r="B133" s="408"/>
      <c r="C133" s="409"/>
      <c r="D133" s="409"/>
      <c r="E133" s="1845">
        <f>IF((E132*100)&gt;10,10,E132*100)</f>
        <v>10</v>
      </c>
      <c r="F133" s="1846"/>
      <c r="G133" s="1846"/>
      <c r="H133" s="1847"/>
      <c r="I133" s="442"/>
      <c r="J133" s="445" t="s">
        <v>1978</v>
      </c>
      <c r="K133" s="442"/>
      <c r="L133" s="442"/>
      <c r="M133" s="442"/>
      <c r="N133" s="442"/>
      <c r="O133" s="442"/>
      <c r="P133" s="442"/>
      <c r="Q133" s="442"/>
      <c r="R133" s="442"/>
      <c r="S133" s="442"/>
      <c r="T133" s="442"/>
      <c r="U133" s="442"/>
      <c r="V133" s="442"/>
      <c r="W133" s="442"/>
      <c r="X133" s="442"/>
      <c r="Y133" s="442"/>
      <c r="Z133" s="442"/>
      <c r="AA133" s="442"/>
      <c r="AB133" s="442"/>
      <c r="AC133" s="442"/>
      <c r="AD133" s="442"/>
      <c r="AE133" s="442"/>
      <c r="AF133" s="442"/>
      <c r="AG133" s="442"/>
      <c r="AH133" s="442"/>
      <c r="AI133" s="442"/>
      <c r="AJ133" s="444"/>
      <c r="AK133" s="409"/>
      <c r="AL133" s="409"/>
      <c r="AM133" s="409"/>
      <c r="AN133" s="404"/>
      <c r="AU133" s="821"/>
      <c r="AV133" s="821"/>
      <c r="AW133" s="821"/>
      <c r="AX133" s="821"/>
      <c r="AY133" s="821"/>
      <c r="AZ133" s="821"/>
    </row>
    <row r="134" spans="1:52" s="405" customFormat="1" ht="12.75" customHeight="1">
      <c r="A134" s="409"/>
      <c r="B134" s="409"/>
      <c r="C134" s="409"/>
      <c r="D134" s="409"/>
      <c r="E134" s="452"/>
      <c r="F134" s="453"/>
      <c r="G134" s="453"/>
      <c r="H134" s="453"/>
      <c r="I134" s="453"/>
      <c r="J134" s="453"/>
      <c r="K134" s="453"/>
      <c r="L134" s="453"/>
      <c r="M134" s="453"/>
      <c r="N134" s="453"/>
      <c r="O134" s="453"/>
      <c r="P134" s="453"/>
      <c r="Q134" s="453"/>
      <c r="R134" s="453"/>
      <c r="S134" s="453"/>
      <c r="T134" s="453"/>
      <c r="U134" s="453"/>
      <c r="V134" s="453"/>
      <c r="W134" s="453"/>
      <c r="X134" s="453"/>
      <c r="Y134" s="453"/>
      <c r="Z134" s="453"/>
      <c r="AA134" s="453"/>
      <c r="AB134" s="453"/>
      <c r="AC134" s="453"/>
      <c r="AD134" s="453"/>
      <c r="AE134" s="453"/>
      <c r="AF134" s="453"/>
      <c r="AG134" s="453"/>
      <c r="AH134" s="453"/>
      <c r="AI134" s="453"/>
      <c r="AJ134" s="454"/>
      <c r="AK134" s="409"/>
      <c r="AL134" s="409"/>
      <c r="AM134" s="409"/>
      <c r="AN134" s="404"/>
      <c r="AT134" s="817"/>
      <c r="AU134" s="821"/>
      <c r="AV134" s="821"/>
      <c r="AW134" s="822"/>
      <c r="AX134" s="821"/>
      <c r="AY134" s="821"/>
      <c r="AZ134" s="821"/>
    </row>
    <row r="135" spans="1:52" s="405" customFormat="1" ht="12.75" customHeight="1">
      <c r="A135" s="409"/>
      <c r="B135" s="409"/>
      <c r="C135" s="409"/>
      <c r="D135" s="409"/>
      <c r="E135" s="409"/>
      <c r="F135" s="409"/>
      <c r="G135" s="409"/>
      <c r="H135" s="409"/>
      <c r="I135" s="409"/>
      <c r="J135" s="409"/>
      <c r="K135" s="409"/>
      <c r="L135" s="409"/>
      <c r="M135" s="409"/>
      <c r="N135" s="409"/>
      <c r="O135" s="409"/>
      <c r="P135" s="409"/>
      <c r="Q135" s="409"/>
      <c r="R135" s="409"/>
      <c r="S135" s="409"/>
      <c r="T135" s="409"/>
      <c r="U135" s="409"/>
      <c r="V135" s="409"/>
      <c r="W135" s="409"/>
      <c r="X135" s="409"/>
      <c r="Y135" s="409"/>
      <c r="Z135" s="409"/>
      <c r="AA135" s="409"/>
      <c r="AB135" s="409"/>
      <c r="AC135" s="409"/>
      <c r="AD135" s="409"/>
      <c r="AE135" s="409"/>
      <c r="AF135" s="409"/>
      <c r="AG135" s="409"/>
      <c r="AH135" s="409"/>
      <c r="AI135" s="409"/>
      <c r="AJ135" s="409"/>
      <c r="AK135" s="409"/>
      <c r="AL135" s="409"/>
      <c r="AM135" s="409"/>
      <c r="AN135" s="404"/>
      <c r="AU135" s="821"/>
      <c r="AV135" s="821"/>
      <c r="AW135" s="821"/>
      <c r="AX135" s="821"/>
      <c r="AY135" s="821"/>
      <c r="AZ135" s="821"/>
    </row>
    <row r="136" spans="1:52" s="405" customFormat="1" ht="12.75" customHeight="1">
      <c r="A136" s="409"/>
      <c r="B136" s="409"/>
      <c r="C136" s="409"/>
      <c r="D136" s="409"/>
      <c r="E136" s="409"/>
      <c r="F136" s="409"/>
      <c r="G136" s="409"/>
      <c r="H136" s="409"/>
      <c r="I136" s="409"/>
      <c r="J136" s="409"/>
      <c r="K136" s="409"/>
      <c r="L136" s="409"/>
      <c r="M136" s="409"/>
      <c r="N136" s="409"/>
      <c r="O136" s="409"/>
      <c r="P136" s="409"/>
      <c r="Q136" s="409"/>
      <c r="R136" s="409"/>
      <c r="S136" s="409"/>
      <c r="T136" s="409"/>
      <c r="U136" s="409"/>
      <c r="V136" s="409"/>
      <c r="W136" s="409"/>
      <c r="X136" s="409"/>
      <c r="Y136" s="409"/>
      <c r="Z136" s="409"/>
      <c r="AA136" s="409"/>
      <c r="AB136" s="409"/>
      <c r="AC136" s="409"/>
      <c r="AD136" s="409"/>
      <c r="AE136" s="409"/>
      <c r="AF136" s="409"/>
      <c r="AG136" s="409"/>
      <c r="AH136" s="409"/>
      <c r="AI136" s="409"/>
      <c r="AJ136" s="409"/>
      <c r="AK136" s="409"/>
      <c r="AL136" s="409"/>
      <c r="AM136" s="409"/>
      <c r="AN136" s="404"/>
    </row>
    <row r="137" spans="1:52" s="405" customFormat="1" ht="12.75" customHeight="1">
      <c r="A137" s="427"/>
      <c r="B137" s="428"/>
      <c r="C137" s="428"/>
      <c r="D137" s="428"/>
      <c r="E137" s="428"/>
      <c r="F137" s="428"/>
      <c r="G137" s="429"/>
      <c r="H137" s="430"/>
      <c r="I137" s="430"/>
      <c r="J137" s="430"/>
      <c r="K137" s="430"/>
      <c r="L137" s="430"/>
      <c r="M137" s="430"/>
      <c r="N137" s="430"/>
      <c r="O137" s="430"/>
      <c r="P137" s="430"/>
      <c r="Q137" s="430"/>
      <c r="R137" s="430"/>
      <c r="S137" s="430"/>
      <c r="T137" s="430"/>
      <c r="U137" s="430"/>
      <c r="V137" s="430"/>
      <c r="W137" s="430"/>
      <c r="X137" s="430"/>
      <c r="Y137" s="430"/>
      <c r="Z137" s="430"/>
      <c r="AA137" s="430"/>
      <c r="AB137" s="430"/>
      <c r="AC137" s="430"/>
      <c r="AD137" s="430"/>
      <c r="AE137" s="430"/>
      <c r="AF137" s="430"/>
      <c r="AG137" s="430"/>
      <c r="AH137" s="430"/>
      <c r="AI137" s="431"/>
      <c r="AJ137" s="431" t="s">
        <v>2000</v>
      </c>
      <c r="AK137" s="1845">
        <f>E133</f>
        <v>10</v>
      </c>
      <c r="AL137" s="1846"/>
      <c r="AM137" s="1847"/>
      <c r="AN137" s="404"/>
    </row>
    <row r="138" spans="1:52" s="405" customFormat="1" ht="12.75" customHeight="1" thickBot="1">
      <c r="A138" s="432"/>
      <c r="B138" s="433"/>
      <c r="C138" s="434"/>
      <c r="D138" s="434"/>
      <c r="E138" s="434"/>
      <c r="F138" s="434"/>
      <c r="G138" s="434"/>
      <c r="H138" s="434"/>
      <c r="I138" s="434"/>
      <c r="J138" s="434"/>
      <c r="K138" s="434"/>
      <c r="L138" s="434"/>
      <c r="M138" s="434"/>
      <c r="N138" s="434"/>
      <c r="O138" s="434"/>
      <c r="P138" s="434"/>
      <c r="Q138" s="434"/>
      <c r="R138" s="434"/>
      <c r="S138" s="434"/>
      <c r="T138" s="434"/>
      <c r="U138" s="434"/>
      <c r="V138" s="434"/>
      <c r="W138" s="434"/>
      <c r="X138" s="434"/>
      <c r="Y138" s="434"/>
      <c r="Z138" s="434"/>
      <c r="AA138" s="434"/>
      <c r="AB138" s="434"/>
      <c r="AC138" s="434"/>
      <c r="AD138" s="434"/>
      <c r="AE138" s="434"/>
      <c r="AF138" s="434"/>
      <c r="AG138" s="434"/>
      <c r="AH138" s="434"/>
      <c r="AI138" s="434"/>
      <c r="AJ138" s="434"/>
      <c r="AK138" s="434"/>
      <c r="AL138" s="434"/>
      <c r="AM138" s="435"/>
      <c r="AN138" s="404"/>
    </row>
    <row r="139" spans="1:52" s="405" customFormat="1" ht="12.75" customHeight="1" thickTop="1">
      <c r="A139" s="436"/>
      <c r="B139" s="437"/>
      <c r="C139" s="438"/>
      <c r="D139" s="438"/>
      <c r="E139" s="438"/>
      <c r="F139" s="438"/>
      <c r="G139" s="438"/>
      <c r="H139" s="438"/>
      <c r="I139" s="1203"/>
      <c r="J139" s="1203"/>
      <c r="K139" s="1203"/>
      <c r="L139" s="1203"/>
      <c r="M139" s="1203"/>
      <c r="N139" s="1203"/>
      <c r="O139" s="1203"/>
      <c r="P139" s="1203"/>
      <c r="Q139" s="1203"/>
      <c r="R139" s="436"/>
      <c r="S139" s="408"/>
      <c r="T139" s="408"/>
      <c r="U139" s="408"/>
      <c r="V139" s="408"/>
      <c r="W139" s="408"/>
      <c r="X139" s="408"/>
      <c r="Y139" s="408"/>
      <c r="Z139" s="408"/>
      <c r="AA139" s="408"/>
      <c r="AB139" s="408"/>
      <c r="AC139" s="408"/>
      <c r="AD139" s="408"/>
      <c r="AE139" s="408"/>
      <c r="AF139" s="436"/>
      <c r="AG139" s="408"/>
      <c r="AH139" s="408"/>
      <c r="AI139" s="408"/>
      <c r="AJ139" s="408"/>
      <c r="AK139" s="418"/>
      <c r="AL139" s="418"/>
      <c r="AM139" s="418"/>
      <c r="AN139" s="404"/>
    </row>
    <row r="140" spans="1:52" s="408" customFormat="1" ht="12.75" customHeight="1">
      <c r="A140" s="407" t="s">
        <v>2001</v>
      </c>
      <c r="AE140" s="1825" t="s">
        <v>1958</v>
      </c>
      <c r="AF140" s="1825"/>
      <c r="AG140" s="1825"/>
      <c r="AH140" s="1825"/>
      <c r="AI140" s="1825"/>
      <c r="AJ140" s="1825"/>
      <c r="AK140" s="1825"/>
      <c r="AL140" s="1200"/>
      <c r="AN140" s="455"/>
      <c r="AO140" s="405"/>
    </row>
    <row r="141" spans="1:52" s="408" customFormat="1" ht="13" customHeight="1">
      <c r="A141" s="407"/>
      <c r="AE141" s="1200"/>
      <c r="AF141" s="1200"/>
      <c r="AG141" s="1200"/>
      <c r="AH141" s="1200"/>
      <c r="AI141" s="1200"/>
      <c r="AJ141" s="1200"/>
      <c r="AK141" s="1200"/>
      <c r="AL141" s="1200"/>
      <c r="AN141" s="455"/>
    </row>
    <row r="142" spans="1:52" s="405" customFormat="1" ht="12.75" customHeight="1">
      <c r="A142" s="407"/>
      <c r="B142" s="407" t="s">
        <v>2002</v>
      </c>
      <c r="C142" s="408"/>
      <c r="D142" s="408"/>
      <c r="E142" s="408"/>
      <c r="F142" s="408"/>
      <c r="G142" s="408"/>
      <c r="H142" s="408"/>
      <c r="I142" s="408"/>
      <c r="J142" s="408"/>
      <c r="K142" s="408"/>
      <c r="L142" s="408"/>
      <c r="M142" s="408"/>
      <c r="N142" s="408"/>
      <c r="O142" s="408"/>
      <c r="P142" s="408"/>
      <c r="Q142" s="408"/>
      <c r="R142" s="408"/>
      <c r="S142" s="408"/>
      <c r="T142" s="408"/>
      <c r="U142" s="408"/>
      <c r="V142" s="408"/>
      <c r="W142" s="408"/>
      <c r="X142" s="408"/>
      <c r="Y142" s="408"/>
      <c r="Z142" s="408"/>
      <c r="AA142" s="408"/>
      <c r="AB142" s="408"/>
      <c r="AC142" s="408"/>
      <c r="AD142" s="408"/>
      <c r="AF142" s="1857" t="s">
        <v>2003</v>
      </c>
      <c r="AG142" s="1857"/>
      <c r="AH142" s="1857"/>
      <c r="AI142" s="1857"/>
      <c r="AJ142" s="1857"/>
      <c r="AK142" s="1857"/>
      <c r="AL142" s="1857"/>
      <c r="AM142" s="408"/>
      <c r="AN142" s="404"/>
    </row>
    <row r="143" spans="1:52" s="405" customFormat="1" ht="12.75" customHeight="1">
      <c r="A143" s="407"/>
      <c r="B143" s="407" t="s">
        <v>1133</v>
      </c>
      <c r="C143" s="1192"/>
      <c r="D143" s="1192"/>
      <c r="E143" s="1192"/>
      <c r="F143" s="1192"/>
      <c r="G143" s="1192"/>
      <c r="H143" s="1192"/>
      <c r="I143" s="1192"/>
      <c r="J143" s="1192"/>
      <c r="K143" s="1192"/>
      <c r="L143" s="1192"/>
      <c r="M143" s="1192"/>
      <c r="N143" s="1192"/>
      <c r="O143" s="1192"/>
      <c r="P143" s="1192"/>
      <c r="Q143" s="1192"/>
      <c r="R143" s="1192"/>
      <c r="S143" s="1192"/>
      <c r="T143" s="1192"/>
      <c r="U143" s="1192"/>
      <c r="V143" s="1192"/>
      <c r="W143" s="1192"/>
      <c r="X143" s="1192"/>
      <c r="Y143" s="1192"/>
      <c r="Z143" s="1192"/>
      <c r="AA143" s="1192"/>
      <c r="AB143" s="1192"/>
      <c r="AC143" s="1192"/>
      <c r="AD143" s="408"/>
      <c r="AL143" s="1189"/>
      <c r="AM143" s="408"/>
      <c r="AN143" s="404"/>
    </row>
    <row r="144" spans="1:52" s="405" customFormat="1" ht="15" customHeight="1">
      <c r="A144" s="407"/>
      <c r="B144" s="1858" t="s">
        <v>1134</v>
      </c>
      <c r="C144" s="1858"/>
      <c r="D144" s="1858"/>
      <c r="E144" s="1858"/>
      <c r="F144" s="1858"/>
      <c r="G144" s="1858"/>
      <c r="H144" s="1858"/>
      <c r="I144" s="1858"/>
      <c r="J144" s="1858"/>
      <c r="K144" s="1858"/>
      <c r="L144" s="1858"/>
      <c r="M144" s="1858"/>
      <c r="N144" s="1858"/>
      <c r="O144" s="1858"/>
      <c r="P144" s="1858"/>
      <c r="Q144" s="1858"/>
      <c r="R144" s="1858"/>
      <c r="S144" s="1858"/>
      <c r="T144" s="1858"/>
      <c r="U144" s="1858"/>
      <c r="V144" s="1858"/>
      <c r="W144" s="1858"/>
      <c r="X144" s="1858"/>
      <c r="Y144" s="1858"/>
      <c r="Z144" s="1858"/>
      <c r="AA144" s="1858"/>
      <c r="AB144" s="1858"/>
      <c r="AC144" s="1858"/>
      <c r="AD144" s="408"/>
      <c r="AE144" s="1189"/>
      <c r="AF144" s="1189"/>
      <c r="AG144" s="1189"/>
      <c r="AH144" s="1189"/>
      <c r="AI144" s="1189"/>
      <c r="AJ144" s="1189"/>
      <c r="AK144" s="1189"/>
      <c r="AL144" s="1189"/>
      <c r="AM144" s="408"/>
      <c r="AN144" s="404"/>
      <c r="AP144" s="457"/>
    </row>
    <row r="145" spans="1:42" s="405" customFormat="1" ht="12.75" customHeight="1">
      <c r="A145" s="407"/>
      <c r="B145" s="407"/>
      <c r="C145" s="408"/>
      <c r="D145" s="408"/>
      <c r="E145" s="408"/>
      <c r="F145" s="408"/>
      <c r="G145" s="408"/>
      <c r="H145" s="408"/>
      <c r="I145" s="408"/>
      <c r="J145" s="408"/>
      <c r="K145" s="408"/>
      <c r="L145" s="408"/>
      <c r="M145" s="408"/>
      <c r="N145" s="408"/>
      <c r="O145" s="408"/>
      <c r="P145" s="408"/>
      <c r="Q145" s="408"/>
      <c r="R145" s="408"/>
      <c r="S145" s="408"/>
      <c r="T145" s="408"/>
      <c r="U145" s="408"/>
      <c r="V145" s="408"/>
      <c r="W145" s="408"/>
      <c r="X145" s="408"/>
      <c r="Y145" s="408"/>
      <c r="Z145" s="408"/>
      <c r="AA145" s="408"/>
      <c r="AB145" s="408"/>
      <c r="AC145" s="408"/>
      <c r="AD145" s="408"/>
      <c r="AE145" s="1189"/>
      <c r="AF145" s="1189"/>
      <c r="AG145" s="1189"/>
      <c r="AH145" s="1189"/>
      <c r="AI145" s="1189"/>
      <c r="AJ145" s="1189"/>
      <c r="AK145" s="1189"/>
      <c r="AL145" s="1189"/>
      <c r="AM145" s="408"/>
      <c r="AN145" s="404"/>
      <c r="AO145" s="1115" t="s">
        <v>294</v>
      </c>
      <c r="AP145" s="413"/>
    </row>
    <row r="146" spans="1:42" s="405" customFormat="1" ht="12.75" customHeight="1">
      <c r="A146" s="407"/>
      <c r="B146" s="408" t="s">
        <v>2004</v>
      </c>
      <c r="C146" s="408"/>
      <c r="D146" s="408"/>
      <c r="E146" s="408"/>
      <c r="F146" s="408"/>
      <c r="G146" s="408"/>
      <c r="H146" s="408"/>
      <c r="I146" s="408"/>
      <c r="J146" s="408"/>
      <c r="K146" s="408"/>
      <c r="L146" s="408"/>
      <c r="M146" s="408"/>
      <c r="N146" s="408"/>
      <c r="O146" s="408"/>
      <c r="P146" s="408"/>
      <c r="Q146" s="408"/>
      <c r="R146" s="408"/>
      <c r="S146" s="408"/>
      <c r="T146" s="408"/>
      <c r="U146" s="408"/>
      <c r="V146" s="408"/>
      <c r="W146" s="408"/>
      <c r="X146" s="408"/>
      <c r="Y146" s="408"/>
      <c r="Z146" s="408"/>
      <c r="AA146" s="408"/>
      <c r="AB146" s="408"/>
      <c r="AC146" s="408"/>
      <c r="AD146" s="408"/>
      <c r="AE146" s="408"/>
      <c r="AF146" s="408"/>
      <c r="AG146" s="408"/>
      <c r="AH146" s="408"/>
      <c r="AI146" s="408"/>
      <c r="AJ146" s="408"/>
      <c r="AK146" s="408"/>
      <c r="AL146" s="408"/>
      <c r="AM146" s="408"/>
      <c r="AN146" s="404"/>
      <c r="AO146" s="352" t="s">
        <v>2005</v>
      </c>
      <c r="AP146" s="362">
        <v>5</v>
      </c>
    </row>
    <row r="147" spans="1:42" s="405" customFormat="1" ht="12.75" customHeight="1">
      <c r="A147" s="407"/>
      <c r="B147" s="1883" t="s">
        <v>2006</v>
      </c>
      <c r="C147" s="1883"/>
      <c r="D147" s="1883"/>
      <c r="E147" s="1883"/>
      <c r="F147" s="1883"/>
      <c r="G147" s="1883"/>
      <c r="H147" s="1883"/>
      <c r="I147" s="1883"/>
      <c r="J147" s="1883"/>
      <c r="K147" s="1883"/>
      <c r="L147" s="1883"/>
      <c r="M147" s="1883"/>
      <c r="N147" s="1883"/>
      <c r="O147" s="1883"/>
      <c r="P147" s="1883"/>
      <c r="Q147" s="1883"/>
      <c r="R147" s="1883"/>
      <c r="S147" s="1883"/>
      <c r="T147" s="1883"/>
      <c r="U147" s="1883"/>
      <c r="V147" s="1883"/>
      <c r="W147" s="1883"/>
      <c r="X147" s="1883"/>
      <c r="Y147" s="1883"/>
      <c r="Z147" s="1883"/>
      <c r="AA147" s="1883"/>
      <c r="AB147" s="1883"/>
      <c r="AC147" s="1883"/>
      <c r="AD147" s="1883"/>
      <c r="AE147" s="1883"/>
      <c r="AF147" s="1883"/>
      <c r="AG147" s="1883"/>
      <c r="AH147" s="1883"/>
      <c r="AI147" s="1883"/>
      <c r="AM147" s="408"/>
      <c r="AN147" s="404"/>
      <c r="AO147" s="352" t="s">
        <v>2006</v>
      </c>
      <c r="AP147" s="362">
        <v>7</v>
      </c>
    </row>
    <row r="148" spans="1:42" s="405" customFormat="1" ht="13" customHeight="1">
      <c r="A148" s="407"/>
      <c r="B148" s="1192"/>
      <c r="C148" s="1192"/>
      <c r="D148" s="1192"/>
      <c r="E148" s="1192"/>
      <c r="F148" s="1192"/>
      <c r="G148" s="1192"/>
      <c r="H148" s="1192"/>
      <c r="I148" s="1192"/>
      <c r="J148" s="1192"/>
      <c r="K148" s="1192"/>
      <c r="L148" s="1192"/>
      <c r="M148" s="1192"/>
      <c r="N148" s="1192"/>
      <c r="O148" s="1192"/>
      <c r="P148" s="1192"/>
      <c r="Q148" s="1192"/>
      <c r="R148" s="1192"/>
      <c r="S148" s="1192"/>
      <c r="T148" s="1192"/>
      <c r="U148" s="1192"/>
      <c r="V148" s="1192"/>
      <c r="W148" s="1192"/>
      <c r="X148" s="1192"/>
      <c r="Y148" s="1192"/>
      <c r="Z148" s="1192"/>
      <c r="AA148" s="1192"/>
      <c r="AB148" s="1192"/>
      <c r="AC148" s="1192"/>
      <c r="AD148" s="1200"/>
      <c r="AM148" s="408"/>
      <c r="AN148" s="404"/>
      <c r="AO148" s="352" t="s">
        <v>2007</v>
      </c>
      <c r="AP148" s="362">
        <v>7</v>
      </c>
    </row>
    <row r="149" spans="1:42" s="405" customFormat="1" ht="12.75" customHeight="1">
      <c r="A149" s="407"/>
      <c r="B149" s="408" t="s">
        <v>2008</v>
      </c>
      <c r="AB149" s="1884" t="s">
        <v>299</v>
      </c>
      <c r="AC149" s="1884"/>
      <c r="AD149" s="1200"/>
      <c r="AM149" s="408"/>
      <c r="AN149" s="404"/>
      <c r="AO149" s="352"/>
      <c r="AP149" s="352"/>
    </row>
    <row r="150" spans="1:42" s="405" customFormat="1" ht="9" customHeight="1">
      <c r="A150" s="407"/>
      <c r="B150" s="1192"/>
      <c r="C150" s="1192"/>
      <c r="D150" s="1192"/>
      <c r="E150" s="1192"/>
      <c r="F150" s="1192"/>
      <c r="G150" s="1192"/>
      <c r="H150" s="1192"/>
      <c r="I150" s="1192"/>
      <c r="J150" s="1192"/>
      <c r="K150" s="1192"/>
      <c r="L150" s="1192"/>
      <c r="M150" s="1192"/>
      <c r="N150" s="1192"/>
      <c r="O150" s="1192"/>
      <c r="P150" s="1192"/>
      <c r="Q150" s="1192"/>
      <c r="R150" s="1192"/>
      <c r="S150" s="1192"/>
      <c r="T150" s="1192"/>
      <c r="U150" s="1192"/>
      <c r="V150" s="1192"/>
      <c r="W150" s="1192"/>
      <c r="X150" s="1192"/>
      <c r="Y150" s="1192"/>
      <c r="Z150" s="1192"/>
      <c r="AA150" s="1192"/>
      <c r="AB150" s="1192"/>
      <c r="AC150" s="1192"/>
      <c r="AD150" s="1200"/>
      <c r="AM150" s="408"/>
      <c r="AN150" s="404"/>
      <c r="AO150" s="1115" t="s">
        <v>2009</v>
      </c>
      <c r="AP150" s="362"/>
    </row>
    <row r="151" spans="1:42" s="405" customFormat="1" ht="12.75" customHeight="1">
      <c r="A151" s="407"/>
      <c r="B151" s="407" t="s">
        <v>2010</v>
      </c>
      <c r="C151" s="1192"/>
      <c r="D151" s="1192"/>
      <c r="E151" s="1192"/>
      <c r="F151" s="1192"/>
      <c r="G151" s="1192"/>
      <c r="H151" s="1192"/>
      <c r="I151" s="1192"/>
      <c r="J151" s="1192"/>
      <c r="K151" s="1192"/>
      <c r="L151" s="1192"/>
      <c r="M151" s="1192"/>
      <c r="N151" s="1192"/>
      <c r="O151" s="1192"/>
      <c r="P151" s="1192"/>
      <c r="Q151" s="1192"/>
      <c r="R151" s="1192"/>
      <c r="S151" s="1192"/>
      <c r="T151" s="1192"/>
      <c r="U151" s="1192"/>
      <c r="V151" s="1192"/>
      <c r="W151" s="1192"/>
      <c r="X151" s="1192"/>
      <c r="Y151" s="1192"/>
      <c r="Z151" s="1192"/>
      <c r="AA151" s="1192"/>
      <c r="AB151" s="1192"/>
      <c r="AC151" s="1192"/>
      <c r="AD151" s="1200"/>
      <c r="AM151" s="408"/>
      <c r="AN151" s="404"/>
      <c r="AO151" s="352" t="s">
        <v>2011</v>
      </c>
      <c r="AP151" s="362">
        <v>5</v>
      </c>
    </row>
    <row r="152" spans="1:42" s="405" customFormat="1" ht="12.75" customHeight="1">
      <c r="A152" s="407"/>
      <c r="B152" s="1883" t="s">
        <v>2009</v>
      </c>
      <c r="C152" s="1883"/>
      <c r="D152" s="1883"/>
      <c r="E152" s="1883"/>
      <c r="F152" s="1883"/>
      <c r="G152" s="1883"/>
      <c r="H152" s="1883"/>
      <c r="I152" s="1883"/>
      <c r="J152" s="1883"/>
      <c r="K152" s="1883"/>
      <c r="L152" s="1883"/>
      <c r="M152" s="1883"/>
      <c r="N152" s="1883"/>
      <c r="O152" s="1883"/>
      <c r="P152" s="1883"/>
      <c r="Q152" s="1883"/>
      <c r="R152" s="1883"/>
      <c r="S152" s="1883"/>
      <c r="T152" s="1883"/>
      <c r="U152" s="1883"/>
      <c r="V152" s="1883"/>
      <c r="W152" s="1883"/>
      <c r="X152" s="1883"/>
      <c r="Y152" s="1883"/>
      <c r="Z152" s="1883"/>
      <c r="AA152" s="1883"/>
      <c r="AB152" s="1883"/>
      <c r="AC152" s="1883"/>
      <c r="AD152" s="1883"/>
      <c r="AE152" s="1883"/>
      <c r="AF152" s="1883"/>
      <c r="AG152" s="1883"/>
      <c r="AH152" s="1883"/>
      <c r="AI152" s="1883"/>
      <c r="AJ152" s="1883"/>
      <c r="AN152" s="404"/>
      <c r="AO152" s="352" t="s">
        <v>2012</v>
      </c>
      <c r="AP152" s="362">
        <v>7</v>
      </c>
    </row>
    <row r="153" spans="1:42" s="405" customFormat="1" ht="12.75" customHeight="1">
      <c r="B153" s="408" t="s">
        <v>2013</v>
      </c>
      <c r="C153" s="1192"/>
      <c r="D153" s="1192"/>
      <c r="E153" s="1192"/>
      <c r="F153" s="1192"/>
      <c r="G153" s="1192"/>
      <c r="H153" s="1192"/>
      <c r="I153" s="1192"/>
      <c r="J153" s="1192"/>
      <c r="K153" s="1192"/>
      <c r="L153" s="1192"/>
      <c r="M153" s="1192"/>
      <c r="N153" s="1192"/>
      <c r="O153" s="1192"/>
      <c r="P153" s="1192"/>
      <c r="Q153" s="1192"/>
      <c r="R153" s="1192"/>
      <c r="S153" s="1192"/>
      <c r="T153" s="1192"/>
      <c r="U153" s="1192"/>
      <c r="AM153" s="408"/>
      <c r="AN153" s="404"/>
      <c r="AO153" s="352"/>
      <c r="AP153" s="362"/>
    </row>
    <row r="154" spans="1:42" s="405" customFormat="1" ht="12.75" customHeight="1">
      <c r="AM154" s="408"/>
      <c r="AN154" s="404"/>
    </row>
    <row r="155" spans="1:42" s="418" customFormat="1" ht="12.75" customHeight="1">
      <c r="A155" s="462"/>
      <c r="B155" s="463"/>
      <c r="C155" s="463"/>
      <c r="D155" s="463"/>
      <c r="E155" s="463"/>
      <c r="F155" s="463"/>
      <c r="G155" s="463"/>
      <c r="H155" s="463"/>
      <c r="I155" s="463"/>
      <c r="J155" s="463"/>
      <c r="K155" s="463"/>
      <c r="L155" s="463"/>
      <c r="M155" s="463"/>
      <c r="N155" s="463"/>
      <c r="O155" s="463"/>
      <c r="P155" s="463"/>
      <c r="Q155" s="463"/>
      <c r="R155" s="463"/>
      <c r="S155" s="463"/>
      <c r="T155" s="463"/>
      <c r="U155" s="463"/>
      <c r="V155" s="463"/>
      <c r="W155" s="463"/>
      <c r="X155" s="463"/>
      <c r="Y155" s="463"/>
      <c r="Z155" s="463"/>
      <c r="AA155" s="463"/>
      <c r="AB155" s="463"/>
      <c r="AC155" s="463"/>
      <c r="AD155" s="463"/>
      <c r="AE155" s="463"/>
      <c r="AF155" s="463"/>
      <c r="AG155" s="463"/>
      <c r="AH155" s="463"/>
      <c r="AI155" s="431" t="s">
        <v>2014</v>
      </c>
      <c r="AJ155" s="1887">
        <f>IF($AB$149="N/A",VLOOKUP($B$147,$AO$145:$AP$148,2,FALSE),VLOOKUP($B$152,$AO$150:$AP$152,2,FALSE))</f>
        <v>7</v>
      </c>
      <c r="AK155" s="1887"/>
      <c r="AL155" s="457"/>
      <c r="AM155" s="405"/>
      <c r="AN155" s="460"/>
    </row>
    <row r="156" spans="1:42" s="418" customFormat="1" ht="12.75" customHeight="1">
      <c r="A156" s="457"/>
      <c r="B156" s="457"/>
      <c r="C156" s="405"/>
      <c r="D156" s="405"/>
      <c r="E156" s="405"/>
      <c r="F156" s="405"/>
      <c r="G156" s="405"/>
      <c r="H156" s="405"/>
      <c r="I156" s="405"/>
      <c r="J156" s="405"/>
      <c r="K156" s="405"/>
      <c r="L156" s="405"/>
      <c r="M156" s="405"/>
      <c r="N156" s="405"/>
      <c r="O156" s="405"/>
      <c r="P156" s="405"/>
      <c r="Q156" s="405"/>
      <c r="R156" s="405"/>
      <c r="S156" s="405"/>
      <c r="T156" s="405"/>
      <c r="U156" s="405"/>
      <c r="V156" s="405"/>
      <c r="W156" s="405"/>
      <c r="X156" s="405"/>
      <c r="Y156" s="405"/>
      <c r="Z156" s="405"/>
      <c r="AA156" s="405"/>
      <c r="AB156" s="405"/>
      <c r="AC156" s="405"/>
      <c r="AD156" s="405"/>
      <c r="AE156" s="405"/>
      <c r="AF156" s="405"/>
      <c r="AG156" s="405"/>
      <c r="AH156" s="405"/>
      <c r="AI156" s="405"/>
      <c r="AJ156" s="405"/>
      <c r="AK156" s="405"/>
      <c r="AL156" s="405"/>
      <c r="AM156" s="405"/>
      <c r="AN156" s="460"/>
    </row>
    <row r="157" spans="1:42" s="418" customFormat="1" ht="12.75" customHeight="1">
      <c r="A157" s="405"/>
      <c r="B157" s="407" t="s">
        <v>2015</v>
      </c>
      <c r="C157" s="408"/>
      <c r="D157" s="405"/>
      <c r="E157" s="501"/>
      <c r="F157" s="501"/>
      <c r="G157" s="501"/>
      <c r="H157" s="501"/>
      <c r="I157" s="501"/>
      <c r="J157" s="501"/>
      <c r="K157" s="501"/>
      <c r="L157" s="501"/>
      <c r="M157" s="501"/>
      <c r="N157" s="501"/>
      <c r="O157" s="501"/>
      <c r="P157" s="501"/>
      <c r="Q157" s="501"/>
      <c r="R157" s="501"/>
      <c r="S157" s="501"/>
      <c r="T157" s="501"/>
      <c r="U157" s="501"/>
      <c r="V157" s="501"/>
      <c r="W157" s="501"/>
      <c r="X157" s="501"/>
      <c r="Y157" s="501"/>
      <c r="Z157" s="501"/>
      <c r="AA157" s="501"/>
      <c r="AB157" s="501"/>
      <c r="AC157" s="501"/>
      <c r="AD157" s="501"/>
      <c r="AE157" s="405"/>
      <c r="AF157" s="1857" t="s">
        <v>2016</v>
      </c>
      <c r="AG157" s="1857"/>
      <c r="AH157" s="1857"/>
      <c r="AI157" s="1857"/>
      <c r="AJ157" s="1857"/>
      <c r="AK157" s="1857"/>
      <c r="AL157" s="1857"/>
      <c r="AM157" s="465"/>
      <c r="AN157" s="460"/>
    </row>
    <row r="158" spans="1:42" s="418" customFormat="1" ht="12.75" customHeight="1">
      <c r="A158" s="405"/>
      <c r="B158" s="408" t="s">
        <v>2017</v>
      </c>
      <c r="C158" s="405"/>
      <c r="D158" s="405"/>
      <c r="E158" s="405"/>
      <c r="F158" s="405"/>
      <c r="G158" s="405"/>
      <c r="H158" s="405"/>
      <c r="I158" s="405"/>
      <c r="J158" s="405"/>
      <c r="K158" s="405"/>
      <c r="L158" s="405"/>
      <c r="M158" s="405"/>
      <c r="N158" s="405"/>
      <c r="O158" s="405"/>
      <c r="P158" s="405"/>
      <c r="Q158" s="405"/>
      <c r="R158" s="405"/>
      <c r="S158" s="405"/>
      <c r="T158" s="405"/>
      <c r="U158" s="405"/>
      <c r="V158" s="405"/>
      <c r="W158" s="405"/>
      <c r="X158" s="405"/>
      <c r="Y158" s="405"/>
      <c r="Z158" s="405"/>
      <c r="AA158" s="408"/>
      <c r="AB158" s="408"/>
      <c r="AC158" s="408"/>
      <c r="AD158" s="408"/>
      <c r="AE158" s="405"/>
      <c r="AF158" s="405"/>
      <c r="AG158" s="405"/>
      <c r="AH158" s="405"/>
      <c r="AI158" s="405"/>
      <c r="AJ158" s="405"/>
      <c r="AK158" s="405"/>
      <c r="AL158" s="405"/>
      <c r="AM158" s="465"/>
      <c r="AN158" s="460"/>
    </row>
    <row r="159" spans="1:42" s="418" customFormat="1" ht="12.75" customHeight="1">
      <c r="A159" s="405"/>
      <c r="B159" s="405"/>
      <c r="C159" s="1883" t="s">
        <v>2018</v>
      </c>
      <c r="D159" s="1883"/>
      <c r="E159" s="1883"/>
      <c r="F159" s="1883"/>
      <c r="G159" s="1883"/>
      <c r="H159" s="1883"/>
      <c r="I159" s="1883"/>
      <c r="J159" s="1883"/>
      <c r="K159" s="1883"/>
      <c r="L159" s="1883"/>
      <c r="M159" s="1883"/>
      <c r="N159" s="1883"/>
      <c r="O159" s="1883"/>
      <c r="P159" s="1883"/>
      <c r="Q159" s="1883"/>
      <c r="R159" s="1883"/>
      <c r="S159" s="1883"/>
      <c r="T159" s="1883"/>
      <c r="U159" s="1883"/>
      <c r="V159" s="1883"/>
      <c r="W159" s="1883"/>
      <c r="X159" s="1883"/>
      <c r="Y159" s="1883"/>
      <c r="Z159" s="1883"/>
      <c r="AA159" s="1883"/>
      <c r="AB159" s="1883"/>
      <c r="AC159" s="1883"/>
      <c r="AD159" s="1883"/>
      <c r="AE159" s="1883"/>
      <c r="AF159" s="1883"/>
      <c r="AG159" s="1883"/>
      <c r="AH159" s="1883"/>
      <c r="AI159" s="1883"/>
      <c r="AJ159" s="405"/>
      <c r="AK159" s="405"/>
      <c r="AL159" s="405"/>
      <c r="AM159" s="465"/>
      <c r="AN159" s="459"/>
      <c r="AO159" s="352" t="s">
        <v>294</v>
      </c>
      <c r="AP159" s="352"/>
    </row>
    <row r="160" spans="1:42" s="418" customFormat="1" ht="13" customHeight="1">
      <c r="A160" s="405"/>
      <c r="B160" s="405"/>
      <c r="C160" s="1192"/>
      <c r="D160" s="1192"/>
      <c r="E160" s="1192"/>
      <c r="F160" s="1192"/>
      <c r="G160" s="1192"/>
      <c r="H160" s="1192"/>
      <c r="I160" s="1192"/>
      <c r="J160" s="1192"/>
      <c r="K160" s="1192"/>
      <c r="L160" s="1192"/>
      <c r="M160" s="1192"/>
      <c r="N160" s="1192"/>
      <c r="O160" s="1192"/>
      <c r="P160" s="1192"/>
      <c r="Q160" s="1192"/>
      <c r="R160" s="1192"/>
      <c r="S160" s="1192"/>
      <c r="T160" s="1192"/>
      <c r="U160" s="1192"/>
      <c r="V160" s="1192"/>
      <c r="W160" s="1192"/>
      <c r="X160" s="1192"/>
      <c r="Y160" s="1192"/>
      <c r="Z160" s="1192"/>
      <c r="AA160" s="1192"/>
      <c r="AB160" s="1192"/>
      <c r="AC160" s="1192"/>
      <c r="AD160" s="1192"/>
      <c r="AE160" s="405"/>
      <c r="AF160" s="405"/>
      <c r="AG160" s="405"/>
      <c r="AH160" s="405"/>
      <c r="AI160" s="405"/>
      <c r="AJ160" s="405"/>
      <c r="AK160" s="405"/>
      <c r="AL160" s="405"/>
      <c r="AM160" s="465"/>
      <c r="AN160" s="459"/>
      <c r="AO160" s="352" t="s">
        <v>2019</v>
      </c>
      <c r="AP160" s="461">
        <v>2</v>
      </c>
    </row>
    <row r="161" spans="1:73" s="418" customFormat="1" ht="12.75" customHeight="1">
      <c r="A161" s="405"/>
      <c r="B161" s="405"/>
      <c r="C161" s="408" t="s">
        <v>2020</v>
      </c>
      <c r="D161" s="405"/>
      <c r="E161" s="405"/>
      <c r="F161" s="405"/>
      <c r="G161" s="405"/>
      <c r="H161" s="405"/>
      <c r="I161" s="405"/>
      <c r="J161" s="405"/>
      <c r="K161" s="405"/>
      <c r="L161" s="405"/>
      <c r="M161" s="405"/>
      <c r="N161" s="405"/>
      <c r="O161" s="405"/>
      <c r="P161" s="405"/>
      <c r="Q161" s="405"/>
      <c r="R161" s="405"/>
      <c r="S161" s="405"/>
      <c r="T161" s="405"/>
      <c r="U161" s="405"/>
      <c r="V161" s="405"/>
      <c r="W161" s="405"/>
      <c r="X161" s="405"/>
      <c r="Y161" s="405"/>
      <c r="Z161" s="405"/>
      <c r="AA161" s="405"/>
      <c r="AB161" s="405"/>
      <c r="AE161" s="405"/>
      <c r="AF161" s="1884" t="s">
        <v>299</v>
      </c>
      <c r="AG161" s="1884"/>
      <c r="AH161" s="405"/>
      <c r="AI161" s="405"/>
      <c r="AJ161" s="405"/>
      <c r="AK161" s="405"/>
      <c r="AL161" s="405"/>
      <c r="AM161" s="465"/>
      <c r="AN161" s="459"/>
      <c r="AO161" s="352" t="s">
        <v>2018</v>
      </c>
      <c r="AP161" s="461">
        <v>3</v>
      </c>
    </row>
    <row r="162" spans="1:73" s="418" customFormat="1" ht="9" customHeight="1">
      <c r="A162" s="405"/>
      <c r="B162" s="405"/>
      <c r="C162" s="1192"/>
      <c r="D162" s="1192"/>
      <c r="E162" s="1192"/>
      <c r="F162" s="1192"/>
      <c r="G162" s="1192"/>
      <c r="H162" s="1192"/>
      <c r="I162" s="1192"/>
      <c r="J162" s="1192"/>
      <c r="K162" s="1192"/>
      <c r="L162" s="1192"/>
      <c r="M162" s="1192"/>
      <c r="N162" s="1192"/>
      <c r="O162" s="1192"/>
      <c r="P162" s="1192"/>
      <c r="Q162" s="1192"/>
      <c r="R162" s="1192"/>
      <c r="S162" s="1192"/>
      <c r="T162" s="1192"/>
      <c r="U162" s="1192"/>
      <c r="V162" s="1192"/>
      <c r="W162" s="1192"/>
      <c r="X162" s="1192"/>
      <c r="Y162" s="1192"/>
      <c r="Z162" s="1192"/>
      <c r="AA162" s="1192"/>
      <c r="AB162" s="1192"/>
      <c r="AC162" s="1192"/>
      <c r="AD162" s="1192"/>
      <c r="AE162" s="405"/>
      <c r="AF162" s="405"/>
      <c r="AG162" s="405"/>
      <c r="AJ162" s="405"/>
      <c r="AK162" s="405"/>
      <c r="AL162" s="405"/>
      <c r="AM162" s="465"/>
      <c r="AN162" s="459"/>
      <c r="AO162" s="464" t="s">
        <v>2021</v>
      </c>
      <c r="AP162" s="461">
        <v>3</v>
      </c>
    </row>
    <row r="163" spans="1:73" s="418" customFormat="1" ht="12.75" customHeight="1">
      <c r="A163" s="405"/>
      <c r="B163" s="405"/>
      <c r="C163" s="1883" t="s">
        <v>2009</v>
      </c>
      <c r="D163" s="1883"/>
      <c r="E163" s="1883"/>
      <c r="F163" s="1883"/>
      <c r="G163" s="1883"/>
      <c r="H163" s="1883"/>
      <c r="I163" s="1883"/>
      <c r="J163" s="1883"/>
      <c r="K163" s="1883"/>
      <c r="L163" s="1883"/>
      <c r="M163" s="1883"/>
      <c r="N163" s="1883"/>
      <c r="O163" s="1883"/>
      <c r="P163" s="1883"/>
      <c r="Q163" s="1883"/>
      <c r="R163" s="1883"/>
      <c r="S163" s="1883"/>
      <c r="T163" s="1883"/>
      <c r="U163" s="1883"/>
      <c r="V163" s="1883"/>
      <c r="W163" s="1883"/>
      <c r="X163" s="1883"/>
      <c r="Y163" s="1883"/>
      <c r="Z163" s="1883"/>
      <c r="AA163" s="1883"/>
      <c r="AB163" s="1883"/>
      <c r="AC163" s="1883"/>
      <c r="AD163" s="1883"/>
      <c r="AE163" s="405"/>
      <c r="AF163" s="405"/>
      <c r="AG163" s="405"/>
      <c r="AH163" s="405"/>
      <c r="AI163" s="405"/>
      <c r="AJ163" s="405"/>
      <c r="AK163" s="405"/>
      <c r="AL163" s="405"/>
      <c r="AM163" s="465"/>
      <c r="AN163" s="459"/>
      <c r="AO163" s="464"/>
      <c r="AP163" s="461"/>
    </row>
    <row r="164" spans="1:73" s="418" customFormat="1" ht="12.75" customHeight="1">
      <c r="A164" s="405"/>
      <c r="B164" s="405"/>
      <c r="C164" s="408" t="s">
        <v>2013</v>
      </c>
      <c r="D164" s="408"/>
      <c r="E164" s="408"/>
      <c r="F164" s="408"/>
      <c r="G164" s="408"/>
      <c r="H164" s="408"/>
      <c r="I164" s="408"/>
      <c r="J164" s="408"/>
      <c r="K164" s="408"/>
      <c r="L164" s="408"/>
      <c r="M164" s="408"/>
      <c r="N164" s="408"/>
      <c r="O164" s="408"/>
      <c r="P164" s="408"/>
      <c r="Q164" s="408"/>
      <c r="R164" s="408"/>
      <c r="S164" s="408"/>
      <c r="T164" s="408"/>
      <c r="U164" s="408"/>
      <c r="V164" s="408"/>
      <c r="W164" s="408"/>
      <c r="X164" s="408"/>
      <c r="Y164" s="408"/>
      <c r="Z164" s="408"/>
      <c r="AA164" s="408"/>
      <c r="AB164" s="408"/>
      <c r="AC164" s="408"/>
      <c r="AD164" s="408"/>
      <c r="AE164" s="408"/>
      <c r="AF164" s="408"/>
      <c r="AG164" s="408"/>
      <c r="AH164" s="408"/>
      <c r="AI164" s="408"/>
      <c r="AJ164" s="408"/>
      <c r="AK164" s="408"/>
      <c r="AL164" s="405"/>
      <c r="AM164" s="465"/>
      <c r="AN164" s="459"/>
      <c r="AO164" s="466"/>
      <c r="AP164" s="466"/>
    </row>
    <row r="165" spans="1:73" s="418" customFormat="1" ht="12.75" customHeight="1">
      <c r="A165" s="405"/>
      <c r="B165" s="405"/>
      <c r="C165" s="405"/>
      <c r="D165" s="405"/>
      <c r="E165" s="405"/>
      <c r="F165" s="405"/>
      <c r="G165" s="405"/>
      <c r="H165" s="405"/>
      <c r="I165" s="405"/>
      <c r="J165" s="405"/>
      <c r="K165" s="405"/>
      <c r="L165" s="405"/>
      <c r="M165" s="405"/>
      <c r="N165" s="405"/>
      <c r="O165" s="405"/>
      <c r="P165" s="405"/>
      <c r="Q165" s="405"/>
      <c r="R165" s="405"/>
      <c r="S165" s="405"/>
      <c r="T165" s="405"/>
      <c r="U165" s="405"/>
      <c r="V165" s="405"/>
      <c r="W165" s="405"/>
      <c r="X165" s="405"/>
      <c r="Y165" s="405"/>
      <c r="Z165" s="405"/>
      <c r="AA165" s="405"/>
      <c r="AB165" s="405"/>
      <c r="AC165" s="405"/>
      <c r="AD165" s="405"/>
      <c r="AE165" s="405"/>
      <c r="AF165" s="405"/>
      <c r="AG165" s="405"/>
      <c r="AH165" s="405"/>
      <c r="AI165" s="405"/>
      <c r="AJ165" s="405"/>
      <c r="AK165" s="405"/>
      <c r="AL165" s="405"/>
      <c r="AM165" s="465"/>
      <c r="AN165" s="459"/>
    </row>
    <row r="166" spans="1:73" s="418" customFormat="1" ht="12.75" customHeight="1">
      <c r="A166" s="405"/>
      <c r="B166" s="405"/>
      <c r="C166" s="407" t="s">
        <v>2022</v>
      </c>
      <c r="D166" s="1192"/>
      <c r="E166" s="1192"/>
      <c r="F166" s="1192"/>
      <c r="G166" s="1192"/>
      <c r="H166" s="1192"/>
      <c r="I166" s="1192"/>
      <c r="J166" s="1192"/>
      <c r="K166" s="1192"/>
      <c r="L166" s="1192"/>
      <c r="M166" s="1192"/>
      <c r="N166" s="1192"/>
      <c r="O166" s="1192"/>
      <c r="P166" s="1192"/>
      <c r="Q166" s="1192"/>
      <c r="R166" s="1192"/>
      <c r="S166" s="1192"/>
      <c r="T166" s="1192"/>
      <c r="U166" s="1192"/>
      <c r="V166" s="1192"/>
      <c r="W166" s="1192"/>
      <c r="X166" s="1192"/>
      <c r="Y166" s="1192"/>
      <c r="Z166" s="1192"/>
      <c r="AA166" s="1192"/>
      <c r="AB166" s="1192"/>
      <c r="AC166" s="1192"/>
      <c r="AD166" s="1192"/>
      <c r="AE166" s="405"/>
      <c r="AF166" s="405"/>
      <c r="AG166" s="405"/>
      <c r="AH166" s="405"/>
      <c r="AI166" s="405"/>
      <c r="AJ166" s="405"/>
      <c r="AK166" s="405"/>
      <c r="AL166" s="405"/>
      <c r="AM166" s="465"/>
      <c r="AN166" s="459"/>
      <c r="AO166" s="352" t="s">
        <v>2009</v>
      </c>
      <c r="AP166" s="352"/>
    </row>
    <row r="167" spans="1:73" s="418" customFormat="1" ht="12.75" customHeight="1">
      <c r="A167" s="405"/>
      <c r="B167" s="405"/>
      <c r="C167" s="1885" t="str">
        <f>Application!AA335</f>
        <v>Cambridge Real Estate Services, Inc.</v>
      </c>
      <c r="D167" s="1885"/>
      <c r="E167" s="1885"/>
      <c r="F167" s="1885"/>
      <c r="G167" s="1885"/>
      <c r="H167" s="1885"/>
      <c r="I167" s="1885"/>
      <c r="J167" s="1885"/>
      <c r="K167" s="1885"/>
      <c r="L167" s="1885"/>
      <c r="M167" s="1885"/>
      <c r="N167" s="1885"/>
      <c r="O167" s="1885"/>
      <c r="P167" s="1885"/>
      <c r="Q167" s="1885"/>
      <c r="R167" s="1885"/>
      <c r="S167" s="1885"/>
      <c r="T167" s="1885"/>
      <c r="U167" s="1885"/>
      <c r="V167" s="1885"/>
      <c r="W167" s="1885"/>
      <c r="X167" s="1885"/>
      <c r="Y167" s="1885"/>
      <c r="Z167" s="1885"/>
      <c r="AA167" s="1885"/>
      <c r="AB167" s="1885"/>
      <c r="AC167" s="1885"/>
      <c r="AD167" s="1885"/>
      <c r="AE167" s="405"/>
      <c r="AF167" s="405"/>
      <c r="AG167" s="405"/>
      <c r="AH167" s="405"/>
      <c r="AI167" s="405"/>
      <c r="AJ167" s="405"/>
      <c r="AK167" s="405"/>
      <c r="AL167" s="405"/>
      <c r="AM167" s="465"/>
      <c r="AN167" s="459"/>
      <c r="AO167" s="352" t="s">
        <v>2023</v>
      </c>
      <c r="AP167" s="461">
        <v>2</v>
      </c>
    </row>
    <row r="168" spans="1:73" s="418" customFormat="1" ht="12.75" customHeight="1">
      <c r="A168" s="405"/>
      <c r="B168" s="405"/>
      <c r="C168" s="1192"/>
      <c r="D168" s="1192"/>
      <c r="E168" s="1192"/>
      <c r="F168" s="1192"/>
      <c r="G168" s="1192"/>
      <c r="H168" s="1192"/>
      <c r="I168" s="1192"/>
      <c r="J168" s="1192"/>
      <c r="K168" s="1192"/>
      <c r="L168" s="1192"/>
      <c r="M168" s="1192"/>
      <c r="N168" s="1192"/>
      <c r="O168" s="1192"/>
      <c r="P168" s="1192"/>
      <c r="Q168" s="1192"/>
      <c r="R168" s="1192"/>
      <c r="S168" s="1192"/>
      <c r="T168" s="1192"/>
      <c r="U168" s="1192"/>
      <c r="V168" s="1192"/>
      <c r="W168" s="1192"/>
      <c r="X168" s="1192"/>
      <c r="Y168" s="1192"/>
      <c r="Z168" s="1192"/>
      <c r="AA168" s="1192"/>
      <c r="AB168" s="1192"/>
      <c r="AC168" s="1192"/>
      <c r="AD168" s="1192"/>
      <c r="AE168" s="405"/>
      <c r="AF168" s="405"/>
      <c r="AG168" s="405"/>
      <c r="AH168" s="405"/>
      <c r="AI168" s="405"/>
      <c r="AJ168" s="405"/>
      <c r="AK168" s="405"/>
      <c r="AL168" s="405"/>
      <c r="AM168" s="465"/>
      <c r="AN168" s="459"/>
      <c r="AO168" s="352" t="s">
        <v>2024</v>
      </c>
      <c r="AP168" s="461">
        <v>3</v>
      </c>
    </row>
    <row r="169" spans="1:73" s="418" customFormat="1" ht="12.75" customHeight="1">
      <c r="A169" s="467"/>
      <c r="B169" s="430"/>
      <c r="C169" s="430"/>
      <c r="D169" s="429"/>
      <c r="E169" s="430"/>
      <c r="F169" s="430"/>
      <c r="G169" s="430"/>
      <c r="H169" s="430"/>
      <c r="I169" s="430"/>
      <c r="J169" s="430"/>
      <c r="K169" s="430"/>
      <c r="L169" s="430"/>
      <c r="M169" s="430"/>
      <c r="N169" s="430"/>
      <c r="O169" s="430"/>
      <c r="P169" s="430"/>
      <c r="Q169" s="463"/>
      <c r="R169" s="468"/>
      <c r="S169" s="430"/>
      <c r="T169" s="430"/>
      <c r="U169" s="430"/>
      <c r="V169" s="430"/>
      <c r="W169" s="430"/>
      <c r="X169" s="430"/>
      <c r="Y169" s="430"/>
      <c r="Z169" s="430"/>
      <c r="AA169" s="430"/>
      <c r="AB169" s="430"/>
      <c r="AC169" s="430"/>
      <c r="AD169" s="430"/>
      <c r="AE169" s="430"/>
      <c r="AF169" s="430"/>
      <c r="AG169" s="430"/>
      <c r="AH169" s="430"/>
      <c r="AI169" s="431" t="s">
        <v>2025</v>
      </c>
      <c r="AJ169" s="1886">
        <f>IF($AF$161="N/A",VLOOKUP($C$159,$AO$159:$AP$162,2,FALSE),VLOOKUP($C$163,$AO$166:$AP$168,2,FALSE))</f>
        <v>3</v>
      </c>
      <c r="AK169" s="1886"/>
      <c r="AL169" s="469"/>
      <c r="AM169" s="470"/>
      <c r="AN169" s="459"/>
      <c r="AO169" s="464"/>
      <c r="AP169" s="461"/>
    </row>
    <row r="170" spans="1:73" s="418" customFormat="1" ht="12.75" customHeight="1">
      <c r="A170" s="405"/>
      <c r="B170" s="471"/>
      <c r="R170" s="405"/>
      <c r="S170" s="471"/>
      <c r="AN170" s="459"/>
    </row>
    <row r="171" spans="1:73" s="418" customFormat="1" ht="12.75" customHeight="1">
      <c r="A171" s="472"/>
      <c r="B171" s="465"/>
      <c r="C171" s="465"/>
      <c r="D171" s="465"/>
      <c r="E171" s="465"/>
      <c r="F171" s="465"/>
      <c r="G171" s="465"/>
      <c r="H171" s="465"/>
      <c r="I171" s="465"/>
      <c r="J171" s="465"/>
      <c r="K171" s="465"/>
      <c r="L171" s="465"/>
      <c r="M171" s="465"/>
      <c r="N171" s="465"/>
      <c r="O171" s="465"/>
      <c r="P171" s="465"/>
      <c r="Q171" s="465"/>
      <c r="R171" s="465"/>
      <c r="S171" s="465"/>
      <c r="T171" s="465"/>
      <c r="U171" s="465"/>
      <c r="V171" s="465"/>
      <c r="W171" s="465"/>
      <c r="X171" s="465"/>
      <c r="Y171" s="465"/>
      <c r="Z171" s="465"/>
      <c r="AA171" s="465"/>
      <c r="AB171" s="465"/>
      <c r="AC171" s="465"/>
      <c r="AD171" s="465"/>
      <c r="AE171" s="465"/>
      <c r="AF171" s="465"/>
      <c r="AG171" s="465"/>
      <c r="AH171" s="465"/>
      <c r="AI171" s="465"/>
      <c r="AJ171" s="465"/>
      <c r="AK171" s="465"/>
      <c r="AL171" s="465"/>
      <c r="AM171" s="465"/>
      <c r="AN171" s="459"/>
    </row>
    <row r="172" spans="1:73" s="418" customFormat="1" ht="12.75" customHeight="1">
      <c r="A172" s="427"/>
      <c r="B172" s="428"/>
      <c r="C172" s="428"/>
      <c r="D172" s="428"/>
      <c r="E172" s="428"/>
      <c r="F172" s="428"/>
      <c r="G172" s="429"/>
      <c r="H172" s="430"/>
      <c r="I172" s="430"/>
      <c r="J172" s="430"/>
      <c r="K172" s="430"/>
      <c r="L172" s="430"/>
      <c r="M172" s="430"/>
      <c r="N172" s="430"/>
      <c r="O172" s="430"/>
      <c r="P172" s="430"/>
      <c r="Q172" s="430"/>
      <c r="R172" s="430"/>
      <c r="S172" s="430"/>
      <c r="T172" s="430"/>
      <c r="U172" s="430"/>
      <c r="V172" s="430"/>
      <c r="W172" s="430"/>
      <c r="X172" s="430"/>
      <c r="Y172" s="430"/>
      <c r="Z172" s="430"/>
      <c r="AA172" s="430"/>
      <c r="AB172" s="430"/>
      <c r="AC172" s="430"/>
      <c r="AD172" s="430"/>
      <c r="AE172" s="430"/>
      <c r="AF172" s="430"/>
      <c r="AG172" s="430"/>
      <c r="AH172" s="430"/>
      <c r="AI172" s="431"/>
      <c r="AJ172" s="431" t="s">
        <v>2026</v>
      </c>
      <c r="AK172" s="1845">
        <f>$AJ$155+$AJ$169</f>
        <v>10</v>
      </c>
      <c r="AL172" s="1846"/>
      <c r="AM172" s="1847"/>
      <c r="AN172" s="459"/>
    </row>
    <row r="173" spans="1:73" s="418" customFormat="1" ht="12.75" customHeight="1" thickBot="1">
      <c r="A173" s="432"/>
      <c r="B173" s="433"/>
      <c r="C173" s="434"/>
      <c r="D173" s="434"/>
      <c r="E173" s="434"/>
      <c r="F173" s="434"/>
      <c r="G173" s="434"/>
      <c r="H173" s="434"/>
      <c r="I173" s="434"/>
      <c r="J173" s="434"/>
      <c r="K173" s="434"/>
      <c r="L173" s="434"/>
      <c r="M173" s="434"/>
      <c r="N173" s="434"/>
      <c r="O173" s="434"/>
      <c r="P173" s="434"/>
      <c r="Q173" s="434"/>
      <c r="R173" s="434"/>
      <c r="S173" s="434"/>
      <c r="T173" s="434"/>
      <c r="U173" s="434"/>
      <c r="V173" s="434"/>
      <c r="W173" s="434"/>
      <c r="X173" s="434"/>
      <c r="Y173" s="434"/>
      <c r="Z173" s="434"/>
      <c r="AA173" s="434"/>
      <c r="AB173" s="434"/>
      <c r="AC173" s="434"/>
      <c r="AD173" s="434"/>
      <c r="AE173" s="434"/>
      <c r="AF173" s="434"/>
      <c r="AG173" s="434"/>
      <c r="AH173" s="434"/>
      <c r="AI173" s="434"/>
      <c r="AJ173" s="434"/>
      <c r="AK173" s="434"/>
      <c r="AL173" s="434"/>
      <c r="AM173" s="435"/>
      <c r="AN173" s="459"/>
      <c r="AO173" s="434"/>
      <c r="AR173" s="434"/>
      <c r="AS173" s="434"/>
      <c r="AT173" s="434"/>
      <c r="AU173" s="434"/>
      <c r="AV173" s="434"/>
      <c r="AW173" s="434"/>
      <c r="AX173" s="434"/>
      <c r="AY173" s="434"/>
      <c r="AZ173" s="434"/>
      <c r="BA173" s="434"/>
      <c r="BB173" s="434"/>
      <c r="BC173" s="434"/>
      <c r="BD173" s="434"/>
      <c r="BE173" s="434"/>
      <c r="BF173" s="434"/>
      <c r="BG173" s="434"/>
      <c r="BH173" s="434"/>
      <c r="BI173" s="434"/>
      <c r="BJ173" s="434"/>
      <c r="BK173" s="434"/>
      <c r="BL173" s="434"/>
      <c r="BM173" s="434"/>
      <c r="BN173" s="434"/>
      <c r="BO173" s="434"/>
      <c r="BP173" s="434"/>
      <c r="BQ173" s="434"/>
      <c r="BR173" s="434"/>
      <c r="BS173" s="434"/>
      <c r="BT173" s="434"/>
      <c r="BU173" s="434"/>
    </row>
    <row r="174" spans="1:73" s="418" customFormat="1" ht="12.75" customHeight="1" thickTop="1">
      <c r="A174" s="436"/>
      <c r="B174" s="437"/>
      <c r="C174" s="438"/>
      <c r="D174" s="438"/>
      <c r="E174" s="438"/>
      <c r="F174" s="438"/>
      <c r="G174" s="438"/>
      <c r="H174" s="438"/>
      <c r="I174" s="1203"/>
      <c r="J174" s="1203"/>
      <c r="K174" s="1203"/>
      <c r="L174" s="1203"/>
      <c r="M174" s="1203"/>
      <c r="N174" s="1203"/>
      <c r="O174" s="1203"/>
      <c r="P174" s="1203"/>
      <c r="Q174" s="1203"/>
      <c r="R174" s="436"/>
      <c r="S174" s="408"/>
      <c r="T174" s="408"/>
      <c r="U174" s="408"/>
      <c r="V174" s="408"/>
      <c r="W174" s="408"/>
      <c r="X174" s="408"/>
      <c r="Y174" s="408"/>
      <c r="Z174" s="408"/>
      <c r="AA174" s="408"/>
      <c r="AB174" s="408"/>
      <c r="AC174" s="408"/>
      <c r="AD174" s="408"/>
      <c r="AE174" s="408"/>
      <c r="AF174" s="436"/>
      <c r="AG174" s="408"/>
      <c r="AH174" s="408"/>
      <c r="AI174" s="408"/>
      <c r="AJ174" s="408"/>
      <c r="AN174" s="459"/>
      <c r="AP174" s="473" t="s">
        <v>2027</v>
      </c>
      <c r="AQ174" s="473">
        <v>0</v>
      </c>
    </row>
    <row r="175" spans="1:73" s="418" customFormat="1" ht="12.75" customHeight="1">
      <c r="A175" s="407" t="s">
        <v>2028</v>
      </c>
      <c r="B175" s="407" t="s">
        <v>2029</v>
      </c>
      <c r="C175" s="474"/>
      <c r="D175" s="475"/>
      <c r="E175" s="475"/>
      <c r="F175" s="475"/>
      <c r="G175" s="475"/>
      <c r="H175" s="475"/>
      <c r="I175" s="475"/>
      <c r="J175" s="475"/>
      <c r="K175" s="405"/>
      <c r="L175" s="405"/>
      <c r="M175" s="405"/>
      <c r="N175" s="405"/>
      <c r="O175" s="405"/>
      <c r="P175" s="405"/>
      <c r="Q175" s="405"/>
      <c r="R175" s="405"/>
      <c r="S175" s="405"/>
      <c r="T175" s="405"/>
      <c r="U175" s="405"/>
      <c r="V175" s="405"/>
      <c r="W175" s="405"/>
      <c r="X175" s="405"/>
      <c r="Y175" s="1209"/>
      <c r="Z175" s="1209"/>
      <c r="AA175" s="1209"/>
      <c r="AB175" s="1209"/>
      <c r="AC175" s="405"/>
      <c r="AD175" s="405"/>
      <c r="AE175" s="1825" t="s">
        <v>1958</v>
      </c>
      <c r="AF175" s="1825"/>
      <c r="AG175" s="1825"/>
      <c r="AH175" s="1825"/>
      <c r="AI175" s="1825"/>
      <c r="AJ175" s="1825"/>
      <c r="AK175" s="1825"/>
      <c r="AL175" s="1200"/>
      <c r="AN175" s="459"/>
      <c r="AP175" s="418" t="s">
        <v>990</v>
      </c>
      <c r="AQ175" s="418">
        <v>10</v>
      </c>
    </row>
    <row r="176" spans="1:73" s="418" customFormat="1" ht="12.75" customHeight="1">
      <c r="A176" s="407"/>
      <c r="B176" s="476"/>
      <c r="C176" s="477"/>
      <c r="D176" s="475"/>
      <c r="E176" s="475"/>
      <c r="F176" s="475"/>
      <c r="G176" s="475"/>
      <c r="H176" s="405"/>
      <c r="I176" s="405"/>
      <c r="J176" s="405"/>
      <c r="K176" s="405"/>
      <c r="L176" s="405"/>
      <c r="M176" s="405"/>
      <c r="N176" s="405"/>
      <c r="O176" s="405"/>
      <c r="P176" s="405"/>
      <c r="Q176" s="405"/>
      <c r="R176" s="1209"/>
      <c r="S176" s="1209"/>
      <c r="T176" s="1209"/>
      <c r="U176" s="1209"/>
      <c r="V176" s="1209"/>
      <c r="W176" s="1209"/>
      <c r="X176" s="1209"/>
      <c r="Y176" s="1209"/>
      <c r="Z176" s="1209"/>
      <c r="AA176" s="1209"/>
      <c r="AB176" s="1209"/>
      <c r="AC176" s="1200"/>
      <c r="AD176" s="1200"/>
      <c r="AE176" s="405"/>
      <c r="AF176" s="405"/>
      <c r="AG176" s="405"/>
      <c r="AH176" s="405"/>
      <c r="AI176" s="405"/>
      <c r="AJ176" s="405"/>
      <c r="AK176" s="405"/>
      <c r="AL176" s="405"/>
      <c r="AN176" s="459"/>
      <c r="AP176" s="418" t="s">
        <v>2030</v>
      </c>
      <c r="AQ176" s="418">
        <v>10</v>
      </c>
    </row>
    <row r="177" spans="1:45" s="418" customFormat="1" ht="12.75" customHeight="1">
      <c r="A177" s="405"/>
      <c r="B177" s="1881" t="s">
        <v>990</v>
      </c>
      <c r="C177" s="1881"/>
      <c r="D177" s="1881"/>
      <c r="E177" s="1881"/>
      <c r="F177" s="1881"/>
      <c r="G177" s="1881"/>
      <c r="H177" s="1881"/>
      <c r="I177" s="1881"/>
      <c r="J177" s="1881"/>
      <c r="K177" s="1881"/>
      <c r="L177" s="1881"/>
      <c r="M177" s="1881"/>
      <c r="N177" s="1881"/>
      <c r="O177" s="1881"/>
      <c r="P177" s="1881"/>
      <c r="Q177" s="1881"/>
      <c r="R177" s="1881"/>
      <c r="S177" s="1881"/>
      <c r="T177" s="1881"/>
      <c r="U177" s="1881"/>
      <c r="V177" s="1881"/>
      <c r="W177" s="1881"/>
      <c r="X177" s="1881"/>
      <c r="Y177" s="1881"/>
      <c r="Z177" s="1881"/>
      <c r="AA177" s="1881"/>
      <c r="AB177" s="1881"/>
      <c r="AC177" s="1881"/>
      <c r="AD177" s="405"/>
      <c r="AE177" s="405"/>
      <c r="AF177" s="1857" t="s">
        <v>2031</v>
      </c>
      <c r="AG177" s="1857"/>
      <c r="AH177" s="1857"/>
      <c r="AI177" s="1857"/>
      <c r="AJ177" s="1857"/>
      <c r="AK177" s="1857"/>
      <c r="AL177" s="1857"/>
      <c r="AN177" s="459"/>
      <c r="AP177" s="418" t="s">
        <v>997</v>
      </c>
      <c r="AQ177" s="418">
        <v>10</v>
      </c>
    </row>
    <row r="178" spans="1:45" s="418" customFormat="1" ht="12.75" customHeight="1">
      <c r="A178" s="405"/>
      <c r="B178" s="1882" t="s">
        <v>2032</v>
      </c>
      <c r="C178" s="1882"/>
      <c r="D178" s="1882"/>
      <c r="E178" s="1882"/>
      <c r="F178" s="1882"/>
      <c r="G178" s="1882"/>
      <c r="H178" s="1882"/>
      <c r="I178" s="1882"/>
      <c r="J178" s="1882"/>
      <c r="K178" s="1882"/>
      <c r="L178" s="1882"/>
      <c r="M178" s="1882"/>
      <c r="N178" s="1882"/>
      <c r="O178" s="1882"/>
      <c r="P178" s="1882"/>
      <c r="Q178" s="1882"/>
      <c r="R178" s="1882"/>
      <c r="S178" s="1882"/>
      <c r="T178" s="1858" t="s">
        <v>299</v>
      </c>
      <c r="U178" s="1858"/>
      <c r="V178" s="1858"/>
      <c r="W178" s="1858"/>
      <c r="X178" s="1858"/>
      <c r="Y178" s="1858"/>
      <c r="Z178" s="1858"/>
      <c r="AA178" s="1858"/>
      <c r="AB178" s="1858"/>
      <c r="AC178" s="1858"/>
      <c r="AD178" s="405"/>
      <c r="AE178" s="405"/>
      <c r="AF178" s="405"/>
      <c r="AG178" s="405"/>
      <c r="AH178" s="405"/>
      <c r="AI178" s="405"/>
      <c r="AJ178" s="1183"/>
      <c r="AK178" s="457"/>
      <c r="AL178" s="457"/>
      <c r="AM178" s="457"/>
      <c r="AN178" s="459"/>
      <c r="AP178" s="418" t="s">
        <v>998</v>
      </c>
      <c r="AQ178" s="418">
        <v>10</v>
      </c>
      <c r="AS178" s="418" t="s">
        <v>299</v>
      </c>
    </row>
    <row r="179" spans="1:45" s="418" customFormat="1" ht="12.75" customHeight="1">
      <c r="A179" s="405"/>
      <c r="B179" s="1192"/>
      <c r="C179" s="1192"/>
      <c r="D179" s="1192"/>
      <c r="E179" s="1192"/>
      <c r="F179" s="1192"/>
      <c r="G179" s="1192"/>
      <c r="H179" s="1192"/>
      <c r="I179" s="1192"/>
      <c r="J179" s="1192"/>
      <c r="K179" s="1192"/>
      <c r="L179" s="1192"/>
      <c r="M179" s="1192"/>
      <c r="N179" s="1192"/>
      <c r="O179" s="1192"/>
      <c r="P179" s="1192"/>
      <c r="Q179" s="1192"/>
      <c r="R179" s="1192"/>
      <c r="S179" s="1192"/>
      <c r="T179" s="1192"/>
      <c r="U179" s="1192"/>
      <c r="V179" s="1192"/>
      <c r="W179" s="1192"/>
      <c r="X179" s="1192"/>
      <c r="Y179" s="1192"/>
      <c r="Z179" s="1192"/>
      <c r="AA179" s="1192"/>
      <c r="AB179" s="1192"/>
      <c r="AC179" s="1192"/>
      <c r="AD179" s="1192"/>
      <c r="AE179" s="405"/>
      <c r="AF179" s="405"/>
      <c r="AG179" s="405"/>
      <c r="AH179" s="405"/>
      <c r="AI179" s="405"/>
      <c r="AJ179" s="1183"/>
      <c r="AK179" s="457"/>
      <c r="AL179" s="457"/>
      <c r="AM179" s="478"/>
      <c r="AP179" s="418" t="s">
        <v>2033</v>
      </c>
      <c r="AQ179" s="418">
        <v>10</v>
      </c>
      <c r="AS179" s="418" t="s">
        <v>2034</v>
      </c>
    </row>
    <row r="180" spans="1:45" s="418" customFormat="1" ht="12.75" customHeight="1">
      <c r="A180" s="467"/>
      <c r="B180" s="430"/>
      <c r="C180" s="430"/>
      <c r="D180" s="430"/>
      <c r="E180" s="430"/>
      <c r="F180" s="430"/>
      <c r="G180" s="430"/>
      <c r="H180" s="430"/>
      <c r="I180" s="430"/>
      <c r="J180" s="430"/>
      <c r="K180" s="430"/>
      <c r="L180" s="430"/>
      <c r="M180" s="430"/>
      <c r="N180" s="430"/>
      <c r="O180" s="430"/>
      <c r="P180" s="430"/>
      <c r="Q180" s="430"/>
      <c r="R180" s="430"/>
      <c r="S180" s="430"/>
      <c r="T180" s="430"/>
      <c r="U180" s="430"/>
      <c r="V180" s="430"/>
      <c r="W180" s="430"/>
      <c r="X180" s="430"/>
      <c r="Y180" s="430"/>
      <c r="Z180" s="430"/>
      <c r="AA180" s="430"/>
      <c r="AB180" s="430"/>
      <c r="AC180" s="430"/>
      <c r="AD180" s="430"/>
      <c r="AE180" s="430"/>
      <c r="AF180" s="430"/>
      <c r="AG180" s="430"/>
      <c r="AH180" s="430"/>
      <c r="AI180" s="431"/>
      <c r="AJ180" s="431" t="s">
        <v>2035</v>
      </c>
      <c r="AK180" s="1891">
        <f>IF(AK78&gt;0,VLOOKUP($B$177,AP174:AQ180,2,FALSE),0)</f>
        <v>10</v>
      </c>
      <c r="AL180" s="1892"/>
      <c r="AM180" s="1893"/>
      <c r="AN180" s="404"/>
      <c r="AP180" s="418" t="s">
        <v>2036</v>
      </c>
      <c r="AQ180" s="418">
        <v>10</v>
      </c>
      <c r="AS180" s="418" t="s">
        <v>2037</v>
      </c>
    </row>
    <row r="181" spans="1:45" s="418" customFormat="1" ht="12.75" customHeight="1" thickBot="1">
      <c r="A181" s="479"/>
      <c r="B181" s="479"/>
      <c r="C181" s="480"/>
      <c r="D181" s="481"/>
      <c r="E181" s="481"/>
      <c r="F181" s="481"/>
      <c r="G181" s="481"/>
      <c r="H181" s="481"/>
      <c r="I181" s="481"/>
      <c r="J181" s="481"/>
      <c r="K181" s="481"/>
      <c r="L181" s="481"/>
      <c r="M181" s="481"/>
      <c r="N181" s="481"/>
      <c r="O181" s="481"/>
      <c r="P181" s="481"/>
      <c r="Q181" s="481"/>
      <c r="R181" s="481"/>
      <c r="S181" s="481"/>
      <c r="T181" s="481"/>
      <c r="U181" s="481"/>
      <c r="V181" s="481"/>
      <c r="W181" s="481"/>
      <c r="X181" s="481"/>
      <c r="Y181" s="481"/>
      <c r="Z181" s="481"/>
      <c r="AA181" s="481"/>
      <c r="AB181" s="481"/>
      <c r="AC181" s="481"/>
      <c r="AD181" s="481"/>
      <c r="AE181" s="481"/>
      <c r="AF181" s="481"/>
      <c r="AG181" s="481"/>
      <c r="AH181" s="481"/>
      <c r="AI181" s="481"/>
      <c r="AJ181" s="481"/>
      <c r="AK181" s="481"/>
      <c r="AL181" s="481"/>
      <c r="AM181" s="481"/>
      <c r="AN181" s="459"/>
    </row>
    <row r="182" spans="1:45" s="418" customFormat="1" ht="12.75" customHeight="1" thickTop="1">
      <c r="A182" s="436"/>
      <c r="B182" s="437"/>
      <c r="C182" s="438"/>
      <c r="D182" s="438"/>
      <c r="E182" s="438"/>
      <c r="F182" s="438"/>
      <c r="G182" s="438"/>
      <c r="H182" s="438"/>
      <c r="I182" s="1203"/>
      <c r="J182" s="1203"/>
      <c r="K182" s="1203"/>
      <c r="L182" s="1203"/>
      <c r="M182" s="1203"/>
      <c r="N182" s="1203"/>
      <c r="O182" s="1203"/>
      <c r="P182" s="1203"/>
      <c r="Q182" s="1203"/>
      <c r="R182" s="436"/>
      <c r="S182" s="408"/>
      <c r="T182" s="408"/>
      <c r="U182" s="408"/>
      <c r="V182" s="408"/>
      <c r="W182" s="408"/>
      <c r="X182" s="408"/>
      <c r="Y182" s="408"/>
      <c r="Z182" s="408"/>
      <c r="AA182" s="408"/>
      <c r="AB182" s="408"/>
      <c r="AC182" s="408"/>
      <c r="AD182" s="408"/>
      <c r="AE182" s="408"/>
      <c r="AF182" s="436"/>
      <c r="AG182" s="408"/>
      <c r="AH182" s="408"/>
      <c r="AI182" s="408"/>
      <c r="AJ182" s="408"/>
      <c r="AN182" s="459"/>
    </row>
    <row r="183" spans="1:45" ht="13">
      <c r="A183" s="407" t="s">
        <v>2038</v>
      </c>
      <c r="B183" s="407" t="s">
        <v>2039</v>
      </c>
      <c r="C183" s="474"/>
      <c r="D183" s="475"/>
      <c r="E183" s="475"/>
      <c r="F183" s="475"/>
      <c r="G183" s="475"/>
      <c r="H183" s="475"/>
      <c r="I183" s="475"/>
      <c r="J183" s="475"/>
      <c r="K183" s="418"/>
      <c r="L183" s="418"/>
      <c r="M183" s="418"/>
      <c r="N183" s="418"/>
      <c r="O183" s="418"/>
      <c r="P183" s="418"/>
      <c r="Q183" s="418"/>
      <c r="R183" s="418"/>
      <c r="S183" s="418"/>
      <c r="T183" s="418"/>
      <c r="U183" s="418"/>
      <c r="V183" s="418"/>
      <c r="W183" s="418"/>
      <c r="X183" s="418"/>
      <c r="Y183" s="1209"/>
      <c r="Z183" s="1209"/>
      <c r="AA183" s="1209"/>
      <c r="AB183" s="1209"/>
      <c r="AC183" s="418"/>
      <c r="AD183" s="418"/>
      <c r="AE183" s="1825" t="s">
        <v>2040</v>
      </c>
      <c r="AF183" s="1825"/>
      <c r="AG183" s="1825"/>
      <c r="AH183" s="1825"/>
      <c r="AI183" s="1825"/>
      <c r="AJ183" s="1825"/>
      <c r="AK183" s="1825"/>
    </row>
    <row r="184" spans="1:45" ht="13">
      <c r="A184" s="407"/>
      <c r="B184" s="407"/>
      <c r="C184" s="474"/>
      <c r="D184" s="475"/>
      <c r="E184" s="475"/>
      <c r="F184" s="475"/>
      <c r="G184" s="475"/>
      <c r="H184" s="475"/>
      <c r="I184" s="475"/>
      <c r="J184" s="475"/>
      <c r="K184" s="405"/>
      <c r="L184" s="405"/>
      <c r="M184" s="405"/>
      <c r="N184" s="405"/>
      <c r="O184" s="405"/>
      <c r="P184" s="405"/>
      <c r="Q184" s="405"/>
      <c r="R184" s="405"/>
      <c r="S184" s="405"/>
      <c r="T184" s="405"/>
      <c r="U184" s="405"/>
      <c r="V184" s="405"/>
      <c r="W184" s="405"/>
      <c r="X184" s="405"/>
      <c r="Y184" s="1209"/>
      <c r="Z184" s="1209"/>
      <c r="AA184" s="1209"/>
      <c r="AB184" s="1209"/>
      <c r="AC184" s="405"/>
      <c r="AD184" s="405"/>
      <c r="AE184" s="1183"/>
      <c r="AF184" s="1183"/>
      <c r="AG184" s="1183"/>
      <c r="AH184" s="1183"/>
      <c r="AI184" s="1183"/>
      <c r="AJ184" s="1183"/>
      <c r="AK184" s="1183"/>
    </row>
    <row r="185" spans="1:45" ht="13">
      <c r="A185" s="407"/>
      <c r="B185" s="688" t="s">
        <v>2041</v>
      </c>
      <c r="C185" s="474"/>
      <c r="D185" s="475"/>
      <c r="E185" s="475"/>
      <c r="F185" s="475"/>
      <c r="G185" s="475"/>
      <c r="H185" s="475"/>
      <c r="I185" s="475"/>
      <c r="J185" s="475"/>
      <c r="K185" s="405"/>
      <c r="L185" s="405"/>
      <c r="M185" s="405"/>
      <c r="N185" s="405"/>
      <c r="O185" s="405"/>
      <c r="P185" s="405"/>
      <c r="Q185" s="405"/>
      <c r="R185" s="405"/>
      <c r="S185" s="405"/>
      <c r="T185" s="405"/>
      <c r="U185" s="405"/>
      <c r="V185" s="405"/>
      <c r="W185" s="405"/>
      <c r="X185" s="405"/>
      <c r="Y185" s="1209"/>
      <c r="Z185" s="1209"/>
      <c r="AA185" s="1209"/>
      <c r="AB185" s="1209"/>
      <c r="AC185" s="405"/>
      <c r="AD185" s="405"/>
      <c r="AE185" s="1183"/>
      <c r="AF185" s="1183"/>
      <c r="AG185" s="1183"/>
      <c r="AH185" s="1183"/>
      <c r="AI185" s="1183"/>
      <c r="AJ185" s="1183"/>
      <c r="AK185" s="1183"/>
    </row>
    <row r="186" spans="1:45">
      <c r="A186" s="1192"/>
      <c r="C186" s="520"/>
      <c r="D186" s="674"/>
      <c r="E186" s="674"/>
      <c r="F186" s="674"/>
      <c r="G186" s="674"/>
      <c r="H186" s="674"/>
      <c r="I186" s="674"/>
      <c r="J186" s="674"/>
      <c r="K186" s="405"/>
      <c r="L186" s="405"/>
      <c r="M186" s="405"/>
      <c r="N186" s="405"/>
      <c r="O186" s="405"/>
      <c r="P186" s="405"/>
      <c r="Q186" s="405"/>
      <c r="R186" s="405"/>
      <c r="S186" s="405"/>
      <c r="T186" s="405"/>
      <c r="U186" s="405"/>
      <c r="V186" s="405"/>
      <c r="W186" s="405"/>
      <c r="X186" s="405"/>
      <c r="Y186" s="1196"/>
      <c r="Z186" s="1196"/>
      <c r="AA186" s="1196"/>
      <c r="AB186" s="1196"/>
      <c r="AC186" s="405"/>
      <c r="AD186" s="405"/>
      <c r="AE186" s="471"/>
      <c r="AF186" s="471"/>
      <c r="AG186" s="471"/>
      <c r="AH186" s="471"/>
      <c r="AI186" s="471"/>
      <c r="AJ186" s="471"/>
      <c r="AK186" s="471"/>
    </row>
    <row r="187" spans="1:45">
      <c r="A187" s="1192"/>
      <c r="B187" s="689" t="s">
        <v>2042</v>
      </c>
      <c r="C187" s="520"/>
      <c r="D187" s="674"/>
      <c r="E187" s="674"/>
      <c r="F187" s="674"/>
      <c r="G187" s="674"/>
      <c r="H187" s="674"/>
      <c r="I187" s="674"/>
      <c r="J187" s="674"/>
      <c r="K187" s="405"/>
      <c r="L187" s="405"/>
      <c r="M187" s="405"/>
      <c r="N187" s="405"/>
      <c r="O187" s="405"/>
      <c r="P187" s="405"/>
      <c r="Q187" s="405"/>
      <c r="R187" s="405"/>
      <c r="S187" s="405"/>
      <c r="T187" s="405"/>
      <c r="U187" s="405"/>
      <c r="V187" s="405"/>
      <c r="W187" s="405"/>
      <c r="X187" s="405"/>
      <c r="Y187" s="1196"/>
      <c r="Z187" s="1196"/>
      <c r="AA187" s="1196"/>
      <c r="AB187" s="1196"/>
      <c r="AC187" s="405"/>
      <c r="AD187" s="405"/>
      <c r="AE187" s="471"/>
      <c r="AF187" s="471"/>
      <c r="AG187" s="471"/>
      <c r="AH187" s="471"/>
      <c r="AI187" s="471"/>
      <c r="AJ187" s="471"/>
      <c r="AK187" s="471"/>
    </row>
    <row r="188" spans="1:45">
      <c r="A188" s="1192"/>
      <c r="B188" s="1869"/>
      <c r="C188" s="1869"/>
      <c r="D188" s="1869"/>
      <c r="E188" s="1869"/>
      <c r="F188" s="1869"/>
      <c r="G188" s="1869"/>
      <c r="H188" s="1869"/>
      <c r="I188" s="1869"/>
      <c r="J188" s="1869"/>
      <c r="K188" s="1869"/>
      <c r="L188" s="1869"/>
      <c r="M188" s="1869"/>
      <c r="N188" s="1869"/>
      <c r="O188" s="1869"/>
      <c r="P188" s="1869"/>
      <c r="Q188" s="1869"/>
      <c r="R188" s="1869"/>
      <c r="S188" s="1869"/>
      <c r="T188" s="1869"/>
      <c r="U188" s="1869"/>
      <c r="V188" s="1869"/>
      <c r="W188" s="1869"/>
      <c r="X188" s="1869"/>
      <c r="Y188" s="1869"/>
      <c r="Z188" s="1869"/>
      <c r="AA188" s="1869"/>
      <c r="AB188" s="1869"/>
      <c r="AC188" s="690"/>
      <c r="AD188" s="1870"/>
      <c r="AE188" s="1870"/>
      <c r="AF188" s="1870"/>
      <c r="AG188" s="1870"/>
      <c r="AH188" s="1870"/>
      <c r="AI188" s="1870"/>
      <c r="AJ188" s="1870"/>
      <c r="AK188" s="471"/>
    </row>
    <row r="189" spans="1:45">
      <c r="A189" s="1192"/>
      <c r="B189" s="1869"/>
      <c r="C189" s="1869"/>
      <c r="D189" s="1869"/>
      <c r="E189" s="1869"/>
      <c r="F189" s="1869"/>
      <c r="G189" s="1869"/>
      <c r="H189" s="1869"/>
      <c r="I189" s="1869"/>
      <c r="J189" s="1869"/>
      <c r="K189" s="1869"/>
      <c r="L189" s="1869"/>
      <c r="M189" s="1869"/>
      <c r="N189" s="1869"/>
      <c r="O189" s="1869"/>
      <c r="P189" s="1869"/>
      <c r="Q189" s="1869"/>
      <c r="R189" s="1869"/>
      <c r="S189" s="1869"/>
      <c r="T189" s="1869"/>
      <c r="U189" s="1869"/>
      <c r="V189" s="1869"/>
      <c r="W189" s="1869"/>
      <c r="X189" s="1869"/>
      <c r="Y189" s="1869"/>
      <c r="Z189" s="1869"/>
      <c r="AA189" s="1869"/>
      <c r="AB189" s="1869"/>
      <c r="AC189" s="690"/>
      <c r="AD189" s="1870"/>
      <c r="AE189" s="1870"/>
      <c r="AF189" s="1870"/>
      <c r="AG189" s="1870"/>
      <c r="AH189" s="1870"/>
      <c r="AI189" s="1870"/>
      <c r="AJ189" s="1870"/>
      <c r="AK189" s="471"/>
    </row>
    <row r="190" spans="1:45">
      <c r="A190" s="1192"/>
      <c r="B190" s="1869"/>
      <c r="C190" s="1869"/>
      <c r="D190" s="1869"/>
      <c r="E190" s="1869"/>
      <c r="F190" s="1869"/>
      <c r="G190" s="1869"/>
      <c r="H190" s="1869"/>
      <c r="I190" s="1869"/>
      <c r="J190" s="1869"/>
      <c r="K190" s="1869"/>
      <c r="L190" s="1869"/>
      <c r="M190" s="1869"/>
      <c r="N190" s="1869"/>
      <c r="O190" s="1869"/>
      <c r="P190" s="1869"/>
      <c r="Q190" s="1869"/>
      <c r="R190" s="1869"/>
      <c r="S190" s="1869"/>
      <c r="T190" s="1869"/>
      <c r="U190" s="1869"/>
      <c r="V190" s="1869"/>
      <c r="W190" s="1869"/>
      <c r="X190" s="1869"/>
      <c r="Y190" s="1869"/>
      <c r="Z190" s="1869"/>
      <c r="AA190" s="1869"/>
      <c r="AB190" s="1869"/>
      <c r="AC190" s="690"/>
      <c r="AD190" s="1870"/>
      <c r="AE190" s="1870"/>
      <c r="AF190" s="1870"/>
      <c r="AG190" s="1870"/>
      <c r="AH190" s="1870"/>
      <c r="AI190" s="1870"/>
      <c r="AJ190" s="1870"/>
      <c r="AK190" s="471"/>
    </row>
    <row r="191" spans="1:45">
      <c r="A191" s="1192"/>
      <c r="B191" s="1869"/>
      <c r="C191" s="1869"/>
      <c r="D191" s="1869"/>
      <c r="E191" s="1869"/>
      <c r="F191" s="1869"/>
      <c r="G191" s="1869"/>
      <c r="H191" s="1869"/>
      <c r="I191" s="1869"/>
      <c r="J191" s="1869"/>
      <c r="K191" s="1869"/>
      <c r="L191" s="1869"/>
      <c r="M191" s="1869"/>
      <c r="N191" s="1869"/>
      <c r="O191" s="1869"/>
      <c r="P191" s="1869"/>
      <c r="Q191" s="1869"/>
      <c r="R191" s="1869"/>
      <c r="S191" s="1869"/>
      <c r="T191" s="1869"/>
      <c r="U191" s="1869"/>
      <c r="V191" s="1869"/>
      <c r="W191" s="1869"/>
      <c r="X191" s="1869"/>
      <c r="Y191" s="1869"/>
      <c r="Z191" s="1869"/>
      <c r="AA191" s="1869"/>
      <c r="AB191" s="1869"/>
      <c r="AC191" s="690"/>
      <c r="AD191" s="1870"/>
      <c r="AE191" s="1870"/>
      <c r="AF191" s="1870"/>
      <c r="AG191" s="1870"/>
      <c r="AH191" s="1870"/>
      <c r="AI191" s="1870"/>
      <c r="AJ191" s="1870"/>
      <c r="AK191" s="471"/>
    </row>
    <row r="192" spans="1:45">
      <c r="A192" s="1192"/>
      <c r="B192" s="1869"/>
      <c r="C192" s="1869"/>
      <c r="D192" s="1869"/>
      <c r="E192" s="1869"/>
      <c r="F192" s="1869"/>
      <c r="G192" s="1869"/>
      <c r="H192" s="1869"/>
      <c r="I192" s="1869"/>
      <c r="J192" s="1869"/>
      <c r="K192" s="1869"/>
      <c r="L192" s="1869"/>
      <c r="M192" s="1869"/>
      <c r="N192" s="1869"/>
      <c r="O192" s="1869"/>
      <c r="P192" s="1869"/>
      <c r="Q192" s="1869"/>
      <c r="R192" s="1869"/>
      <c r="S192" s="1869"/>
      <c r="T192" s="1869"/>
      <c r="U192" s="1869"/>
      <c r="V192" s="1869"/>
      <c r="W192" s="1869"/>
      <c r="X192" s="1869"/>
      <c r="Y192" s="1869"/>
      <c r="Z192" s="1869"/>
      <c r="AA192" s="1869"/>
      <c r="AB192" s="1869"/>
      <c r="AC192" s="690"/>
      <c r="AD192" s="1870"/>
      <c r="AE192" s="1870"/>
      <c r="AF192" s="1870"/>
      <c r="AG192" s="1870"/>
      <c r="AH192" s="1870"/>
      <c r="AI192" s="1870"/>
      <c r="AJ192" s="1870"/>
      <c r="AK192" s="471"/>
    </row>
    <row r="193" spans="1:37">
      <c r="A193" s="1192"/>
      <c r="B193" s="1869"/>
      <c r="C193" s="1869"/>
      <c r="D193" s="1869"/>
      <c r="E193" s="1869"/>
      <c r="F193" s="1869"/>
      <c r="G193" s="1869"/>
      <c r="H193" s="1869"/>
      <c r="I193" s="1869"/>
      <c r="J193" s="1869"/>
      <c r="K193" s="1869"/>
      <c r="L193" s="1869"/>
      <c r="M193" s="1869"/>
      <c r="N193" s="1869"/>
      <c r="O193" s="1869"/>
      <c r="P193" s="1869"/>
      <c r="Q193" s="1869"/>
      <c r="R193" s="1869"/>
      <c r="S193" s="1869"/>
      <c r="T193" s="1869"/>
      <c r="U193" s="1869"/>
      <c r="V193" s="1869"/>
      <c r="W193" s="1869"/>
      <c r="X193" s="1869"/>
      <c r="Y193" s="1869"/>
      <c r="Z193" s="1869"/>
      <c r="AA193" s="1869"/>
      <c r="AB193" s="1869"/>
      <c r="AC193" s="690"/>
      <c r="AD193" s="1870"/>
      <c r="AE193" s="1870"/>
      <c r="AF193" s="1870"/>
      <c r="AG193" s="1870"/>
      <c r="AH193" s="1870"/>
      <c r="AI193" s="1870"/>
      <c r="AJ193" s="1870"/>
      <c r="AK193" s="471"/>
    </row>
    <row r="194" spans="1:37">
      <c r="A194" s="1192"/>
      <c r="B194" s="1869"/>
      <c r="C194" s="1869"/>
      <c r="D194" s="1869"/>
      <c r="E194" s="1869"/>
      <c r="F194" s="1869"/>
      <c r="G194" s="1869"/>
      <c r="H194" s="1869"/>
      <c r="I194" s="1869"/>
      <c r="J194" s="1869"/>
      <c r="K194" s="1869"/>
      <c r="L194" s="1869"/>
      <c r="M194" s="1869"/>
      <c r="N194" s="1869"/>
      <c r="O194" s="1869"/>
      <c r="P194" s="1869"/>
      <c r="Q194" s="1869"/>
      <c r="R194" s="1869"/>
      <c r="S194" s="1869"/>
      <c r="T194" s="1869"/>
      <c r="U194" s="1869"/>
      <c r="V194" s="1869"/>
      <c r="W194" s="1869"/>
      <c r="X194" s="1869"/>
      <c r="Y194" s="1869"/>
      <c r="Z194" s="1869"/>
      <c r="AA194" s="1869"/>
      <c r="AB194" s="1869"/>
      <c r="AC194" s="690"/>
      <c r="AD194" s="1870"/>
      <c r="AE194" s="1870"/>
      <c r="AF194" s="1870"/>
      <c r="AG194" s="1870"/>
      <c r="AH194" s="1870"/>
      <c r="AI194" s="1870"/>
      <c r="AJ194" s="1870"/>
      <c r="AK194" s="471"/>
    </row>
    <row r="195" spans="1:37">
      <c r="A195" s="1192"/>
      <c r="B195" s="1869"/>
      <c r="C195" s="1869"/>
      <c r="D195" s="1869"/>
      <c r="E195" s="1869"/>
      <c r="F195" s="1869"/>
      <c r="G195" s="1869"/>
      <c r="H195" s="1869"/>
      <c r="I195" s="1869"/>
      <c r="J195" s="1869"/>
      <c r="K195" s="1869"/>
      <c r="L195" s="1869"/>
      <c r="M195" s="1869"/>
      <c r="N195" s="1869"/>
      <c r="O195" s="1869"/>
      <c r="P195" s="1869"/>
      <c r="Q195" s="1869"/>
      <c r="R195" s="1869"/>
      <c r="S195" s="1869"/>
      <c r="T195" s="1869"/>
      <c r="U195" s="1869"/>
      <c r="V195" s="1869"/>
      <c r="W195" s="1869"/>
      <c r="X195" s="1869"/>
      <c r="Y195" s="1869"/>
      <c r="Z195" s="1869"/>
      <c r="AA195" s="1869"/>
      <c r="AB195" s="1869"/>
      <c r="AC195" s="690"/>
      <c r="AD195" s="1870"/>
      <c r="AE195" s="1870"/>
      <c r="AF195" s="1870"/>
      <c r="AG195" s="1870"/>
      <c r="AH195" s="1870"/>
      <c r="AI195" s="1870"/>
      <c r="AJ195" s="1870"/>
      <c r="AK195" s="471"/>
    </row>
    <row r="196" spans="1:37">
      <c r="A196" s="1192"/>
      <c r="B196" s="1869"/>
      <c r="C196" s="1869"/>
      <c r="D196" s="1869"/>
      <c r="E196" s="1869"/>
      <c r="F196" s="1869"/>
      <c r="G196" s="1869"/>
      <c r="H196" s="1869"/>
      <c r="I196" s="1869"/>
      <c r="J196" s="1869"/>
      <c r="K196" s="1869"/>
      <c r="L196" s="1869"/>
      <c r="M196" s="1869"/>
      <c r="N196" s="1869"/>
      <c r="O196" s="1869"/>
      <c r="P196" s="1869"/>
      <c r="Q196" s="1869"/>
      <c r="R196" s="1869"/>
      <c r="S196" s="1869"/>
      <c r="T196" s="1869"/>
      <c r="U196" s="1869"/>
      <c r="V196" s="1869"/>
      <c r="W196" s="1869"/>
      <c r="X196" s="1869"/>
      <c r="Y196" s="1869"/>
      <c r="Z196" s="1869"/>
      <c r="AA196" s="1869"/>
      <c r="AB196" s="1869"/>
      <c r="AC196" s="690"/>
      <c r="AD196" s="1870"/>
      <c r="AE196" s="1870"/>
      <c r="AF196" s="1870"/>
      <c r="AG196" s="1870"/>
      <c r="AH196" s="1870"/>
      <c r="AI196" s="1870"/>
      <c r="AJ196" s="1870"/>
      <c r="AK196" s="471"/>
    </row>
    <row r="197" spans="1:37">
      <c r="A197" s="1192"/>
      <c r="B197" s="1869"/>
      <c r="C197" s="1869"/>
      <c r="D197" s="1869"/>
      <c r="E197" s="1869"/>
      <c r="F197" s="1869"/>
      <c r="G197" s="1869"/>
      <c r="H197" s="1869"/>
      <c r="I197" s="1869"/>
      <c r="J197" s="1869"/>
      <c r="K197" s="1869"/>
      <c r="L197" s="1869"/>
      <c r="M197" s="1869"/>
      <c r="N197" s="1869"/>
      <c r="O197" s="1869"/>
      <c r="P197" s="1869"/>
      <c r="Q197" s="1869"/>
      <c r="R197" s="1869"/>
      <c r="S197" s="1869"/>
      <c r="T197" s="1869"/>
      <c r="U197" s="1869"/>
      <c r="V197" s="1869"/>
      <c r="W197" s="1869"/>
      <c r="X197" s="1869"/>
      <c r="Y197" s="1869"/>
      <c r="Z197" s="1869"/>
      <c r="AA197" s="1869"/>
      <c r="AB197" s="1869"/>
      <c r="AC197" s="690"/>
      <c r="AD197" s="1870"/>
      <c r="AE197" s="1870"/>
      <c r="AF197" s="1870"/>
      <c r="AG197" s="1870"/>
      <c r="AH197" s="1870"/>
      <c r="AI197" s="1870"/>
      <c r="AJ197" s="1870"/>
      <c r="AK197" s="471"/>
    </row>
    <row r="198" spans="1:37">
      <c r="A198" s="1192"/>
      <c r="B198" s="2034" t="s">
        <v>2043</v>
      </c>
      <c r="C198" s="2034"/>
      <c r="D198" s="2034"/>
      <c r="E198" s="2034"/>
      <c r="F198" s="2034"/>
      <c r="G198" s="2034"/>
      <c r="H198" s="2034"/>
      <c r="I198" s="2034"/>
      <c r="J198" s="2034"/>
      <c r="K198" s="2034"/>
      <c r="L198" s="2034"/>
      <c r="M198" s="2034"/>
      <c r="N198" s="2034"/>
      <c r="O198" s="2034"/>
      <c r="P198" s="2034"/>
      <c r="Q198" s="2034"/>
      <c r="R198" s="2034"/>
      <c r="S198" s="2034"/>
      <c r="T198" s="2034"/>
      <c r="U198" s="2034"/>
      <c r="V198" s="2034"/>
      <c r="W198" s="2034"/>
      <c r="X198" s="2034"/>
      <c r="Y198" s="2034"/>
      <c r="Z198" s="2034"/>
      <c r="AA198" s="2034"/>
      <c r="AB198" s="2034"/>
      <c r="AC198" s="405"/>
      <c r="AD198" s="1898">
        <f>AB249</f>
        <v>5430462.8844365906</v>
      </c>
      <c r="AE198" s="1898"/>
      <c r="AF198" s="1898"/>
      <c r="AG198" s="1898"/>
      <c r="AH198" s="1898"/>
      <c r="AI198" s="1898"/>
      <c r="AJ198" s="1898"/>
      <c r="AK198" s="471"/>
    </row>
    <row r="199" spans="1:37">
      <c r="A199" s="1192"/>
      <c r="B199" s="2032" t="s">
        <v>2044</v>
      </c>
      <c r="C199" s="2032"/>
      <c r="D199" s="2032"/>
      <c r="E199" s="2032"/>
      <c r="F199" s="2032"/>
      <c r="G199" s="2032"/>
      <c r="H199" s="2032"/>
      <c r="I199" s="2032"/>
      <c r="J199" s="2032"/>
      <c r="K199" s="2032"/>
      <c r="L199" s="2032"/>
      <c r="M199" s="2032"/>
      <c r="N199" s="2032"/>
      <c r="O199" s="2032"/>
      <c r="P199" s="2032"/>
      <c r="Q199" s="2032"/>
      <c r="R199" s="2032"/>
      <c r="S199" s="2032"/>
      <c r="T199" s="2032"/>
      <c r="U199" s="2032"/>
      <c r="V199" s="2032"/>
      <c r="W199" s="2032"/>
      <c r="X199" s="2032"/>
      <c r="Y199" s="2032"/>
      <c r="Z199" s="2032"/>
      <c r="AA199" s="2032"/>
      <c r="AB199" s="2032"/>
      <c r="AC199" s="690"/>
      <c r="AD199" s="1899">
        <f>'Sources and Uses Budget'!B15</f>
        <v>0</v>
      </c>
      <c r="AE199" s="1899"/>
      <c r="AF199" s="1899"/>
      <c r="AG199" s="1899"/>
      <c r="AH199" s="1899"/>
      <c r="AI199" s="1899"/>
      <c r="AJ199" s="1899"/>
      <c r="AK199" s="471"/>
    </row>
    <row r="200" spans="1:37" ht="13">
      <c r="A200" s="1192"/>
      <c r="B200" s="1115"/>
      <c r="C200" s="1115"/>
      <c r="D200" s="1115"/>
      <c r="E200" s="1115"/>
      <c r="F200" s="1115"/>
      <c r="G200" s="1115"/>
      <c r="H200" s="1115"/>
      <c r="I200" s="1115"/>
      <c r="J200" s="1115"/>
      <c r="K200" s="1115"/>
      <c r="L200" s="1115"/>
      <c r="M200" s="1115"/>
      <c r="N200" s="1115"/>
      <c r="O200" s="1115"/>
      <c r="P200" s="1115"/>
      <c r="Q200" s="1115"/>
      <c r="R200" s="1115"/>
      <c r="S200" s="1115"/>
      <c r="T200" s="1115"/>
      <c r="U200" s="1115"/>
      <c r="V200" s="1115"/>
      <c r="W200" s="1115"/>
      <c r="X200" s="1115"/>
      <c r="Y200" s="1115"/>
      <c r="Z200" s="1115"/>
      <c r="AA200" s="1115"/>
      <c r="AB200" s="483" t="s">
        <v>1539</v>
      </c>
      <c r="AC200" s="405"/>
      <c r="AD200" s="1903">
        <f>SUM(AD188:AJ198)-AD199</f>
        <v>5430462.8844365906</v>
      </c>
      <c r="AE200" s="1903"/>
      <c r="AF200" s="1903"/>
      <c r="AG200" s="1903"/>
      <c r="AH200" s="1903"/>
      <c r="AI200" s="1903"/>
      <c r="AJ200" s="1903"/>
      <c r="AK200" s="471"/>
    </row>
    <row r="201" spans="1:37">
      <c r="A201" s="1192"/>
      <c r="B201" s="1192"/>
      <c r="C201" s="520"/>
      <c r="D201" s="674"/>
      <c r="E201" s="674"/>
      <c r="F201" s="674"/>
      <c r="G201" s="674"/>
      <c r="H201" s="674"/>
      <c r="I201" s="674"/>
      <c r="J201" s="674"/>
      <c r="K201" s="405"/>
      <c r="L201" s="405"/>
      <c r="M201" s="405"/>
      <c r="N201" s="405"/>
      <c r="O201" s="405"/>
      <c r="P201" s="405"/>
      <c r="Q201" s="405"/>
      <c r="R201" s="405"/>
      <c r="S201" s="405"/>
      <c r="T201" s="405"/>
      <c r="U201" s="405"/>
      <c r="V201" s="405"/>
      <c r="W201" s="405"/>
      <c r="X201" s="405"/>
      <c r="Y201" s="1196"/>
      <c r="Z201" s="1196"/>
      <c r="AA201" s="1196"/>
      <c r="AB201" s="1196"/>
      <c r="AC201" s="405"/>
      <c r="AD201" s="405"/>
      <c r="AE201" s="471"/>
      <c r="AF201" s="471"/>
      <c r="AG201" s="471"/>
      <c r="AH201" s="471"/>
      <c r="AI201" s="471"/>
      <c r="AJ201" s="471"/>
      <c r="AK201" s="471"/>
    </row>
    <row r="202" spans="1:37" ht="13">
      <c r="A202" s="1192"/>
      <c r="B202" s="370" t="s">
        <v>2045</v>
      </c>
      <c r="C202" s="520"/>
      <c r="D202" s="674"/>
      <c r="E202" s="674"/>
      <c r="F202" s="674"/>
      <c r="G202" s="674"/>
      <c r="H202" s="674"/>
      <c r="I202" s="674"/>
      <c r="J202" s="674"/>
      <c r="K202" s="405"/>
      <c r="L202" s="405"/>
      <c r="M202" s="405"/>
      <c r="N202" s="405"/>
      <c r="O202" s="405"/>
      <c r="P202" s="405"/>
      <c r="Q202" s="405"/>
      <c r="R202" s="405"/>
      <c r="S202" s="405"/>
      <c r="T202" s="405"/>
      <c r="U202" s="405"/>
      <c r="V202" s="405"/>
      <c r="W202" s="405"/>
      <c r="X202" s="405"/>
      <c r="Y202" s="1196"/>
      <c r="Z202" s="1196"/>
      <c r="AA202" s="1196"/>
      <c r="AB202" s="1196"/>
      <c r="AC202" s="405"/>
      <c r="AD202" s="405"/>
      <c r="AE202" s="471"/>
      <c r="AF202" s="471"/>
      <c r="AG202" s="471"/>
      <c r="AH202" s="471"/>
      <c r="AI202" s="471"/>
      <c r="AJ202" s="471"/>
      <c r="AK202" s="471"/>
    </row>
    <row r="203" spans="1:37">
      <c r="A203" s="1192"/>
      <c r="B203" s="352" t="s">
        <v>2046</v>
      </c>
      <c r="C203" s="520"/>
      <c r="D203" s="674"/>
      <c r="E203" s="674"/>
      <c r="F203" s="674"/>
      <c r="G203" s="674"/>
      <c r="H203" s="674"/>
      <c r="I203" s="674"/>
      <c r="J203" s="674"/>
      <c r="K203" s="405"/>
      <c r="L203" s="405"/>
      <c r="M203" s="405"/>
      <c r="N203" s="405"/>
      <c r="O203" s="405"/>
      <c r="P203" s="405"/>
      <c r="Q203" s="405"/>
      <c r="R203" s="405"/>
      <c r="S203" s="405"/>
      <c r="T203" s="405"/>
      <c r="U203" s="405"/>
      <c r="V203" s="405"/>
      <c r="W203" s="405"/>
      <c r="X203" s="405"/>
      <c r="Y203" s="1196"/>
      <c r="Z203" s="1196"/>
      <c r="AA203" s="1196"/>
      <c r="AB203" s="1196"/>
      <c r="AC203" s="405"/>
      <c r="AD203" s="405"/>
      <c r="AE203" s="471"/>
      <c r="AF203" s="471"/>
      <c r="AG203" s="471"/>
      <c r="AH203" s="471"/>
      <c r="AI203" s="471"/>
      <c r="AJ203" s="471"/>
      <c r="AK203" s="471"/>
    </row>
    <row r="204" spans="1:37">
      <c r="A204" s="697"/>
      <c r="B204" s="713" t="s">
        <v>2047</v>
      </c>
      <c r="C204" s="714"/>
      <c r="D204" s="715"/>
      <c r="E204" s="715"/>
      <c r="F204" s="715"/>
      <c r="G204" s="715"/>
      <c r="H204" s="715"/>
      <c r="I204" s="715"/>
      <c r="J204" s="715"/>
      <c r="K204" s="716"/>
      <c r="L204" s="716"/>
      <c r="M204" s="716"/>
      <c r="N204" s="716"/>
      <c r="O204" s="716"/>
      <c r="P204" s="716"/>
      <c r="Q204" s="716"/>
      <c r="R204" s="716"/>
      <c r="S204" s="597"/>
      <c r="T204" s="597"/>
      <c r="U204" s="597"/>
      <c r="V204" s="597"/>
      <c r="W204" s="597"/>
      <c r="X204" s="597"/>
      <c r="Y204" s="1198"/>
      <c r="Z204" s="1198"/>
      <c r="AA204" s="1198"/>
      <c r="AB204" s="1198"/>
      <c r="AC204" s="597"/>
      <c r="AD204" s="597"/>
      <c r="AE204" s="675"/>
      <c r="AF204" s="675"/>
      <c r="AG204" s="675"/>
      <c r="AH204" s="675"/>
      <c r="AI204" s="675"/>
      <c r="AJ204" s="676"/>
      <c r="AK204" s="471"/>
    </row>
    <row r="205" spans="1:37">
      <c r="A205" s="697"/>
      <c r="B205" s="717" t="s">
        <v>2048</v>
      </c>
      <c r="C205" s="718"/>
      <c r="D205" s="719"/>
      <c r="E205" s="719"/>
      <c r="F205" s="719"/>
      <c r="G205" s="719"/>
      <c r="H205" s="719"/>
      <c r="I205" s="719"/>
      <c r="J205" s="719"/>
      <c r="K205" s="720"/>
      <c r="L205" s="720"/>
      <c r="M205" s="720"/>
      <c r="N205" s="720"/>
      <c r="O205" s="720"/>
      <c r="P205" s="720"/>
      <c r="Q205" s="720"/>
      <c r="R205" s="720"/>
      <c r="S205" s="405"/>
      <c r="T205" s="405"/>
      <c r="U205" s="405"/>
      <c r="V205" s="405"/>
      <c r="W205" s="405"/>
      <c r="X205" s="405"/>
      <c r="Y205" s="1196"/>
      <c r="Z205" s="1196"/>
      <c r="AA205" s="1196"/>
      <c r="AB205" s="1196"/>
      <c r="AC205" s="405"/>
      <c r="AD205" s="405"/>
      <c r="AE205" s="471"/>
      <c r="AF205" s="471"/>
      <c r="AG205" s="471"/>
      <c r="AH205" s="471"/>
      <c r="AI205" s="471"/>
      <c r="AJ205" s="677"/>
      <c r="AK205" s="471"/>
    </row>
    <row r="206" spans="1:37">
      <c r="A206" s="697"/>
      <c r="B206" s="717" t="s">
        <v>2049</v>
      </c>
      <c r="C206" s="718"/>
      <c r="D206" s="719"/>
      <c r="E206" s="719"/>
      <c r="F206" s="719"/>
      <c r="G206" s="719"/>
      <c r="H206" s="719"/>
      <c r="I206" s="719"/>
      <c r="J206" s="719"/>
      <c r="K206" s="720"/>
      <c r="L206" s="720"/>
      <c r="M206" s="720"/>
      <c r="N206" s="720"/>
      <c r="O206" s="720"/>
      <c r="P206" s="720"/>
      <c r="Q206" s="720"/>
      <c r="R206" s="720"/>
      <c r="S206" s="405"/>
      <c r="T206" s="405"/>
      <c r="U206" s="405"/>
      <c r="V206" s="405"/>
      <c r="W206" s="405"/>
      <c r="X206" s="405"/>
      <c r="Y206" s="1196"/>
      <c r="Z206" s="1196"/>
      <c r="AA206" s="1196"/>
      <c r="AB206" s="1196"/>
      <c r="AC206" s="405"/>
      <c r="AD206" s="405"/>
      <c r="AE206" s="471"/>
      <c r="AF206" s="471"/>
      <c r="AG206" s="471"/>
      <c r="AH206" s="471"/>
      <c r="AI206" s="471"/>
      <c r="AJ206" s="677"/>
      <c r="AK206" s="471"/>
    </row>
    <row r="207" spans="1:37">
      <c r="A207" s="697"/>
      <c r="B207" s="717" t="s">
        <v>2050</v>
      </c>
      <c r="C207" s="718"/>
      <c r="D207" s="719"/>
      <c r="E207" s="719"/>
      <c r="F207" s="719"/>
      <c r="G207" s="719"/>
      <c r="H207" s="719"/>
      <c r="I207" s="719"/>
      <c r="J207" s="719"/>
      <c r="K207" s="720"/>
      <c r="L207" s="720"/>
      <c r="M207" s="720"/>
      <c r="N207" s="720"/>
      <c r="O207" s="720"/>
      <c r="P207" s="720"/>
      <c r="Q207" s="720"/>
      <c r="R207" s="720"/>
      <c r="S207" s="405"/>
      <c r="T207" s="405"/>
      <c r="U207" s="405"/>
      <c r="V207" s="405"/>
      <c r="W207" s="405"/>
      <c r="X207" s="405"/>
      <c r="Y207" s="1196"/>
      <c r="Z207" s="1196"/>
      <c r="AA207" s="1196"/>
      <c r="AB207" s="1196"/>
      <c r="AC207" s="405"/>
      <c r="AD207" s="405"/>
      <c r="AE207" s="471"/>
      <c r="AF207" s="471"/>
      <c r="AG207" s="471"/>
      <c r="AH207" s="471"/>
      <c r="AI207" s="471"/>
      <c r="AJ207" s="677"/>
      <c r="AK207" s="471"/>
    </row>
    <row r="208" spans="1:37">
      <c r="A208" s="697"/>
      <c r="B208" s="721" t="s">
        <v>2051</v>
      </c>
      <c r="C208" s="718"/>
      <c r="D208" s="719"/>
      <c r="E208" s="719"/>
      <c r="F208" s="719"/>
      <c r="G208" s="719"/>
      <c r="H208" s="719"/>
      <c r="I208" s="719"/>
      <c r="J208" s="719"/>
      <c r="K208" s="720"/>
      <c r="L208" s="720"/>
      <c r="M208" s="720"/>
      <c r="N208" s="720"/>
      <c r="O208" s="720"/>
      <c r="P208" s="720"/>
      <c r="Q208" s="720"/>
      <c r="R208" s="720"/>
      <c r="S208" s="405"/>
      <c r="T208" s="405"/>
      <c r="U208" s="405"/>
      <c r="V208" s="405"/>
      <c r="W208" s="405"/>
      <c r="X208" s="405"/>
      <c r="Y208" s="1196"/>
      <c r="Z208" s="1196"/>
      <c r="AA208" s="1196"/>
      <c r="AB208" s="1196"/>
      <c r="AC208" s="405"/>
      <c r="AD208" s="405"/>
      <c r="AE208" s="471"/>
      <c r="AF208" s="471"/>
      <c r="AG208" s="471"/>
      <c r="AH208" s="471"/>
      <c r="AI208" s="471"/>
      <c r="AJ208" s="677"/>
      <c r="AK208" s="471"/>
    </row>
    <row r="209" spans="1:37" ht="13">
      <c r="A209" s="697"/>
      <c r="B209" s="722" t="s">
        <v>2052</v>
      </c>
      <c r="C209" s="723"/>
      <c r="D209" s="724"/>
      <c r="E209" s="724"/>
      <c r="F209" s="724"/>
      <c r="G209" s="724"/>
      <c r="H209" s="724"/>
      <c r="I209" s="724"/>
      <c r="J209" s="724"/>
      <c r="K209" s="725"/>
      <c r="L209" s="725"/>
      <c r="M209" s="725"/>
      <c r="N209" s="725"/>
      <c r="O209" s="725"/>
      <c r="P209" s="725"/>
      <c r="Q209" s="725"/>
      <c r="R209" s="725"/>
      <c r="S209" s="590"/>
      <c r="T209" s="590"/>
      <c r="U209" s="590"/>
      <c r="V209" s="590"/>
      <c r="W209" s="590"/>
      <c r="X209" s="590"/>
      <c r="Y209" s="1197"/>
      <c r="Z209" s="1197"/>
      <c r="AA209" s="1197"/>
      <c r="AB209" s="1197"/>
      <c r="AC209" s="590"/>
      <c r="AD209" s="590"/>
      <c r="AE209" s="678"/>
      <c r="AF209" s="678"/>
      <c r="AG209" s="678"/>
      <c r="AH209" s="678"/>
      <c r="AI209" s="678"/>
      <c r="AJ209" s="679"/>
      <c r="AK209" s="471"/>
    </row>
    <row r="210" spans="1:37">
      <c r="A210" s="1192"/>
      <c r="B210" s="1192"/>
      <c r="C210" s="520"/>
      <c r="D210" s="674"/>
      <c r="E210" s="674"/>
      <c r="F210" s="674"/>
      <c r="G210" s="674"/>
      <c r="H210" s="674"/>
      <c r="I210" s="674"/>
      <c r="J210" s="674"/>
      <c r="K210" s="405"/>
      <c r="L210" s="405"/>
      <c r="M210" s="405"/>
      <c r="N210" s="405"/>
      <c r="O210" s="405"/>
      <c r="P210" s="405"/>
      <c r="Q210" s="405"/>
      <c r="R210" s="405"/>
      <c r="S210" s="405"/>
      <c r="T210" s="405"/>
      <c r="U210" s="405"/>
      <c r="V210" s="405"/>
      <c r="W210" s="405"/>
      <c r="X210" s="405"/>
      <c r="Y210" s="1196"/>
      <c r="Z210" s="1196"/>
      <c r="AA210" s="1196"/>
      <c r="AB210" s="1196"/>
      <c r="AC210" s="405"/>
      <c r="AD210" s="405"/>
      <c r="AE210" s="471"/>
      <c r="AF210" s="471"/>
      <c r="AG210" s="471"/>
      <c r="AH210" s="471"/>
      <c r="AI210" s="471"/>
      <c r="AJ210" s="471"/>
      <c r="AK210" s="471"/>
    </row>
    <row r="211" spans="1:37">
      <c r="A211" s="1192"/>
      <c r="B211" s="692"/>
      <c r="C211" s="352"/>
      <c r="D211" s="352"/>
      <c r="I211" s="1873" t="s">
        <v>2053</v>
      </c>
      <c r="J211" s="1873"/>
      <c r="K211" s="1873"/>
      <c r="L211" s="405"/>
      <c r="M211" s="405"/>
      <c r="N211" s="405"/>
      <c r="O211" s="405"/>
      <c r="P211" s="405"/>
      <c r="Q211" s="405"/>
      <c r="R211" s="405"/>
      <c r="S211" s="405"/>
      <c r="T211" s="2060" t="s">
        <v>2054</v>
      </c>
      <c r="U211" s="2060"/>
      <c r="V211" s="2060"/>
      <c r="W211" s="2060"/>
      <c r="X211" s="2060"/>
      <c r="Y211" s="2060"/>
      <c r="Z211" s="693"/>
      <c r="AA211" s="362"/>
      <c r="AB211" s="1868" t="s">
        <v>2055</v>
      </c>
      <c r="AC211" s="1868"/>
      <c r="AD211" s="1868"/>
      <c r="AE211" s="1868"/>
      <c r="AF211" s="1868"/>
      <c r="AG211" s="1868"/>
      <c r="AH211" s="674"/>
      <c r="AI211" s="674"/>
      <c r="AJ211" s="674"/>
      <c r="AK211" s="471"/>
    </row>
    <row r="212" spans="1:37">
      <c r="A212" s="1192"/>
      <c r="B212" s="1871" t="s">
        <v>2056</v>
      </c>
      <c r="C212" s="1871"/>
      <c r="D212" s="1871"/>
      <c r="E212" s="1871"/>
      <c r="F212" s="1871"/>
      <c r="G212" s="1871"/>
      <c r="I212" s="1872" t="s">
        <v>2057</v>
      </c>
      <c r="J212" s="1872"/>
      <c r="K212" s="1872"/>
      <c r="L212" s="1191"/>
      <c r="N212" s="1878" t="s">
        <v>2058</v>
      </c>
      <c r="O212" s="1878"/>
      <c r="P212" s="1878"/>
      <c r="Q212" s="1878"/>
      <c r="R212" s="1878"/>
      <c r="T212" s="1878" t="s">
        <v>2059</v>
      </c>
      <c r="U212" s="1878"/>
      <c r="V212" s="1878"/>
      <c r="W212" s="1878"/>
      <c r="X212" s="1878"/>
      <c r="Y212" s="1878"/>
      <c r="Z212" s="694"/>
      <c r="AA212" s="362"/>
      <c r="AB212" s="2035" t="s">
        <v>2060</v>
      </c>
      <c r="AC212" s="2035"/>
      <c r="AD212" s="2035"/>
      <c r="AE212" s="2035"/>
      <c r="AF212" s="2035"/>
      <c r="AG212" s="2035"/>
      <c r="AH212" s="674"/>
      <c r="AI212" s="674"/>
      <c r="AJ212" s="674"/>
      <c r="AK212" s="471"/>
    </row>
    <row r="213" spans="1:37">
      <c r="A213" s="1192"/>
      <c r="B213" s="1875" t="s">
        <v>2061</v>
      </c>
      <c r="C213" s="1875"/>
      <c r="D213" s="1875"/>
      <c r="E213" s="1875"/>
      <c r="F213" s="1875"/>
      <c r="G213" s="1875"/>
      <c r="H213" s="696"/>
      <c r="I213" s="1874">
        <v>10</v>
      </c>
      <c r="J213" s="1874"/>
      <c r="K213" s="1874"/>
      <c r="L213" s="1191"/>
      <c r="N213" s="1879">
        <v>690</v>
      </c>
      <c r="O213" s="1879"/>
      <c r="P213" s="1879"/>
      <c r="Q213" s="1879"/>
      <c r="R213" s="1879"/>
      <c r="T213" s="2033">
        <v>2191</v>
      </c>
      <c r="U213" s="2033"/>
      <c r="V213" s="2033"/>
      <c r="W213" s="2033"/>
      <c r="X213" s="2033"/>
      <c r="Y213" s="2033"/>
      <c r="Z213" s="695"/>
      <c r="AA213" s="695"/>
      <c r="AB213" s="1876">
        <f t="shared" ref="AB213:AB222" si="0">MAX(($T213-$N213)*$I213*12,0)</f>
        <v>180120</v>
      </c>
      <c r="AC213" s="1876"/>
      <c r="AD213" s="1876"/>
      <c r="AE213" s="1876"/>
      <c r="AF213" s="1876"/>
      <c r="AG213" s="1876"/>
      <c r="AH213" s="674"/>
      <c r="AI213" s="674"/>
      <c r="AJ213" s="674"/>
      <c r="AK213" s="471"/>
    </row>
    <row r="214" spans="1:37">
      <c r="A214" s="1192"/>
      <c r="B214" s="1875" t="s">
        <v>2062</v>
      </c>
      <c r="C214" s="1875"/>
      <c r="D214" s="1875"/>
      <c r="E214" s="1875"/>
      <c r="F214" s="1875"/>
      <c r="G214" s="1875"/>
      <c r="I214" s="1874">
        <v>15</v>
      </c>
      <c r="J214" s="1874"/>
      <c r="K214" s="1874"/>
      <c r="L214" s="1191"/>
      <c r="N214" s="1879">
        <v>779</v>
      </c>
      <c r="O214" s="1879"/>
      <c r="P214" s="1879"/>
      <c r="Q214" s="1879"/>
      <c r="R214" s="1879"/>
      <c r="T214" s="2033">
        <v>3020</v>
      </c>
      <c r="U214" s="2033"/>
      <c r="V214" s="2033"/>
      <c r="W214" s="2033"/>
      <c r="X214" s="2033"/>
      <c r="Y214" s="2033"/>
      <c r="Z214" s="695"/>
      <c r="AA214" s="695"/>
      <c r="AB214" s="1876">
        <f t="shared" si="0"/>
        <v>403380</v>
      </c>
      <c r="AC214" s="1876"/>
      <c r="AD214" s="1876"/>
      <c r="AE214" s="1876"/>
      <c r="AF214" s="1876"/>
      <c r="AG214" s="1876"/>
      <c r="AH214" s="674"/>
      <c r="AI214" s="674"/>
      <c r="AJ214" s="674"/>
      <c r="AK214" s="471"/>
    </row>
    <row r="215" spans="1:37">
      <c r="A215" s="1192"/>
      <c r="B215" s="1875" t="s">
        <v>1079</v>
      </c>
      <c r="C215" s="1875"/>
      <c r="D215" s="1875"/>
      <c r="E215" s="1875"/>
      <c r="F215" s="1875"/>
      <c r="G215" s="1875"/>
      <c r="I215" s="1874"/>
      <c r="J215" s="1874"/>
      <c r="K215" s="1874"/>
      <c r="L215" s="1191"/>
      <c r="N215" s="1879"/>
      <c r="O215" s="1879"/>
      <c r="P215" s="1879"/>
      <c r="Q215" s="1879"/>
      <c r="R215" s="1879"/>
      <c r="T215" s="2033"/>
      <c r="U215" s="2033"/>
      <c r="V215" s="2033"/>
      <c r="W215" s="2033"/>
      <c r="X215" s="2033"/>
      <c r="Y215" s="2033"/>
      <c r="Z215" s="695"/>
      <c r="AA215" s="695"/>
      <c r="AB215" s="1876">
        <f t="shared" si="0"/>
        <v>0</v>
      </c>
      <c r="AC215" s="1876"/>
      <c r="AD215" s="1876"/>
      <c r="AE215" s="1876"/>
      <c r="AF215" s="1876"/>
      <c r="AG215" s="1876"/>
      <c r="AH215" s="674"/>
      <c r="AI215" s="674"/>
      <c r="AJ215" s="674"/>
      <c r="AK215" s="471"/>
    </row>
    <row r="216" spans="1:37">
      <c r="A216" s="1192"/>
      <c r="B216" s="1875" t="s">
        <v>1079</v>
      </c>
      <c r="C216" s="1875"/>
      <c r="D216" s="1875"/>
      <c r="E216" s="1875"/>
      <c r="F216" s="1875"/>
      <c r="G216" s="1875"/>
      <c r="I216" s="1874"/>
      <c r="J216" s="1874"/>
      <c r="K216" s="1874"/>
      <c r="L216" s="1191"/>
      <c r="N216" s="1879"/>
      <c r="O216" s="1879"/>
      <c r="P216" s="1879"/>
      <c r="Q216" s="1879"/>
      <c r="R216" s="1879"/>
      <c r="T216" s="2033"/>
      <c r="U216" s="2033"/>
      <c r="V216" s="2033"/>
      <c r="W216" s="2033"/>
      <c r="X216" s="2033"/>
      <c r="Y216" s="2033"/>
      <c r="Z216" s="695"/>
      <c r="AA216" s="695"/>
      <c r="AB216" s="1876">
        <f t="shared" si="0"/>
        <v>0</v>
      </c>
      <c r="AC216" s="1876"/>
      <c r="AD216" s="1876"/>
      <c r="AE216" s="1876"/>
      <c r="AF216" s="1876"/>
      <c r="AG216" s="1876"/>
      <c r="AH216" s="674"/>
      <c r="AI216" s="674"/>
      <c r="AJ216" s="674"/>
      <c r="AK216" s="471"/>
    </row>
    <row r="217" spans="1:37">
      <c r="A217" s="1192"/>
      <c r="B217" s="1875" t="s">
        <v>1079</v>
      </c>
      <c r="C217" s="1875"/>
      <c r="D217" s="1875"/>
      <c r="E217" s="1875"/>
      <c r="F217" s="1875"/>
      <c r="G217" s="1875"/>
      <c r="I217" s="1874"/>
      <c r="J217" s="1874"/>
      <c r="K217" s="1874"/>
      <c r="L217" s="825"/>
      <c r="N217" s="1879"/>
      <c r="O217" s="1879"/>
      <c r="P217" s="1879"/>
      <c r="Q217" s="1879"/>
      <c r="R217" s="1879"/>
      <c r="T217" s="2033"/>
      <c r="U217" s="2033"/>
      <c r="V217" s="2033"/>
      <c r="W217" s="2033"/>
      <c r="X217" s="2033"/>
      <c r="Y217" s="2033"/>
      <c r="Z217" s="695"/>
      <c r="AA217" s="695"/>
      <c r="AB217" s="1876">
        <f t="shared" si="0"/>
        <v>0</v>
      </c>
      <c r="AC217" s="1876"/>
      <c r="AD217" s="1876"/>
      <c r="AE217" s="1876"/>
      <c r="AF217" s="1876"/>
      <c r="AG217" s="1876"/>
      <c r="AH217" s="674"/>
      <c r="AI217" s="674"/>
      <c r="AJ217" s="674"/>
      <c r="AK217" s="471"/>
    </row>
    <row r="218" spans="1:37">
      <c r="A218" s="1192"/>
      <c r="B218" s="1875" t="s">
        <v>1079</v>
      </c>
      <c r="C218" s="1875"/>
      <c r="D218" s="1875"/>
      <c r="E218" s="1875"/>
      <c r="F218" s="1875"/>
      <c r="G218" s="1875"/>
      <c r="I218" s="1874"/>
      <c r="J218" s="1874"/>
      <c r="K218" s="1874"/>
      <c r="L218" s="825"/>
      <c r="N218" s="1879"/>
      <c r="O218" s="1879"/>
      <c r="P218" s="1879"/>
      <c r="Q218" s="1879"/>
      <c r="R218" s="1879"/>
      <c r="T218" s="2033"/>
      <c r="U218" s="2033"/>
      <c r="V218" s="2033"/>
      <c r="W218" s="2033"/>
      <c r="X218" s="2033"/>
      <c r="Y218" s="2033"/>
      <c r="Z218" s="695"/>
      <c r="AA218" s="695"/>
      <c r="AB218" s="1876">
        <f t="shared" si="0"/>
        <v>0</v>
      </c>
      <c r="AC218" s="1876"/>
      <c r="AD218" s="1876"/>
      <c r="AE218" s="1876"/>
      <c r="AF218" s="1876"/>
      <c r="AG218" s="1876"/>
      <c r="AH218" s="674"/>
      <c r="AI218" s="674"/>
      <c r="AJ218" s="674"/>
      <c r="AK218" s="471"/>
    </row>
    <row r="219" spans="1:37">
      <c r="A219" s="1192"/>
      <c r="B219" s="1875" t="s">
        <v>1079</v>
      </c>
      <c r="C219" s="1875"/>
      <c r="D219" s="1875"/>
      <c r="E219" s="1875"/>
      <c r="F219" s="1875"/>
      <c r="G219" s="1875"/>
      <c r="I219" s="1874"/>
      <c r="J219" s="1874"/>
      <c r="K219" s="1874"/>
      <c r="L219" s="825"/>
      <c r="N219" s="1879"/>
      <c r="O219" s="1879"/>
      <c r="P219" s="1879"/>
      <c r="Q219" s="1879"/>
      <c r="R219" s="1879"/>
      <c r="T219" s="2033"/>
      <c r="U219" s="2033"/>
      <c r="V219" s="2033"/>
      <c r="W219" s="2033"/>
      <c r="X219" s="2033"/>
      <c r="Y219" s="2033"/>
      <c r="Z219" s="695"/>
      <c r="AA219" s="695"/>
      <c r="AB219" s="1876">
        <f t="shared" si="0"/>
        <v>0</v>
      </c>
      <c r="AC219" s="1876"/>
      <c r="AD219" s="1876"/>
      <c r="AE219" s="1876"/>
      <c r="AF219" s="1876"/>
      <c r="AG219" s="1876"/>
      <c r="AH219" s="674"/>
      <c r="AI219" s="674"/>
      <c r="AJ219" s="674"/>
      <c r="AK219" s="471"/>
    </row>
    <row r="220" spans="1:37">
      <c r="A220" s="1192"/>
      <c r="B220" s="1875" t="s">
        <v>1079</v>
      </c>
      <c r="C220" s="1875"/>
      <c r="D220" s="1875"/>
      <c r="E220" s="1875"/>
      <c r="F220" s="1875"/>
      <c r="G220" s="1875"/>
      <c r="I220" s="1874"/>
      <c r="J220" s="1874"/>
      <c r="K220" s="1874"/>
      <c r="L220" s="825"/>
      <c r="N220" s="1879"/>
      <c r="O220" s="1879"/>
      <c r="P220" s="1879"/>
      <c r="Q220" s="1879"/>
      <c r="R220" s="1879"/>
      <c r="T220" s="2033"/>
      <c r="U220" s="2033"/>
      <c r="V220" s="2033"/>
      <c r="W220" s="2033"/>
      <c r="X220" s="2033"/>
      <c r="Y220" s="2033"/>
      <c r="Z220" s="695"/>
      <c r="AA220" s="695"/>
      <c r="AB220" s="1876">
        <f t="shared" si="0"/>
        <v>0</v>
      </c>
      <c r="AC220" s="1876"/>
      <c r="AD220" s="1876"/>
      <c r="AE220" s="1876"/>
      <c r="AF220" s="1876"/>
      <c r="AG220" s="1876"/>
      <c r="AH220" s="674"/>
      <c r="AI220" s="674"/>
      <c r="AJ220" s="674"/>
      <c r="AK220" s="471"/>
    </row>
    <row r="221" spans="1:37">
      <c r="A221" s="1192"/>
      <c r="B221" s="1875" t="s">
        <v>1079</v>
      </c>
      <c r="C221" s="1875"/>
      <c r="D221" s="1875"/>
      <c r="E221" s="1875"/>
      <c r="F221" s="1875"/>
      <c r="G221" s="1875"/>
      <c r="I221" s="1874"/>
      <c r="J221" s="1874"/>
      <c r="K221" s="1874"/>
      <c r="L221" s="825"/>
      <c r="N221" s="1879"/>
      <c r="O221" s="1879"/>
      <c r="P221" s="1879"/>
      <c r="Q221" s="1879"/>
      <c r="R221" s="1879"/>
      <c r="T221" s="2033"/>
      <c r="U221" s="2033"/>
      <c r="V221" s="2033"/>
      <c r="W221" s="2033"/>
      <c r="X221" s="2033"/>
      <c r="Y221" s="2033"/>
      <c r="Z221" s="695"/>
      <c r="AA221" s="695"/>
      <c r="AB221" s="1876">
        <f t="shared" si="0"/>
        <v>0</v>
      </c>
      <c r="AC221" s="1876"/>
      <c r="AD221" s="1876"/>
      <c r="AE221" s="1876"/>
      <c r="AF221" s="1876"/>
      <c r="AG221" s="1876"/>
      <c r="AH221" s="674"/>
      <c r="AI221" s="674"/>
      <c r="AJ221" s="674"/>
      <c r="AK221" s="471"/>
    </row>
    <row r="222" spans="1:37">
      <c r="A222" s="1192"/>
      <c r="B222" s="1875" t="s">
        <v>1079</v>
      </c>
      <c r="C222" s="1875"/>
      <c r="D222" s="1875"/>
      <c r="E222" s="1875"/>
      <c r="F222" s="1875"/>
      <c r="G222" s="1875"/>
      <c r="I222" s="1877"/>
      <c r="J222" s="1877"/>
      <c r="K222" s="1877"/>
      <c r="L222" s="825"/>
      <c r="N222" s="1879"/>
      <c r="O222" s="1879"/>
      <c r="P222" s="1879"/>
      <c r="Q222" s="1879"/>
      <c r="R222" s="1879"/>
      <c r="T222" s="2033"/>
      <c r="U222" s="2033"/>
      <c r="V222" s="2033"/>
      <c r="W222" s="2033"/>
      <c r="X222" s="2033"/>
      <c r="Y222" s="2033"/>
      <c r="Z222" s="695"/>
      <c r="AA222" s="695"/>
      <c r="AB222" s="2031">
        <f t="shared" si="0"/>
        <v>0</v>
      </c>
      <c r="AC222" s="2031"/>
      <c r="AD222" s="2031"/>
      <c r="AE222" s="2031"/>
      <c r="AF222" s="2031"/>
      <c r="AG222" s="2031"/>
      <c r="AH222" s="674"/>
      <c r="AI222" s="674"/>
      <c r="AJ222" s="674"/>
      <c r="AK222" s="471"/>
    </row>
    <row r="223" spans="1:37">
      <c r="A223" s="1192"/>
      <c r="B223" s="352"/>
      <c r="C223" s="696"/>
      <c r="D223" s="352"/>
      <c r="K223" s="405"/>
      <c r="L223" s="405"/>
      <c r="M223" s="405"/>
      <c r="N223" s="405"/>
      <c r="O223" s="405"/>
      <c r="P223" s="405"/>
      <c r="Q223" s="405"/>
      <c r="R223" s="405"/>
      <c r="S223" s="405"/>
      <c r="T223" s="405"/>
      <c r="U223" s="405"/>
      <c r="V223" s="405"/>
      <c r="W223" s="405"/>
      <c r="X223" s="405"/>
      <c r="Y223" s="1190" t="s">
        <v>2063</v>
      </c>
      <c r="AA223" s="1190"/>
      <c r="AB223" s="1876">
        <f>SUM(AB213:AB222)</f>
        <v>583500</v>
      </c>
      <c r="AC223" s="1876"/>
      <c r="AD223" s="1876"/>
      <c r="AE223" s="1876"/>
      <c r="AF223" s="1876"/>
      <c r="AG223" s="1876"/>
      <c r="AH223" s="674"/>
      <c r="AI223" s="674"/>
      <c r="AJ223" s="674"/>
      <c r="AK223" s="471"/>
    </row>
    <row r="224" spans="1:37">
      <c r="A224" s="1192"/>
      <c r="B224" s="1192"/>
      <c r="C224" s="520"/>
      <c r="D224" s="674"/>
      <c r="E224" s="674"/>
      <c r="F224" s="674"/>
      <c r="G224" s="674"/>
      <c r="H224" s="674"/>
      <c r="I224" s="674"/>
      <c r="J224" s="674"/>
      <c r="K224" s="418"/>
      <c r="L224" s="418"/>
      <c r="M224" s="418"/>
      <c r="N224" s="418"/>
      <c r="O224" s="418"/>
      <c r="P224" s="418"/>
      <c r="Q224" s="418"/>
      <c r="R224" s="418"/>
      <c r="S224" s="418"/>
      <c r="T224" s="418"/>
      <c r="U224" s="418"/>
      <c r="V224" s="418"/>
      <c r="W224" s="418"/>
      <c r="X224" s="418"/>
      <c r="Y224" s="1196"/>
      <c r="Z224" s="1196"/>
      <c r="AA224" s="1196"/>
      <c r="AB224" s="1196"/>
      <c r="AC224" s="418"/>
      <c r="AD224" s="418"/>
      <c r="AE224" s="471"/>
      <c r="AF224" s="471"/>
      <c r="AG224" s="471"/>
      <c r="AH224" s="471"/>
      <c r="AI224" s="471"/>
      <c r="AJ224" s="471"/>
      <c r="AK224" s="471"/>
    </row>
    <row r="225" spans="1:37" ht="13">
      <c r="A225" s="947" t="s">
        <v>2064</v>
      </c>
      <c r="C225" s="520"/>
      <c r="D225" s="674"/>
      <c r="E225" s="674"/>
      <c r="F225" s="674"/>
      <c r="G225" s="674"/>
      <c r="H225" s="674"/>
      <c r="I225" s="674"/>
      <c r="J225" s="674"/>
      <c r="K225" s="405"/>
      <c r="L225" s="405"/>
      <c r="M225" s="405"/>
      <c r="N225" s="405"/>
      <c r="O225" s="405"/>
      <c r="P225" s="405"/>
      <c r="Q225" s="405"/>
      <c r="R225" s="405"/>
      <c r="S225" s="405"/>
      <c r="T225" s="405"/>
      <c r="U225" s="405"/>
      <c r="V225" s="405"/>
      <c r="W225" s="405"/>
      <c r="X225" s="405"/>
      <c r="Y225" s="1196"/>
      <c r="Z225" s="1196"/>
      <c r="AA225" s="1196"/>
      <c r="AB225" s="1196"/>
      <c r="AC225" s="405"/>
      <c r="AD225" s="405"/>
      <c r="AE225" s="471"/>
      <c r="AF225" s="471"/>
      <c r="AG225" s="471"/>
      <c r="AH225" s="471"/>
      <c r="AI225" s="471"/>
      <c r="AJ225" s="471"/>
      <c r="AK225" s="471"/>
    </row>
    <row r="226" spans="1:37">
      <c r="A226" s="1192"/>
      <c r="B226" s="352" t="s">
        <v>2065</v>
      </c>
      <c r="C226" s="520"/>
      <c r="D226" s="674"/>
      <c r="E226" s="674"/>
      <c r="F226" s="674"/>
      <c r="G226" s="674"/>
      <c r="H226" s="674"/>
      <c r="I226" s="674"/>
      <c r="J226" s="674"/>
      <c r="K226" s="405"/>
      <c r="L226" s="405"/>
      <c r="M226" s="405"/>
      <c r="N226" s="405"/>
      <c r="O226" s="405"/>
      <c r="P226" s="405"/>
      <c r="Q226" s="405"/>
      <c r="R226" s="405"/>
      <c r="S226" s="405"/>
      <c r="T226" s="405"/>
      <c r="U226" s="405"/>
      <c r="V226" s="405"/>
      <c r="W226" s="405"/>
      <c r="X226" s="405"/>
      <c r="Y226" s="1196"/>
      <c r="Z226" s="1196"/>
      <c r="AA226" s="1196"/>
      <c r="AB226" s="1196"/>
      <c r="AC226" s="405"/>
      <c r="AD226" s="405"/>
      <c r="AE226" s="471"/>
      <c r="AF226" s="471"/>
      <c r="AG226" s="471"/>
      <c r="AH226" s="471"/>
      <c r="AI226" s="471"/>
      <c r="AJ226" s="471"/>
      <c r="AK226" s="471"/>
    </row>
    <row r="227" spans="1:37">
      <c r="A227" s="1192"/>
      <c r="B227" s="352"/>
      <c r="C227" s="520"/>
      <c r="D227" s="674"/>
      <c r="E227" s="674"/>
      <c r="F227" s="674"/>
      <c r="G227" s="674"/>
      <c r="H227" s="674"/>
      <c r="I227" s="674"/>
      <c r="J227" s="674"/>
      <c r="K227" s="405"/>
      <c r="L227" s="405"/>
      <c r="M227" s="405"/>
      <c r="N227" s="405"/>
      <c r="O227" s="405"/>
      <c r="P227" s="405"/>
      <c r="Q227" s="405"/>
      <c r="R227" s="405"/>
      <c r="S227" s="405"/>
      <c r="T227" s="405"/>
      <c r="U227" s="405"/>
      <c r="V227" s="405"/>
      <c r="W227" s="405"/>
      <c r="X227" s="405"/>
      <c r="Y227" s="1196"/>
      <c r="Z227" s="1196"/>
      <c r="AA227" s="1196"/>
      <c r="AB227" s="1196"/>
      <c r="AC227" s="405"/>
      <c r="AD227" s="405"/>
      <c r="AE227" s="471"/>
      <c r="AF227" s="471"/>
      <c r="AG227" s="471"/>
      <c r="AH227" s="471"/>
      <c r="AI227" s="471"/>
      <c r="AJ227" s="471"/>
      <c r="AK227" s="471"/>
    </row>
    <row r="228" spans="1:37">
      <c r="A228" s="1192"/>
      <c r="B228" s="681" t="s">
        <v>2066</v>
      </c>
      <c r="C228" s="520"/>
      <c r="D228" s="674"/>
      <c r="E228" s="674"/>
      <c r="F228" s="674"/>
      <c r="G228" s="674"/>
      <c r="H228" s="674"/>
      <c r="I228" s="674"/>
      <c r="J228" s="674"/>
      <c r="K228" s="405"/>
      <c r="L228" s="405"/>
      <c r="M228" s="405"/>
      <c r="N228" s="405"/>
      <c r="O228" s="405"/>
      <c r="P228" s="405"/>
      <c r="Q228" s="405"/>
      <c r="R228" s="405"/>
      <c r="S228" s="405"/>
      <c r="T228" s="405"/>
      <c r="U228" s="405"/>
      <c r="V228" s="405"/>
      <c r="W228" s="405"/>
      <c r="X228" s="405"/>
      <c r="Y228" s="1196"/>
      <c r="Z228" s="1196"/>
      <c r="AA228" s="1196"/>
      <c r="AB228" s="1196"/>
      <c r="AC228" s="405"/>
      <c r="AD228" s="405"/>
      <c r="AE228" s="471"/>
      <c r="AF228" s="471"/>
      <c r="AG228" s="471"/>
      <c r="AH228" s="471"/>
      <c r="AI228" s="471"/>
      <c r="AJ228" s="471"/>
      <c r="AK228" s="471"/>
    </row>
    <row r="229" spans="1:37">
      <c r="A229" s="1192"/>
      <c r="B229" s="681" t="s">
        <v>2067</v>
      </c>
      <c r="C229" s="520"/>
      <c r="D229" s="674"/>
      <c r="E229" s="674"/>
      <c r="F229" s="674"/>
      <c r="G229" s="674"/>
      <c r="H229" s="674"/>
      <c r="I229" s="674"/>
      <c r="J229" s="674"/>
      <c r="K229" s="405"/>
      <c r="L229" s="405"/>
      <c r="M229" s="405"/>
      <c r="N229" s="405"/>
      <c r="O229" s="405"/>
      <c r="P229" s="405"/>
      <c r="Q229" s="405"/>
      <c r="R229" s="405"/>
      <c r="S229" s="405"/>
      <c r="T229" s="405"/>
      <c r="U229" s="405"/>
      <c r="V229" s="405"/>
      <c r="W229" s="405"/>
      <c r="X229" s="405"/>
      <c r="Y229" s="1196"/>
      <c r="Z229" s="1196"/>
      <c r="AA229" s="1196"/>
      <c r="AB229" s="2036"/>
      <c r="AC229" s="2036"/>
      <c r="AD229" s="2036"/>
      <c r="AE229" s="2036"/>
      <c r="AF229" s="2036"/>
      <c r="AG229" s="2036"/>
      <c r="AH229" s="471"/>
      <c r="AI229" s="471"/>
      <c r="AJ229" s="471"/>
      <c r="AK229" s="471"/>
    </row>
    <row r="230" spans="1:37" ht="13">
      <c r="A230" s="1192"/>
      <c r="B230" s="682" t="s">
        <v>2068</v>
      </c>
      <c r="C230" s="476"/>
      <c r="D230" s="680"/>
      <c r="E230" s="674"/>
      <c r="F230" s="674"/>
      <c r="G230" s="674"/>
      <c r="H230" s="674"/>
      <c r="I230" s="674"/>
      <c r="J230" s="674"/>
      <c r="K230" s="405"/>
      <c r="L230" s="405"/>
      <c r="M230" s="405"/>
      <c r="N230" s="405"/>
      <c r="O230" s="405"/>
      <c r="P230" s="405"/>
      <c r="Q230" s="405"/>
      <c r="R230" s="405"/>
      <c r="S230" s="405"/>
      <c r="T230" s="405"/>
      <c r="U230" s="405"/>
      <c r="V230" s="405"/>
      <c r="W230" s="405"/>
      <c r="X230" s="405"/>
      <c r="Y230" s="1196"/>
      <c r="Z230" s="1196"/>
      <c r="AA230" s="1196"/>
      <c r="AB230" s="1196"/>
      <c r="AC230" s="405"/>
      <c r="AD230" s="405"/>
      <c r="AE230" s="471"/>
      <c r="AF230" s="471"/>
      <c r="AG230" s="471"/>
      <c r="AH230" s="471"/>
      <c r="AI230" s="471"/>
      <c r="AJ230" s="471"/>
      <c r="AK230" s="471"/>
    </row>
    <row r="231" spans="1:37">
      <c r="A231" s="1192"/>
      <c r="B231" s="683" t="s">
        <v>2069</v>
      </c>
      <c r="C231" s="520"/>
      <c r="D231" s="674"/>
      <c r="E231" s="674"/>
      <c r="F231" s="674"/>
      <c r="G231" s="674"/>
      <c r="H231" s="674"/>
      <c r="I231" s="674"/>
      <c r="J231" s="674"/>
      <c r="K231" s="405"/>
      <c r="L231" s="405"/>
      <c r="M231" s="405"/>
      <c r="N231" s="405"/>
      <c r="O231" s="405"/>
      <c r="P231" s="405"/>
      <c r="Q231" s="405"/>
      <c r="R231" s="405"/>
      <c r="S231" s="405"/>
      <c r="T231" s="405"/>
      <c r="U231" s="405"/>
      <c r="V231" s="405"/>
      <c r="W231" s="405"/>
      <c r="X231" s="405"/>
      <c r="Y231" s="1196"/>
      <c r="Z231" s="1196"/>
      <c r="AA231" s="1196"/>
      <c r="AB231" s="1196"/>
      <c r="AC231" s="405"/>
      <c r="AD231" s="405"/>
      <c r="AE231" s="471"/>
      <c r="AF231" s="471"/>
      <c r="AG231" s="471"/>
      <c r="AH231" s="471"/>
      <c r="AI231" s="471"/>
      <c r="AJ231" s="471"/>
      <c r="AK231" s="471"/>
    </row>
    <row r="232" spans="1:37">
      <c r="A232" s="1192"/>
      <c r="B232" s="683" t="s">
        <v>2070</v>
      </c>
      <c r="C232" s="520"/>
      <c r="D232" s="674"/>
      <c r="E232" s="674"/>
      <c r="F232" s="674"/>
      <c r="G232" s="674"/>
      <c r="H232" s="674"/>
      <c r="I232" s="674"/>
      <c r="J232" s="674"/>
      <c r="K232" s="405"/>
      <c r="L232" s="405"/>
      <c r="M232" s="405"/>
      <c r="N232" s="405"/>
      <c r="O232" s="405"/>
      <c r="P232" s="405"/>
      <c r="Q232" s="405"/>
      <c r="R232" s="405"/>
      <c r="S232" s="405"/>
      <c r="T232" s="405"/>
      <c r="U232" s="405"/>
      <c r="V232" s="405"/>
      <c r="W232" s="405"/>
      <c r="X232" s="405"/>
      <c r="Y232" s="1196"/>
      <c r="Z232" s="1196"/>
      <c r="AA232" s="1196"/>
      <c r="AB232" s="2036"/>
      <c r="AC232" s="2036"/>
      <c r="AD232" s="2036"/>
      <c r="AE232" s="2036"/>
      <c r="AF232" s="2036"/>
      <c r="AG232" s="2036"/>
      <c r="AH232" s="471"/>
      <c r="AI232" s="471"/>
      <c r="AJ232" s="471"/>
      <c r="AK232" s="471"/>
    </row>
    <row r="233" spans="1:37">
      <c r="A233" s="1192"/>
      <c r="B233" s="683" t="s">
        <v>2071</v>
      </c>
      <c r="C233" s="520"/>
      <c r="D233" s="674"/>
      <c r="E233" s="674"/>
      <c r="F233" s="674"/>
      <c r="G233" s="674"/>
      <c r="H233" s="674"/>
      <c r="I233" s="674"/>
      <c r="J233" s="674"/>
      <c r="K233" s="405"/>
      <c r="L233" s="405"/>
      <c r="M233" s="405"/>
      <c r="N233" s="405"/>
      <c r="O233" s="405"/>
      <c r="P233" s="405"/>
      <c r="Q233" s="405"/>
      <c r="R233" s="405"/>
      <c r="S233" s="405"/>
      <c r="T233" s="405"/>
      <c r="U233" s="405"/>
      <c r="V233" s="405"/>
      <c r="W233" s="405"/>
      <c r="X233" s="405"/>
      <c r="Y233" s="1196"/>
      <c r="Z233" s="1196"/>
      <c r="AA233" s="1196"/>
      <c r="AB233" s="2059">
        <v>15</v>
      </c>
      <c r="AC233" s="2059"/>
      <c r="AD233" s="2059"/>
      <c r="AE233" s="2059"/>
      <c r="AF233" s="2059"/>
      <c r="AG233" s="2059"/>
      <c r="AH233" s="471"/>
      <c r="AI233" s="471"/>
      <c r="AJ233" s="471"/>
      <c r="AK233" s="471"/>
    </row>
    <row r="234" spans="1:37">
      <c r="A234" s="1192"/>
      <c r="B234" s="683" t="s">
        <v>2072</v>
      </c>
      <c r="C234" s="520"/>
      <c r="D234" s="674"/>
      <c r="E234" s="674"/>
      <c r="F234" s="674"/>
      <c r="G234" s="674"/>
      <c r="H234" s="674"/>
      <c r="I234" s="674"/>
      <c r="J234" s="674"/>
      <c r="K234" s="405"/>
      <c r="L234" s="405"/>
      <c r="M234" s="405"/>
      <c r="N234" s="405"/>
      <c r="O234" s="405"/>
      <c r="P234" s="405"/>
      <c r="Q234" s="405"/>
      <c r="R234" s="405"/>
      <c r="S234" s="405"/>
      <c r="T234" s="405"/>
      <c r="U234" s="405"/>
      <c r="V234" s="405"/>
      <c r="W234" s="405"/>
      <c r="X234" s="405"/>
      <c r="Y234" s="1196"/>
      <c r="Z234" s="1196"/>
      <c r="AA234" s="1196"/>
      <c r="AB234" s="2042">
        <f>IFERROR(AB232/AB233,0)</f>
        <v>0</v>
      </c>
      <c r="AC234" s="2042"/>
      <c r="AD234" s="2042"/>
      <c r="AE234" s="2042"/>
      <c r="AF234" s="2042"/>
      <c r="AG234" s="2042"/>
      <c r="AH234" s="471"/>
      <c r="AI234" s="471"/>
      <c r="AJ234" s="471"/>
      <c r="AK234" s="471"/>
    </row>
    <row r="235" spans="1:37">
      <c r="A235" s="1192"/>
      <c r="B235" s="352"/>
      <c r="C235" s="520"/>
      <c r="D235" s="674"/>
      <c r="E235" s="674"/>
      <c r="F235" s="674"/>
      <c r="G235" s="674"/>
      <c r="H235" s="674"/>
      <c r="I235" s="674"/>
      <c r="J235" s="674"/>
      <c r="K235" s="405"/>
      <c r="L235" s="405"/>
      <c r="M235" s="405"/>
      <c r="N235" s="405"/>
      <c r="O235" s="405"/>
      <c r="P235" s="405"/>
      <c r="Q235" s="405"/>
      <c r="R235" s="405"/>
      <c r="S235" s="405"/>
      <c r="T235" s="405"/>
      <c r="U235" s="405"/>
      <c r="V235" s="405"/>
      <c r="W235" s="405"/>
      <c r="X235" s="405"/>
      <c r="Y235" s="1196"/>
      <c r="Z235" s="1196"/>
      <c r="AA235" s="1196"/>
      <c r="AB235" s="1196"/>
      <c r="AC235" s="405"/>
      <c r="AD235" s="405"/>
      <c r="AE235" s="471"/>
      <c r="AF235" s="471"/>
      <c r="AG235" s="471"/>
      <c r="AH235" s="471"/>
      <c r="AI235" s="471"/>
      <c r="AJ235" s="471"/>
      <c r="AK235" s="471"/>
    </row>
    <row r="236" spans="1:37">
      <c r="A236" s="1192"/>
      <c r="B236" s="352" t="s">
        <v>2073</v>
      </c>
      <c r="C236" s="520"/>
      <c r="D236" s="674"/>
      <c r="E236" s="674"/>
      <c r="F236" s="674"/>
      <c r="G236" s="674"/>
      <c r="H236" s="674"/>
      <c r="I236" s="674"/>
      <c r="J236" s="674"/>
      <c r="K236" s="405"/>
      <c r="L236" s="405"/>
      <c r="M236" s="405"/>
      <c r="N236" s="405"/>
      <c r="O236" s="405"/>
      <c r="P236" s="405"/>
      <c r="Q236" s="405"/>
      <c r="R236" s="405"/>
      <c r="S236" s="405"/>
      <c r="T236" s="405"/>
      <c r="U236" s="405"/>
      <c r="V236" s="405"/>
      <c r="W236" s="405"/>
      <c r="X236" s="405"/>
      <c r="Y236" s="1196"/>
      <c r="Z236" s="1196"/>
      <c r="AA236" s="1196"/>
      <c r="AB236" s="2031">
        <f>MAX(AB229,AB234)</f>
        <v>0</v>
      </c>
      <c r="AC236" s="2031"/>
      <c r="AD236" s="2031"/>
      <c r="AE236" s="2031"/>
      <c r="AF236" s="2031"/>
      <c r="AG236" s="2031"/>
      <c r="AH236" s="471"/>
      <c r="AI236" s="471"/>
      <c r="AJ236" s="471"/>
      <c r="AK236" s="471"/>
    </row>
    <row r="237" spans="1:37">
      <c r="A237" s="1192"/>
      <c r="B237" s="352"/>
      <c r="C237" s="520"/>
      <c r="D237" s="674"/>
      <c r="E237" s="674"/>
      <c r="F237" s="674"/>
      <c r="G237" s="674"/>
      <c r="H237" s="674"/>
      <c r="I237" s="674"/>
      <c r="J237" s="674"/>
      <c r="K237" s="405"/>
      <c r="L237" s="405"/>
      <c r="M237" s="405"/>
      <c r="N237" s="405"/>
      <c r="O237" s="405"/>
      <c r="P237" s="405"/>
      <c r="Q237" s="405"/>
      <c r="R237" s="405"/>
      <c r="S237" s="405"/>
      <c r="T237" s="405"/>
      <c r="U237" s="405"/>
      <c r="V237" s="405"/>
      <c r="W237" s="405"/>
      <c r="X237" s="405"/>
      <c r="Y237" s="1196"/>
      <c r="Z237" s="1196"/>
      <c r="AA237" s="1196"/>
      <c r="AB237" s="1196"/>
      <c r="AC237" s="405"/>
      <c r="AD237" s="405"/>
      <c r="AE237" s="471"/>
      <c r="AF237" s="471"/>
      <c r="AG237" s="471"/>
      <c r="AH237" s="471"/>
      <c r="AI237" s="471"/>
      <c r="AJ237" s="471"/>
      <c r="AK237" s="471"/>
    </row>
    <row r="238" spans="1:37">
      <c r="A238" s="1192"/>
      <c r="B238" s="352"/>
      <c r="C238" s="520"/>
      <c r="D238" s="674"/>
      <c r="E238" s="674"/>
      <c r="F238" s="674"/>
      <c r="G238" s="674"/>
      <c r="H238" s="674"/>
      <c r="I238" s="674"/>
      <c r="J238" s="674"/>
      <c r="K238" s="405"/>
      <c r="L238" s="405"/>
      <c r="M238" s="405"/>
      <c r="N238" s="405"/>
      <c r="O238" s="405"/>
      <c r="P238" s="405"/>
      <c r="Q238" s="405"/>
      <c r="R238" s="405"/>
      <c r="S238" s="405"/>
      <c r="T238" s="405"/>
      <c r="U238" s="405"/>
      <c r="V238" s="405"/>
      <c r="W238" s="405"/>
      <c r="X238" s="405"/>
      <c r="Y238" s="1196"/>
      <c r="Z238" s="1196"/>
      <c r="AA238" s="1196"/>
      <c r="AB238" s="1196"/>
      <c r="AC238" s="405"/>
      <c r="AD238" s="405"/>
      <c r="AE238" s="471"/>
      <c r="AF238" s="471"/>
      <c r="AG238" s="471"/>
      <c r="AH238" s="471"/>
      <c r="AI238" s="471"/>
      <c r="AJ238" s="471"/>
      <c r="AK238" s="471"/>
    </row>
    <row r="239" spans="1:37">
      <c r="A239" s="1192"/>
      <c r="B239" s="352" t="s">
        <v>2074</v>
      </c>
      <c r="C239" s="520"/>
      <c r="D239" s="674"/>
      <c r="E239" s="674"/>
      <c r="F239" s="674"/>
      <c r="G239" s="674"/>
      <c r="H239" s="674"/>
      <c r="I239" s="674"/>
      <c r="J239" s="674"/>
      <c r="K239" s="405"/>
      <c r="L239" s="405"/>
      <c r="M239" s="405"/>
      <c r="N239" s="405"/>
      <c r="O239" s="405"/>
      <c r="P239" s="405"/>
      <c r="Q239" s="405"/>
      <c r="R239" s="405"/>
      <c r="S239" s="405"/>
      <c r="U239" s="684"/>
      <c r="V239" s="684"/>
      <c r="W239" s="684"/>
      <c r="X239" s="684"/>
      <c r="Y239" s="684"/>
      <c r="Z239" s="1196"/>
      <c r="AA239" s="1196"/>
      <c r="AB239" s="1876">
        <f>AB223+AB236</f>
        <v>583500</v>
      </c>
      <c r="AC239" s="1876"/>
      <c r="AD239" s="1876"/>
      <c r="AE239" s="1876"/>
      <c r="AF239" s="1876"/>
      <c r="AG239" s="1876"/>
      <c r="AH239" s="471"/>
      <c r="AI239" s="471"/>
      <c r="AJ239" s="471"/>
      <c r="AK239" s="471"/>
    </row>
    <row r="240" spans="1:37">
      <c r="A240" s="1192"/>
      <c r="B240" s="352" t="s">
        <v>2075</v>
      </c>
      <c r="C240" s="520"/>
      <c r="D240" s="674"/>
      <c r="E240" s="674"/>
      <c r="F240" s="674"/>
      <c r="G240" s="674"/>
      <c r="H240" s="674"/>
      <c r="I240" s="674"/>
      <c r="J240" s="674"/>
      <c r="K240" s="405"/>
      <c r="L240" s="405"/>
      <c r="M240" s="405"/>
      <c r="N240" s="405"/>
      <c r="O240" s="405"/>
      <c r="P240" s="405"/>
      <c r="Q240" s="405"/>
      <c r="R240" s="405"/>
      <c r="S240" s="405"/>
      <c r="U240" s="685"/>
      <c r="V240" s="685"/>
      <c r="W240" s="685"/>
      <c r="X240" s="685"/>
      <c r="Y240" s="685"/>
      <c r="Z240" s="1196"/>
      <c r="AA240" s="1196"/>
      <c r="AB240" s="1907">
        <v>0.05</v>
      </c>
      <c r="AC240" s="1907"/>
      <c r="AD240" s="1907"/>
      <c r="AE240" s="1907"/>
      <c r="AF240" s="1907"/>
      <c r="AG240" s="1907"/>
      <c r="AH240" s="471"/>
      <c r="AI240" s="471"/>
      <c r="AJ240" s="471"/>
      <c r="AK240" s="471"/>
    </row>
    <row r="241" spans="1:37">
      <c r="A241" s="1192"/>
      <c r="B241" s="352" t="s">
        <v>2076</v>
      </c>
      <c r="C241" s="520"/>
      <c r="D241" s="674"/>
      <c r="E241" s="674"/>
      <c r="F241" s="674"/>
      <c r="G241" s="674"/>
      <c r="H241" s="674"/>
      <c r="I241" s="674"/>
      <c r="J241" s="674"/>
      <c r="K241" s="405"/>
      <c r="L241" s="405"/>
      <c r="M241" s="405"/>
      <c r="N241" s="405"/>
      <c r="O241" s="405"/>
      <c r="P241" s="405"/>
      <c r="Q241" s="405"/>
      <c r="R241" s="405"/>
      <c r="S241" s="405"/>
      <c r="U241" s="684"/>
      <c r="V241" s="684"/>
      <c r="W241" s="684"/>
      <c r="X241" s="684"/>
      <c r="Y241" s="684"/>
      <c r="Z241" s="1196"/>
      <c r="AA241" s="1196"/>
      <c r="AB241" s="1908">
        <f>AB239-(AB239*AB240)</f>
        <v>554325</v>
      </c>
      <c r="AC241" s="1908"/>
      <c r="AD241" s="1908"/>
      <c r="AE241" s="1908"/>
      <c r="AF241" s="1908"/>
      <c r="AG241" s="1908"/>
      <c r="AH241" s="471"/>
      <c r="AI241" s="471"/>
      <c r="AJ241" s="471"/>
      <c r="AK241" s="471"/>
    </row>
    <row r="242" spans="1:37">
      <c r="A242" s="1192"/>
      <c r="B242" s="352" t="s">
        <v>2077</v>
      </c>
      <c r="C242" s="520"/>
      <c r="D242" s="674"/>
      <c r="E242" s="674"/>
      <c r="F242" s="674"/>
      <c r="G242" s="674"/>
      <c r="H242" s="674"/>
      <c r="I242" s="674"/>
      <c r="J242" s="674"/>
      <c r="K242" s="405"/>
      <c r="L242" s="405"/>
      <c r="M242" s="405"/>
      <c r="N242" s="405"/>
      <c r="O242" s="405"/>
      <c r="P242" s="405"/>
      <c r="Q242" s="405"/>
      <c r="R242" s="405"/>
      <c r="S242" s="405"/>
      <c r="U242" s="405"/>
      <c r="V242" s="405"/>
      <c r="W242" s="405"/>
      <c r="X242" s="405"/>
      <c r="Y242" s="1195"/>
      <c r="Z242" s="1196"/>
      <c r="AA242" s="1196"/>
      <c r="AB242" s="405"/>
      <c r="AC242" s="405"/>
      <c r="AD242" s="405"/>
      <c r="AE242" s="471"/>
      <c r="AF242" s="471"/>
      <c r="AG242" s="471"/>
      <c r="AH242" s="471"/>
      <c r="AI242" s="471"/>
      <c r="AJ242" s="471"/>
      <c r="AK242" s="471"/>
    </row>
    <row r="243" spans="1:37">
      <c r="A243" s="1192"/>
      <c r="B243" s="352" t="s">
        <v>2078</v>
      </c>
      <c r="C243" s="520"/>
      <c r="D243" s="674"/>
      <c r="E243" s="674"/>
      <c r="F243" s="674"/>
      <c r="G243" s="674"/>
      <c r="H243" s="674"/>
      <c r="I243" s="674"/>
      <c r="J243" s="674"/>
      <c r="K243" s="405"/>
      <c r="L243" s="405"/>
      <c r="M243" s="405"/>
      <c r="N243" s="405"/>
      <c r="O243" s="405"/>
      <c r="P243" s="405"/>
      <c r="Q243" s="405"/>
      <c r="R243" s="405"/>
      <c r="S243" s="405"/>
      <c r="U243" s="684"/>
      <c r="V243" s="684"/>
      <c r="W243" s="684"/>
      <c r="X243" s="684"/>
      <c r="Y243" s="684"/>
      <c r="Z243" s="1196"/>
      <c r="AA243" s="1196"/>
      <c r="AB243" s="1876">
        <f>AB241/AB247</f>
        <v>482021.73913043481</v>
      </c>
      <c r="AC243" s="1876"/>
      <c r="AD243" s="1876"/>
      <c r="AE243" s="1876"/>
      <c r="AF243" s="1876"/>
      <c r="AG243" s="1876"/>
      <c r="AH243" s="471"/>
      <c r="AI243" s="471"/>
      <c r="AJ243" s="471"/>
      <c r="AK243" s="471"/>
    </row>
    <row r="244" spans="1:37">
      <c r="A244" s="1192"/>
      <c r="B244" s="352"/>
      <c r="C244" s="520"/>
      <c r="D244" s="674"/>
      <c r="E244" s="674"/>
      <c r="F244" s="674"/>
      <c r="G244" s="674"/>
      <c r="H244" s="674"/>
      <c r="I244" s="674"/>
      <c r="J244" s="674"/>
      <c r="K244" s="405"/>
      <c r="L244" s="405"/>
      <c r="M244" s="405"/>
      <c r="N244" s="405"/>
      <c r="O244" s="405"/>
      <c r="P244" s="405"/>
      <c r="Q244" s="405"/>
      <c r="R244" s="405"/>
      <c r="S244" s="405"/>
      <c r="U244" s="405"/>
      <c r="V244" s="405"/>
      <c r="W244" s="405"/>
      <c r="X244" s="405"/>
      <c r="Y244" s="352"/>
      <c r="Z244" s="1196"/>
      <c r="AA244" s="1196"/>
      <c r="AB244" s="405"/>
      <c r="AC244" s="405"/>
      <c r="AD244" s="405"/>
      <c r="AE244" s="471"/>
      <c r="AF244" s="471"/>
      <c r="AG244" s="471"/>
      <c r="AH244" s="471"/>
      <c r="AI244" s="471"/>
      <c r="AJ244" s="471"/>
      <c r="AK244" s="471"/>
    </row>
    <row r="245" spans="1:37">
      <c r="A245" s="1192"/>
      <c r="B245" s="352" t="s">
        <v>2079</v>
      </c>
      <c r="C245" s="520"/>
      <c r="D245" s="674"/>
      <c r="E245" s="674"/>
      <c r="F245" s="674"/>
      <c r="G245" s="674"/>
      <c r="H245" s="674"/>
      <c r="I245" s="674"/>
      <c r="J245" s="674"/>
      <c r="K245" s="405"/>
      <c r="L245" s="405"/>
      <c r="M245" s="405"/>
      <c r="N245" s="405"/>
      <c r="O245" s="405"/>
      <c r="P245" s="405"/>
      <c r="Q245" s="405"/>
      <c r="R245" s="405"/>
      <c r="S245" s="405"/>
      <c r="U245" s="352"/>
      <c r="V245" s="352"/>
      <c r="W245" s="352"/>
      <c r="X245" s="352"/>
      <c r="Y245" s="352"/>
      <c r="Z245" s="1196"/>
      <c r="AA245" s="1196"/>
      <c r="AB245" s="1868">
        <v>15</v>
      </c>
      <c r="AC245" s="1868"/>
      <c r="AD245" s="1868"/>
      <c r="AE245" s="1868"/>
      <c r="AF245" s="1868"/>
      <c r="AG245" s="1868"/>
      <c r="AH245" s="471"/>
      <c r="AI245" s="471"/>
      <c r="AJ245" s="471"/>
      <c r="AK245" s="471"/>
    </row>
    <row r="246" spans="1:37">
      <c r="A246" s="1192"/>
      <c r="B246" s="352" t="s">
        <v>2080</v>
      </c>
      <c r="C246" s="520"/>
      <c r="D246" s="674"/>
      <c r="E246" s="674"/>
      <c r="F246" s="674"/>
      <c r="G246" s="674"/>
      <c r="H246" s="674"/>
      <c r="I246" s="674"/>
      <c r="J246" s="674"/>
      <c r="K246" s="405"/>
      <c r="L246" s="405"/>
      <c r="M246" s="405"/>
      <c r="N246" s="405"/>
      <c r="O246" s="405"/>
      <c r="P246" s="405"/>
      <c r="Q246" s="405"/>
      <c r="R246" s="405"/>
      <c r="S246" s="405"/>
      <c r="U246" s="685"/>
      <c r="V246" s="685"/>
      <c r="W246" s="685"/>
      <c r="X246" s="685"/>
      <c r="Y246" s="685"/>
      <c r="Z246" s="1196"/>
      <c r="AA246" s="1196"/>
      <c r="AB246" s="1909">
        <v>0.04</v>
      </c>
      <c r="AC246" s="1909"/>
      <c r="AD246" s="1909"/>
      <c r="AE246" s="1909"/>
      <c r="AF246" s="1909"/>
      <c r="AG246" s="1909"/>
      <c r="AH246" s="471"/>
      <c r="AI246" s="471"/>
      <c r="AJ246" s="471"/>
      <c r="AK246" s="471"/>
    </row>
    <row r="247" spans="1:37">
      <c r="A247" s="1192"/>
      <c r="B247" s="352" t="s">
        <v>2081</v>
      </c>
      <c r="C247" s="520"/>
      <c r="D247" s="674"/>
      <c r="E247" s="674"/>
      <c r="F247" s="674"/>
      <c r="G247" s="674"/>
      <c r="H247" s="674"/>
      <c r="I247" s="674"/>
      <c r="J247" s="674"/>
      <c r="K247" s="405"/>
      <c r="L247" s="405"/>
      <c r="M247" s="405"/>
      <c r="N247" s="405"/>
      <c r="O247" s="405"/>
      <c r="P247" s="405"/>
      <c r="Q247" s="405"/>
      <c r="R247" s="405"/>
      <c r="S247" s="405"/>
      <c r="U247" s="686"/>
      <c r="V247" s="686"/>
      <c r="W247" s="686"/>
      <c r="X247" s="686"/>
      <c r="Y247" s="686"/>
      <c r="Z247" s="1196"/>
      <c r="AA247" s="1196"/>
      <c r="AB247" s="1880">
        <v>1.1499999999999999</v>
      </c>
      <c r="AC247" s="1880"/>
      <c r="AD247" s="1880"/>
      <c r="AE247" s="1880"/>
      <c r="AF247" s="1880"/>
      <c r="AG247" s="1880"/>
      <c r="AH247" s="471"/>
      <c r="AI247" s="471"/>
      <c r="AJ247" s="471"/>
      <c r="AK247" s="471"/>
    </row>
    <row r="248" spans="1:37">
      <c r="A248" s="1192"/>
      <c r="B248" s="352"/>
      <c r="C248" s="520"/>
      <c r="D248" s="674"/>
      <c r="E248" s="674"/>
      <c r="F248" s="674"/>
      <c r="G248" s="674"/>
      <c r="H248" s="674"/>
      <c r="I248" s="674"/>
      <c r="J248" s="674"/>
      <c r="K248" s="405"/>
      <c r="L248" s="405"/>
      <c r="M248" s="405"/>
      <c r="N248" s="405"/>
      <c r="O248" s="405"/>
      <c r="P248" s="405"/>
      <c r="Q248" s="405"/>
      <c r="R248" s="405"/>
      <c r="S248" s="405"/>
      <c r="U248" s="405"/>
      <c r="V248" s="405"/>
      <c r="W248" s="405"/>
      <c r="X248" s="405"/>
      <c r="Y248" s="362"/>
      <c r="Z248" s="1196"/>
      <c r="AA248" s="1196"/>
      <c r="AB248" s="405"/>
      <c r="AC248" s="405"/>
      <c r="AD248" s="405"/>
      <c r="AE248" s="471"/>
      <c r="AF248" s="471"/>
      <c r="AG248" s="471"/>
      <c r="AH248" s="471"/>
      <c r="AI248" s="471"/>
      <c r="AJ248" s="471"/>
      <c r="AK248" s="471"/>
    </row>
    <row r="249" spans="1:37" ht="13">
      <c r="A249" s="1192"/>
      <c r="B249" s="688" t="s">
        <v>2082</v>
      </c>
      <c r="C249" s="520"/>
      <c r="D249" s="674"/>
      <c r="E249" s="674"/>
      <c r="F249" s="674"/>
      <c r="G249" s="674"/>
      <c r="H249" s="674"/>
      <c r="I249" s="674"/>
      <c r="J249" s="674"/>
      <c r="K249" s="405"/>
      <c r="L249" s="405"/>
      <c r="M249" s="405"/>
      <c r="N249" s="405"/>
      <c r="O249" s="405"/>
      <c r="P249" s="405"/>
      <c r="Q249" s="405"/>
      <c r="R249" s="405"/>
      <c r="S249" s="405"/>
      <c r="U249" s="687"/>
      <c r="V249" s="687"/>
      <c r="W249" s="687"/>
      <c r="X249" s="687"/>
      <c r="Y249" s="687"/>
      <c r="Z249" s="1196"/>
      <c r="AA249" s="1196"/>
      <c r="AB249" s="1900">
        <f>PV(AB246/12,AB245*12,-AB243/12, ,0)</f>
        <v>5430462.8844365906</v>
      </c>
      <c r="AC249" s="1901"/>
      <c r="AD249" s="1901"/>
      <c r="AE249" s="1901"/>
      <c r="AF249" s="1901"/>
      <c r="AG249" s="1902"/>
      <c r="AH249" s="471"/>
      <c r="AI249" s="471"/>
      <c r="AJ249" s="471"/>
      <c r="AK249" s="471"/>
    </row>
    <row r="250" spans="1:37" ht="13">
      <c r="A250" s="1192"/>
      <c r="B250" s="688"/>
      <c r="C250" s="520"/>
      <c r="D250" s="674"/>
      <c r="E250" s="674"/>
      <c r="F250" s="674"/>
      <c r="G250" s="674"/>
      <c r="H250" s="674"/>
      <c r="I250" s="674"/>
      <c r="J250" s="674"/>
      <c r="K250" s="405"/>
      <c r="L250" s="405"/>
      <c r="M250" s="405"/>
      <c r="N250" s="405"/>
      <c r="O250" s="405"/>
      <c r="P250" s="405"/>
      <c r="Q250" s="405"/>
      <c r="R250" s="405"/>
      <c r="S250" s="405"/>
      <c r="U250" s="687"/>
      <c r="V250" s="687"/>
      <c r="W250" s="687"/>
      <c r="X250" s="687"/>
      <c r="Y250" s="687"/>
      <c r="Z250" s="1196"/>
      <c r="AA250" s="1196"/>
      <c r="AB250" s="698"/>
      <c r="AC250" s="698"/>
      <c r="AD250" s="698"/>
      <c r="AE250" s="698"/>
      <c r="AF250" s="698"/>
      <c r="AG250" s="698"/>
      <c r="AH250" s="471"/>
      <c r="AI250" s="471"/>
      <c r="AJ250" s="471"/>
      <c r="AK250" s="471"/>
    </row>
    <row r="251" spans="1:37" ht="13">
      <c r="A251" s="1192"/>
      <c r="B251" s="688"/>
      <c r="C251" s="520"/>
      <c r="D251" s="674"/>
      <c r="E251" s="674"/>
      <c r="F251" s="674"/>
      <c r="G251" s="674"/>
      <c r="H251" s="674"/>
      <c r="I251" s="674"/>
      <c r="J251" s="674"/>
      <c r="K251" s="405"/>
      <c r="L251" s="405"/>
      <c r="M251" s="405"/>
      <c r="N251" s="405"/>
      <c r="O251" s="405"/>
      <c r="P251" s="405"/>
      <c r="Q251" s="405"/>
      <c r="R251" s="405"/>
      <c r="S251" s="405"/>
      <c r="U251" s="687"/>
      <c r="V251" s="687"/>
      <c r="W251" s="687"/>
      <c r="X251" s="687"/>
      <c r="Y251" s="687"/>
      <c r="Z251" s="1196"/>
      <c r="AA251" s="1196"/>
      <c r="AB251" s="698"/>
      <c r="AC251" s="698"/>
      <c r="AD251" s="698"/>
      <c r="AE251" s="698"/>
      <c r="AF251" s="698"/>
      <c r="AG251" s="698"/>
      <c r="AH251" s="471"/>
      <c r="AI251" s="471"/>
      <c r="AJ251" s="471"/>
      <c r="AK251" s="471"/>
    </row>
    <row r="252" spans="1:37" ht="13">
      <c r="A252" s="1192"/>
      <c r="B252" s="691" t="s">
        <v>2083</v>
      </c>
      <c r="C252" s="691"/>
      <c r="D252" s="674"/>
      <c r="E252" s="674"/>
      <c r="F252" s="674"/>
      <c r="G252" s="674"/>
      <c r="H252" s="674"/>
      <c r="I252" s="674"/>
      <c r="J252" s="674"/>
      <c r="K252" s="405"/>
      <c r="L252" s="405"/>
      <c r="M252" s="405"/>
      <c r="N252" s="405"/>
      <c r="O252" s="405"/>
      <c r="P252" s="405"/>
      <c r="Q252" s="405"/>
      <c r="R252" s="405"/>
      <c r="S252" s="405"/>
      <c r="T252" s="405"/>
      <c r="U252" s="405"/>
      <c r="V252" s="405"/>
      <c r="W252" s="405"/>
      <c r="X252" s="405"/>
      <c r="Y252" s="1196"/>
      <c r="Z252" s="1196"/>
      <c r="AA252" s="1196"/>
      <c r="AB252" s="1196"/>
      <c r="AC252" s="405"/>
      <c r="AD252" s="405"/>
      <c r="AE252" s="471"/>
      <c r="AF252" s="471"/>
      <c r="AG252" s="471"/>
      <c r="AH252" s="471"/>
      <c r="AI252" s="471"/>
      <c r="AJ252" s="471"/>
      <c r="AK252" s="471"/>
    </row>
    <row r="253" spans="1:37">
      <c r="A253" s="1192"/>
      <c r="B253" s="1192" t="s">
        <v>2084</v>
      </c>
      <c r="C253" s="520"/>
      <c r="D253" s="674"/>
      <c r="E253" s="674"/>
      <c r="F253" s="674"/>
      <c r="G253" s="674"/>
      <c r="H253" s="674"/>
      <c r="I253" s="674"/>
      <c r="J253" s="674"/>
      <c r="K253" s="405"/>
      <c r="L253" s="405"/>
      <c r="M253" s="405"/>
      <c r="N253" s="405"/>
      <c r="O253" s="405"/>
      <c r="P253" s="405"/>
      <c r="Q253" s="405"/>
      <c r="R253" s="405"/>
      <c r="S253" s="405"/>
      <c r="T253" s="405"/>
      <c r="U253" s="405"/>
      <c r="V253" s="405"/>
      <c r="W253" s="405"/>
      <c r="X253" s="405"/>
      <c r="Y253" s="1196"/>
      <c r="Z253" s="1196"/>
      <c r="AA253" s="1196"/>
      <c r="AB253" s="1196"/>
      <c r="AC253" s="405"/>
      <c r="AD253" s="405"/>
      <c r="AE253" s="471"/>
      <c r="AF253" s="471"/>
      <c r="AG253" s="471"/>
      <c r="AH253" s="471"/>
      <c r="AI253" s="471"/>
      <c r="AJ253" s="471"/>
      <c r="AK253" s="471"/>
    </row>
    <row r="254" spans="1:37">
      <c r="A254" s="1192"/>
      <c r="B254" s="1192" t="s">
        <v>2085</v>
      </c>
      <c r="C254" s="520"/>
      <c r="D254" s="674"/>
      <c r="E254" s="674"/>
      <c r="F254" s="674"/>
      <c r="G254" s="674"/>
      <c r="H254" s="674"/>
      <c r="I254" s="674"/>
      <c r="J254" s="674"/>
      <c r="K254" s="405"/>
      <c r="L254" s="405"/>
      <c r="M254" s="405"/>
      <c r="N254" s="405"/>
      <c r="O254" s="405"/>
      <c r="P254" s="405"/>
      <c r="Q254" s="405"/>
      <c r="R254" s="405"/>
      <c r="S254" s="405"/>
      <c r="T254" s="405"/>
      <c r="U254" s="405"/>
      <c r="V254" s="405"/>
      <c r="W254" s="405"/>
      <c r="X254" s="405"/>
      <c r="Y254" s="1196"/>
      <c r="Z254" s="1196"/>
      <c r="AA254" s="1196"/>
      <c r="AB254" s="1196"/>
      <c r="AC254" s="405"/>
      <c r="AD254" s="405"/>
      <c r="AE254" s="471"/>
      <c r="AF254" s="471"/>
      <c r="AG254" s="471"/>
      <c r="AH254" s="471"/>
      <c r="AI254" s="471"/>
      <c r="AJ254" s="471"/>
      <c r="AK254" s="471"/>
    </row>
    <row r="255" spans="1:37">
      <c r="A255" s="1192"/>
      <c r="B255" s="1192" t="s">
        <v>2086</v>
      </c>
      <c r="C255" s="520"/>
      <c r="D255" s="674"/>
      <c r="E255" s="674"/>
      <c r="F255" s="674"/>
      <c r="G255" s="674"/>
      <c r="H255" s="674"/>
      <c r="I255" s="674"/>
      <c r="J255" s="674"/>
      <c r="K255" s="405"/>
      <c r="L255" s="405"/>
      <c r="M255" s="405"/>
      <c r="N255" s="405"/>
      <c r="O255" s="405"/>
      <c r="P255" s="405"/>
      <c r="Q255" s="405"/>
      <c r="R255" s="405"/>
      <c r="S255" s="405"/>
      <c r="T255" s="405"/>
      <c r="U255" s="405"/>
      <c r="V255" s="405"/>
      <c r="W255" s="405"/>
      <c r="X255" s="405"/>
      <c r="Y255" s="1196"/>
      <c r="Z255" s="1196"/>
      <c r="AA255" s="1196"/>
      <c r="AB255" s="1904">
        <f>IFERROR(('Sources and Uses Budget'!D105/'Sources and Uses Budget'!B105),0)</f>
        <v>0</v>
      </c>
      <c r="AC255" s="1905"/>
      <c r="AD255" s="1905"/>
      <c r="AE255" s="1905"/>
      <c r="AF255" s="1905"/>
      <c r="AG255" s="1906"/>
      <c r="AH255" s="699"/>
      <c r="AI255" s="699"/>
      <c r="AJ255" s="699"/>
      <c r="AK255" s="471"/>
    </row>
    <row r="256" spans="1:37">
      <c r="A256" s="1192"/>
      <c r="B256" s="352"/>
      <c r="C256" s="520"/>
      <c r="D256" s="674"/>
      <c r="E256" s="674"/>
      <c r="F256" s="674"/>
      <c r="G256" s="674"/>
      <c r="H256" s="674"/>
      <c r="I256" s="674"/>
      <c r="J256" s="674"/>
      <c r="K256" s="405"/>
      <c r="L256" s="405"/>
      <c r="M256" s="405"/>
      <c r="N256" s="405"/>
      <c r="O256" s="405"/>
      <c r="P256" s="405"/>
      <c r="Q256" s="405"/>
      <c r="R256" s="405"/>
      <c r="S256" s="405"/>
      <c r="T256" s="405"/>
      <c r="U256" s="405"/>
      <c r="V256" s="405"/>
      <c r="W256" s="405"/>
      <c r="X256" s="405"/>
      <c r="Y256" s="1196"/>
      <c r="Z256" s="1196"/>
      <c r="AA256" s="1196"/>
      <c r="AB256" s="1196"/>
      <c r="AC256" s="405"/>
      <c r="AD256" s="405"/>
      <c r="AE256" s="471"/>
      <c r="AF256" s="471"/>
      <c r="AG256" s="471"/>
      <c r="AH256" s="471"/>
      <c r="AI256" s="471"/>
      <c r="AJ256" s="471"/>
      <c r="AK256" s="471"/>
    </row>
    <row r="257" spans="1:52" ht="13">
      <c r="A257" s="482"/>
      <c r="B257" s="1115" t="s">
        <v>2087</v>
      </c>
      <c r="C257" s="483"/>
      <c r="D257" s="483"/>
      <c r="E257" s="483"/>
      <c r="F257" s="483"/>
      <c r="H257" s="484"/>
      <c r="I257" s="484"/>
      <c r="J257" s="484"/>
      <c r="K257" s="484"/>
      <c r="L257" s="484"/>
      <c r="M257" s="484"/>
      <c r="N257" s="484"/>
      <c r="O257" s="484"/>
      <c r="P257" s="484"/>
      <c r="Q257" s="484"/>
      <c r="R257" s="484"/>
      <c r="Y257" s="484"/>
      <c r="Z257" s="484"/>
      <c r="AA257" s="484"/>
      <c r="AB257" s="482"/>
      <c r="AC257" s="482"/>
      <c r="AD257" s="482"/>
      <c r="AE257" s="482"/>
      <c r="AG257" s="1894">
        <f>AD200*(1-AB255)</f>
        <v>5430462.8844365906</v>
      </c>
      <c r="AH257" s="1894"/>
      <c r="AI257" s="1894"/>
      <c r="AJ257" s="1894"/>
      <c r="AK257" s="1894"/>
    </row>
    <row r="258" spans="1:52">
      <c r="A258" s="482"/>
      <c r="B258" s="485" t="s">
        <v>2088</v>
      </c>
      <c r="C258" s="486"/>
      <c r="D258" s="484"/>
      <c r="E258" s="484"/>
      <c r="F258" s="486"/>
      <c r="G258" s="486"/>
      <c r="H258" s="486"/>
      <c r="I258" s="486"/>
      <c r="J258" s="486"/>
      <c r="K258" s="486"/>
      <c r="L258" s="486"/>
      <c r="M258" s="484"/>
      <c r="N258" s="486"/>
      <c r="O258" s="486"/>
      <c r="P258" s="486"/>
      <c r="Q258" s="486"/>
      <c r="R258" s="486"/>
      <c r="Y258" s="484"/>
      <c r="Z258" s="484"/>
      <c r="AA258" s="484"/>
      <c r="AB258" s="482"/>
      <c r="AC258" s="482"/>
      <c r="AD258" s="482"/>
      <c r="AE258" s="482"/>
      <c r="AG258" s="1894">
        <f>'Sources and Uses Budget'!C105</f>
        <v>46443670</v>
      </c>
      <c r="AH258" s="1894"/>
      <c r="AI258" s="1894"/>
      <c r="AJ258" s="1894"/>
      <c r="AK258" s="1894"/>
    </row>
    <row r="259" spans="1:52">
      <c r="A259" s="482"/>
      <c r="B259" s="484" t="s">
        <v>1703</v>
      </c>
      <c r="C259" s="484"/>
      <c r="D259" s="484"/>
      <c r="E259" s="484"/>
      <c r="F259" s="484"/>
      <c r="G259" s="484"/>
      <c r="H259" s="484"/>
      <c r="I259" s="484"/>
      <c r="J259" s="484"/>
      <c r="K259" s="484"/>
      <c r="L259" s="484"/>
      <c r="M259" s="484"/>
      <c r="N259" s="484"/>
      <c r="O259" s="484"/>
      <c r="P259" s="484"/>
      <c r="Q259" s="484"/>
      <c r="R259" s="484"/>
      <c r="Y259" s="484"/>
      <c r="Z259" s="484"/>
      <c r="AA259" s="484"/>
      <c r="AB259" s="482"/>
      <c r="AC259" s="482"/>
      <c r="AD259" s="482"/>
      <c r="AE259" s="482"/>
      <c r="AG259" s="1895">
        <f>ROUNDDOWN(IF(AND(C281="Yes",AK78=10),((AG257*2)/AG258),AG257/AG258),2)</f>
        <v>0.11</v>
      </c>
      <c r="AH259" s="1895"/>
      <c r="AI259" s="1895"/>
      <c r="AJ259" s="1895"/>
      <c r="AK259" s="1895"/>
    </row>
    <row r="260" spans="1:52" ht="13">
      <c r="A260" s="482"/>
      <c r="B260" s="800" t="s">
        <v>2089</v>
      </c>
      <c r="C260" s="484"/>
      <c r="D260" s="484"/>
      <c r="E260" s="484"/>
      <c r="F260" s="484"/>
      <c r="G260" s="484"/>
      <c r="H260" s="484"/>
      <c r="I260" s="484"/>
      <c r="J260" s="484"/>
      <c r="K260" s="484"/>
      <c r="L260" s="484"/>
      <c r="M260" s="484"/>
      <c r="N260" s="484"/>
      <c r="O260" s="484"/>
      <c r="P260" s="484"/>
      <c r="Q260" s="484"/>
      <c r="R260" s="484"/>
      <c r="Y260" s="484"/>
      <c r="Z260" s="484"/>
      <c r="AA260" s="484"/>
      <c r="AB260" s="482"/>
      <c r="AC260" s="482"/>
      <c r="AD260" s="482"/>
      <c r="AE260" s="482"/>
      <c r="AG260" s="799"/>
      <c r="AH260" s="799"/>
      <c r="AI260" s="799"/>
      <c r="AJ260" s="799"/>
      <c r="AK260" s="799"/>
    </row>
    <row r="261" spans="1:52">
      <c r="A261" s="487"/>
      <c r="B261" s="487"/>
      <c r="C261" s="487"/>
      <c r="D261" s="487"/>
      <c r="E261" s="487"/>
      <c r="F261" s="487"/>
      <c r="G261" s="487"/>
      <c r="H261" s="487"/>
      <c r="I261" s="487"/>
      <c r="J261" s="487"/>
      <c r="K261" s="487"/>
      <c r="L261" s="487"/>
      <c r="M261" s="487"/>
      <c r="N261" s="487"/>
      <c r="O261" s="487"/>
      <c r="P261" s="487"/>
      <c r="Q261" s="487"/>
      <c r="R261" s="487"/>
      <c r="S261" s="487"/>
      <c r="T261" s="487"/>
      <c r="U261" s="487"/>
      <c r="V261" s="487"/>
      <c r="W261" s="487"/>
      <c r="X261" s="487"/>
      <c r="Y261" s="487"/>
      <c r="Z261" s="487"/>
      <c r="AA261" s="487"/>
      <c r="AB261" s="487"/>
      <c r="AC261" s="487"/>
      <c r="AD261" s="487"/>
      <c r="AE261" s="487"/>
      <c r="AF261" s="487"/>
      <c r="AG261" s="487"/>
      <c r="AH261" s="487"/>
      <c r="AI261" s="487"/>
      <c r="AJ261" s="487"/>
    </row>
    <row r="262" spans="1:52" ht="13">
      <c r="A262" s="488"/>
      <c r="B262" s="488"/>
      <c r="C262" s="488"/>
      <c r="D262" s="488"/>
      <c r="E262" s="488"/>
      <c r="F262" s="488"/>
      <c r="G262" s="488"/>
      <c r="H262" s="488"/>
      <c r="I262" s="488"/>
      <c r="J262" s="488"/>
      <c r="K262" s="488"/>
      <c r="L262" s="488"/>
      <c r="M262" s="488"/>
      <c r="N262" s="488"/>
      <c r="O262" s="488"/>
      <c r="P262" s="488"/>
      <c r="Q262" s="488"/>
      <c r="R262" s="488"/>
      <c r="S262" s="488"/>
      <c r="T262" s="488"/>
      <c r="U262" s="488"/>
      <c r="V262" s="488"/>
      <c r="W262" s="488"/>
      <c r="X262" s="488"/>
      <c r="Y262" s="488"/>
      <c r="Z262" s="488"/>
      <c r="AA262" s="488"/>
      <c r="AB262" s="488"/>
      <c r="AC262" s="488"/>
      <c r="AD262" s="488"/>
      <c r="AE262" s="488"/>
      <c r="AF262" s="488"/>
      <c r="AG262" s="488"/>
      <c r="AH262" s="489"/>
      <c r="AI262" s="431"/>
      <c r="AJ262" s="431" t="s">
        <v>2090</v>
      </c>
      <c r="AK262" s="1896">
        <f>IFERROR(IF(AG259=0,0,IF((AG259*100)&gt;8,8,(AG259*100))),0)</f>
        <v>8</v>
      </c>
      <c r="AL262" s="1896"/>
      <c r="AM262" s="1897"/>
    </row>
    <row r="263" spans="1:52" ht="13" thickBot="1"/>
    <row r="264" spans="1:52" s="418" customFormat="1" ht="12.75" customHeight="1" thickTop="1">
      <c r="A264" s="473"/>
      <c r="B264" s="490"/>
      <c r="C264" s="490"/>
      <c r="D264" s="490"/>
      <c r="E264" s="490"/>
      <c r="F264" s="490"/>
      <c r="G264" s="490"/>
      <c r="H264" s="490"/>
      <c r="I264" s="490"/>
      <c r="J264" s="490"/>
      <c r="K264" s="490"/>
      <c r="L264" s="490"/>
      <c r="M264" s="490"/>
      <c r="N264" s="490"/>
      <c r="O264" s="490"/>
      <c r="P264" s="490"/>
      <c r="Q264" s="490"/>
      <c r="R264" s="490"/>
      <c r="S264" s="490"/>
      <c r="T264" s="490"/>
      <c r="U264" s="490"/>
      <c r="V264" s="490"/>
      <c r="W264" s="490"/>
      <c r="X264" s="490"/>
      <c r="Y264" s="490"/>
      <c r="Z264" s="490"/>
      <c r="AA264" s="490"/>
      <c r="AB264" s="490"/>
      <c r="AC264" s="491"/>
      <c r="AD264" s="490"/>
      <c r="AE264" s="490"/>
      <c r="AF264" s="490"/>
      <c r="AG264" s="490"/>
      <c r="AH264" s="473"/>
      <c r="AI264" s="492"/>
      <c r="AJ264" s="492"/>
      <c r="AK264" s="493"/>
      <c r="AL264" s="493"/>
      <c r="AM264" s="494"/>
      <c r="AN264" s="459"/>
      <c r="AP264" s="405"/>
      <c r="AQ264" s="405"/>
      <c r="AR264" s="405"/>
      <c r="AS264" s="405"/>
      <c r="AT264" s="405"/>
      <c r="AU264" s="405"/>
      <c r="AV264" s="405"/>
      <c r="AW264" s="405"/>
      <c r="AX264" s="405"/>
      <c r="AY264" s="405"/>
      <c r="AZ264" s="405"/>
    </row>
    <row r="265" spans="1:52" ht="13">
      <c r="A265" s="407" t="s">
        <v>2091</v>
      </c>
      <c r="B265" s="407" t="s">
        <v>2092</v>
      </c>
      <c r="C265" s="408"/>
      <c r="D265" s="418"/>
      <c r="E265" s="418"/>
      <c r="F265" s="418"/>
      <c r="G265" s="418"/>
      <c r="H265" s="418"/>
      <c r="I265" s="418"/>
      <c r="J265" s="418"/>
      <c r="K265" s="418"/>
      <c r="L265" s="418"/>
      <c r="M265" s="418"/>
      <c r="N265" s="418"/>
      <c r="O265" s="418"/>
      <c r="P265" s="418"/>
      <c r="Q265" s="418"/>
      <c r="R265" s="418"/>
      <c r="S265" s="418"/>
      <c r="T265" s="418"/>
      <c r="U265" s="418"/>
      <c r="V265" s="418"/>
      <c r="W265" s="418"/>
      <c r="X265" s="418"/>
      <c r="Y265" s="418"/>
      <c r="Z265" s="418"/>
      <c r="AA265" s="418"/>
      <c r="AB265" s="418"/>
      <c r="AC265" s="418"/>
      <c r="AD265" s="418"/>
      <c r="AE265" s="418"/>
      <c r="AF265" s="418"/>
      <c r="AG265" s="418"/>
      <c r="AH265" s="1200" t="s">
        <v>1958</v>
      </c>
      <c r="AI265" s="418"/>
      <c r="AJ265" s="418"/>
      <c r="AK265" s="418"/>
      <c r="AL265" s="418"/>
      <c r="AM265" s="418"/>
      <c r="AO265" s="418"/>
    </row>
    <row r="266" spans="1:52" ht="14.25" customHeight="1">
      <c r="A266" s="1200"/>
      <c r="AI266" s="419"/>
      <c r="AJ266" s="418"/>
      <c r="AK266" s="418"/>
      <c r="AL266" s="418"/>
      <c r="AM266" s="418"/>
      <c r="AO266" s="418"/>
    </row>
    <row r="267" spans="1:52" ht="13.75" customHeight="1">
      <c r="A267" s="418"/>
      <c r="B267" s="458"/>
      <c r="C267" s="1888" t="s">
        <v>837</v>
      </c>
      <c r="D267" s="1888"/>
      <c r="E267" s="415"/>
      <c r="F267" s="2045" t="s">
        <v>2093</v>
      </c>
      <c r="G267" s="2046"/>
      <c r="H267" s="2046"/>
      <c r="I267" s="2046"/>
      <c r="J267" s="2046"/>
      <c r="K267" s="2046"/>
      <c r="L267" s="2046"/>
      <c r="M267" s="2046"/>
      <c r="N267" s="2046"/>
      <c r="O267" s="2046"/>
      <c r="P267" s="2046"/>
      <c r="Q267" s="2046"/>
      <c r="R267" s="2046"/>
      <c r="S267" s="2046"/>
      <c r="T267" s="2046"/>
      <c r="U267" s="2046"/>
      <c r="V267" s="2046"/>
      <c r="W267" s="2046"/>
      <c r="X267" s="2046"/>
      <c r="Y267" s="2046"/>
      <c r="Z267" s="2046"/>
      <c r="AA267" s="2046"/>
      <c r="AB267" s="2046"/>
      <c r="AC267" s="2046"/>
      <c r="AD267" s="2047"/>
      <c r="AE267" s="418"/>
      <c r="AF267" s="495"/>
      <c r="AG267" s="1889" t="s">
        <v>2031</v>
      </c>
      <c r="AH267" s="1889"/>
      <c r="AI267" s="1889"/>
      <c r="AJ267" s="1889"/>
      <c r="AK267" s="418"/>
      <c r="AL267" s="418"/>
      <c r="AM267" s="418"/>
      <c r="AO267" s="418"/>
    </row>
    <row r="268" spans="1:52" ht="13.75" customHeight="1">
      <c r="A268" s="418"/>
      <c r="B268" s="458"/>
      <c r="C268" s="496"/>
      <c r="D268" s="418"/>
      <c r="E268" s="415"/>
      <c r="F268" s="2048"/>
      <c r="G268" s="2049"/>
      <c r="H268" s="2049"/>
      <c r="I268" s="2049"/>
      <c r="J268" s="2049"/>
      <c r="K268" s="2049"/>
      <c r="L268" s="2049"/>
      <c r="M268" s="2049"/>
      <c r="N268" s="2049"/>
      <c r="O268" s="2049"/>
      <c r="P268" s="2049"/>
      <c r="Q268" s="2049"/>
      <c r="R268" s="2049"/>
      <c r="S268" s="2049"/>
      <c r="T268" s="2049"/>
      <c r="U268" s="2049"/>
      <c r="V268" s="2049"/>
      <c r="W268" s="2049"/>
      <c r="X268" s="2049"/>
      <c r="Y268" s="2049"/>
      <c r="Z268" s="2049"/>
      <c r="AA268" s="2049"/>
      <c r="AB268" s="2049"/>
      <c r="AC268" s="2049"/>
      <c r="AD268" s="2050"/>
      <c r="AE268" s="418"/>
      <c r="AF268" s="495"/>
      <c r="AG268" s="495"/>
      <c r="AH268" s="495"/>
      <c r="AI268" s="495"/>
      <c r="AJ268" s="418"/>
      <c r="AK268" s="418"/>
      <c r="AL268" s="418"/>
      <c r="AM268" s="418"/>
      <c r="AO268" s="418"/>
    </row>
    <row r="269" spans="1:52">
      <c r="A269" s="418"/>
      <c r="B269" s="458"/>
      <c r="C269" s="496"/>
      <c r="D269" s="418"/>
      <c r="E269" s="415"/>
      <c r="F269" s="2048"/>
      <c r="G269" s="2049"/>
      <c r="H269" s="2049"/>
      <c r="I269" s="2049"/>
      <c r="J269" s="2049"/>
      <c r="K269" s="2049"/>
      <c r="L269" s="2049"/>
      <c r="M269" s="2049"/>
      <c r="N269" s="2049"/>
      <c r="O269" s="2049"/>
      <c r="P269" s="2049"/>
      <c r="Q269" s="2049"/>
      <c r="R269" s="2049"/>
      <c r="S269" s="2049"/>
      <c r="T269" s="2049"/>
      <c r="U269" s="2049"/>
      <c r="V269" s="2049"/>
      <c r="W269" s="2049"/>
      <c r="X269" s="2049"/>
      <c r="Y269" s="2049"/>
      <c r="Z269" s="2049"/>
      <c r="AA269" s="2049"/>
      <c r="AB269" s="2049"/>
      <c r="AC269" s="2049"/>
      <c r="AD269" s="2050"/>
      <c r="AE269" s="418"/>
      <c r="AF269" s="495"/>
      <c r="AG269" s="495"/>
      <c r="AH269" s="495"/>
      <c r="AI269" s="495"/>
      <c r="AJ269" s="418"/>
      <c r="AK269" s="418"/>
      <c r="AL269" s="418"/>
      <c r="AM269" s="418"/>
      <c r="AO269" s="418"/>
      <c r="AP269" s="497"/>
    </row>
    <row r="270" spans="1:52">
      <c r="A270" s="418"/>
      <c r="B270" s="458"/>
      <c r="C270" s="496"/>
      <c r="D270" s="418"/>
      <c r="E270" s="415"/>
      <c r="F270" s="2048"/>
      <c r="G270" s="2049"/>
      <c r="H270" s="2049"/>
      <c r="I270" s="2049"/>
      <c r="J270" s="2049"/>
      <c r="K270" s="2049"/>
      <c r="L270" s="2049"/>
      <c r="M270" s="2049"/>
      <c r="N270" s="2049"/>
      <c r="O270" s="2049"/>
      <c r="P270" s="2049"/>
      <c r="Q270" s="2049"/>
      <c r="R270" s="2049"/>
      <c r="S270" s="2049"/>
      <c r="T270" s="2049"/>
      <c r="U270" s="2049"/>
      <c r="V270" s="2049"/>
      <c r="W270" s="2049"/>
      <c r="X270" s="2049"/>
      <c r="Y270" s="2049"/>
      <c r="Z270" s="2049"/>
      <c r="AA270" s="2049"/>
      <c r="AB270" s="2049"/>
      <c r="AC270" s="2049"/>
      <c r="AD270" s="2050"/>
      <c r="AE270" s="418"/>
      <c r="AF270" s="495"/>
      <c r="AG270" s="495"/>
      <c r="AH270" s="495"/>
      <c r="AI270" s="495"/>
      <c r="AJ270" s="418"/>
      <c r="AK270" s="418"/>
      <c r="AL270" s="418"/>
      <c r="AM270" s="418"/>
      <c r="AO270" s="418"/>
      <c r="AP270" s="497"/>
    </row>
    <row r="271" spans="1:52" ht="13.75" customHeight="1">
      <c r="A271" s="418"/>
      <c r="B271" s="458"/>
      <c r="C271" s="1890"/>
      <c r="D271" s="1890"/>
      <c r="E271" s="415"/>
      <c r="F271" s="2051"/>
      <c r="G271" s="2052"/>
      <c r="H271" s="2052"/>
      <c r="I271" s="2052"/>
      <c r="J271" s="2052"/>
      <c r="K271" s="2052"/>
      <c r="L271" s="2052"/>
      <c r="M271" s="2052"/>
      <c r="N271" s="2052"/>
      <c r="O271" s="2052"/>
      <c r="P271" s="2052"/>
      <c r="Q271" s="2052"/>
      <c r="R271" s="2052"/>
      <c r="S271" s="2052"/>
      <c r="T271" s="2052"/>
      <c r="U271" s="2052"/>
      <c r="V271" s="2052"/>
      <c r="W271" s="2052"/>
      <c r="X271" s="2052"/>
      <c r="Y271" s="2052"/>
      <c r="Z271" s="2052"/>
      <c r="AA271" s="2052"/>
      <c r="AB271" s="2052"/>
      <c r="AC271" s="2052"/>
      <c r="AD271" s="2053"/>
      <c r="AE271" s="418"/>
      <c r="AF271" s="495"/>
      <c r="AG271" s="1889"/>
      <c r="AH271" s="1889"/>
      <c r="AI271" s="1889"/>
      <c r="AJ271" s="1889"/>
      <c r="AK271" s="418"/>
      <c r="AL271" s="418"/>
      <c r="AM271" s="418"/>
    </row>
    <row r="272" spans="1:52" ht="13.75" hidden="1" customHeight="1">
      <c r="A272" s="418"/>
      <c r="C272" s="465"/>
      <c r="D272" s="465"/>
      <c r="E272" s="465"/>
      <c r="F272" s="832"/>
      <c r="G272" s="833"/>
      <c r="H272" s="833"/>
      <c r="I272" s="833"/>
      <c r="J272" s="833"/>
      <c r="K272" s="833"/>
      <c r="L272" s="833"/>
      <c r="M272" s="833"/>
      <c r="N272" s="833"/>
      <c r="O272" s="833"/>
      <c r="P272" s="833"/>
      <c r="Q272" s="833"/>
      <c r="R272" s="833"/>
      <c r="S272" s="833"/>
      <c r="T272" s="833"/>
      <c r="U272" s="833"/>
      <c r="V272" s="833"/>
      <c r="W272" s="833"/>
      <c r="X272" s="833"/>
      <c r="Y272" s="833"/>
      <c r="Z272" s="833"/>
      <c r="AA272" s="833"/>
      <c r="AB272" s="833"/>
      <c r="AC272" s="833"/>
      <c r="AD272" s="834"/>
      <c r="AE272" s="465"/>
      <c r="AF272" s="465"/>
      <c r="AG272" s="465"/>
      <c r="AH272" s="465"/>
      <c r="AI272" s="495"/>
      <c r="AJ272" s="418"/>
      <c r="AK272" s="418"/>
      <c r="AL272" s="418"/>
      <c r="AM272" s="418"/>
    </row>
    <row r="273" spans="1:49">
      <c r="A273" s="418"/>
      <c r="B273" s="465"/>
      <c r="C273" s="465"/>
      <c r="D273" s="465"/>
      <c r="E273" s="465"/>
      <c r="F273" s="465"/>
      <c r="G273" s="465"/>
      <c r="H273" s="465"/>
      <c r="I273" s="465"/>
      <c r="J273" s="465"/>
      <c r="K273" s="465"/>
      <c r="L273" s="465"/>
      <c r="M273" s="465"/>
      <c r="N273" s="465"/>
      <c r="O273" s="465"/>
      <c r="P273" s="465"/>
      <c r="Q273" s="465"/>
      <c r="R273" s="465"/>
      <c r="S273" s="465"/>
      <c r="T273" s="465"/>
      <c r="U273" s="465"/>
      <c r="V273" s="465"/>
      <c r="W273" s="465"/>
      <c r="X273" s="465"/>
      <c r="Y273" s="465"/>
      <c r="Z273" s="465"/>
      <c r="AA273" s="465"/>
      <c r="AB273" s="465"/>
      <c r="AC273" s="465"/>
      <c r="AD273" s="465"/>
      <c r="AE273" s="465"/>
      <c r="AF273" s="465"/>
      <c r="AG273" s="465"/>
      <c r="AH273" s="465"/>
      <c r="AI273" s="465"/>
      <c r="AJ273" s="465"/>
      <c r="AK273" s="465"/>
      <c r="AL273" s="418"/>
      <c r="AM273" s="418"/>
      <c r="AN273" s="44"/>
    </row>
    <row r="274" spans="1:49" ht="13">
      <c r="A274" s="467"/>
      <c r="B274" s="430"/>
      <c r="C274" s="430"/>
      <c r="D274" s="430"/>
      <c r="E274" s="430"/>
      <c r="F274" s="430"/>
      <c r="G274" s="430"/>
      <c r="H274" s="430"/>
      <c r="I274" s="430"/>
      <c r="J274" s="430"/>
      <c r="K274" s="430"/>
      <c r="L274" s="430"/>
      <c r="M274" s="430"/>
      <c r="N274" s="430"/>
      <c r="O274" s="430"/>
      <c r="P274" s="430"/>
      <c r="Q274" s="430"/>
      <c r="R274" s="430"/>
      <c r="S274" s="430"/>
      <c r="T274" s="430"/>
      <c r="U274" s="430"/>
      <c r="V274" s="430"/>
      <c r="W274" s="430"/>
      <c r="X274" s="430"/>
      <c r="Y274" s="430"/>
      <c r="Z274" s="430"/>
      <c r="AA274" s="430"/>
      <c r="AB274" s="430"/>
      <c r="AC274" s="430"/>
      <c r="AD274" s="430"/>
      <c r="AE274" s="430"/>
      <c r="AF274" s="430"/>
      <c r="AG274" s="430"/>
      <c r="AH274" s="430"/>
      <c r="AI274" s="431"/>
      <c r="AJ274" s="431" t="s">
        <v>2094</v>
      </c>
      <c r="AK274" s="1896">
        <f>IF($C$267="yes",10,0)</f>
        <v>10</v>
      </c>
      <c r="AL274" s="1896"/>
      <c r="AM274" s="1897"/>
      <c r="AN274" s="44"/>
    </row>
    <row r="275" spans="1:49" ht="13" thickBot="1"/>
    <row r="276" spans="1:49" ht="13" thickTop="1">
      <c r="A276" s="498"/>
      <c r="B276" s="498"/>
      <c r="C276" s="498"/>
      <c r="D276" s="498"/>
      <c r="E276" s="498"/>
      <c r="F276" s="498"/>
      <c r="G276" s="498"/>
      <c r="H276" s="498"/>
      <c r="I276" s="498"/>
      <c r="J276" s="498"/>
      <c r="K276" s="498"/>
      <c r="L276" s="498"/>
      <c r="M276" s="498"/>
      <c r="N276" s="498"/>
      <c r="O276" s="498"/>
      <c r="P276" s="498"/>
      <c r="Q276" s="498"/>
      <c r="R276" s="498"/>
      <c r="S276" s="498"/>
      <c r="T276" s="498"/>
      <c r="U276" s="498"/>
      <c r="V276" s="498"/>
      <c r="W276" s="498"/>
      <c r="X276" s="498"/>
      <c r="Y276" s="498"/>
      <c r="Z276" s="498"/>
      <c r="AA276" s="498"/>
      <c r="AB276" s="498"/>
      <c r="AC276" s="498"/>
      <c r="AD276" s="498"/>
      <c r="AE276" s="498"/>
      <c r="AF276" s="498"/>
      <c r="AG276" s="498"/>
      <c r="AH276" s="498"/>
      <c r="AI276" s="498"/>
      <c r="AJ276" s="498"/>
      <c r="AK276" s="498"/>
      <c r="AL276" s="498"/>
      <c r="AM276" s="499"/>
    </row>
    <row r="277" spans="1:49" ht="13">
      <c r="A277" s="407" t="s">
        <v>2095</v>
      </c>
      <c r="B277" s="407" t="s">
        <v>2096</v>
      </c>
      <c r="AH277" s="1200" t="s">
        <v>1958</v>
      </c>
    </row>
    <row r="278" spans="1:49" ht="15" customHeight="1">
      <c r="B278" s="408"/>
    </row>
    <row r="279" spans="1:49" ht="15" customHeight="1">
      <c r="B279" s="408" t="s">
        <v>1959</v>
      </c>
    </row>
    <row r="280" spans="1:49" ht="13">
      <c r="B280" s="418"/>
      <c r="C280" s="1193"/>
      <c r="D280" s="418"/>
      <c r="E280" s="418"/>
      <c r="F280" s="418"/>
      <c r="G280" s="418"/>
      <c r="H280" s="418"/>
      <c r="I280" s="418"/>
      <c r="J280" s="418"/>
      <c r="K280" s="418"/>
      <c r="L280" s="418"/>
      <c r="M280" s="418"/>
      <c r="N280" s="418"/>
      <c r="O280" s="418"/>
      <c r="P280" s="418"/>
      <c r="Q280" s="418"/>
      <c r="R280" s="418"/>
      <c r="S280" s="418"/>
      <c r="T280" s="418"/>
      <c r="U280" s="418"/>
      <c r="V280" s="418"/>
      <c r="W280" s="418"/>
      <c r="X280" s="418"/>
      <c r="Y280" s="418"/>
      <c r="Z280" s="418"/>
      <c r="AA280" s="418"/>
      <c r="AB280" s="418"/>
      <c r="AC280" s="418"/>
      <c r="AD280" s="418"/>
      <c r="AG280" s="418"/>
      <c r="AI280" s="418"/>
      <c r="AJ280" s="418"/>
      <c r="AK280" s="418"/>
      <c r="AL280" s="418"/>
      <c r="AM280" s="418"/>
      <c r="AN280" s="44"/>
      <c r="AO280" s="12"/>
      <c r="AP280" s="436"/>
      <c r="AQ280" s="500"/>
      <c r="AR280" s="436"/>
      <c r="AS280" s="436"/>
      <c r="AT280" s="436"/>
      <c r="AU280" s="436"/>
      <c r="AV280" s="26"/>
      <c r="AW280" s="26"/>
    </row>
    <row r="281" spans="1:49" ht="12.75" customHeight="1">
      <c r="A281" s="1600" t="s">
        <v>2097</v>
      </c>
      <c r="B281" s="1600"/>
      <c r="C281" s="1884" t="s">
        <v>299</v>
      </c>
      <c r="D281" s="1888"/>
      <c r="E281" s="415"/>
      <c r="F281" s="1916" t="s">
        <v>2098</v>
      </c>
      <c r="G281" s="1917"/>
      <c r="H281" s="1917"/>
      <c r="I281" s="1917"/>
      <c r="J281" s="1917"/>
      <c r="K281" s="1917"/>
      <c r="L281" s="1917"/>
      <c r="M281" s="1917"/>
      <c r="N281" s="1917"/>
      <c r="O281" s="1917"/>
      <c r="P281" s="1917"/>
      <c r="Q281" s="1917"/>
      <c r="R281" s="1917"/>
      <c r="S281" s="1917"/>
      <c r="T281" s="1917"/>
      <c r="U281" s="1917"/>
      <c r="V281" s="1917"/>
      <c r="W281" s="1917"/>
      <c r="X281" s="1917"/>
      <c r="Y281" s="1917"/>
      <c r="Z281" s="1917"/>
      <c r="AA281" s="1917"/>
      <c r="AB281" s="1917"/>
      <c r="AC281" s="1917"/>
      <c r="AD281" s="1918"/>
      <c r="AE281" s="501"/>
      <c r="AF281" s="418"/>
      <c r="AG281" s="1919" t="s">
        <v>2099</v>
      </c>
      <c r="AH281" s="1919"/>
      <c r="AI281" s="1919"/>
      <c r="AJ281" s="1919"/>
      <c r="AK281" s="1919"/>
      <c r="AL281" s="418"/>
      <c r="AM281" s="418"/>
      <c r="AN281" s="44"/>
      <c r="AO281" s="12"/>
      <c r="AP281" s="24"/>
      <c r="AS281" s="436"/>
      <c r="AT281" s="436"/>
      <c r="AU281" s="436"/>
      <c r="AV281" s="26"/>
      <c r="AW281" s="26"/>
    </row>
    <row r="282" spans="1:49" ht="13">
      <c r="A282" s="1193"/>
      <c r="B282" s="458"/>
      <c r="F282" s="1910"/>
      <c r="G282" s="1911"/>
      <c r="H282" s="1911"/>
      <c r="I282" s="1911"/>
      <c r="J282" s="1911"/>
      <c r="K282" s="1911"/>
      <c r="L282" s="1911"/>
      <c r="M282" s="1911"/>
      <c r="N282" s="1911"/>
      <c r="O282" s="1911"/>
      <c r="P282" s="1911"/>
      <c r="Q282" s="1911"/>
      <c r="R282" s="1911"/>
      <c r="S282" s="1911"/>
      <c r="T282" s="1911"/>
      <c r="U282" s="1911"/>
      <c r="V282" s="1911"/>
      <c r="W282" s="1911"/>
      <c r="X282" s="1911"/>
      <c r="Y282" s="1911"/>
      <c r="Z282" s="1911"/>
      <c r="AA282" s="1911"/>
      <c r="AB282" s="1911"/>
      <c r="AC282" s="1911"/>
      <c r="AD282" s="1912"/>
      <c r="AE282" s="501"/>
      <c r="AF282" s="419"/>
      <c r="AH282" s="419"/>
      <c r="AI282" s="419"/>
      <c r="AJ282" s="418"/>
      <c r="AK282" s="418"/>
      <c r="AL282" s="418"/>
      <c r="AM282" s="418"/>
      <c r="AN282" s="44"/>
      <c r="AO282" s="12"/>
      <c r="AP282" s="418">
        <f>IF($C$281="yes",10,IF(C281="50% Met",9,0))</f>
        <v>0</v>
      </c>
      <c r="AS282" s="436"/>
      <c r="AT282" s="436"/>
      <c r="AU282" s="436"/>
      <c r="AV282" s="26"/>
      <c r="AW282" s="26"/>
    </row>
    <row r="283" spans="1:49" ht="15" customHeight="1">
      <c r="A283" s="1193"/>
      <c r="B283" s="458"/>
      <c r="F283" s="1910"/>
      <c r="G283" s="1911"/>
      <c r="H283" s="1911"/>
      <c r="I283" s="1911"/>
      <c r="J283" s="1911"/>
      <c r="K283" s="1911"/>
      <c r="L283" s="1911"/>
      <c r="M283" s="1911"/>
      <c r="N283" s="1911"/>
      <c r="O283" s="1911"/>
      <c r="P283" s="1911"/>
      <c r="Q283" s="1911"/>
      <c r="R283" s="1911"/>
      <c r="S283" s="1911"/>
      <c r="T283" s="1911"/>
      <c r="U283" s="1911"/>
      <c r="V283" s="1911"/>
      <c r="W283" s="1911"/>
      <c r="X283" s="1911"/>
      <c r="Y283" s="1911"/>
      <c r="Z283" s="1911"/>
      <c r="AA283" s="1911"/>
      <c r="AB283" s="1911"/>
      <c r="AC283" s="1911"/>
      <c r="AD283" s="1912"/>
      <c r="AE283" s="501"/>
      <c r="AF283" s="419"/>
      <c r="AH283" s="419"/>
      <c r="AI283" s="419"/>
      <c r="AJ283" s="418"/>
      <c r="AK283" s="418"/>
      <c r="AL283" s="418"/>
      <c r="AM283" s="418"/>
      <c r="AN283" s="44"/>
      <c r="AO283" s="12"/>
      <c r="AP283" s="418">
        <f>IF($C$291="yes",9,0)</f>
        <v>9</v>
      </c>
      <c r="AS283" s="436"/>
      <c r="AT283" s="436"/>
      <c r="AU283" s="436"/>
      <c r="AV283" s="26"/>
      <c r="AW283" s="26"/>
    </row>
    <row r="284" spans="1:49" ht="12.75" customHeight="1">
      <c r="A284" s="1193"/>
      <c r="B284" s="458"/>
      <c r="F284" s="1910" t="s">
        <v>2100</v>
      </c>
      <c r="G284" s="1911"/>
      <c r="H284" s="1911"/>
      <c r="I284" s="1911"/>
      <c r="J284" s="1911"/>
      <c r="K284" s="1911"/>
      <c r="L284" s="1911"/>
      <c r="M284" s="1911"/>
      <c r="N284" s="1911"/>
      <c r="O284" s="1911"/>
      <c r="P284" s="1911"/>
      <c r="Q284" s="1911"/>
      <c r="R284" s="1911"/>
      <c r="S284" s="1911"/>
      <c r="T284" s="1911"/>
      <c r="U284" s="1911"/>
      <c r="V284" s="1911"/>
      <c r="W284" s="1911"/>
      <c r="X284" s="1911"/>
      <c r="Y284" s="1911"/>
      <c r="Z284" s="1911"/>
      <c r="AA284" s="1911"/>
      <c r="AB284" s="1911"/>
      <c r="AC284" s="1911"/>
      <c r="AD284" s="1912"/>
      <c r="AE284" s="501"/>
      <c r="AF284" s="419"/>
      <c r="AH284" s="419"/>
      <c r="AI284" s="419"/>
      <c r="AJ284" s="418"/>
      <c r="AK284" s="418"/>
      <c r="AL284" s="418"/>
      <c r="AM284" s="418"/>
      <c r="AN284" s="44"/>
      <c r="AO284" s="12"/>
      <c r="AP284" s="472">
        <f>MAX(AP282,AP283)</f>
        <v>9</v>
      </c>
      <c r="AQ284" s="439" t="s">
        <v>1962</v>
      </c>
      <c r="AS284" s="436"/>
      <c r="AT284" s="436"/>
      <c r="AU284" s="436"/>
      <c r="AV284" s="26"/>
      <c r="AW284" s="26"/>
    </row>
    <row r="285" spans="1:49" ht="13">
      <c r="A285" s="1193"/>
      <c r="B285" s="458"/>
      <c r="F285" s="1910"/>
      <c r="G285" s="1911"/>
      <c r="H285" s="1911"/>
      <c r="I285" s="1911"/>
      <c r="J285" s="1911"/>
      <c r="K285" s="1911"/>
      <c r="L285" s="1911"/>
      <c r="M285" s="1911"/>
      <c r="N285" s="1911"/>
      <c r="O285" s="1911"/>
      <c r="P285" s="1911"/>
      <c r="Q285" s="1911"/>
      <c r="R285" s="1911"/>
      <c r="S285" s="1911"/>
      <c r="T285" s="1911"/>
      <c r="U285" s="1911"/>
      <c r="V285" s="1911"/>
      <c r="W285" s="1911"/>
      <c r="X285" s="1911"/>
      <c r="Y285" s="1911"/>
      <c r="Z285" s="1911"/>
      <c r="AA285" s="1911"/>
      <c r="AB285" s="1911"/>
      <c r="AC285" s="1911"/>
      <c r="AD285" s="1912"/>
      <c r="AE285" s="501"/>
      <c r="AF285" s="419"/>
      <c r="AH285" s="419"/>
      <c r="AI285" s="419"/>
      <c r="AJ285" s="418"/>
      <c r="AK285" s="418"/>
      <c r="AL285" s="418"/>
      <c r="AM285" s="418"/>
      <c r="AN285" s="44"/>
      <c r="AO285" s="12"/>
      <c r="AP285" s="418"/>
      <c r="AS285" s="436"/>
      <c r="AT285" s="436"/>
      <c r="AU285" s="436"/>
      <c r="AV285" s="26"/>
      <c r="AW285" s="26"/>
    </row>
    <row r="286" spans="1:49" ht="12.75" customHeight="1">
      <c r="A286" s="418"/>
      <c r="B286" s="419"/>
      <c r="C286" s="418"/>
      <c r="D286" s="419"/>
      <c r="E286" s="418"/>
      <c r="F286" s="1910" t="s">
        <v>2101</v>
      </c>
      <c r="G286" s="1911"/>
      <c r="H286" s="1911"/>
      <c r="I286" s="1911"/>
      <c r="J286" s="1911"/>
      <c r="K286" s="1911"/>
      <c r="L286" s="1911"/>
      <c r="M286" s="1911"/>
      <c r="N286" s="1911"/>
      <c r="O286" s="1911"/>
      <c r="P286" s="1911"/>
      <c r="Q286" s="1911"/>
      <c r="R286" s="1911"/>
      <c r="S286" s="1911"/>
      <c r="T286" s="1911"/>
      <c r="U286" s="1911"/>
      <c r="V286" s="1911"/>
      <c r="W286" s="1911"/>
      <c r="X286" s="1911"/>
      <c r="Y286" s="1911"/>
      <c r="Z286" s="1911"/>
      <c r="AA286" s="1911"/>
      <c r="AB286" s="1911"/>
      <c r="AC286" s="1911"/>
      <c r="AD286" s="1912"/>
      <c r="AE286" s="501"/>
      <c r="AF286" s="419"/>
      <c r="AG286" s="419"/>
      <c r="AH286" s="419"/>
      <c r="AI286" s="419"/>
      <c r="AJ286" s="418"/>
      <c r="AK286" s="418"/>
      <c r="AL286" s="418"/>
      <c r="AM286" s="418"/>
      <c r="AN286" s="44"/>
      <c r="AO286" s="12"/>
      <c r="AS286" s="436"/>
      <c r="AT286" s="436"/>
      <c r="AU286" s="436"/>
      <c r="AV286" s="26"/>
      <c r="AW286" s="26"/>
    </row>
    <row r="287" spans="1:49" ht="15" customHeight="1">
      <c r="A287" s="418"/>
      <c r="B287" s="419"/>
      <c r="C287" s="419"/>
      <c r="D287" s="419"/>
      <c r="E287" s="419"/>
      <c r="F287" s="1910"/>
      <c r="G287" s="1911"/>
      <c r="H287" s="1911"/>
      <c r="I287" s="1911"/>
      <c r="J287" s="1911"/>
      <c r="K287" s="1911"/>
      <c r="L287" s="1911"/>
      <c r="M287" s="1911"/>
      <c r="N287" s="1911"/>
      <c r="O287" s="1911"/>
      <c r="P287" s="1911"/>
      <c r="Q287" s="1911"/>
      <c r="R287" s="1911"/>
      <c r="S287" s="1911"/>
      <c r="T287" s="1911"/>
      <c r="U287" s="1911"/>
      <c r="V287" s="1911"/>
      <c r="W287" s="1911"/>
      <c r="X287" s="1911"/>
      <c r="Y287" s="1911"/>
      <c r="Z287" s="1911"/>
      <c r="AA287" s="1911"/>
      <c r="AB287" s="1911"/>
      <c r="AC287" s="1911"/>
      <c r="AD287" s="1912"/>
      <c r="AE287" s="501"/>
      <c r="AF287" s="419"/>
      <c r="AG287" s="419"/>
      <c r="AH287" s="419"/>
      <c r="AI287" s="419"/>
      <c r="AJ287" s="418"/>
      <c r="AK287" s="418"/>
      <c r="AL287" s="418"/>
      <c r="AM287" s="418"/>
      <c r="AN287" s="44"/>
      <c r="AO287" s="12"/>
      <c r="AS287" s="436"/>
      <c r="AT287" s="436"/>
      <c r="AU287" s="436"/>
      <c r="AV287" s="26"/>
      <c r="AW287" s="26"/>
    </row>
    <row r="288" spans="1:49" ht="12.75" customHeight="1">
      <c r="A288" s="418"/>
      <c r="B288" s="419"/>
      <c r="C288" s="419"/>
      <c r="D288" s="419"/>
      <c r="E288" s="419"/>
      <c r="F288" s="1910" t="s">
        <v>2102</v>
      </c>
      <c r="G288" s="1911"/>
      <c r="H288" s="1911"/>
      <c r="I288" s="1911"/>
      <c r="J288" s="1911"/>
      <c r="K288" s="1911"/>
      <c r="L288" s="1911"/>
      <c r="M288" s="1911"/>
      <c r="N288" s="1911"/>
      <c r="O288" s="1911"/>
      <c r="P288" s="1911"/>
      <c r="Q288" s="1911"/>
      <c r="R288" s="1911"/>
      <c r="S288" s="1911"/>
      <c r="T288" s="1911"/>
      <c r="U288" s="1911"/>
      <c r="V288" s="1911"/>
      <c r="W288" s="1911"/>
      <c r="X288" s="1911"/>
      <c r="Y288" s="1911"/>
      <c r="Z288" s="1911"/>
      <c r="AA288" s="1911"/>
      <c r="AB288" s="1911"/>
      <c r="AC288" s="1911"/>
      <c r="AD288" s="1912"/>
      <c r="AE288" s="1196"/>
      <c r="AF288" s="419"/>
      <c r="AG288" s="419"/>
      <c r="AH288" s="419"/>
      <c r="AI288" s="419"/>
      <c r="AJ288" s="418"/>
      <c r="AK288" s="418"/>
      <c r="AL288" s="418"/>
      <c r="AM288" s="418"/>
      <c r="AN288" s="44"/>
      <c r="AO288" s="12"/>
      <c r="AP288" s="418"/>
      <c r="AS288" s="436"/>
      <c r="AT288" s="436"/>
      <c r="AU288" s="436"/>
      <c r="AV288" s="26"/>
      <c r="AW288" s="26"/>
    </row>
    <row r="289" spans="1:49">
      <c r="A289" s="418"/>
      <c r="B289" s="419"/>
      <c r="C289" s="419"/>
      <c r="D289" s="419"/>
      <c r="E289" s="419"/>
      <c r="F289" s="1913"/>
      <c r="G289" s="1914"/>
      <c r="H289" s="1914"/>
      <c r="I289" s="1914"/>
      <c r="J289" s="1914"/>
      <c r="K289" s="1914"/>
      <c r="L289" s="1914"/>
      <c r="M289" s="1914"/>
      <c r="N289" s="1914"/>
      <c r="O289" s="1914"/>
      <c r="P289" s="1914"/>
      <c r="Q289" s="1914"/>
      <c r="R289" s="1914"/>
      <c r="S289" s="1914"/>
      <c r="T289" s="1914"/>
      <c r="U289" s="1914"/>
      <c r="V289" s="1914"/>
      <c r="W289" s="1914"/>
      <c r="X289" s="1914"/>
      <c r="Y289" s="1914"/>
      <c r="Z289" s="1914"/>
      <c r="AA289" s="1914"/>
      <c r="AB289" s="1914"/>
      <c r="AC289" s="1914"/>
      <c r="AD289" s="1915"/>
      <c r="AE289" s="1196"/>
      <c r="AF289" s="419"/>
      <c r="AG289" s="419"/>
      <c r="AH289" s="419"/>
      <c r="AI289" s="419"/>
      <c r="AJ289" s="418"/>
      <c r="AK289" s="418"/>
      <c r="AL289" s="418"/>
      <c r="AM289" s="418"/>
      <c r="AN289" s="44"/>
      <c r="AO289" s="12"/>
      <c r="AP289" s="418"/>
      <c r="AS289" s="436"/>
      <c r="AT289" s="436"/>
      <c r="AU289" s="436"/>
      <c r="AV289" s="26"/>
      <c r="AW289" s="26"/>
    </row>
    <row r="290" spans="1:49">
      <c r="A290" s="418"/>
      <c r="B290" s="419"/>
      <c r="C290" s="419"/>
      <c r="D290" s="419"/>
      <c r="E290" s="419"/>
      <c r="F290" s="1196"/>
      <c r="G290" s="1196"/>
      <c r="H290" s="1196"/>
      <c r="I290" s="1196"/>
      <c r="J290" s="1196"/>
      <c r="K290" s="1196"/>
      <c r="L290" s="1196"/>
      <c r="M290" s="1196"/>
      <c r="N290" s="1196"/>
      <c r="O290" s="1196"/>
      <c r="P290" s="1196"/>
      <c r="Q290" s="1196"/>
      <c r="R290" s="1196"/>
      <c r="S290" s="1196"/>
      <c r="T290" s="1196"/>
      <c r="U290" s="1196"/>
      <c r="V290" s="1196"/>
      <c r="W290" s="1196"/>
      <c r="X290" s="1196"/>
      <c r="Y290" s="1196"/>
      <c r="Z290" s="1196"/>
      <c r="AA290" s="1196"/>
      <c r="AB290" s="1196"/>
      <c r="AC290" s="1196"/>
      <c r="AD290" s="1196"/>
      <c r="AE290" s="419"/>
      <c r="AF290" s="419"/>
      <c r="AG290" s="419"/>
      <c r="AH290" s="419"/>
      <c r="AI290" s="419"/>
      <c r="AJ290" s="418"/>
      <c r="AK290" s="418"/>
      <c r="AL290" s="418"/>
      <c r="AM290" s="418"/>
      <c r="AN290" s="44"/>
      <c r="AO290" s="12"/>
      <c r="AS290" s="436"/>
      <c r="AT290" s="436"/>
      <c r="AU290" s="436"/>
      <c r="AV290" s="26"/>
      <c r="AW290" s="26"/>
    </row>
    <row r="291" spans="1:49" ht="15" customHeight="1">
      <c r="A291" s="1600" t="s">
        <v>2103</v>
      </c>
      <c r="B291" s="1600"/>
      <c r="C291" s="1888" t="s">
        <v>837</v>
      </c>
      <c r="D291" s="1888"/>
      <c r="E291" s="415"/>
      <c r="F291" s="502" t="s">
        <v>2104</v>
      </c>
      <c r="G291" s="503"/>
      <c r="H291" s="503"/>
      <c r="I291" s="503"/>
      <c r="J291" s="503"/>
      <c r="K291" s="503"/>
      <c r="L291" s="503"/>
      <c r="M291" s="503"/>
      <c r="N291" s="503"/>
      <c r="O291" s="503"/>
      <c r="P291" s="503"/>
      <c r="Q291" s="503"/>
      <c r="R291" s="503"/>
      <c r="S291" s="503"/>
      <c r="T291" s="503"/>
      <c r="U291" s="503"/>
      <c r="V291" s="503"/>
      <c r="W291" s="503"/>
      <c r="X291" s="503"/>
      <c r="Y291" s="503"/>
      <c r="Z291" s="503"/>
      <c r="AA291" s="503"/>
      <c r="AB291" s="503"/>
      <c r="AC291" s="503"/>
      <c r="AD291" s="504"/>
      <c r="AE291" s="419"/>
      <c r="AF291" s="419"/>
      <c r="AG291" s="408" t="s">
        <v>2105</v>
      </c>
      <c r="AH291" s="419"/>
      <c r="AI291" s="419"/>
      <c r="AJ291" s="418"/>
      <c r="AK291" s="418"/>
      <c r="AL291" s="418"/>
      <c r="AM291" s="418"/>
      <c r="AN291" s="505"/>
      <c r="AO291" s="12"/>
    </row>
    <row r="292" spans="1:49">
      <c r="A292" s="418"/>
      <c r="B292" s="419"/>
      <c r="C292" s="418"/>
      <c r="D292" s="419"/>
      <c r="E292" s="418"/>
      <c r="F292" s="1822" t="s">
        <v>2106</v>
      </c>
      <c r="G292" s="1823"/>
      <c r="H292" s="1823"/>
      <c r="I292" s="1823"/>
      <c r="J292" s="1823"/>
      <c r="K292" s="1823"/>
      <c r="L292" s="1823"/>
      <c r="M292" s="1823"/>
      <c r="N292" s="1823"/>
      <c r="O292" s="1823"/>
      <c r="P292" s="1823"/>
      <c r="Q292" s="1823"/>
      <c r="R292" s="1823"/>
      <c r="S292" s="1823"/>
      <c r="T292" s="1823"/>
      <c r="U292" s="1823"/>
      <c r="V292" s="1823"/>
      <c r="W292" s="1823"/>
      <c r="X292" s="1823"/>
      <c r="Y292" s="1823"/>
      <c r="Z292" s="1823"/>
      <c r="AA292" s="1823"/>
      <c r="AB292" s="1823"/>
      <c r="AC292" s="1823"/>
      <c r="AD292" s="1824"/>
      <c r="AE292" s="419"/>
      <c r="AF292" s="419"/>
      <c r="AG292" s="419"/>
      <c r="AH292" s="419"/>
      <c r="AI292" s="419"/>
      <c r="AJ292" s="418"/>
      <c r="AK292" s="418"/>
      <c r="AL292" s="418"/>
      <c r="AM292" s="418"/>
      <c r="AR292" s="506"/>
    </row>
    <row r="293" spans="1:49" ht="15" customHeight="1">
      <c r="A293" s="418"/>
      <c r="B293" s="419"/>
      <c r="C293" s="418"/>
      <c r="D293" s="419"/>
      <c r="E293" s="418"/>
      <c r="F293" s="1822"/>
      <c r="G293" s="1823"/>
      <c r="H293" s="1823"/>
      <c r="I293" s="1823"/>
      <c r="J293" s="1823"/>
      <c r="K293" s="1823"/>
      <c r="L293" s="1823"/>
      <c r="M293" s="1823"/>
      <c r="N293" s="1823"/>
      <c r="O293" s="1823"/>
      <c r="P293" s="1823"/>
      <c r="Q293" s="1823"/>
      <c r="R293" s="1823"/>
      <c r="S293" s="1823"/>
      <c r="T293" s="1823"/>
      <c r="U293" s="1823"/>
      <c r="V293" s="1823"/>
      <c r="W293" s="1823"/>
      <c r="X293" s="1823"/>
      <c r="Y293" s="1823"/>
      <c r="Z293" s="1823"/>
      <c r="AA293" s="1823"/>
      <c r="AB293" s="1823"/>
      <c r="AC293" s="1823"/>
      <c r="AD293" s="1824"/>
      <c r="AE293" s="419"/>
      <c r="AF293" s="419"/>
      <c r="AG293" s="419"/>
      <c r="AH293" s="419"/>
      <c r="AI293" s="419"/>
      <c r="AJ293" s="418"/>
      <c r="AK293" s="418"/>
      <c r="AL293" s="418"/>
      <c r="AM293" s="418"/>
      <c r="AR293" s="506"/>
    </row>
    <row r="294" spans="1:49">
      <c r="A294" s="418"/>
      <c r="B294" s="419"/>
      <c r="C294" s="418"/>
      <c r="D294" s="419"/>
      <c r="E294" s="418"/>
      <c r="F294" s="1822"/>
      <c r="G294" s="1823"/>
      <c r="H294" s="1823"/>
      <c r="I294" s="1823"/>
      <c r="J294" s="1823"/>
      <c r="K294" s="1823"/>
      <c r="L294" s="1823"/>
      <c r="M294" s="1823"/>
      <c r="N294" s="1823"/>
      <c r="O294" s="1823"/>
      <c r="P294" s="1823"/>
      <c r="Q294" s="1823"/>
      <c r="R294" s="1823"/>
      <c r="S294" s="1823"/>
      <c r="T294" s="1823"/>
      <c r="U294" s="1823"/>
      <c r="V294" s="1823"/>
      <c r="W294" s="1823"/>
      <c r="X294" s="1823"/>
      <c r="Y294" s="1823"/>
      <c r="Z294" s="1823"/>
      <c r="AA294" s="1823"/>
      <c r="AB294" s="1823"/>
      <c r="AC294" s="1823"/>
      <c r="AD294" s="1824"/>
      <c r="AE294" s="419"/>
      <c r="AF294" s="419"/>
      <c r="AG294" s="419"/>
      <c r="AH294" s="419"/>
      <c r="AI294" s="419"/>
      <c r="AJ294" s="418"/>
      <c r="AK294" s="418"/>
      <c r="AL294" s="418"/>
      <c r="AM294" s="418"/>
      <c r="AP294" s="472"/>
      <c r="AQ294" s="439"/>
      <c r="AR294" s="506"/>
    </row>
    <row r="295" spans="1:49" ht="15" customHeight="1">
      <c r="A295" s="418"/>
      <c r="B295" s="419"/>
      <c r="C295" s="418"/>
      <c r="D295" s="419"/>
      <c r="E295" s="418"/>
      <c r="F295" s="1819"/>
      <c r="G295" s="1820"/>
      <c r="H295" s="1820"/>
      <c r="I295" s="1820"/>
      <c r="J295" s="1820"/>
      <c r="K295" s="1820"/>
      <c r="L295" s="1820"/>
      <c r="M295" s="1820"/>
      <c r="N295" s="1820"/>
      <c r="O295" s="1820"/>
      <c r="P295" s="1820"/>
      <c r="Q295" s="1820"/>
      <c r="R295" s="1820"/>
      <c r="S295" s="1820"/>
      <c r="T295" s="1820"/>
      <c r="U295" s="1820"/>
      <c r="V295" s="1820"/>
      <c r="W295" s="1820"/>
      <c r="X295" s="1820"/>
      <c r="Y295" s="1820"/>
      <c r="Z295" s="1820"/>
      <c r="AA295" s="1820"/>
      <c r="AB295" s="1820"/>
      <c r="AC295" s="1820"/>
      <c r="AD295" s="1821"/>
      <c r="AE295" s="419"/>
      <c r="AF295" s="419"/>
      <c r="AG295" s="419"/>
      <c r="AH295" s="419"/>
      <c r="AI295" s="419"/>
      <c r="AJ295" s="418"/>
      <c r="AK295" s="418"/>
      <c r="AL295" s="418"/>
      <c r="AM295" s="418"/>
      <c r="AP295" s="472"/>
      <c r="AQ295" s="439"/>
      <c r="AR295" s="506"/>
    </row>
    <row r="296" spans="1:49">
      <c r="A296" s="418"/>
      <c r="B296" s="419"/>
      <c r="C296" s="419"/>
      <c r="D296" s="419"/>
      <c r="E296" s="419"/>
      <c r="F296" s="419"/>
      <c r="G296" s="419"/>
      <c r="H296" s="419"/>
      <c r="I296" s="419"/>
      <c r="J296" s="419"/>
      <c r="K296" s="419"/>
      <c r="L296" s="419"/>
      <c r="M296" s="419"/>
      <c r="N296" s="419"/>
      <c r="O296" s="419"/>
      <c r="P296" s="419"/>
      <c r="Q296" s="419"/>
      <c r="R296" s="419"/>
      <c r="S296" s="419"/>
      <c r="T296" s="419"/>
      <c r="U296" s="419"/>
      <c r="V296" s="419"/>
      <c r="W296" s="419"/>
      <c r="X296" s="419"/>
      <c r="Y296" s="419"/>
      <c r="Z296" s="419"/>
      <c r="AA296" s="419"/>
      <c r="AB296" s="419"/>
      <c r="AC296" s="419"/>
      <c r="AD296" s="419"/>
      <c r="AE296" s="419"/>
      <c r="AF296" s="419"/>
      <c r="AG296" s="419"/>
      <c r="AH296" s="419"/>
      <c r="AI296" s="419"/>
      <c r="AJ296" s="418"/>
      <c r="AK296" s="418"/>
      <c r="AL296" s="418"/>
      <c r="AM296" s="418"/>
      <c r="AP296" s="472"/>
      <c r="AQ296" s="439"/>
      <c r="AR296" s="506"/>
    </row>
    <row r="297" spans="1:49" hidden="1">
      <c r="A297" s="418"/>
      <c r="B297" s="419"/>
      <c r="C297" s="419"/>
      <c r="D297" s="419"/>
      <c r="E297" s="419"/>
      <c r="F297" s="419"/>
      <c r="G297" s="419"/>
      <c r="H297" s="419"/>
      <c r="I297" s="419"/>
      <c r="J297" s="419"/>
      <c r="K297" s="419"/>
      <c r="L297" s="419"/>
      <c r="M297" s="419"/>
      <c r="N297" s="419"/>
      <c r="O297" s="419"/>
      <c r="P297" s="419"/>
      <c r="Q297" s="419"/>
      <c r="R297" s="419"/>
      <c r="S297" s="419"/>
      <c r="T297" s="419"/>
      <c r="U297" s="419"/>
      <c r="V297" s="419"/>
      <c r="W297" s="419"/>
      <c r="X297" s="419"/>
      <c r="Y297" s="419"/>
      <c r="Z297" s="419"/>
      <c r="AA297" s="419"/>
      <c r="AB297" s="419"/>
      <c r="AC297" s="419"/>
      <c r="AD297" s="419"/>
      <c r="AE297" s="419"/>
      <c r="AF297" s="419"/>
      <c r="AG297" s="419"/>
      <c r="AH297" s="419"/>
      <c r="AI297" s="419"/>
      <c r="AJ297" s="418"/>
      <c r="AK297" s="418"/>
      <c r="AL297" s="418"/>
      <c r="AM297" s="418"/>
      <c r="AP297" s="472"/>
      <c r="AQ297" s="439"/>
      <c r="AR297" s="506"/>
    </row>
    <row r="298" spans="1:49" hidden="1">
      <c r="A298" s="418"/>
      <c r="B298" s="419"/>
      <c r="C298" s="419"/>
      <c r="D298" s="419"/>
      <c r="E298" s="419"/>
      <c r="F298" s="419"/>
      <c r="G298" s="419"/>
      <c r="H298" s="419"/>
      <c r="I298" s="419"/>
      <c r="J298" s="419"/>
      <c r="K298" s="419"/>
      <c r="L298" s="419"/>
      <c r="M298" s="419"/>
      <c r="N298" s="419"/>
      <c r="O298" s="419"/>
      <c r="P298" s="419"/>
      <c r="Q298" s="419"/>
      <c r="R298" s="419"/>
      <c r="S298" s="419"/>
      <c r="T298" s="419"/>
      <c r="U298" s="419"/>
      <c r="V298" s="419"/>
      <c r="W298" s="419"/>
      <c r="X298" s="419"/>
      <c r="Y298" s="419"/>
      <c r="Z298" s="419"/>
      <c r="AA298" s="419"/>
      <c r="AB298" s="419"/>
      <c r="AC298" s="419"/>
      <c r="AD298" s="419"/>
      <c r="AE298" s="419"/>
      <c r="AF298" s="419"/>
      <c r="AG298" s="419"/>
      <c r="AH298" s="419"/>
      <c r="AI298" s="419"/>
      <c r="AJ298" s="418"/>
      <c r="AK298" s="418"/>
      <c r="AL298" s="418"/>
      <c r="AM298" s="418"/>
      <c r="AN298" s="44"/>
      <c r="AO298" s="12"/>
    </row>
    <row r="299" spans="1:49" ht="13" hidden="1">
      <c r="A299" s="1600" t="s">
        <v>2107</v>
      </c>
      <c r="B299" s="1600"/>
      <c r="C299" s="1888" t="s">
        <v>299</v>
      </c>
      <c r="D299" s="1888"/>
      <c r="E299" s="415"/>
      <c r="F299" s="502" t="s">
        <v>2108</v>
      </c>
      <c r="G299" s="507"/>
      <c r="H299" s="507"/>
      <c r="I299" s="507"/>
      <c r="J299" s="507"/>
      <c r="K299" s="507"/>
      <c r="L299" s="507"/>
      <c r="M299" s="507"/>
      <c r="N299" s="507"/>
      <c r="O299" s="507"/>
      <c r="P299" s="507"/>
      <c r="Q299" s="507"/>
      <c r="R299" s="507"/>
      <c r="S299" s="507"/>
      <c r="T299" s="507"/>
      <c r="U299" s="507"/>
      <c r="V299" s="507"/>
      <c r="W299" s="507"/>
      <c r="X299" s="507"/>
      <c r="Y299" s="507"/>
      <c r="Z299" s="507"/>
      <c r="AA299" s="507"/>
      <c r="AB299" s="507"/>
      <c r="AC299" s="507"/>
      <c r="AD299" s="508"/>
      <c r="AE299" s="419"/>
      <c r="AF299" s="419"/>
      <c r="AG299" s="408" t="s">
        <v>2105</v>
      </c>
      <c r="AH299" s="419"/>
      <c r="AI299" s="419"/>
      <c r="AJ299" s="418"/>
      <c r="AK299" s="418"/>
      <c r="AL299" s="418"/>
      <c r="AM299" s="418"/>
      <c r="AN299" s="44"/>
      <c r="AO299" s="12"/>
    </row>
    <row r="300" spans="1:49" ht="13" hidden="1">
      <c r="A300" s="1166"/>
      <c r="B300" s="1166"/>
      <c r="C300" s="1210"/>
      <c r="D300" s="1210"/>
      <c r="E300" s="415"/>
      <c r="F300" s="1910" t="s">
        <v>2109</v>
      </c>
      <c r="G300" s="1911"/>
      <c r="H300" s="1911"/>
      <c r="I300" s="1911"/>
      <c r="J300" s="1911"/>
      <c r="K300" s="1911"/>
      <c r="L300" s="1911"/>
      <c r="M300" s="1911"/>
      <c r="N300" s="1911"/>
      <c r="O300" s="1911"/>
      <c r="P300" s="1911"/>
      <c r="Q300" s="1911"/>
      <c r="R300" s="1911"/>
      <c r="S300" s="1911"/>
      <c r="T300" s="1911"/>
      <c r="U300" s="1911"/>
      <c r="V300" s="1911"/>
      <c r="W300" s="1911"/>
      <c r="X300" s="1911"/>
      <c r="Y300" s="1911"/>
      <c r="Z300" s="1911"/>
      <c r="AA300" s="1911"/>
      <c r="AB300" s="1911"/>
      <c r="AC300" s="1911"/>
      <c r="AD300" s="1912"/>
      <c r="AE300" s="419"/>
      <c r="AF300" s="419"/>
      <c r="AG300" s="408"/>
      <c r="AH300" s="419"/>
      <c r="AI300" s="419"/>
      <c r="AJ300" s="418"/>
      <c r="AK300" s="418"/>
      <c r="AL300" s="418"/>
      <c r="AM300" s="418"/>
      <c r="AN300" s="44"/>
      <c r="AO300" s="12"/>
      <c r="AP300" s="423" t="s">
        <v>1079</v>
      </c>
    </row>
    <row r="301" spans="1:49" hidden="1">
      <c r="F301" s="1910"/>
      <c r="G301" s="1911"/>
      <c r="H301" s="1911"/>
      <c r="I301" s="1911"/>
      <c r="J301" s="1911"/>
      <c r="K301" s="1911"/>
      <c r="L301" s="1911"/>
      <c r="M301" s="1911"/>
      <c r="N301" s="1911"/>
      <c r="O301" s="1911"/>
      <c r="P301" s="1911"/>
      <c r="Q301" s="1911"/>
      <c r="R301" s="1911"/>
      <c r="S301" s="1911"/>
      <c r="T301" s="1911"/>
      <c r="U301" s="1911"/>
      <c r="V301" s="1911"/>
      <c r="W301" s="1911"/>
      <c r="X301" s="1911"/>
      <c r="Y301" s="1911"/>
      <c r="Z301" s="1911"/>
      <c r="AA301" s="1911"/>
      <c r="AB301" s="1911"/>
      <c r="AC301" s="1911"/>
      <c r="AD301" s="1912"/>
      <c r="AE301" s="419"/>
      <c r="AF301" s="419"/>
      <c r="AH301" s="419"/>
      <c r="AI301" s="419"/>
      <c r="AJ301" s="418"/>
      <c r="AK301" s="418"/>
      <c r="AL301" s="418"/>
      <c r="AM301" s="418"/>
      <c r="AN301" s="44"/>
      <c r="AO301" s="12"/>
      <c r="AP301" s="423" t="s">
        <v>2110</v>
      </c>
    </row>
    <row r="302" spans="1:49" ht="13" hidden="1">
      <c r="A302" s="418"/>
      <c r="B302" s="419"/>
      <c r="C302" s="1210"/>
      <c r="D302" s="1210"/>
      <c r="E302" s="415"/>
      <c r="F302" s="509" t="s">
        <v>2111</v>
      </c>
      <c r="G302" s="520"/>
      <c r="H302" s="520"/>
      <c r="I302" s="520"/>
      <c r="J302" s="520"/>
      <c r="K302" s="520"/>
      <c r="L302" s="520"/>
      <c r="M302" s="520"/>
      <c r="N302" s="520"/>
      <c r="O302" s="520"/>
      <c r="P302" s="520"/>
      <c r="Q302" s="520"/>
      <c r="R302" s="520"/>
      <c r="S302" s="520"/>
      <c r="T302" s="520"/>
      <c r="U302" s="520"/>
      <c r="V302" s="520"/>
      <c r="W302" s="520"/>
      <c r="X302" s="520"/>
      <c r="Y302" s="520"/>
      <c r="Z302" s="520"/>
      <c r="AA302" s="520"/>
      <c r="AB302" s="520"/>
      <c r="AC302" s="520"/>
      <c r="AD302" s="830"/>
      <c r="AE302" s="419"/>
      <c r="AF302" s="419"/>
      <c r="AG302" s="408"/>
      <c r="AH302" s="419"/>
      <c r="AI302" s="419"/>
      <c r="AJ302" s="418"/>
      <c r="AK302" s="418"/>
      <c r="AL302" s="418"/>
      <c r="AM302" s="418"/>
      <c r="AN302" s="44"/>
      <c r="AO302" s="12"/>
      <c r="AP302" s="423" t="s">
        <v>2112</v>
      </c>
    </row>
    <row r="303" spans="1:49" ht="13" hidden="1">
      <c r="A303" s="418"/>
      <c r="B303" s="419"/>
      <c r="C303" s="1210"/>
      <c r="D303" s="1210"/>
      <c r="E303" s="415"/>
      <c r="F303" s="509"/>
      <c r="G303" s="520"/>
      <c r="H303" s="520"/>
      <c r="I303" s="520"/>
      <c r="J303" s="520"/>
      <c r="K303" s="520"/>
      <c r="L303" s="520"/>
      <c r="M303" s="520"/>
      <c r="N303" s="520"/>
      <c r="O303" s="520"/>
      <c r="P303" s="520"/>
      <c r="Q303" s="520"/>
      <c r="R303" s="520"/>
      <c r="S303" s="520"/>
      <c r="T303" s="520"/>
      <c r="U303" s="520"/>
      <c r="V303" s="520"/>
      <c r="W303" s="520"/>
      <c r="X303" s="520"/>
      <c r="Y303" s="520"/>
      <c r="Z303" s="520"/>
      <c r="AA303" s="520"/>
      <c r="AB303" s="520"/>
      <c r="AC303" s="520"/>
      <c r="AD303" s="830"/>
      <c r="AE303" s="419"/>
      <c r="AF303" s="419"/>
      <c r="AG303" s="408"/>
      <c r="AH303" s="419"/>
      <c r="AI303" s="419"/>
      <c r="AJ303" s="418"/>
      <c r="AK303" s="418"/>
      <c r="AL303" s="418"/>
      <c r="AM303" s="418"/>
      <c r="AN303" s="44"/>
      <c r="AO303" s="12"/>
      <c r="AP303" s="423" t="s">
        <v>2113</v>
      </c>
    </row>
    <row r="304" spans="1:49" ht="12.75" hidden="1" customHeight="1">
      <c r="A304" s="418"/>
      <c r="B304" s="419"/>
      <c r="C304" s="1210"/>
      <c r="D304" s="1210"/>
      <c r="E304" s="415"/>
      <c r="F304" s="509"/>
      <c r="G304" s="501"/>
      <c r="H304" s="501"/>
      <c r="I304" s="501"/>
      <c r="J304" s="501"/>
      <c r="K304" s="501"/>
      <c r="L304" s="501"/>
      <c r="M304" s="501"/>
      <c r="N304" s="501"/>
      <c r="O304" s="501"/>
      <c r="P304" s="501"/>
      <c r="Q304" s="501"/>
      <c r="R304" s="501"/>
      <c r="S304" s="501"/>
      <c r="T304" s="501"/>
      <c r="U304" s="501"/>
      <c r="V304" s="501"/>
      <c r="W304" s="501"/>
      <c r="X304" s="501"/>
      <c r="Y304" s="501"/>
      <c r="Z304" s="501"/>
      <c r="AA304" s="501"/>
      <c r="AB304" s="501"/>
      <c r="AC304" s="501"/>
      <c r="AD304" s="510"/>
      <c r="AE304" s="419"/>
      <c r="AF304" s="419"/>
      <c r="AG304" s="408"/>
      <c r="AH304" s="419"/>
      <c r="AI304" s="419"/>
      <c r="AJ304" s="418"/>
      <c r="AK304" s="418"/>
      <c r="AL304" s="418"/>
      <c r="AM304" s="418"/>
      <c r="AN304" s="44"/>
      <c r="AO304" s="12"/>
      <c r="AP304" s="24"/>
    </row>
    <row r="305" spans="1:42" ht="12.75" hidden="1" customHeight="1">
      <c r="A305" s="418"/>
      <c r="B305" s="419"/>
      <c r="C305" s="1210"/>
      <c r="D305" s="1210"/>
      <c r="E305" s="415"/>
      <c r="F305" s="1920" t="s">
        <v>1079</v>
      </c>
      <c r="G305" s="1921"/>
      <c r="H305" s="1921"/>
      <c r="I305" s="1921"/>
      <c r="J305" s="1921"/>
      <c r="K305" s="1921"/>
      <c r="L305" s="1921"/>
      <c r="M305" s="1921"/>
      <c r="N305" s="1921"/>
      <c r="O305" s="1921"/>
      <c r="P305" s="1921"/>
      <c r="Q305" s="1921"/>
      <c r="R305" s="1921"/>
      <c r="S305" s="1921"/>
      <c r="T305" s="1921"/>
      <c r="U305" s="1921"/>
      <c r="V305" s="1921"/>
      <c r="W305" s="1921"/>
      <c r="X305" s="1921"/>
      <c r="Y305" s="1921"/>
      <c r="Z305" s="1921"/>
      <c r="AA305" s="1921"/>
      <c r="AB305" s="1921"/>
      <c r="AC305" s="1921"/>
      <c r="AD305" s="1922"/>
      <c r="AE305" s="501"/>
      <c r="AF305" s="501"/>
      <c r="AG305" s="501"/>
      <c r="AH305" s="501"/>
      <c r="AI305" s="501"/>
      <c r="AJ305" s="501"/>
      <c r="AK305" s="501"/>
      <c r="AL305" s="418"/>
      <c r="AM305" s="418"/>
      <c r="AN305" s="44"/>
      <c r="AO305" s="12"/>
      <c r="AP305" s="24"/>
    </row>
    <row r="306" spans="1:42" ht="13" hidden="1">
      <c r="A306" s="418"/>
      <c r="B306" s="419"/>
      <c r="C306" s="1210"/>
      <c r="D306" s="1210"/>
      <c r="E306" s="415"/>
      <c r="F306" s="1920"/>
      <c r="G306" s="1921"/>
      <c r="H306" s="1921"/>
      <c r="I306" s="1921"/>
      <c r="J306" s="1921"/>
      <c r="K306" s="1921"/>
      <c r="L306" s="1921"/>
      <c r="M306" s="1921"/>
      <c r="N306" s="1921"/>
      <c r="O306" s="1921"/>
      <c r="P306" s="1921"/>
      <c r="Q306" s="1921"/>
      <c r="R306" s="1921"/>
      <c r="S306" s="1921"/>
      <c r="T306" s="1921"/>
      <c r="U306" s="1921"/>
      <c r="V306" s="1921"/>
      <c r="W306" s="1921"/>
      <c r="X306" s="1921"/>
      <c r="Y306" s="1921"/>
      <c r="Z306" s="1921"/>
      <c r="AA306" s="1921"/>
      <c r="AB306" s="1921"/>
      <c r="AC306" s="1921"/>
      <c r="AD306" s="1922"/>
      <c r="AE306" s="419"/>
      <c r="AF306" s="419"/>
      <c r="AG306" s="408"/>
      <c r="AH306" s="419"/>
      <c r="AI306" s="419"/>
      <c r="AJ306" s="418"/>
      <c r="AK306" s="418"/>
      <c r="AL306" s="418"/>
      <c r="AM306" s="418"/>
      <c r="AN306" s="44"/>
      <c r="AO306" s="12"/>
      <c r="AP306" s="24"/>
    </row>
    <row r="307" spans="1:42" ht="13" hidden="1">
      <c r="A307" s="418"/>
      <c r="B307" s="419"/>
      <c r="C307" s="1210"/>
      <c r="D307" s="1210"/>
      <c r="E307" s="415"/>
      <c r="F307" s="1920"/>
      <c r="G307" s="1921"/>
      <c r="H307" s="1921"/>
      <c r="I307" s="1921"/>
      <c r="J307" s="1921"/>
      <c r="K307" s="1921"/>
      <c r="L307" s="1921"/>
      <c r="M307" s="1921"/>
      <c r="N307" s="1921"/>
      <c r="O307" s="1921"/>
      <c r="P307" s="1921"/>
      <c r="Q307" s="1921"/>
      <c r="R307" s="1921"/>
      <c r="S307" s="1921"/>
      <c r="T307" s="1921"/>
      <c r="U307" s="1921"/>
      <c r="V307" s="1921"/>
      <c r="W307" s="1921"/>
      <c r="X307" s="1921"/>
      <c r="Y307" s="1921"/>
      <c r="Z307" s="1921"/>
      <c r="AA307" s="1921"/>
      <c r="AB307" s="1921"/>
      <c r="AC307" s="1921"/>
      <c r="AD307" s="1922"/>
      <c r="AE307" s="419"/>
      <c r="AF307" s="419"/>
      <c r="AG307" s="408"/>
      <c r="AH307" s="419"/>
      <c r="AI307" s="419"/>
      <c r="AJ307" s="418"/>
      <c r="AK307" s="418"/>
      <c r="AL307" s="418"/>
      <c r="AM307" s="418"/>
      <c r="AN307" s="44"/>
      <c r="AO307" s="12"/>
      <c r="AP307" s="24"/>
    </row>
    <row r="308" spans="1:42" ht="13" hidden="1">
      <c r="A308" s="418"/>
      <c r="B308" s="419"/>
      <c r="C308" s="1210"/>
      <c r="D308" s="1210"/>
      <c r="E308" s="415"/>
      <c r="F308" s="1920"/>
      <c r="G308" s="1921"/>
      <c r="H308" s="1921"/>
      <c r="I308" s="1921"/>
      <c r="J308" s="1921"/>
      <c r="K308" s="1921"/>
      <c r="L308" s="1921"/>
      <c r="M308" s="1921"/>
      <c r="N308" s="1921"/>
      <c r="O308" s="1921"/>
      <c r="P308" s="1921"/>
      <c r="Q308" s="1921"/>
      <c r="R308" s="1921"/>
      <c r="S308" s="1921"/>
      <c r="T308" s="1921"/>
      <c r="U308" s="1921"/>
      <c r="V308" s="1921"/>
      <c r="W308" s="1921"/>
      <c r="X308" s="1921"/>
      <c r="Y308" s="1921"/>
      <c r="Z308" s="1921"/>
      <c r="AA308" s="1921"/>
      <c r="AB308" s="1921"/>
      <c r="AC308" s="1921"/>
      <c r="AD308" s="1922"/>
      <c r="AE308" s="419"/>
      <c r="AF308" s="419"/>
      <c r="AG308" s="408"/>
      <c r="AH308" s="419"/>
      <c r="AI308" s="419"/>
      <c r="AJ308" s="418"/>
      <c r="AK308" s="418"/>
      <c r="AL308" s="418"/>
      <c r="AM308" s="418"/>
      <c r="AN308" s="44"/>
      <c r="AO308" s="12"/>
      <c r="AP308" s="24"/>
    </row>
    <row r="309" spans="1:42" ht="13" hidden="1">
      <c r="A309" s="418"/>
      <c r="B309" s="419"/>
      <c r="C309" s="1210"/>
      <c r="D309" s="1210"/>
      <c r="E309" s="415"/>
      <c r="F309" s="1923"/>
      <c r="G309" s="1924"/>
      <c r="H309" s="1924"/>
      <c r="I309" s="1924"/>
      <c r="J309" s="1924"/>
      <c r="K309" s="1924"/>
      <c r="L309" s="1924"/>
      <c r="M309" s="1924"/>
      <c r="N309" s="1924"/>
      <c r="O309" s="1924"/>
      <c r="P309" s="1924"/>
      <c r="Q309" s="1924"/>
      <c r="R309" s="1924"/>
      <c r="S309" s="1924"/>
      <c r="T309" s="1924"/>
      <c r="U309" s="1924"/>
      <c r="V309" s="1924"/>
      <c r="W309" s="1924"/>
      <c r="X309" s="1924"/>
      <c r="Y309" s="1924"/>
      <c r="Z309" s="1924"/>
      <c r="AA309" s="1924"/>
      <c r="AB309" s="1924"/>
      <c r="AC309" s="1924"/>
      <c r="AD309" s="1925"/>
      <c r="AE309" s="419"/>
      <c r="AF309" s="419"/>
      <c r="AG309" s="408"/>
      <c r="AH309" s="419"/>
      <c r="AI309" s="419"/>
      <c r="AJ309" s="418"/>
      <c r="AK309" s="418"/>
      <c r="AL309" s="418"/>
      <c r="AM309" s="418"/>
      <c r="AN309" s="44"/>
      <c r="AO309" s="12"/>
      <c r="AP309" s="24"/>
    </row>
    <row r="310" spans="1:42" ht="13" hidden="1">
      <c r="A310" s="418"/>
      <c r="B310" s="419"/>
      <c r="C310" s="1210"/>
      <c r="D310" s="1210"/>
      <c r="E310" s="415"/>
      <c r="F310" s="797"/>
      <c r="G310" s="501"/>
      <c r="H310" s="501"/>
      <c r="I310" s="501"/>
      <c r="J310" s="501"/>
      <c r="K310" s="501"/>
      <c r="L310" s="501"/>
      <c r="M310" s="501"/>
      <c r="N310" s="501"/>
      <c r="O310" s="501"/>
      <c r="P310" s="501"/>
      <c r="Q310" s="501"/>
      <c r="R310" s="501"/>
      <c r="S310" s="501"/>
      <c r="T310" s="501"/>
      <c r="U310" s="501"/>
      <c r="V310" s="501"/>
      <c r="W310" s="501"/>
      <c r="X310" s="501"/>
      <c r="Y310" s="501"/>
      <c r="Z310" s="501"/>
      <c r="AA310" s="501"/>
      <c r="AB310" s="501"/>
      <c r="AC310" s="501"/>
      <c r="AD310" s="510"/>
      <c r="AE310" s="419"/>
      <c r="AF310" s="419"/>
      <c r="AG310" s="408"/>
      <c r="AH310" s="419"/>
      <c r="AI310" s="419"/>
      <c r="AJ310" s="418"/>
      <c r="AK310" s="418"/>
      <c r="AL310" s="418"/>
      <c r="AM310" s="418"/>
      <c r="AN310" s="44"/>
      <c r="AO310" s="12"/>
      <c r="AP310" s="24"/>
    </row>
    <row r="311" spans="1:42" ht="13" hidden="1">
      <c r="A311" s="418"/>
      <c r="B311" s="419"/>
      <c r="C311" s="1210"/>
      <c r="D311" s="1210"/>
      <c r="E311" s="415"/>
      <c r="F311" s="511" t="s">
        <v>2114</v>
      </c>
      <c r="G311" s="419"/>
      <c r="H311" s="419"/>
      <c r="I311" s="419"/>
      <c r="J311" s="419"/>
      <c r="K311" s="419"/>
      <c r="L311" s="419"/>
      <c r="M311" s="419"/>
      <c r="N311" s="419"/>
      <c r="O311" s="419"/>
      <c r="P311" s="419"/>
      <c r="Q311" s="419"/>
      <c r="R311" s="419"/>
      <c r="S311" s="419"/>
      <c r="T311" s="419"/>
      <c r="U311" s="419"/>
      <c r="V311" s="419"/>
      <c r="W311" s="419"/>
      <c r="X311" s="419"/>
      <c r="Y311" s="419"/>
      <c r="Z311" s="419"/>
      <c r="AA311" s="419"/>
      <c r="AB311" s="419"/>
      <c r="AC311" s="419"/>
      <c r="AD311" s="512"/>
      <c r="AE311" s="419"/>
      <c r="AF311" s="419"/>
      <c r="AG311" s="408"/>
      <c r="AH311" s="419"/>
      <c r="AI311" s="419"/>
      <c r="AJ311" s="418"/>
      <c r="AK311" s="418"/>
      <c r="AL311" s="418"/>
      <c r="AM311" s="418"/>
      <c r="AN311" s="44"/>
      <c r="AO311" s="12"/>
      <c r="AP311" s="24"/>
    </row>
    <row r="312" spans="1:42" ht="13" hidden="1">
      <c r="A312" s="418"/>
      <c r="B312" s="419"/>
      <c r="C312" s="1210"/>
      <c r="D312" s="1210"/>
      <c r="E312" s="415"/>
      <c r="F312" s="511"/>
      <c r="G312" s="419"/>
      <c r="H312" s="419"/>
      <c r="I312" s="419"/>
      <c r="J312" s="419"/>
      <c r="K312" s="419"/>
      <c r="L312" s="419"/>
      <c r="M312" s="419"/>
      <c r="N312" s="419"/>
      <c r="O312" s="419"/>
      <c r="P312" s="419"/>
      <c r="Q312" s="419"/>
      <c r="R312" s="419"/>
      <c r="S312" s="419"/>
      <c r="T312" s="419"/>
      <c r="U312" s="419"/>
      <c r="V312" s="419"/>
      <c r="W312" s="419"/>
      <c r="X312" s="419"/>
      <c r="Y312" s="419"/>
      <c r="Z312" s="419"/>
      <c r="AA312" s="419"/>
      <c r="AB312" s="419"/>
      <c r="AC312" s="419"/>
      <c r="AD312" s="512"/>
      <c r="AE312" s="419"/>
      <c r="AF312" s="419"/>
      <c r="AG312" s="408"/>
      <c r="AH312" s="419"/>
      <c r="AI312" s="419"/>
      <c r="AJ312" s="418"/>
      <c r="AK312" s="418"/>
      <c r="AL312" s="418"/>
      <c r="AM312" s="418"/>
      <c r="AN312" s="44"/>
      <c r="AO312" s="12"/>
      <c r="AP312" s="423" t="s">
        <v>1079</v>
      </c>
    </row>
    <row r="313" spans="1:42" ht="12.75" hidden="1" customHeight="1">
      <c r="A313" s="418"/>
      <c r="B313" s="419"/>
      <c r="C313" s="1210"/>
      <c r="D313" s="1210"/>
      <c r="E313" s="415"/>
      <c r="F313" s="513"/>
      <c r="G313" s="440" t="s">
        <v>21</v>
      </c>
      <c r="H313" s="440"/>
      <c r="I313" s="1926" t="s">
        <v>1079</v>
      </c>
      <c r="J313" s="1926"/>
      <c r="K313" s="1926"/>
      <c r="L313" s="1926"/>
      <c r="M313" s="1926"/>
      <c r="N313" s="1926"/>
      <c r="O313" s="1926"/>
      <c r="P313" s="1926"/>
      <c r="Q313" s="1926"/>
      <c r="R313" s="1926"/>
      <c r="S313" s="1926"/>
      <c r="T313" s="1926"/>
      <c r="U313" s="1926"/>
      <c r="V313" s="1926"/>
      <c r="W313" s="1926"/>
      <c r="X313" s="1926"/>
      <c r="Y313" s="1926"/>
      <c r="Z313" s="1926"/>
      <c r="AA313" s="1926"/>
      <c r="AB313" s="1926"/>
      <c r="AC313" s="1926"/>
      <c r="AD313" s="1927"/>
      <c r="AE313" s="419"/>
      <c r="AF313" s="419"/>
      <c r="AG313" s="408"/>
      <c r="AH313" s="419"/>
      <c r="AI313" s="419"/>
      <c r="AJ313" s="418"/>
      <c r="AK313" s="418"/>
      <c r="AL313" s="418"/>
      <c r="AM313" s="418"/>
      <c r="AN313" s="44"/>
      <c r="AO313" s="12"/>
      <c r="AP313" s="423" t="s">
        <v>2115</v>
      </c>
    </row>
    <row r="314" spans="1:42" ht="13" hidden="1">
      <c r="A314" s="418"/>
      <c r="B314" s="419"/>
      <c r="C314" s="1210"/>
      <c r="D314" s="1210"/>
      <c r="E314" s="415"/>
      <c r="F314" s="513"/>
      <c r="G314" s="440"/>
      <c r="H314" s="440"/>
      <c r="I314" s="1926"/>
      <c r="J314" s="1926"/>
      <c r="K314" s="1926"/>
      <c r="L314" s="1926"/>
      <c r="M314" s="1926"/>
      <c r="N314" s="1926"/>
      <c r="O314" s="1926"/>
      <c r="P314" s="1926"/>
      <c r="Q314" s="1926"/>
      <c r="R314" s="1926"/>
      <c r="S314" s="1926"/>
      <c r="T314" s="1926"/>
      <c r="U314" s="1926"/>
      <c r="V314" s="1926"/>
      <c r="W314" s="1926"/>
      <c r="X314" s="1926"/>
      <c r="Y314" s="1926"/>
      <c r="Z314" s="1926"/>
      <c r="AA314" s="1926"/>
      <c r="AB314" s="1926"/>
      <c r="AC314" s="1926"/>
      <c r="AD314" s="1927"/>
      <c r="AE314" s="419"/>
      <c r="AF314" s="419"/>
      <c r="AG314" s="408"/>
      <c r="AH314" s="419"/>
      <c r="AI314" s="419"/>
      <c r="AJ314" s="418"/>
      <c r="AK314" s="418"/>
      <c r="AL314" s="418"/>
      <c r="AM314" s="418"/>
      <c r="AN314" s="44"/>
      <c r="AO314" s="12"/>
      <c r="AP314" s="423" t="s">
        <v>2116</v>
      </c>
    </row>
    <row r="315" spans="1:42" ht="13" hidden="1">
      <c r="A315" s="418"/>
      <c r="B315" s="419"/>
      <c r="C315" s="1194"/>
      <c r="D315" s="1194"/>
      <c r="E315" s="415"/>
      <c r="F315" s="513"/>
      <c r="G315" s="440"/>
      <c r="H315" s="440"/>
      <c r="I315" s="1926"/>
      <c r="J315" s="1926"/>
      <c r="K315" s="1926"/>
      <c r="L315" s="1926"/>
      <c r="M315" s="1926"/>
      <c r="N315" s="1926"/>
      <c r="O315" s="1926"/>
      <c r="P315" s="1926"/>
      <c r="Q315" s="1926"/>
      <c r="R315" s="1926"/>
      <c r="S315" s="1926"/>
      <c r="T315" s="1926"/>
      <c r="U315" s="1926"/>
      <c r="V315" s="1926"/>
      <c r="W315" s="1926"/>
      <c r="X315" s="1926"/>
      <c r="Y315" s="1926"/>
      <c r="Z315" s="1926"/>
      <c r="AA315" s="1926"/>
      <c r="AB315" s="1926"/>
      <c r="AC315" s="1926"/>
      <c r="AD315" s="1927"/>
      <c r="AE315" s="419"/>
      <c r="AF315" s="419"/>
      <c r="AG315" s="408"/>
      <c r="AH315" s="419"/>
      <c r="AI315" s="419"/>
      <c r="AJ315" s="418"/>
      <c r="AK315" s="418"/>
      <c r="AL315" s="418"/>
      <c r="AM315" s="418"/>
      <c r="AN315" s="44"/>
      <c r="AO315" s="12"/>
      <c r="AP315" s="423" t="s">
        <v>2117</v>
      </c>
    </row>
    <row r="316" spans="1:42" ht="13" hidden="1">
      <c r="A316" s="418"/>
      <c r="B316" s="419"/>
      <c r="C316" s="1194"/>
      <c r="D316" s="1194"/>
      <c r="E316" s="415"/>
      <c r="F316" s="511"/>
      <c r="G316" s="419"/>
      <c r="H316" s="419"/>
      <c r="I316" s="1928"/>
      <c r="J316" s="1928"/>
      <c r="K316" s="1928"/>
      <c r="L316" s="1928"/>
      <c r="M316" s="1928"/>
      <c r="N316" s="1928"/>
      <c r="O316" s="1928"/>
      <c r="P316" s="1928"/>
      <c r="Q316" s="1928"/>
      <c r="R316" s="1928"/>
      <c r="S316" s="1928"/>
      <c r="T316" s="1928"/>
      <c r="U316" s="1928"/>
      <c r="V316" s="1928"/>
      <c r="W316" s="1928"/>
      <c r="X316" s="1928"/>
      <c r="Y316" s="1928"/>
      <c r="Z316" s="1928"/>
      <c r="AA316" s="1928"/>
      <c r="AB316" s="1928"/>
      <c r="AC316" s="1928"/>
      <c r="AD316" s="1929"/>
      <c r="AE316" s="419"/>
      <c r="AF316" s="419"/>
      <c r="AG316" s="408"/>
      <c r="AH316" s="419"/>
      <c r="AI316" s="419"/>
      <c r="AJ316" s="418"/>
      <c r="AK316" s="418"/>
      <c r="AL316" s="418"/>
      <c r="AM316" s="418"/>
      <c r="AN316" s="44"/>
      <c r="AO316" s="12"/>
      <c r="AP316" s="423" t="s">
        <v>2118</v>
      </c>
    </row>
    <row r="317" spans="1:42" ht="13" hidden="1">
      <c r="A317" s="418"/>
      <c r="B317" s="419"/>
      <c r="C317" s="1194"/>
      <c r="D317" s="1194"/>
      <c r="E317" s="415"/>
      <c r="F317" s="511"/>
      <c r="G317" s="419"/>
      <c r="H317" s="419"/>
      <c r="I317" s="419"/>
      <c r="J317" s="419"/>
      <c r="K317" s="419"/>
      <c r="L317" s="419"/>
      <c r="M317" s="419"/>
      <c r="N317" s="419"/>
      <c r="O317" s="419"/>
      <c r="P317" s="419"/>
      <c r="Q317" s="419"/>
      <c r="R317" s="419"/>
      <c r="S317" s="419"/>
      <c r="T317" s="419"/>
      <c r="U317" s="419"/>
      <c r="V317" s="419"/>
      <c r="W317" s="419"/>
      <c r="X317" s="419"/>
      <c r="Y317" s="419"/>
      <c r="Z317" s="419"/>
      <c r="AA317" s="419"/>
      <c r="AB317" s="419"/>
      <c r="AC317" s="419"/>
      <c r="AD317" s="512"/>
      <c r="AE317" s="419"/>
      <c r="AF317" s="419"/>
      <c r="AG317" s="408"/>
      <c r="AH317" s="419"/>
      <c r="AI317" s="419"/>
      <c r="AJ317" s="418"/>
      <c r="AK317" s="418"/>
      <c r="AL317" s="418"/>
      <c r="AM317" s="418"/>
      <c r="AN317" s="44"/>
      <c r="AO317" s="12"/>
      <c r="AP317" s="24"/>
    </row>
    <row r="318" spans="1:42" ht="13" hidden="1">
      <c r="A318" s="418"/>
      <c r="B318" s="419"/>
      <c r="C318" s="1194"/>
      <c r="D318" s="1194"/>
      <c r="E318" s="415"/>
      <c r="F318" s="511"/>
      <c r="G318" s="419" t="s">
        <v>26</v>
      </c>
      <c r="H318" s="419"/>
      <c r="I318" s="1926" t="s">
        <v>1079</v>
      </c>
      <c r="J318" s="1926"/>
      <c r="K318" s="1926"/>
      <c r="L318" s="1926"/>
      <c r="M318" s="1926"/>
      <c r="N318" s="1926"/>
      <c r="O318" s="1926"/>
      <c r="P318" s="1926"/>
      <c r="Q318" s="1926"/>
      <c r="R318" s="1926"/>
      <c r="S318" s="1926"/>
      <c r="T318" s="1926"/>
      <c r="U318" s="1926"/>
      <c r="V318" s="1926"/>
      <c r="W318" s="1926"/>
      <c r="X318" s="1926"/>
      <c r="Y318" s="1926"/>
      <c r="Z318" s="1926"/>
      <c r="AA318" s="1926"/>
      <c r="AB318" s="1926"/>
      <c r="AC318" s="1926"/>
      <c r="AD318" s="1927"/>
      <c r="AE318" s="419"/>
      <c r="AF318" s="419"/>
      <c r="AG318" s="408"/>
      <c r="AH318" s="419"/>
      <c r="AI318" s="419"/>
      <c r="AJ318" s="418"/>
      <c r="AK318" s="418"/>
      <c r="AL318" s="418"/>
      <c r="AM318" s="418"/>
      <c r="AN318" s="44"/>
      <c r="AO318" s="12"/>
    </row>
    <row r="319" spans="1:42" ht="13" hidden="1">
      <c r="A319" s="418"/>
      <c r="B319" s="419"/>
      <c r="C319" s="1194"/>
      <c r="D319" s="1194"/>
      <c r="E319" s="415"/>
      <c r="F319" s="511"/>
      <c r="G319" s="419"/>
      <c r="H319" s="419"/>
      <c r="I319" s="1926"/>
      <c r="J319" s="1926"/>
      <c r="K319" s="1926"/>
      <c r="L319" s="1926"/>
      <c r="M319" s="1926"/>
      <c r="N319" s="1926"/>
      <c r="O319" s="1926"/>
      <c r="P319" s="1926"/>
      <c r="Q319" s="1926"/>
      <c r="R319" s="1926"/>
      <c r="S319" s="1926"/>
      <c r="T319" s="1926"/>
      <c r="U319" s="1926"/>
      <c r="V319" s="1926"/>
      <c r="W319" s="1926"/>
      <c r="X319" s="1926"/>
      <c r="Y319" s="1926"/>
      <c r="Z319" s="1926"/>
      <c r="AA319" s="1926"/>
      <c r="AB319" s="1926"/>
      <c r="AC319" s="1926"/>
      <c r="AD319" s="1927"/>
      <c r="AE319" s="419"/>
      <c r="AF319" s="419"/>
      <c r="AG319" s="408"/>
      <c r="AH319" s="419"/>
      <c r="AI319" s="419"/>
      <c r="AJ319" s="418"/>
      <c r="AK319" s="418"/>
      <c r="AL319" s="418"/>
      <c r="AM319" s="418"/>
      <c r="AN319" s="44"/>
      <c r="AO319" s="12"/>
      <c r="AP319" s="423" t="s">
        <v>1079</v>
      </c>
    </row>
    <row r="320" spans="1:42" ht="13" hidden="1">
      <c r="A320" s="418"/>
      <c r="B320" s="419"/>
      <c r="C320" s="1194"/>
      <c r="D320" s="1194"/>
      <c r="E320" s="415"/>
      <c r="F320" s="514"/>
      <c r="G320" s="515"/>
      <c r="H320" s="515"/>
      <c r="I320" s="1928"/>
      <c r="J320" s="1928"/>
      <c r="K320" s="1928"/>
      <c r="L320" s="1928"/>
      <c r="M320" s="1928"/>
      <c r="N320" s="1928"/>
      <c r="O320" s="1928"/>
      <c r="P320" s="1928"/>
      <c r="Q320" s="1928"/>
      <c r="R320" s="1928"/>
      <c r="S320" s="1928"/>
      <c r="T320" s="1928"/>
      <c r="U320" s="1928"/>
      <c r="V320" s="1928"/>
      <c r="W320" s="1928"/>
      <c r="X320" s="1928"/>
      <c r="Y320" s="1928"/>
      <c r="Z320" s="1928"/>
      <c r="AA320" s="1928"/>
      <c r="AB320" s="1928"/>
      <c r="AC320" s="1928"/>
      <c r="AD320" s="1929"/>
      <c r="AE320" s="419"/>
      <c r="AF320" s="419"/>
      <c r="AG320" s="408"/>
      <c r="AH320" s="419"/>
      <c r="AI320" s="419"/>
      <c r="AJ320" s="418"/>
      <c r="AK320" s="418"/>
      <c r="AL320" s="418"/>
      <c r="AM320" s="418"/>
      <c r="AN320" s="44"/>
      <c r="AO320" s="12"/>
      <c r="AP320" s="423" t="s">
        <v>2119</v>
      </c>
    </row>
    <row r="321" spans="1:44" hidden="1">
      <c r="A321" s="418"/>
      <c r="B321" s="419"/>
      <c r="C321" s="418"/>
      <c r="D321" s="419"/>
      <c r="E321" s="418"/>
      <c r="F321" s="476"/>
      <c r="G321" s="419"/>
      <c r="H321" s="419"/>
      <c r="I321" s="419"/>
      <c r="J321" s="419"/>
      <c r="K321" s="419"/>
      <c r="L321" s="419"/>
      <c r="M321" s="419"/>
      <c r="N321" s="419"/>
      <c r="O321" s="419"/>
      <c r="P321" s="419"/>
      <c r="Q321" s="419"/>
      <c r="R321" s="419"/>
      <c r="S321" s="419"/>
      <c r="T321" s="419"/>
      <c r="U321" s="419"/>
      <c r="V321" s="419"/>
      <c r="W321" s="419"/>
      <c r="X321" s="419"/>
      <c r="Y321" s="419"/>
      <c r="Z321" s="419"/>
      <c r="AA321" s="419"/>
      <c r="AB321" s="419"/>
      <c r="AC321" s="419"/>
      <c r="AD321" s="419"/>
      <c r="AE321" s="419"/>
      <c r="AF321" s="419"/>
      <c r="AG321" s="419"/>
      <c r="AH321" s="419"/>
      <c r="AI321" s="419"/>
      <c r="AJ321" s="418"/>
      <c r="AK321" s="418"/>
      <c r="AL321" s="418"/>
      <c r="AM321" s="418"/>
      <c r="AN321" s="44"/>
      <c r="AO321" s="12"/>
      <c r="AP321" s="423" t="s">
        <v>2120</v>
      </c>
    </row>
    <row r="322" spans="1:44" ht="12.75" hidden="1" customHeight="1">
      <c r="A322" s="1600" t="s">
        <v>2121</v>
      </c>
      <c r="B322" s="1600"/>
      <c r="C322" s="1888" t="s">
        <v>299</v>
      </c>
      <c r="D322" s="1888"/>
      <c r="E322" s="415"/>
      <c r="F322" s="1816" t="s">
        <v>2122</v>
      </c>
      <c r="G322" s="1817"/>
      <c r="H322" s="1817"/>
      <c r="I322" s="1817"/>
      <c r="J322" s="1817"/>
      <c r="K322" s="1817"/>
      <c r="L322" s="1817"/>
      <c r="M322" s="1817"/>
      <c r="N322" s="1817"/>
      <c r="O322" s="1817"/>
      <c r="P322" s="1817"/>
      <c r="Q322" s="1817"/>
      <c r="R322" s="1817"/>
      <c r="S322" s="1817"/>
      <c r="T322" s="1817"/>
      <c r="U322" s="1817"/>
      <c r="V322" s="1817"/>
      <c r="W322" s="1817"/>
      <c r="X322" s="1817"/>
      <c r="Y322" s="1817"/>
      <c r="Z322" s="1817"/>
      <c r="AA322" s="1817"/>
      <c r="AB322" s="1817"/>
      <c r="AC322" s="1817"/>
      <c r="AD322" s="1818"/>
      <c r="AE322" s="419"/>
      <c r="AF322" s="419"/>
      <c r="AG322" s="408" t="s">
        <v>2105</v>
      </c>
      <c r="AH322" s="419"/>
      <c r="AI322" s="419"/>
      <c r="AJ322" s="418"/>
      <c r="AK322" s="418"/>
      <c r="AL322" s="418"/>
      <c r="AM322" s="418"/>
      <c r="AN322" s="44"/>
      <c r="AO322" s="12"/>
    </row>
    <row r="323" spans="1:44" ht="15" hidden="1" customHeight="1">
      <c r="A323" s="418"/>
      <c r="B323" s="419"/>
      <c r="C323" s="419"/>
      <c r="D323" s="419"/>
      <c r="E323" s="419"/>
      <c r="F323" s="1822"/>
      <c r="G323" s="1823"/>
      <c r="H323" s="1823"/>
      <c r="I323" s="1823"/>
      <c r="J323" s="1823"/>
      <c r="K323" s="1823"/>
      <c r="L323" s="1823"/>
      <c r="M323" s="1823"/>
      <c r="N323" s="1823"/>
      <c r="O323" s="1823"/>
      <c r="P323" s="1823"/>
      <c r="Q323" s="1823"/>
      <c r="R323" s="1823"/>
      <c r="S323" s="1823"/>
      <c r="T323" s="1823"/>
      <c r="U323" s="1823"/>
      <c r="V323" s="1823"/>
      <c r="W323" s="1823"/>
      <c r="X323" s="1823"/>
      <c r="Y323" s="1823"/>
      <c r="Z323" s="1823"/>
      <c r="AA323" s="1823"/>
      <c r="AB323" s="1823"/>
      <c r="AC323" s="1823"/>
      <c r="AD323" s="1824"/>
      <c r="AE323" s="419"/>
      <c r="AF323" s="419"/>
      <c r="AG323" s="419"/>
      <c r="AH323" s="419"/>
      <c r="AI323" s="419"/>
      <c r="AJ323" s="418"/>
      <c r="AK323" s="418"/>
      <c r="AL323" s="418"/>
      <c r="AM323" s="418"/>
      <c r="AN323" s="44"/>
      <c r="AO323" s="12"/>
    </row>
    <row r="324" spans="1:44" ht="15" hidden="1" customHeight="1">
      <c r="A324" s="418"/>
      <c r="B324" s="419"/>
      <c r="C324" s="419"/>
      <c r="D324" s="419"/>
      <c r="E324" s="419"/>
      <c r="F324" s="1822"/>
      <c r="G324" s="1823"/>
      <c r="H324" s="1823"/>
      <c r="I324" s="1823"/>
      <c r="J324" s="1823"/>
      <c r="K324" s="1823"/>
      <c r="L324" s="1823"/>
      <c r="M324" s="1823"/>
      <c r="N324" s="1823"/>
      <c r="O324" s="1823"/>
      <c r="P324" s="1823"/>
      <c r="Q324" s="1823"/>
      <c r="R324" s="1823"/>
      <c r="S324" s="1823"/>
      <c r="T324" s="1823"/>
      <c r="U324" s="1823"/>
      <c r="V324" s="1823"/>
      <c r="W324" s="1823"/>
      <c r="X324" s="1823"/>
      <c r="Y324" s="1823"/>
      <c r="Z324" s="1823"/>
      <c r="AA324" s="1823"/>
      <c r="AB324" s="1823"/>
      <c r="AC324" s="1823"/>
      <c r="AD324" s="1824"/>
      <c r="AE324" s="419"/>
      <c r="AF324" s="419"/>
      <c r="AG324" s="419"/>
      <c r="AH324" s="419"/>
      <c r="AI324" s="419"/>
      <c r="AJ324" s="418"/>
      <c r="AK324" s="418"/>
      <c r="AL324" s="418"/>
      <c r="AM324" s="516"/>
      <c r="AN324" s="12"/>
      <c r="AO324" s="12"/>
    </row>
    <row r="325" spans="1:44" hidden="1">
      <c r="A325" s="418"/>
      <c r="B325" s="419"/>
      <c r="C325" s="418"/>
      <c r="D325" s="419"/>
      <c r="E325" s="418"/>
      <c r="F325" s="517" t="s">
        <v>2123</v>
      </c>
      <c r="G325" s="518"/>
      <c r="H325" s="518"/>
      <c r="I325" s="518"/>
      <c r="J325" s="518"/>
      <c r="K325" s="518"/>
      <c r="L325" s="518"/>
      <c r="M325" s="518"/>
      <c r="N325" s="518"/>
      <c r="O325" s="518"/>
      <c r="P325" s="518"/>
      <c r="Q325" s="518"/>
      <c r="R325" s="518"/>
      <c r="S325" s="518"/>
      <c r="T325" s="518"/>
      <c r="U325" s="518"/>
      <c r="V325" s="518"/>
      <c r="W325" s="518"/>
      <c r="X325" s="518"/>
      <c r="Y325" s="518"/>
      <c r="Z325" s="518"/>
      <c r="AA325" s="518"/>
      <c r="AB325" s="518"/>
      <c r="AC325" s="518"/>
      <c r="AD325" s="519"/>
      <c r="AE325" s="419"/>
      <c r="AF325" s="419"/>
      <c r="AG325" s="419"/>
      <c r="AH325" s="419"/>
      <c r="AI325" s="419"/>
      <c r="AJ325" s="418"/>
      <c r="AK325" s="418"/>
      <c r="AL325" s="418"/>
      <c r="AM325" s="516"/>
      <c r="AN325" s="24"/>
    </row>
    <row r="326" spans="1:44" hidden="1">
      <c r="A326" s="418"/>
      <c r="B326" s="419"/>
      <c r="C326" s="418"/>
      <c r="D326" s="419"/>
      <c r="E326" s="418"/>
      <c r="F326" s="520"/>
      <c r="G326" s="520"/>
      <c r="H326" s="520"/>
      <c r="I326" s="520"/>
      <c r="J326" s="520"/>
      <c r="K326" s="520"/>
      <c r="L326" s="520"/>
      <c r="M326" s="520"/>
      <c r="N326" s="520"/>
      <c r="O326" s="520"/>
      <c r="P326" s="520"/>
      <c r="Q326" s="520"/>
      <c r="R326" s="520"/>
      <c r="S326" s="520"/>
      <c r="T326" s="520"/>
      <c r="U326" s="520"/>
      <c r="V326" s="520"/>
      <c r="W326" s="520"/>
      <c r="X326" s="520"/>
      <c r="Y326" s="520"/>
      <c r="Z326" s="520"/>
      <c r="AA326" s="520"/>
      <c r="AB326" s="520"/>
      <c r="AC326" s="520"/>
      <c r="AD326" s="520"/>
      <c r="AE326" s="419"/>
      <c r="AF326" s="419"/>
      <c r="AG326" s="419"/>
      <c r="AH326" s="419"/>
      <c r="AI326" s="419"/>
      <c r="AJ326" s="418"/>
      <c r="AK326" s="418"/>
      <c r="AL326" s="418"/>
      <c r="AM326" s="516"/>
      <c r="AN326" s="24"/>
    </row>
    <row r="327" spans="1:44" ht="13">
      <c r="A327" s="467"/>
      <c r="B327" s="521"/>
      <c r="C327" s="521"/>
      <c r="D327" s="521"/>
      <c r="E327" s="521"/>
      <c r="F327" s="521"/>
      <c r="G327" s="521"/>
      <c r="H327" s="521"/>
      <c r="I327" s="521"/>
      <c r="J327" s="521"/>
      <c r="K327" s="521"/>
      <c r="L327" s="521"/>
      <c r="M327" s="521"/>
      <c r="N327" s="521"/>
      <c r="O327" s="521"/>
      <c r="P327" s="521"/>
      <c r="Q327" s="521"/>
      <c r="R327" s="521"/>
      <c r="S327" s="521"/>
      <c r="T327" s="521"/>
      <c r="U327" s="521"/>
      <c r="V327" s="521"/>
      <c r="W327" s="521"/>
      <c r="X327" s="521"/>
      <c r="Y327" s="521"/>
      <c r="Z327" s="521"/>
      <c r="AA327" s="521"/>
      <c r="AB327" s="521"/>
      <c r="AC327" s="522"/>
      <c r="AD327" s="521"/>
      <c r="AE327" s="430"/>
      <c r="AF327" s="430"/>
      <c r="AG327" s="430"/>
      <c r="AH327" s="430"/>
      <c r="AI327" s="431"/>
      <c r="AJ327" s="431" t="s">
        <v>2124</v>
      </c>
      <c r="AK327" s="1891">
        <f>IF(NOT(OR(Application!M355="Yes",Application!M356="Yes")),0,AP284)</f>
        <v>9</v>
      </c>
      <c r="AL327" s="1892"/>
      <c r="AM327" s="1893"/>
      <c r="AN327" s="24"/>
    </row>
    <row r="328" spans="1:44" s="418" customFormat="1" ht="12.75" customHeight="1" thickBot="1">
      <c r="A328" s="481"/>
      <c r="B328" s="481"/>
      <c r="C328" s="481"/>
      <c r="D328" s="481"/>
      <c r="E328" s="481"/>
      <c r="F328" s="481"/>
      <c r="G328" s="481"/>
      <c r="H328" s="481"/>
      <c r="I328" s="481"/>
      <c r="J328" s="481"/>
      <c r="K328" s="481"/>
      <c r="L328" s="481"/>
      <c r="M328" s="481"/>
      <c r="N328" s="481"/>
      <c r="O328" s="481"/>
      <c r="P328" s="481"/>
      <c r="Q328" s="481"/>
      <c r="R328" s="481"/>
      <c r="S328" s="481"/>
      <c r="T328" s="481"/>
      <c r="U328" s="481"/>
      <c r="V328" s="481"/>
      <c r="W328" s="481"/>
      <c r="X328" s="481"/>
      <c r="Y328" s="481"/>
      <c r="Z328" s="481"/>
      <c r="AA328" s="481"/>
      <c r="AB328" s="481"/>
      <c r="AC328" s="481"/>
      <c r="AD328" s="481"/>
      <c r="AE328" s="481"/>
      <c r="AF328" s="481"/>
      <c r="AG328" s="481"/>
      <c r="AH328" s="481"/>
      <c r="AI328" s="481"/>
      <c r="AJ328" s="481"/>
      <c r="AK328" s="481"/>
      <c r="AL328" s="481"/>
      <c r="AM328" s="481"/>
      <c r="AN328" s="459"/>
    </row>
    <row r="329" spans="1:44" s="418" customFormat="1" ht="12.75" customHeight="1" thickTop="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459"/>
    </row>
    <row r="330" spans="1:44" s="418" customFormat="1" ht="12.75" customHeight="1">
      <c r="A330" s="408" t="s">
        <v>2125</v>
      </c>
      <c r="B330" s="408" t="s">
        <v>2126</v>
      </c>
      <c r="C330" s="405"/>
      <c r="AC330" s="408"/>
      <c r="AE330" s="1825" t="s">
        <v>1958</v>
      </c>
      <c r="AF330" s="1825"/>
      <c r="AG330" s="1825"/>
      <c r="AH330" s="1825"/>
      <c r="AI330" s="1825"/>
      <c r="AJ330" s="1825"/>
      <c r="AK330" s="1825"/>
      <c r="AL330" s="408"/>
      <c r="AM330" s="408"/>
      <c r="AN330" s="455"/>
    </row>
    <row r="331" spans="1:44" s="418" customFormat="1" ht="12.75" customHeight="1">
      <c r="A331" s="408"/>
      <c r="B331" s="408"/>
      <c r="C331" s="405"/>
      <c r="AC331" s="408"/>
      <c r="AE331" s="1183"/>
      <c r="AF331" s="1183"/>
      <c r="AG331" s="1183"/>
      <c r="AH331" s="1183"/>
      <c r="AI331" s="1183"/>
      <c r="AJ331" s="1183"/>
      <c r="AK331" s="1183"/>
      <c r="AL331" s="408"/>
      <c r="AM331" s="408"/>
      <c r="AN331" s="455"/>
    </row>
    <row r="332" spans="1:44" s="418" customFormat="1" ht="12.75" customHeight="1">
      <c r="A332" s="465"/>
      <c r="B332" s="472"/>
      <c r="C332" s="1930" t="s">
        <v>2127</v>
      </c>
      <c r="D332" s="1930"/>
      <c r="E332" s="1930"/>
      <c r="F332" s="1930"/>
      <c r="G332" s="1930"/>
      <c r="H332" s="1930"/>
      <c r="I332" s="1930"/>
      <c r="J332" s="1930"/>
      <c r="K332" s="1930"/>
      <c r="L332" s="1930"/>
      <c r="M332" s="1930"/>
      <c r="N332" s="1930"/>
      <c r="O332" s="1930"/>
      <c r="P332" s="1930"/>
      <c r="Q332" s="1930"/>
      <c r="R332" s="1930"/>
      <c r="S332" s="1930"/>
      <c r="T332" s="1930"/>
      <c r="U332" s="1930"/>
      <c r="V332" s="1930"/>
      <c r="W332" s="1930"/>
      <c r="X332" s="1930"/>
      <c r="Y332" s="1930"/>
      <c r="Z332" s="1930"/>
      <c r="AA332" s="1930"/>
      <c r="AB332" s="1930"/>
      <c r="AC332" s="1930"/>
      <c r="AD332" s="1930"/>
      <c r="AE332" s="1930"/>
      <c r="AF332" s="1930"/>
      <c r="AG332" s="1930"/>
      <c r="AH332" s="1930"/>
      <c r="AI332" s="1930"/>
      <c r="AJ332" s="1930"/>
      <c r="AK332" s="465"/>
      <c r="AL332" s="465"/>
      <c r="AM332" s="465"/>
      <c r="AN332" s="459"/>
    </row>
    <row r="333" spans="1:44" s="418" customFormat="1" ht="12.75" customHeight="1">
      <c r="A333" s="465"/>
      <c r="B333" s="472"/>
      <c r="C333" s="1930"/>
      <c r="D333" s="1930"/>
      <c r="E333" s="1930"/>
      <c r="F333" s="1930"/>
      <c r="G333" s="1930"/>
      <c r="H333" s="1930"/>
      <c r="I333" s="1930"/>
      <c r="J333" s="1930"/>
      <c r="K333" s="1930"/>
      <c r="L333" s="1930"/>
      <c r="M333" s="1930"/>
      <c r="N333" s="1930"/>
      <c r="O333" s="1930"/>
      <c r="P333" s="1930"/>
      <c r="Q333" s="1930"/>
      <c r="R333" s="1930"/>
      <c r="S333" s="1930"/>
      <c r="T333" s="1930"/>
      <c r="U333" s="1930"/>
      <c r="V333" s="1930"/>
      <c r="W333" s="1930"/>
      <c r="X333" s="1930"/>
      <c r="Y333" s="1930"/>
      <c r="Z333" s="1930"/>
      <c r="AA333" s="1930"/>
      <c r="AB333" s="1930"/>
      <c r="AC333" s="1930"/>
      <c r="AD333" s="1930"/>
      <c r="AE333" s="1930"/>
      <c r="AF333" s="1930"/>
      <c r="AG333" s="1930"/>
      <c r="AH333" s="1930"/>
      <c r="AI333" s="1930"/>
      <c r="AJ333" s="1930"/>
      <c r="AK333" s="465"/>
      <c r="AL333" s="465"/>
      <c r="AM333" s="465"/>
      <c r="AN333" s="459"/>
    </row>
    <row r="334" spans="1:44" s="418" customFormat="1" ht="12.75" customHeight="1">
      <c r="A334" s="465"/>
      <c r="B334" s="472"/>
      <c r="C334" s="1930"/>
      <c r="D334" s="1930"/>
      <c r="E334" s="1930"/>
      <c r="F334" s="1930"/>
      <c r="G334" s="1930"/>
      <c r="H334" s="1930"/>
      <c r="I334" s="1930"/>
      <c r="J334" s="1930"/>
      <c r="K334" s="1930"/>
      <c r="L334" s="1930"/>
      <c r="M334" s="1930"/>
      <c r="N334" s="1930"/>
      <c r="O334" s="1930"/>
      <c r="P334" s="1930"/>
      <c r="Q334" s="1930"/>
      <c r="R334" s="1930"/>
      <c r="S334" s="1930"/>
      <c r="T334" s="1930"/>
      <c r="U334" s="1930"/>
      <c r="V334" s="1930"/>
      <c r="W334" s="1930"/>
      <c r="X334" s="1930"/>
      <c r="Y334" s="1930"/>
      <c r="Z334" s="1930"/>
      <c r="AA334" s="1930"/>
      <c r="AB334" s="1930"/>
      <c r="AC334" s="1930"/>
      <c r="AD334" s="1930"/>
      <c r="AE334" s="1930"/>
      <c r="AF334" s="1930"/>
      <c r="AG334" s="1930"/>
      <c r="AH334" s="1930"/>
      <c r="AI334" s="1930"/>
      <c r="AJ334" s="1930"/>
      <c r="AK334" s="465"/>
      <c r="AL334" s="465"/>
      <c r="AM334" s="465"/>
      <c r="AN334" s="459"/>
      <c r="AQ334" s="436"/>
    </row>
    <row r="335" spans="1:44" s="418" customFormat="1" ht="12.75" customHeight="1">
      <c r="A335" s="465"/>
      <c r="B335" s="472"/>
      <c r="C335" s="1930"/>
      <c r="D335" s="1930"/>
      <c r="E335" s="1930"/>
      <c r="F335" s="1930"/>
      <c r="G335" s="1930"/>
      <c r="H335" s="1930"/>
      <c r="I335" s="1930"/>
      <c r="J335" s="1930"/>
      <c r="K335" s="1930"/>
      <c r="L335" s="1930"/>
      <c r="M335" s="1930"/>
      <c r="N335" s="1930"/>
      <c r="O335" s="1930"/>
      <c r="P335" s="1930"/>
      <c r="Q335" s="1930"/>
      <c r="R335" s="1930"/>
      <c r="S335" s="1930"/>
      <c r="T335" s="1930"/>
      <c r="U335" s="1930"/>
      <c r="V335" s="1930"/>
      <c r="W335" s="1930"/>
      <c r="X335" s="1930"/>
      <c r="Y335" s="1930"/>
      <c r="Z335" s="1930"/>
      <c r="AA335" s="1930"/>
      <c r="AB335" s="1930"/>
      <c r="AC335" s="1930"/>
      <c r="AD335" s="1930"/>
      <c r="AE335" s="1930"/>
      <c r="AF335" s="1930"/>
      <c r="AG335" s="1930"/>
      <c r="AH335" s="1930"/>
      <c r="AI335" s="1930"/>
      <c r="AJ335" s="1930"/>
      <c r="AK335" s="465"/>
      <c r="AL335" s="465"/>
      <c r="AM335" s="465"/>
      <c r="AN335" s="459"/>
      <c r="AQ335" s="436"/>
    </row>
    <row r="336" spans="1:44" s="418" customFormat="1" ht="12.65" customHeight="1">
      <c r="A336" s="465"/>
      <c r="B336" s="472"/>
      <c r="C336" s="1930"/>
      <c r="D336" s="1930"/>
      <c r="E336" s="1930"/>
      <c r="F336" s="1930"/>
      <c r="G336" s="1930"/>
      <c r="H336" s="1930"/>
      <c r="I336" s="1930"/>
      <c r="J336" s="1930"/>
      <c r="K336" s="1930"/>
      <c r="L336" s="1930"/>
      <c r="M336" s="1930"/>
      <c r="N336" s="1930"/>
      <c r="O336" s="1930"/>
      <c r="P336" s="1930"/>
      <c r="Q336" s="1930"/>
      <c r="R336" s="1930"/>
      <c r="S336" s="1930"/>
      <c r="T336" s="1930"/>
      <c r="U336" s="1930"/>
      <c r="V336" s="1930"/>
      <c r="W336" s="1930"/>
      <c r="X336" s="1930"/>
      <c r="Y336" s="1930"/>
      <c r="Z336" s="1930"/>
      <c r="AA336" s="1930"/>
      <c r="AB336" s="1930"/>
      <c r="AC336" s="1930"/>
      <c r="AD336" s="1930"/>
      <c r="AE336" s="1930"/>
      <c r="AF336" s="1930"/>
      <c r="AG336" s="1930"/>
      <c r="AH336" s="1930"/>
      <c r="AI336" s="1930"/>
      <c r="AJ336" s="1930"/>
      <c r="AK336" s="465"/>
      <c r="AL336" s="465"/>
      <c r="AM336" s="465"/>
      <c r="AN336" s="459"/>
      <c r="AQ336" s="436"/>
      <c r="AR336" s="436"/>
    </row>
    <row r="337" spans="1:46" s="418" customFormat="1" ht="45.75" customHeight="1">
      <c r="A337" s="465"/>
      <c r="B337" s="472"/>
      <c r="C337" s="1930" t="s">
        <v>2128</v>
      </c>
      <c r="D337" s="1930"/>
      <c r="E337" s="1930"/>
      <c r="F337" s="1930"/>
      <c r="G337" s="1930"/>
      <c r="H337" s="1930"/>
      <c r="I337" s="1930"/>
      <c r="J337" s="1930"/>
      <c r="K337" s="1930"/>
      <c r="L337" s="1930"/>
      <c r="M337" s="1930"/>
      <c r="N337" s="1930"/>
      <c r="O337" s="1930"/>
      <c r="P337" s="1930"/>
      <c r="Q337" s="1930"/>
      <c r="R337" s="1930"/>
      <c r="S337" s="1930"/>
      <c r="T337" s="1930"/>
      <c r="U337" s="1930"/>
      <c r="V337" s="1930"/>
      <c r="W337" s="1930"/>
      <c r="X337" s="1930"/>
      <c r="Y337" s="1930"/>
      <c r="Z337" s="1930"/>
      <c r="AA337" s="1930"/>
      <c r="AB337" s="1930"/>
      <c r="AC337" s="1930"/>
      <c r="AD337" s="1930"/>
      <c r="AE337" s="1930"/>
      <c r="AF337" s="1930"/>
      <c r="AG337" s="1930"/>
      <c r="AH337" s="1930"/>
      <c r="AI337" s="1930"/>
      <c r="AJ337" s="1930"/>
      <c r="AK337" s="465"/>
      <c r="AL337" s="465"/>
      <c r="AM337" s="465"/>
      <c r="AN337" s="459"/>
      <c r="AQ337" s="436"/>
      <c r="AR337" s="436"/>
    </row>
    <row r="338" spans="1:46" s="418" customFormat="1" ht="12.65" customHeight="1">
      <c r="A338" s="465"/>
      <c r="B338" s="472"/>
      <c r="C338" s="1199"/>
      <c r="D338" s="1199"/>
      <c r="E338" s="1199"/>
      <c r="F338" s="1199"/>
      <c r="G338" s="1199"/>
      <c r="H338" s="1199"/>
      <c r="I338" s="1199"/>
      <c r="J338" s="1199"/>
      <c r="K338" s="1199"/>
      <c r="L338" s="1199"/>
      <c r="M338" s="1199"/>
      <c r="N338" s="1199"/>
      <c r="O338" s="1199"/>
      <c r="P338" s="1199"/>
      <c r="Q338" s="1199"/>
      <c r="R338" s="1199"/>
      <c r="S338" s="1199"/>
      <c r="T338" s="1199"/>
      <c r="U338" s="1199"/>
      <c r="V338" s="1199"/>
      <c r="W338" s="1199"/>
      <c r="X338" s="1199"/>
      <c r="Y338" s="1199"/>
      <c r="Z338" s="1199"/>
      <c r="AA338" s="1199"/>
      <c r="AB338" s="1199"/>
      <c r="AC338" s="1199"/>
      <c r="AD338" s="1199"/>
      <c r="AE338" s="1199"/>
      <c r="AF338" s="1199"/>
      <c r="AG338" s="1199"/>
      <c r="AH338" s="1199"/>
      <c r="AI338" s="1199"/>
      <c r="AJ338" s="1199"/>
      <c r="AK338" s="465"/>
      <c r="AL338" s="465"/>
      <c r="AM338" s="465"/>
      <c r="AN338" s="459"/>
      <c r="AQ338" s="436"/>
      <c r="AR338" s="436"/>
    </row>
    <row r="339" spans="1:46" s="418" customFormat="1" ht="12.75" customHeight="1">
      <c r="A339" s="465"/>
      <c r="B339" s="472"/>
      <c r="C339" s="1930" t="s">
        <v>2129</v>
      </c>
      <c r="D339" s="1930"/>
      <c r="E339" s="1930"/>
      <c r="F339" s="1930"/>
      <c r="G339" s="1930"/>
      <c r="H339" s="1930"/>
      <c r="I339" s="1930"/>
      <c r="J339" s="1930"/>
      <c r="K339" s="1930"/>
      <c r="L339" s="1930"/>
      <c r="M339" s="1930"/>
      <c r="N339" s="1930"/>
      <c r="O339" s="1930"/>
      <c r="P339" s="1930"/>
      <c r="Q339" s="1930"/>
      <c r="R339" s="1930"/>
      <c r="S339" s="1930"/>
      <c r="T339" s="1930"/>
      <c r="U339" s="1930"/>
      <c r="V339" s="1930"/>
      <c r="W339" s="1930"/>
      <c r="X339" s="1930"/>
      <c r="Y339" s="1930"/>
      <c r="Z339" s="1930"/>
      <c r="AA339" s="1930"/>
      <c r="AB339" s="1930"/>
      <c r="AC339" s="1930"/>
      <c r="AD339" s="1930"/>
      <c r="AE339" s="1930"/>
      <c r="AF339" s="1930"/>
      <c r="AG339" s="1930"/>
      <c r="AH339" s="1930"/>
      <c r="AI339" s="1930"/>
      <c r="AJ339" s="1930"/>
      <c r="AK339" s="465"/>
      <c r="AL339" s="465"/>
      <c r="AM339" s="465"/>
      <c r="AN339" s="459"/>
      <c r="AQ339" s="436"/>
      <c r="AR339" s="436"/>
    </row>
    <row r="340" spans="1:46" s="418" customFormat="1" ht="30" customHeight="1">
      <c r="A340" s="465"/>
      <c r="B340" s="472"/>
      <c r="C340" s="1930"/>
      <c r="D340" s="1930"/>
      <c r="E340" s="1930"/>
      <c r="F340" s="1930"/>
      <c r="G340" s="1930"/>
      <c r="H340" s="1930"/>
      <c r="I340" s="1930"/>
      <c r="J340" s="1930"/>
      <c r="K340" s="1930"/>
      <c r="L340" s="1930"/>
      <c r="M340" s="1930"/>
      <c r="N340" s="1930"/>
      <c r="O340" s="1930"/>
      <c r="P340" s="1930"/>
      <c r="Q340" s="1930"/>
      <c r="R340" s="1930"/>
      <c r="S340" s="1930"/>
      <c r="T340" s="1930"/>
      <c r="U340" s="1930"/>
      <c r="V340" s="1930"/>
      <c r="W340" s="1930"/>
      <c r="X340" s="1930"/>
      <c r="Y340" s="1930"/>
      <c r="Z340" s="1930"/>
      <c r="AA340" s="1930"/>
      <c r="AB340" s="1930"/>
      <c r="AC340" s="1930"/>
      <c r="AD340" s="1930"/>
      <c r="AE340" s="1930"/>
      <c r="AF340" s="1930"/>
      <c r="AG340" s="1930"/>
      <c r="AH340" s="1930"/>
      <c r="AI340" s="1930"/>
      <c r="AJ340" s="1930"/>
      <c r="AK340" s="465"/>
      <c r="AL340" s="465"/>
      <c r="AM340" s="465"/>
      <c r="AN340" s="459"/>
      <c r="AR340" s="436"/>
    </row>
    <row r="341" spans="1:46" s="418" customFormat="1" ht="12.75" customHeight="1">
      <c r="A341" s="465"/>
      <c r="B341" s="472"/>
      <c r="C341" s="1930"/>
      <c r="D341" s="1930"/>
      <c r="E341" s="1930"/>
      <c r="F341" s="1930"/>
      <c r="G341" s="1930"/>
      <c r="H341" s="1930"/>
      <c r="I341" s="1930"/>
      <c r="J341" s="1930"/>
      <c r="K341" s="1930"/>
      <c r="L341" s="1930"/>
      <c r="M341" s="1930"/>
      <c r="N341" s="1930"/>
      <c r="O341" s="1930"/>
      <c r="P341" s="1930"/>
      <c r="Q341" s="1930"/>
      <c r="R341" s="1930"/>
      <c r="S341" s="1930"/>
      <c r="T341" s="1930"/>
      <c r="U341" s="1930"/>
      <c r="V341" s="1930"/>
      <c r="W341" s="1930"/>
      <c r="X341" s="1930"/>
      <c r="Y341" s="1930"/>
      <c r="Z341" s="1930"/>
      <c r="AA341" s="1930"/>
      <c r="AB341" s="1930"/>
      <c r="AC341" s="1930"/>
      <c r="AD341" s="1930"/>
      <c r="AE341" s="1930"/>
      <c r="AF341" s="1930"/>
      <c r="AG341" s="1930"/>
      <c r="AH341" s="1930"/>
      <c r="AI341" s="1930"/>
      <c r="AJ341" s="1930"/>
      <c r="AK341" s="465"/>
      <c r="AL341" s="465"/>
      <c r="AM341" s="465"/>
      <c r="AN341" s="459"/>
      <c r="AR341" s="436"/>
    </row>
    <row r="342" spans="1:46" s="418" customFormat="1" ht="12.75" customHeight="1">
      <c r="A342" s="465"/>
      <c r="B342" s="472"/>
      <c r="C342" s="1930" t="s">
        <v>2130</v>
      </c>
      <c r="D342" s="1930"/>
      <c r="E342" s="1930"/>
      <c r="F342" s="1930"/>
      <c r="G342" s="1930"/>
      <c r="H342" s="1930"/>
      <c r="I342" s="1930"/>
      <c r="J342" s="1930"/>
      <c r="K342" s="1930"/>
      <c r="L342" s="1930"/>
      <c r="M342" s="1930"/>
      <c r="N342" s="1930"/>
      <c r="O342" s="1930"/>
      <c r="P342" s="1930"/>
      <c r="Q342" s="1930"/>
      <c r="R342" s="1930"/>
      <c r="S342" s="1930"/>
      <c r="T342" s="1930"/>
      <c r="U342" s="1930"/>
      <c r="V342" s="1930"/>
      <c r="W342" s="1930"/>
      <c r="X342" s="1930"/>
      <c r="Y342" s="1930"/>
      <c r="Z342" s="1930"/>
      <c r="AA342" s="1930"/>
      <c r="AB342" s="1930"/>
      <c r="AC342" s="1930"/>
      <c r="AD342" s="1930"/>
      <c r="AE342" s="1930"/>
      <c r="AF342" s="1930"/>
      <c r="AG342" s="1930"/>
      <c r="AH342" s="1930"/>
      <c r="AI342" s="1930"/>
      <c r="AJ342" s="1930"/>
      <c r="AK342" s="465"/>
      <c r="AL342" s="465"/>
      <c r="AM342" s="465"/>
      <c r="AN342" s="459"/>
      <c r="AQ342" s="436"/>
      <c r="AR342" s="436"/>
    </row>
    <row r="343" spans="1:46" s="418" customFormat="1" ht="12.75" customHeight="1">
      <c r="A343" s="465"/>
      <c r="B343" s="472"/>
      <c r="C343" s="1930"/>
      <c r="D343" s="1930"/>
      <c r="E343" s="1930"/>
      <c r="F343" s="1930"/>
      <c r="G343" s="1930"/>
      <c r="H343" s="1930"/>
      <c r="I343" s="1930"/>
      <c r="J343" s="1930"/>
      <c r="K343" s="1930"/>
      <c r="L343" s="1930"/>
      <c r="M343" s="1930"/>
      <c r="N343" s="1930"/>
      <c r="O343" s="1930"/>
      <c r="P343" s="1930"/>
      <c r="Q343" s="1930"/>
      <c r="R343" s="1930"/>
      <c r="S343" s="1930"/>
      <c r="T343" s="1930"/>
      <c r="U343" s="1930"/>
      <c r="V343" s="1930"/>
      <c r="W343" s="1930"/>
      <c r="X343" s="1930"/>
      <c r="Y343" s="1930"/>
      <c r="Z343" s="1930"/>
      <c r="AA343" s="1930"/>
      <c r="AB343" s="1930"/>
      <c r="AC343" s="1930"/>
      <c r="AD343" s="1930"/>
      <c r="AE343" s="1930"/>
      <c r="AF343" s="1930"/>
      <c r="AG343" s="1930"/>
      <c r="AH343" s="1930"/>
      <c r="AI343" s="1930"/>
      <c r="AJ343" s="1930"/>
      <c r="AK343" s="465"/>
      <c r="AL343" s="465"/>
      <c r="AM343" s="465"/>
      <c r="AN343" s="459"/>
      <c r="AQ343" s="436"/>
      <c r="AR343" s="436"/>
    </row>
    <row r="344" spans="1:46" s="418" customFormat="1" ht="13.4" customHeight="1">
      <c r="A344" s="465"/>
      <c r="B344" s="472"/>
      <c r="C344" s="1930"/>
      <c r="D344" s="1930"/>
      <c r="E344" s="1930"/>
      <c r="F344" s="1930"/>
      <c r="G344" s="1930"/>
      <c r="H344" s="1930"/>
      <c r="I344" s="1930"/>
      <c r="J344" s="1930"/>
      <c r="K344" s="1930"/>
      <c r="L344" s="1930"/>
      <c r="M344" s="1930"/>
      <c r="N344" s="1930"/>
      <c r="O344" s="1930"/>
      <c r="P344" s="1930"/>
      <c r="Q344" s="1930"/>
      <c r="R344" s="1930"/>
      <c r="S344" s="1930"/>
      <c r="T344" s="1930"/>
      <c r="U344" s="1930"/>
      <c r="V344" s="1930"/>
      <c r="W344" s="1930"/>
      <c r="X344" s="1930"/>
      <c r="Y344" s="1930"/>
      <c r="Z344" s="1930"/>
      <c r="AA344" s="1930"/>
      <c r="AB344" s="1930"/>
      <c r="AC344" s="1930"/>
      <c r="AD344" s="1930"/>
      <c r="AE344" s="1930"/>
      <c r="AF344" s="1930"/>
      <c r="AG344" s="1930"/>
      <c r="AH344" s="1930"/>
      <c r="AI344" s="1930"/>
      <c r="AJ344" s="1930"/>
      <c r="AK344" s="465"/>
      <c r="AL344" s="465"/>
      <c r="AM344" s="465"/>
      <c r="AN344" s="459"/>
      <c r="AQ344" s="436"/>
      <c r="AR344" s="436"/>
    </row>
    <row r="345" spans="1:46" s="418" customFormat="1" ht="12.75" customHeight="1">
      <c r="A345" s="465"/>
      <c r="B345" s="472"/>
      <c r="C345" s="1930"/>
      <c r="D345" s="1930"/>
      <c r="E345" s="1930"/>
      <c r="F345" s="1930"/>
      <c r="G345" s="1930"/>
      <c r="H345" s="1930"/>
      <c r="I345" s="1930"/>
      <c r="J345" s="1930"/>
      <c r="K345" s="1930"/>
      <c r="L345" s="1930"/>
      <c r="M345" s="1930"/>
      <c r="N345" s="1930"/>
      <c r="O345" s="1930"/>
      <c r="P345" s="1930"/>
      <c r="Q345" s="1930"/>
      <c r="R345" s="1930"/>
      <c r="S345" s="1930"/>
      <c r="T345" s="1930"/>
      <c r="U345" s="1930"/>
      <c r="V345" s="1930"/>
      <c r="W345" s="1930"/>
      <c r="X345" s="1930"/>
      <c r="Y345" s="1930"/>
      <c r="Z345" s="1930"/>
      <c r="AA345" s="1930"/>
      <c r="AB345" s="1930"/>
      <c r="AC345" s="1930"/>
      <c r="AD345" s="1930"/>
      <c r="AE345" s="1930"/>
      <c r="AF345" s="1930"/>
      <c r="AG345" s="1930"/>
      <c r="AH345" s="1930"/>
      <c r="AI345" s="1930"/>
      <c r="AJ345" s="1930"/>
      <c r="AK345" s="465"/>
      <c r="AL345" s="465"/>
      <c r="AM345" s="465"/>
      <c r="AN345" s="459"/>
      <c r="AO345" s="549"/>
      <c r="AP345" s="549"/>
      <c r="AQ345" s="436"/>
    </row>
    <row r="346" spans="1:46" s="418" customFormat="1" ht="12" customHeight="1">
      <c r="A346" s="465"/>
      <c r="B346" s="472"/>
      <c r="C346" s="1930"/>
      <c r="D346" s="1930"/>
      <c r="E346" s="1930"/>
      <c r="F346" s="1930"/>
      <c r="G346" s="1930"/>
      <c r="H346" s="1930"/>
      <c r="I346" s="1930"/>
      <c r="J346" s="1930"/>
      <c r="K346" s="1930"/>
      <c r="L346" s="1930"/>
      <c r="M346" s="1930"/>
      <c r="N346" s="1930"/>
      <c r="O346" s="1930"/>
      <c r="P346" s="1930"/>
      <c r="Q346" s="1930"/>
      <c r="R346" s="1930"/>
      <c r="S346" s="1930"/>
      <c r="T346" s="1930"/>
      <c r="U346" s="1930"/>
      <c r="V346" s="1930"/>
      <c r="W346" s="1930"/>
      <c r="X346" s="1930"/>
      <c r="Y346" s="1930"/>
      <c r="Z346" s="1930"/>
      <c r="AA346" s="1930"/>
      <c r="AB346" s="1930"/>
      <c r="AC346" s="1930"/>
      <c r="AD346" s="1930"/>
      <c r="AE346" s="1930"/>
      <c r="AF346" s="1930"/>
      <c r="AG346" s="1930"/>
      <c r="AH346" s="1930"/>
      <c r="AI346" s="1930"/>
      <c r="AJ346" s="1930"/>
      <c r="AK346" s="465"/>
      <c r="AL346" s="465"/>
      <c r="AM346" s="465"/>
      <c r="AN346" s="459"/>
      <c r="AO346" s="550" t="s">
        <v>17</v>
      </c>
      <c r="AP346" s="551">
        <f>IF(C370="Yes",5,0)</f>
        <v>0</v>
      </c>
      <c r="AS346" s="408" t="s">
        <v>2131</v>
      </c>
    </row>
    <row r="347" spans="1:46" s="418" customFormat="1" ht="12.75" customHeight="1">
      <c r="A347" s="465"/>
      <c r="B347" s="472"/>
      <c r="C347" s="1930"/>
      <c r="D347" s="1930"/>
      <c r="E347" s="1930"/>
      <c r="F347" s="1930"/>
      <c r="G347" s="1930"/>
      <c r="H347" s="1930"/>
      <c r="I347" s="1930"/>
      <c r="J347" s="1930"/>
      <c r="K347" s="1930"/>
      <c r="L347" s="1930"/>
      <c r="M347" s="1930"/>
      <c r="N347" s="1930"/>
      <c r="O347" s="1930"/>
      <c r="P347" s="1930"/>
      <c r="Q347" s="1930"/>
      <c r="R347" s="1930"/>
      <c r="S347" s="1930"/>
      <c r="T347" s="1930"/>
      <c r="U347" s="1930"/>
      <c r="V347" s="1930"/>
      <c r="W347" s="1930"/>
      <c r="X347" s="1930"/>
      <c r="Y347" s="1930"/>
      <c r="Z347" s="1930"/>
      <c r="AA347" s="1930"/>
      <c r="AB347" s="1930"/>
      <c r="AC347" s="1930"/>
      <c r="AD347" s="1930"/>
      <c r="AE347" s="1930"/>
      <c r="AF347" s="1930"/>
      <c r="AG347" s="1930"/>
      <c r="AH347" s="1930"/>
      <c r="AI347" s="1930"/>
      <c r="AJ347" s="1930"/>
      <c r="AK347" s="465"/>
      <c r="AL347" s="465"/>
      <c r="AM347" s="465"/>
      <c r="AN347" s="459"/>
      <c r="AO347" s="550" t="s">
        <v>30</v>
      </c>
      <c r="AP347" s="551">
        <f>IF(C378="Yes",5,0)</f>
        <v>0</v>
      </c>
      <c r="AS347" s="1951">
        <f>IF(Application!D211="Non-Targeted",(SUM(AQ355+AQ364)),AS351)</f>
        <v>10</v>
      </c>
      <c r="AT347" s="1951"/>
    </row>
    <row r="348" spans="1:46" s="418" customFormat="1" ht="12.75" customHeight="1">
      <c r="A348" s="465"/>
      <c r="B348" s="472"/>
      <c r="C348" s="1930"/>
      <c r="D348" s="1930"/>
      <c r="E348" s="1930"/>
      <c r="F348" s="1930"/>
      <c r="G348" s="1930"/>
      <c r="H348" s="1930"/>
      <c r="I348" s="1930"/>
      <c r="J348" s="1930"/>
      <c r="K348" s="1930"/>
      <c r="L348" s="1930"/>
      <c r="M348" s="1930"/>
      <c r="N348" s="1930"/>
      <c r="O348" s="1930"/>
      <c r="P348" s="1930"/>
      <c r="Q348" s="1930"/>
      <c r="R348" s="1930"/>
      <c r="S348" s="1930"/>
      <c r="T348" s="1930"/>
      <c r="U348" s="1930"/>
      <c r="V348" s="1930"/>
      <c r="W348" s="1930"/>
      <c r="X348" s="1930"/>
      <c r="Y348" s="1930"/>
      <c r="Z348" s="1930"/>
      <c r="AA348" s="1930"/>
      <c r="AB348" s="1930"/>
      <c r="AC348" s="1930"/>
      <c r="AD348" s="1930"/>
      <c r="AE348" s="1930"/>
      <c r="AF348" s="1930"/>
      <c r="AG348" s="1930"/>
      <c r="AH348" s="1930"/>
      <c r="AI348" s="1930"/>
      <c r="AJ348" s="1930"/>
      <c r="AK348" s="465"/>
      <c r="AL348" s="465"/>
      <c r="AM348" s="465"/>
      <c r="AN348" s="459"/>
      <c r="AO348" s="550" t="s">
        <v>38</v>
      </c>
      <c r="AP348" s="551">
        <f>IF(C386="Yes",7,0)</f>
        <v>0</v>
      </c>
      <c r="AS348" s="408" t="s">
        <v>2132</v>
      </c>
    </row>
    <row r="349" spans="1:46" s="418" customFormat="1" ht="12.75" customHeight="1">
      <c r="A349" s="465"/>
      <c r="B349" s="472"/>
      <c r="C349" s="1930"/>
      <c r="D349" s="1930"/>
      <c r="E349" s="1930"/>
      <c r="F349" s="1930"/>
      <c r="G349" s="1930"/>
      <c r="H349" s="1930"/>
      <c r="I349" s="1930"/>
      <c r="J349" s="1930"/>
      <c r="K349" s="1930"/>
      <c r="L349" s="1930"/>
      <c r="M349" s="1930"/>
      <c r="N349" s="1930"/>
      <c r="O349" s="1930"/>
      <c r="P349" s="1930"/>
      <c r="Q349" s="1930"/>
      <c r="R349" s="1930"/>
      <c r="S349" s="1930"/>
      <c r="T349" s="1930"/>
      <c r="U349" s="1930"/>
      <c r="V349" s="1930"/>
      <c r="W349" s="1930"/>
      <c r="X349" s="1930"/>
      <c r="Y349" s="1930"/>
      <c r="Z349" s="1930"/>
      <c r="AA349" s="1930"/>
      <c r="AB349" s="1930"/>
      <c r="AC349" s="1930"/>
      <c r="AD349" s="1930"/>
      <c r="AE349" s="1930"/>
      <c r="AF349" s="1930"/>
      <c r="AG349" s="1930"/>
      <c r="AH349" s="1930"/>
      <c r="AI349" s="1930"/>
      <c r="AJ349" s="1930"/>
      <c r="AK349" s="465"/>
      <c r="AL349" s="465"/>
      <c r="AM349" s="465"/>
      <c r="AN349" s="459"/>
      <c r="AO349" s="459"/>
      <c r="AP349" s="551">
        <f>IF(C388="Yes",5,0)</f>
        <v>5</v>
      </c>
      <c r="AS349" s="1951">
        <f>IF(AND(AQ355&gt;0,AQ364&gt;0),(AQ355+AQ364)/2,0)</f>
        <v>0</v>
      </c>
      <c r="AT349" s="1951"/>
    </row>
    <row r="350" spans="1:46" s="418" customFormat="1" ht="12.75" customHeight="1">
      <c r="A350" s="465"/>
      <c r="B350" s="472"/>
      <c r="C350" s="1930"/>
      <c r="D350" s="1930"/>
      <c r="E350" s="1930"/>
      <c r="F350" s="1930"/>
      <c r="G350" s="1930"/>
      <c r="H350" s="1930"/>
      <c r="I350" s="1930"/>
      <c r="J350" s="1930"/>
      <c r="K350" s="1930"/>
      <c r="L350" s="1930"/>
      <c r="M350" s="1930"/>
      <c r="N350" s="1930"/>
      <c r="O350" s="1930"/>
      <c r="P350" s="1930"/>
      <c r="Q350" s="1930"/>
      <c r="R350" s="1930"/>
      <c r="S350" s="1930"/>
      <c r="T350" s="1930"/>
      <c r="U350" s="1930"/>
      <c r="V350" s="1930"/>
      <c r="W350" s="1930"/>
      <c r="X350" s="1930"/>
      <c r="Y350" s="1930"/>
      <c r="Z350" s="1930"/>
      <c r="AA350" s="1930"/>
      <c r="AB350" s="1930"/>
      <c r="AC350" s="1930"/>
      <c r="AD350" s="1930"/>
      <c r="AE350" s="1930"/>
      <c r="AF350" s="1930"/>
      <c r="AG350" s="1930"/>
      <c r="AH350" s="1930"/>
      <c r="AI350" s="1930"/>
      <c r="AJ350" s="1930"/>
      <c r="AK350" s="465"/>
      <c r="AL350" s="465"/>
      <c r="AM350" s="465"/>
      <c r="AN350" s="459"/>
      <c r="AO350" s="550" t="s">
        <v>81</v>
      </c>
      <c r="AP350" s="551">
        <f>IF(C396="Yes",5,0)</f>
        <v>0</v>
      </c>
      <c r="AS350" s="408" t="s">
        <v>2133</v>
      </c>
    </row>
    <row r="351" spans="1:46" s="418" customFormat="1" ht="12.75" customHeight="1">
      <c r="A351" s="465"/>
      <c r="B351" s="472"/>
      <c r="C351" s="1952" t="s">
        <v>2134</v>
      </c>
      <c r="D351" s="1952"/>
      <c r="E351" s="1952"/>
      <c r="F351" s="1952"/>
      <c r="G351" s="1952"/>
      <c r="H351" s="1952"/>
      <c r="I351" s="1952"/>
      <c r="J351" s="1952"/>
      <c r="K351" s="1952"/>
      <c r="L351" s="1952"/>
      <c r="M351" s="1952"/>
      <c r="N351" s="1952"/>
      <c r="O351" s="1952"/>
      <c r="P351" s="1952"/>
      <c r="Q351" s="1952"/>
      <c r="R351" s="1952"/>
      <c r="S351" s="1952"/>
      <c r="T351" s="1952"/>
      <c r="U351" s="1952"/>
      <c r="V351" s="1952"/>
      <c r="W351" s="1952"/>
      <c r="X351" s="1952"/>
      <c r="Y351" s="1952"/>
      <c r="Z351" s="1952"/>
      <c r="AA351" s="1952"/>
      <c r="AB351" s="1952"/>
      <c r="AC351" s="1952"/>
      <c r="AD351" s="1952"/>
      <c r="AE351" s="1952"/>
      <c r="AF351" s="1952"/>
      <c r="AG351" s="1952"/>
      <c r="AH351" s="1952"/>
      <c r="AI351" s="1952"/>
      <c r="AJ351" s="1952"/>
      <c r="AK351" s="465"/>
      <c r="AL351" s="465"/>
      <c r="AM351" s="465"/>
      <c r="AN351" s="459"/>
      <c r="AO351" s="459"/>
      <c r="AP351" s="551">
        <f>IF(C398="Yes",3,0)</f>
        <v>0</v>
      </c>
      <c r="AS351" s="1951">
        <f>IF(AQ355=0,AQ364,AQ355)</f>
        <v>10</v>
      </c>
      <c r="AT351" s="1951"/>
    </row>
    <row r="352" spans="1:46" s="418" customFormat="1" ht="12.75" customHeight="1">
      <c r="A352" s="465"/>
      <c r="B352" s="472"/>
      <c r="C352" s="1952"/>
      <c r="D352" s="1952"/>
      <c r="E352" s="1952"/>
      <c r="F352" s="1952"/>
      <c r="G352" s="1952"/>
      <c r="H352" s="1952"/>
      <c r="I352" s="1952"/>
      <c r="J352" s="1952"/>
      <c r="K352" s="1952"/>
      <c r="L352" s="1952"/>
      <c r="M352" s="1952"/>
      <c r="N352" s="1952"/>
      <c r="O352" s="1952"/>
      <c r="P352" s="1952"/>
      <c r="Q352" s="1952"/>
      <c r="R352" s="1952"/>
      <c r="S352" s="1952"/>
      <c r="T352" s="1952"/>
      <c r="U352" s="1952"/>
      <c r="V352" s="1952"/>
      <c r="W352" s="1952"/>
      <c r="X352" s="1952"/>
      <c r="Y352" s="1952"/>
      <c r="Z352" s="1952"/>
      <c r="AA352" s="1952"/>
      <c r="AB352" s="1952"/>
      <c r="AC352" s="1952"/>
      <c r="AD352" s="1952"/>
      <c r="AE352" s="1952"/>
      <c r="AF352" s="1952"/>
      <c r="AG352" s="1952"/>
      <c r="AH352" s="1952"/>
      <c r="AI352" s="1952"/>
      <c r="AJ352" s="1952"/>
      <c r="AK352" s="465"/>
      <c r="AL352" s="465"/>
      <c r="AM352" s="465"/>
      <c r="AN352" s="459"/>
      <c r="AO352" s="550" t="s">
        <v>85</v>
      </c>
      <c r="AP352" s="551">
        <f>IF(C401="Yes",5,0)</f>
        <v>0</v>
      </c>
    </row>
    <row r="353" spans="1:81" s="418" customFormat="1" ht="12.75" customHeight="1">
      <c r="A353" s="465"/>
      <c r="B353" s="472"/>
      <c r="C353" s="1952"/>
      <c r="D353" s="1952"/>
      <c r="E353" s="1952"/>
      <c r="F353" s="1952"/>
      <c r="G353" s="1952"/>
      <c r="H353" s="1952"/>
      <c r="I353" s="1952"/>
      <c r="J353" s="1952"/>
      <c r="K353" s="1952"/>
      <c r="L353" s="1952"/>
      <c r="M353" s="1952"/>
      <c r="N353" s="1952"/>
      <c r="O353" s="1952"/>
      <c r="P353" s="1952"/>
      <c r="Q353" s="1952"/>
      <c r="R353" s="1952"/>
      <c r="S353" s="1952"/>
      <c r="T353" s="1952"/>
      <c r="U353" s="1952"/>
      <c r="V353" s="1952"/>
      <c r="W353" s="1952"/>
      <c r="X353" s="1952"/>
      <c r="Y353" s="1952"/>
      <c r="Z353" s="1952"/>
      <c r="AA353" s="1952"/>
      <c r="AB353" s="1952"/>
      <c r="AC353" s="1952"/>
      <c r="AD353" s="1952"/>
      <c r="AE353" s="1952"/>
      <c r="AF353" s="1952"/>
      <c r="AG353" s="1952"/>
      <c r="AH353" s="1952"/>
      <c r="AI353" s="1952"/>
      <c r="AJ353" s="1952"/>
      <c r="AK353" s="465"/>
      <c r="AL353" s="465"/>
      <c r="AM353" s="465"/>
      <c r="AN353" s="459"/>
      <c r="AO353" s="550" t="s">
        <v>1463</v>
      </c>
      <c r="AP353" s="551">
        <f>IF(C410="Yes",5,0)</f>
        <v>5</v>
      </c>
    </row>
    <row r="354" spans="1:81" s="418" customFormat="1" ht="12" customHeight="1">
      <c r="A354" s="465"/>
      <c r="B354" s="472"/>
      <c r="C354" s="1952"/>
      <c r="D354" s="1952"/>
      <c r="E354" s="1952"/>
      <c r="F354" s="1952"/>
      <c r="G354" s="1952"/>
      <c r="H354" s="1952"/>
      <c r="I354" s="1952"/>
      <c r="J354" s="1952"/>
      <c r="K354" s="1952"/>
      <c r="L354" s="1952"/>
      <c r="M354" s="1952"/>
      <c r="N354" s="1952"/>
      <c r="O354" s="1952"/>
      <c r="P354" s="1952"/>
      <c r="Q354" s="1952"/>
      <c r="R354" s="1952"/>
      <c r="S354" s="1952"/>
      <c r="T354" s="1952"/>
      <c r="U354" s="1952"/>
      <c r="V354" s="1952"/>
      <c r="W354" s="1952"/>
      <c r="X354" s="1952"/>
      <c r="Y354" s="1952"/>
      <c r="Z354" s="1952"/>
      <c r="AA354" s="1952"/>
      <c r="AB354" s="1952"/>
      <c r="AC354" s="1952"/>
      <c r="AD354" s="1952"/>
      <c r="AE354" s="1952"/>
      <c r="AF354" s="1952"/>
      <c r="AG354" s="1952"/>
      <c r="AH354" s="1952"/>
      <c r="AI354" s="1952"/>
      <c r="AJ354" s="1952"/>
      <c r="AK354" s="465"/>
      <c r="AL354" s="465"/>
      <c r="AM354" s="465"/>
      <c r="AN354" s="459"/>
      <c r="AO354" s="552"/>
      <c r="AP354" s="553">
        <f>IF(C412="Yes",3,0)</f>
        <v>0</v>
      </c>
    </row>
    <row r="355" spans="1:81" s="418" customFormat="1" ht="12.65" customHeight="1">
      <c r="A355" s="465"/>
      <c r="B355" s="472"/>
      <c r="C355" s="1952"/>
      <c r="D355" s="1952"/>
      <c r="E355" s="1952"/>
      <c r="F355" s="1952"/>
      <c r="G355" s="1952"/>
      <c r="H355" s="1952"/>
      <c r="I355" s="1952"/>
      <c r="J355" s="1952"/>
      <c r="K355" s="1952"/>
      <c r="L355" s="1952"/>
      <c r="M355" s="1952"/>
      <c r="N355" s="1952"/>
      <c r="O355" s="1952"/>
      <c r="P355" s="1952"/>
      <c r="Q355" s="1952"/>
      <c r="R355" s="1952"/>
      <c r="S355" s="1952"/>
      <c r="T355" s="1952"/>
      <c r="U355" s="1952"/>
      <c r="V355" s="1952"/>
      <c r="W355" s="1952"/>
      <c r="X355" s="1952"/>
      <c r="Y355" s="1952"/>
      <c r="Z355" s="1952"/>
      <c r="AA355" s="1952"/>
      <c r="AB355" s="1952"/>
      <c r="AC355" s="1952"/>
      <c r="AD355" s="1952"/>
      <c r="AE355" s="1952"/>
      <c r="AF355" s="1952"/>
      <c r="AG355" s="1952"/>
      <c r="AH355" s="1952"/>
      <c r="AI355" s="1952"/>
      <c r="AJ355" s="1952"/>
      <c r="AK355" s="465"/>
      <c r="AL355" s="465"/>
      <c r="AM355" s="465"/>
      <c r="AN355" s="459"/>
      <c r="AO355" s="554" t="s">
        <v>2135</v>
      </c>
      <c r="AP355" s="555">
        <f>SUM(AP346:AP354)</f>
        <v>10</v>
      </c>
      <c r="AQ355" s="1953">
        <f>IF(AP355&gt;0,AP355,0)</f>
        <v>10</v>
      </c>
      <c r="AR355" s="1953"/>
    </row>
    <row r="356" spans="1:81" s="418" customFormat="1" ht="12.75" customHeight="1">
      <c r="A356" s="465"/>
      <c r="B356" s="472"/>
      <c r="C356" s="1952"/>
      <c r="D356" s="1952"/>
      <c r="E356" s="1952"/>
      <c r="F356" s="1952"/>
      <c r="G356" s="1952"/>
      <c r="H356" s="1952"/>
      <c r="I356" s="1952"/>
      <c r="J356" s="1952"/>
      <c r="K356" s="1952"/>
      <c r="L356" s="1952"/>
      <c r="M356" s="1952"/>
      <c r="N356" s="1952"/>
      <c r="O356" s="1952"/>
      <c r="P356" s="1952"/>
      <c r="Q356" s="1952"/>
      <c r="R356" s="1952"/>
      <c r="S356" s="1952"/>
      <c r="T356" s="1952"/>
      <c r="U356" s="1952"/>
      <c r="V356" s="1952"/>
      <c r="W356" s="1952"/>
      <c r="X356" s="1952"/>
      <c r="Y356" s="1952"/>
      <c r="Z356" s="1952"/>
      <c r="AA356" s="1952"/>
      <c r="AB356" s="1952"/>
      <c r="AC356" s="1952"/>
      <c r="AD356" s="1952"/>
      <c r="AE356" s="1952"/>
      <c r="AF356" s="1952"/>
      <c r="AG356" s="1952"/>
      <c r="AH356" s="1952"/>
      <c r="AI356" s="1952"/>
      <c r="AJ356" s="1952"/>
      <c r="AK356" s="465"/>
      <c r="AL356" s="465"/>
      <c r="AM356" s="465"/>
      <c r="AN356" s="459"/>
      <c r="AP356" s="436"/>
    </row>
    <row r="357" spans="1:81" s="418" customFormat="1" ht="12.75" customHeight="1">
      <c r="A357" s="465"/>
      <c r="B357" s="472"/>
      <c r="C357" s="548"/>
      <c r="D357" s="548"/>
      <c r="E357" s="548"/>
      <c r="F357" s="548"/>
      <c r="G357" s="548"/>
      <c r="H357" s="548"/>
      <c r="I357" s="548"/>
      <c r="J357" s="548"/>
      <c r="K357" s="548"/>
      <c r="L357" s="548"/>
      <c r="M357" s="548"/>
      <c r="N357" s="548"/>
      <c r="O357" s="548"/>
      <c r="P357" s="548"/>
      <c r="Q357" s="548"/>
      <c r="R357" s="548"/>
      <c r="S357" s="548"/>
      <c r="T357" s="548"/>
      <c r="U357" s="548"/>
      <c r="V357" s="548"/>
      <c r="W357" s="548"/>
      <c r="X357" s="548"/>
      <c r="Y357" s="548"/>
      <c r="Z357" s="548"/>
      <c r="AA357" s="548"/>
      <c r="AB357" s="548"/>
      <c r="AC357" s="548"/>
      <c r="AD357" s="548"/>
      <c r="AE357" s="548"/>
      <c r="AF357" s="548"/>
      <c r="AG357" s="548"/>
      <c r="AH357" s="548"/>
      <c r="AI357" s="548"/>
      <c r="AJ357" s="548"/>
      <c r="AK357" s="465"/>
      <c r="AL357" s="465"/>
      <c r="AM357" s="465"/>
      <c r="AN357" s="459"/>
      <c r="AO357" s="550" t="s">
        <v>1464</v>
      </c>
      <c r="AP357" s="551">
        <f>IF(C419="Yes",5,0)</f>
        <v>0</v>
      </c>
    </row>
    <row r="358" spans="1:81" s="418" customFormat="1" ht="12.75" customHeight="1">
      <c r="A358" s="465"/>
      <c r="B358" s="472"/>
      <c r="C358" s="1930" t="s">
        <v>2136</v>
      </c>
      <c r="D358" s="1930"/>
      <c r="E358" s="1930"/>
      <c r="F358" s="1930"/>
      <c r="G358" s="1930"/>
      <c r="H358" s="1930"/>
      <c r="I358" s="1930"/>
      <c r="J358" s="1930"/>
      <c r="K358" s="1930"/>
      <c r="L358" s="1930"/>
      <c r="M358" s="1930"/>
      <c r="N358" s="1930"/>
      <c r="O358" s="1930"/>
      <c r="P358" s="1930"/>
      <c r="Q358" s="1930"/>
      <c r="R358" s="1930"/>
      <c r="S358" s="1930"/>
      <c r="T358" s="1930"/>
      <c r="U358" s="1930"/>
      <c r="V358" s="1930"/>
      <c r="W358" s="1930"/>
      <c r="X358" s="1930"/>
      <c r="Y358" s="1930"/>
      <c r="Z358" s="1930"/>
      <c r="AA358" s="1930"/>
      <c r="AB358" s="1930"/>
      <c r="AC358" s="1930"/>
      <c r="AD358" s="1930"/>
      <c r="AE358" s="1930"/>
      <c r="AF358" s="1930"/>
      <c r="AG358" s="1930"/>
      <c r="AH358" s="1930"/>
      <c r="AI358" s="1930"/>
      <c r="AJ358" s="1930"/>
      <c r="AK358" s="465"/>
      <c r="AL358" s="465"/>
      <c r="AM358" s="465"/>
      <c r="AN358" s="459"/>
      <c r="AO358" s="550" t="s">
        <v>1465</v>
      </c>
      <c r="AP358" s="551">
        <f>IF(C431="Yes",5,0)</f>
        <v>0</v>
      </c>
    </row>
    <row r="359" spans="1:81" s="418" customFormat="1" ht="12.75" customHeight="1">
      <c r="A359" s="465"/>
      <c r="B359" s="472"/>
      <c r="C359" s="1930"/>
      <c r="D359" s="1930"/>
      <c r="E359" s="1930"/>
      <c r="F359" s="1930"/>
      <c r="G359" s="1930"/>
      <c r="H359" s="1930"/>
      <c r="I359" s="1930"/>
      <c r="J359" s="1930"/>
      <c r="K359" s="1930"/>
      <c r="L359" s="1930"/>
      <c r="M359" s="1930"/>
      <c r="N359" s="1930"/>
      <c r="O359" s="1930"/>
      <c r="P359" s="1930"/>
      <c r="Q359" s="1930"/>
      <c r="R359" s="1930"/>
      <c r="S359" s="1930"/>
      <c r="T359" s="1930"/>
      <c r="U359" s="1930"/>
      <c r="V359" s="1930"/>
      <c r="W359" s="1930"/>
      <c r="X359" s="1930"/>
      <c r="Y359" s="1930"/>
      <c r="Z359" s="1930"/>
      <c r="AA359" s="1930"/>
      <c r="AB359" s="1930"/>
      <c r="AC359" s="1930"/>
      <c r="AD359" s="1930"/>
      <c r="AE359" s="1930"/>
      <c r="AF359" s="1930"/>
      <c r="AG359" s="1930"/>
      <c r="AH359" s="1930"/>
      <c r="AI359" s="1930"/>
      <c r="AJ359" s="1930"/>
      <c r="AK359" s="465"/>
      <c r="AL359" s="465"/>
      <c r="AM359" s="465"/>
      <c r="AN359" s="459"/>
      <c r="AO359" s="550" t="s">
        <v>1466</v>
      </c>
      <c r="AP359" s="551">
        <f>IF(C438="Yes",5,0)</f>
        <v>0</v>
      </c>
    </row>
    <row r="360" spans="1:81" s="418" customFormat="1" ht="68.25" customHeight="1">
      <c r="A360" s="465"/>
      <c r="B360" s="472"/>
      <c r="C360" s="1930"/>
      <c r="D360" s="1930"/>
      <c r="E360" s="1930"/>
      <c r="F360" s="1930"/>
      <c r="G360" s="1930"/>
      <c r="H360" s="1930"/>
      <c r="I360" s="1930"/>
      <c r="J360" s="1930"/>
      <c r="K360" s="1930"/>
      <c r="L360" s="1930"/>
      <c r="M360" s="1930"/>
      <c r="N360" s="1930"/>
      <c r="O360" s="1930"/>
      <c r="P360" s="1930"/>
      <c r="Q360" s="1930"/>
      <c r="R360" s="1930"/>
      <c r="S360" s="1930"/>
      <c r="T360" s="1930"/>
      <c r="U360" s="1930"/>
      <c r="V360" s="1930"/>
      <c r="W360" s="1930"/>
      <c r="X360" s="1930"/>
      <c r="Y360" s="1930"/>
      <c r="Z360" s="1930"/>
      <c r="AA360" s="1930"/>
      <c r="AB360" s="1930"/>
      <c r="AC360" s="1930"/>
      <c r="AD360" s="1930"/>
      <c r="AE360" s="1930"/>
      <c r="AF360" s="1930"/>
      <c r="AG360" s="1930"/>
      <c r="AH360" s="1930"/>
      <c r="AI360" s="1930"/>
      <c r="AJ360" s="1930"/>
      <c r="AK360" s="465"/>
      <c r="AL360" s="465"/>
      <c r="AM360" s="465"/>
      <c r="AN360" s="459"/>
      <c r="AO360" s="550" t="s">
        <v>1467</v>
      </c>
      <c r="AP360" s="556">
        <f>IF(C442="Yes",5,0)</f>
        <v>0</v>
      </c>
    </row>
    <row r="361" spans="1:81" s="418" customFormat="1" ht="12.65" customHeight="1">
      <c r="A361" s="465"/>
      <c r="B361" s="472"/>
      <c r="C361" s="418" t="s">
        <v>2137</v>
      </c>
      <c r="AF361" s="465"/>
      <c r="AG361" s="465"/>
      <c r="AH361" s="465"/>
      <c r="AI361" s="465"/>
      <c r="AJ361" s="465"/>
      <c r="AK361" s="465"/>
      <c r="AL361" s="465"/>
      <c r="AM361" s="465"/>
      <c r="AN361" s="459"/>
      <c r="AO361" s="550" t="s">
        <v>1468</v>
      </c>
      <c r="AP361" s="551">
        <f>IF(C446="Yes",5,0)</f>
        <v>0</v>
      </c>
    </row>
    <row r="362" spans="1:81" s="418" customFormat="1" ht="12.75" customHeight="1">
      <c r="A362" s="465"/>
      <c r="B362" s="472"/>
      <c r="C362" s="557" t="s">
        <v>2138</v>
      </c>
      <c r="D362" s="558"/>
      <c r="E362" s="558"/>
      <c r="F362" s="558"/>
      <c r="G362" s="558"/>
      <c r="H362" s="558"/>
      <c r="I362" s="558"/>
      <c r="J362" s="558"/>
      <c r="K362" s="558"/>
      <c r="L362" s="558"/>
      <c r="M362" s="524"/>
      <c r="N362" s="524"/>
      <c r="O362" s="559"/>
      <c r="P362" s="558"/>
      <c r="Q362" s="558"/>
      <c r="R362" s="524"/>
      <c r="S362" s="524"/>
      <c r="T362" s="558"/>
      <c r="U362" s="2039">
        <f>Application!CS660-U363</f>
        <v>120</v>
      </c>
      <c r="V362" s="2039"/>
      <c r="W362" s="2039"/>
      <c r="X362" s="558"/>
      <c r="Y362" s="558"/>
      <c r="Z362" s="558"/>
      <c r="AA362" s="560"/>
      <c r="AB362" s="561"/>
      <c r="AC362" s="561"/>
      <c r="AD362" s="561"/>
      <c r="AE362" s="465"/>
      <c r="AF362" s="465"/>
      <c r="AG362" s="465"/>
      <c r="AH362" s="465"/>
      <c r="AI362" s="465"/>
      <c r="AJ362" s="465"/>
      <c r="AK362" s="465"/>
      <c r="AL362" s="465"/>
      <c r="AM362" s="465"/>
      <c r="AN362" s="459"/>
      <c r="AO362" s="550" t="s">
        <v>1469</v>
      </c>
      <c r="AP362" s="551">
        <f>IF(C455="Yes",5,0)</f>
        <v>0</v>
      </c>
    </row>
    <row r="363" spans="1:81" s="418" customFormat="1" ht="12.75" customHeight="1">
      <c r="A363" s="465"/>
      <c r="B363" s="472"/>
      <c r="C363" s="562" t="s">
        <v>2139</v>
      </c>
      <c r="D363" s="549"/>
      <c r="E363" s="549"/>
      <c r="F363" s="549"/>
      <c r="G363" s="549"/>
      <c r="H363" s="549"/>
      <c r="I363" s="549"/>
      <c r="J363" s="549"/>
      <c r="K363" s="549"/>
      <c r="L363" s="549"/>
      <c r="M363" s="549"/>
      <c r="N363" s="549"/>
      <c r="O363" s="549"/>
      <c r="P363" s="549"/>
      <c r="Q363" s="549"/>
      <c r="R363" s="549"/>
      <c r="S363" s="549"/>
      <c r="T363" s="549"/>
      <c r="U363" s="2040">
        <f>IF(Application!D211="SRO",Application!CS634,Application!AG756)</f>
        <v>0</v>
      </c>
      <c r="V363" s="2040"/>
      <c r="W363" s="2040"/>
      <c r="X363" s="549"/>
      <c r="Y363" s="549"/>
      <c r="Z363" s="549"/>
      <c r="AA363" s="563"/>
      <c r="AC363" s="564"/>
      <c r="AD363" s="564"/>
      <c r="AE363" s="465"/>
      <c r="AF363" s="465"/>
      <c r="AG363" s="465"/>
      <c r="AH363" s="465"/>
      <c r="AI363" s="465"/>
      <c r="AJ363" s="465"/>
      <c r="AK363" s="465"/>
      <c r="AL363" s="465"/>
      <c r="AM363" s="465"/>
      <c r="AN363" s="459"/>
      <c r="AO363" s="552"/>
      <c r="AP363" s="553"/>
    </row>
    <row r="364" spans="1:81" s="418" customFormat="1" ht="12.75" customHeight="1">
      <c r="A364" s="465"/>
      <c r="B364" s="472"/>
      <c r="C364" s="458"/>
      <c r="U364" s="638"/>
      <c r="V364" s="638"/>
      <c r="W364" s="638"/>
      <c r="AC364" s="564"/>
      <c r="AD364" s="564"/>
      <c r="AE364" s="465"/>
      <c r="AF364" s="465"/>
      <c r="AG364" s="465"/>
      <c r="AH364" s="465"/>
      <c r="AI364" s="465"/>
      <c r="AJ364" s="465"/>
      <c r="AK364" s="465"/>
      <c r="AL364" s="465"/>
      <c r="AM364" s="465"/>
      <c r="AN364" s="459"/>
      <c r="AO364" s="565" t="s">
        <v>2135</v>
      </c>
      <c r="AP364" s="566">
        <f>SUM(AP357:AP362)</f>
        <v>0</v>
      </c>
      <c r="AQ364" s="1953">
        <f>IF(AP364&gt;0,AP364,0)</f>
        <v>0</v>
      </c>
      <c r="AR364" s="1953"/>
    </row>
    <row r="365" spans="1:81" s="418" customFormat="1" ht="12.75" customHeight="1">
      <c r="A365" s="465"/>
      <c r="B365" s="12"/>
      <c r="C365" s="567" t="s">
        <v>2140</v>
      </c>
      <c r="D365" s="465"/>
      <c r="E365" s="465"/>
      <c r="F365" s="465"/>
      <c r="G365" s="465"/>
      <c r="H365" s="465"/>
      <c r="I365" s="465"/>
      <c r="J365" s="465"/>
      <c r="K365" s="465"/>
      <c r="L365" s="465"/>
      <c r="M365" s="465"/>
      <c r="N365" s="465"/>
      <c r="O365" s="465"/>
      <c r="P365" s="465"/>
      <c r="Q365" s="465"/>
      <c r="R365" s="465"/>
      <c r="S365" s="465"/>
      <c r="T365" s="465"/>
      <c r="U365" s="465"/>
      <c r="V365" s="465"/>
      <c r="W365" s="465"/>
      <c r="X365" s="465"/>
      <c r="Y365" s="465"/>
      <c r="Z365" s="465"/>
      <c r="AA365" s="465"/>
      <c r="AB365" s="465"/>
      <c r="AC365" s="465"/>
      <c r="AD365" s="465"/>
      <c r="AE365" s="465"/>
      <c r="AF365" s="465"/>
      <c r="AG365" s="465"/>
      <c r="AH365" s="465"/>
      <c r="AI365" s="465"/>
      <c r="AJ365" s="465"/>
      <c r="AK365" s="465"/>
      <c r="AL365" s="465"/>
      <c r="AM365" s="465"/>
      <c r="AN365" s="459"/>
      <c r="BS365" s="24"/>
      <c r="BT365" s="24"/>
      <c r="BU365" s="12"/>
      <c r="BV365" s="12"/>
      <c r="BW365" s="12"/>
    </row>
    <row r="366" spans="1:81" s="418" customFormat="1" ht="12.75" customHeight="1">
      <c r="A366" s="405"/>
      <c r="B366" s="12"/>
      <c r="C366" s="568"/>
      <c r="D366" s="569"/>
      <c r="E366" s="570" t="s">
        <v>1960</v>
      </c>
      <c r="F366" s="1934" t="s">
        <v>2141</v>
      </c>
      <c r="G366" s="1934"/>
      <c r="H366" s="1934"/>
      <c r="I366" s="1934"/>
      <c r="J366" s="1934"/>
      <c r="K366" s="1934"/>
      <c r="L366" s="1934"/>
      <c r="M366" s="1934"/>
      <c r="N366" s="1934"/>
      <c r="O366" s="1934"/>
      <c r="P366" s="1934"/>
      <c r="Q366" s="1934"/>
      <c r="R366" s="1934"/>
      <c r="S366" s="1934"/>
      <c r="T366" s="1934"/>
      <c r="U366" s="1934"/>
      <c r="V366" s="1934"/>
      <c r="W366" s="1934"/>
      <c r="X366" s="1934"/>
      <c r="Y366" s="1934"/>
      <c r="Z366" s="1934"/>
      <c r="AA366" s="1934"/>
      <c r="AB366" s="1934"/>
      <c r="AC366" s="1934"/>
      <c r="AD366" s="1934"/>
      <c r="AE366" s="1934"/>
      <c r="AF366" s="1934"/>
      <c r="AG366" s="571"/>
      <c r="AH366" s="571"/>
      <c r="AI366" s="571"/>
      <c r="AJ366" s="571"/>
      <c r="AK366" s="571"/>
      <c r="AL366" s="572"/>
      <c r="AM366" s="436"/>
      <c r="AN366" s="459"/>
      <c r="AP366" s="436"/>
      <c r="BS366" s="24"/>
      <c r="BT366" s="24"/>
      <c r="BU366" s="12"/>
      <c r="BV366" s="12"/>
      <c r="BW366" s="12"/>
      <c r="BX366" s="12"/>
      <c r="BY366" s="12"/>
      <c r="BZ366" s="12"/>
      <c r="CA366" s="12"/>
      <c r="CB366" s="12"/>
      <c r="CC366" s="12"/>
    </row>
    <row r="367" spans="1:81" s="418" customFormat="1" ht="12.75" customHeight="1">
      <c r="A367" s="405"/>
      <c r="B367" s="12"/>
      <c r="C367" s="573"/>
      <c r="D367" s="405"/>
      <c r="E367" s="574"/>
      <c r="F367" s="1935"/>
      <c r="G367" s="1935"/>
      <c r="H367" s="1935"/>
      <c r="I367" s="1935"/>
      <c r="J367" s="1935"/>
      <c r="K367" s="1935"/>
      <c r="L367" s="1935"/>
      <c r="M367" s="1935"/>
      <c r="N367" s="1935"/>
      <c r="O367" s="1935"/>
      <c r="P367" s="1935"/>
      <c r="Q367" s="1935"/>
      <c r="R367" s="1935"/>
      <c r="S367" s="1935"/>
      <c r="T367" s="1935"/>
      <c r="U367" s="1935"/>
      <c r="V367" s="1935"/>
      <c r="W367" s="1935"/>
      <c r="X367" s="1935"/>
      <c r="Y367" s="1935"/>
      <c r="Z367" s="1935"/>
      <c r="AA367" s="1935"/>
      <c r="AB367" s="1935"/>
      <c r="AC367" s="1935"/>
      <c r="AD367" s="1935"/>
      <c r="AE367" s="1935"/>
      <c r="AF367" s="1935"/>
      <c r="AG367" s="408"/>
      <c r="AH367" s="408"/>
      <c r="AI367" s="408"/>
      <c r="AJ367" s="408"/>
      <c r="AK367" s="408"/>
      <c r="AL367" s="1201"/>
      <c r="AM367" s="436"/>
      <c r="AN367" s="459"/>
      <c r="AP367" s="436"/>
      <c r="BS367" s="24"/>
      <c r="BT367" s="24"/>
      <c r="BU367" s="12"/>
      <c r="BV367" s="12"/>
      <c r="BW367" s="12"/>
      <c r="BX367" s="12"/>
      <c r="BY367" s="12"/>
      <c r="BZ367" s="12"/>
      <c r="CA367" s="12"/>
      <c r="CB367" s="12"/>
      <c r="CC367" s="12"/>
    </row>
    <row r="368" spans="1:81" s="418" customFormat="1" ht="12.75" customHeight="1">
      <c r="A368" s="405"/>
      <c r="B368" s="12"/>
      <c r="C368" s="573"/>
      <c r="D368" s="405"/>
      <c r="E368" s="574"/>
      <c r="F368" s="1935"/>
      <c r="G368" s="1935"/>
      <c r="H368" s="1935"/>
      <c r="I368" s="1935"/>
      <c r="J368" s="1935"/>
      <c r="K368" s="1935"/>
      <c r="L368" s="1935"/>
      <c r="M368" s="1935"/>
      <c r="N368" s="1935"/>
      <c r="O368" s="1935"/>
      <c r="P368" s="1935"/>
      <c r="Q368" s="1935"/>
      <c r="R368" s="1935"/>
      <c r="S368" s="1935"/>
      <c r="T368" s="1935"/>
      <c r="U368" s="1935"/>
      <c r="V368" s="1935"/>
      <c r="W368" s="1935"/>
      <c r="X368" s="1935"/>
      <c r="Y368" s="1935"/>
      <c r="Z368" s="1935"/>
      <c r="AA368" s="1935"/>
      <c r="AB368" s="1935"/>
      <c r="AC368" s="1935"/>
      <c r="AD368" s="1935"/>
      <c r="AE368" s="1935"/>
      <c r="AF368" s="1935"/>
      <c r="AG368" s="408"/>
      <c r="AH368" s="408"/>
      <c r="AI368" s="408"/>
      <c r="AJ368" s="408"/>
      <c r="AK368" s="408"/>
      <c r="AL368" s="1201"/>
      <c r="AM368" s="436"/>
      <c r="AN368" s="459"/>
      <c r="BS368" s="24"/>
      <c r="BT368" s="24"/>
      <c r="BU368" s="12"/>
      <c r="BV368" s="12"/>
      <c r="BW368" s="12"/>
      <c r="BX368" s="12"/>
      <c r="BY368" s="12"/>
      <c r="BZ368" s="12"/>
      <c r="CA368" s="12"/>
      <c r="CB368" s="12"/>
      <c r="CC368" s="12"/>
    </row>
    <row r="369" spans="1:81" s="418" customFormat="1" ht="12.75" customHeight="1">
      <c r="A369" s="405"/>
      <c r="B369" s="12"/>
      <c r="C369" s="573"/>
      <c r="D369" s="405"/>
      <c r="E369" s="574"/>
      <c r="F369" s="1935"/>
      <c r="G369" s="1935"/>
      <c r="H369" s="1935"/>
      <c r="I369" s="1935"/>
      <c r="J369" s="1935"/>
      <c r="K369" s="1935"/>
      <c r="L369" s="1935"/>
      <c r="M369" s="1935"/>
      <c r="N369" s="1935"/>
      <c r="O369" s="1935"/>
      <c r="P369" s="1935"/>
      <c r="Q369" s="1935"/>
      <c r="R369" s="1935"/>
      <c r="S369" s="1935"/>
      <c r="T369" s="1935"/>
      <c r="U369" s="1935"/>
      <c r="V369" s="1935"/>
      <c r="W369" s="1935"/>
      <c r="X369" s="1935"/>
      <c r="Y369" s="1935"/>
      <c r="Z369" s="1935"/>
      <c r="AA369" s="1935"/>
      <c r="AB369" s="1935"/>
      <c r="AC369" s="1935"/>
      <c r="AD369" s="1935"/>
      <c r="AE369" s="1935"/>
      <c r="AF369" s="1935"/>
      <c r="AG369" s="408"/>
      <c r="AH369" s="408"/>
      <c r="AI369" s="408"/>
      <c r="AJ369" s="408"/>
      <c r="AK369" s="408"/>
      <c r="AL369" s="1201"/>
      <c r="AM369" s="436"/>
      <c r="AN369" s="459"/>
      <c r="BS369" s="24"/>
      <c r="BT369" s="24"/>
      <c r="BU369" s="12"/>
      <c r="BV369" s="12"/>
      <c r="BW369" s="12"/>
      <c r="BX369" s="12"/>
      <c r="BY369" s="12"/>
      <c r="BZ369" s="12"/>
      <c r="CA369" s="12"/>
      <c r="CB369" s="12"/>
      <c r="CC369" s="12"/>
    </row>
    <row r="370" spans="1:81" s="418" customFormat="1" ht="12.75" customHeight="1">
      <c r="A370" s="405"/>
      <c r="B370" s="12"/>
      <c r="C370" s="1931" t="s">
        <v>299</v>
      </c>
      <c r="D370" s="1888"/>
      <c r="E370" s="574"/>
      <c r="F370" s="575" t="s">
        <v>2142</v>
      </c>
      <c r="G370" s="465"/>
      <c r="H370" s="465"/>
      <c r="I370" s="465"/>
      <c r="J370" s="465"/>
      <c r="K370" s="465"/>
      <c r="L370" s="465"/>
      <c r="M370" s="465"/>
      <c r="N370" s="465"/>
      <c r="O370" s="465"/>
      <c r="P370" s="465"/>
      <c r="Q370" s="465"/>
      <c r="R370" s="465"/>
      <c r="S370" s="465"/>
      <c r="T370" s="465"/>
      <c r="U370" s="465"/>
      <c r="V370" s="465"/>
      <c r="W370" s="465"/>
      <c r="X370" s="465"/>
      <c r="Y370" s="465"/>
      <c r="Z370" s="465"/>
      <c r="AA370" s="465"/>
      <c r="AB370" s="465"/>
      <c r="AC370" s="465"/>
      <c r="AD370" s="465"/>
      <c r="AF370" s="1932" t="s">
        <v>2143</v>
      </c>
      <c r="AG370" s="1932"/>
      <c r="AH370" s="1932"/>
      <c r="AI370" s="1932"/>
      <c r="AJ370" s="1932"/>
      <c r="AK370" s="1932"/>
      <c r="AL370" s="1933"/>
      <c r="AM370" s="576"/>
      <c r="BS370" s="24"/>
      <c r="BT370" s="24"/>
      <c r="BU370" s="12"/>
      <c r="BV370" s="12"/>
      <c r="BW370" s="12"/>
      <c r="BX370" s="12"/>
      <c r="BY370" s="12"/>
      <c r="BZ370" s="12"/>
      <c r="CA370" s="12"/>
      <c r="CB370" s="12"/>
      <c r="CC370" s="12"/>
    </row>
    <row r="371" spans="1:81" s="418" customFormat="1" ht="12.75" customHeight="1">
      <c r="A371" s="405"/>
      <c r="B371" s="12"/>
      <c r="C371" s="607"/>
      <c r="D371" s="577"/>
      <c r="E371" s="578"/>
      <c r="F371" s="579"/>
      <c r="G371" s="580"/>
      <c r="H371" s="580"/>
      <c r="I371" s="580"/>
      <c r="J371" s="580"/>
      <c r="K371" s="580"/>
      <c r="L371" s="580"/>
      <c r="M371" s="580"/>
      <c r="N371" s="580"/>
      <c r="O371" s="580"/>
      <c r="P371" s="580"/>
      <c r="Q371" s="580"/>
      <c r="R371" s="580"/>
      <c r="S371" s="580"/>
      <c r="T371" s="580"/>
      <c r="U371" s="580"/>
      <c r="V371" s="580"/>
      <c r="W371" s="580"/>
      <c r="X371" s="580"/>
      <c r="Y371" s="580"/>
      <c r="Z371" s="580"/>
      <c r="AA371" s="580"/>
      <c r="AB371" s="580"/>
      <c r="AC371" s="580"/>
      <c r="AD371" s="580"/>
      <c r="AE371" s="581"/>
      <c r="AF371" s="581"/>
      <c r="AG371" s="581"/>
      <c r="AH371" s="581"/>
      <c r="AI371" s="581"/>
      <c r="AJ371" s="581"/>
      <c r="AK371" s="581"/>
      <c r="AL371" s="608"/>
      <c r="AM371" s="583"/>
      <c r="AN371" s="459"/>
      <c r="CC371" s="12"/>
    </row>
    <row r="372" spans="1:81" s="418" customFormat="1" ht="12.75" customHeight="1">
      <c r="A372" s="405"/>
      <c r="B372" s="12"/>
      <c r="C372" s="1210"/>
      <c r="D372" s="1210"/>
      <c r="E372" s="574"/>
      <c r="F372" s="533"/>
      <c r="G372" s="533"/>
      <c r="H372" s="533"/>
      <c r="I372" s="533"/>
      <c r="J372" s="533"/>
      <c r="K372" s="533"/>
      <c r="L372" s="533"/>
      <c r="M372" s="533"/>
      <c r="N372" s="533"/>
      <c r="O372" s="533"/>
      <c r="P372" s="533"/>
      <c r="Q372" s="533"/>
      <c r="R372" s="533"/>
      <c r="S372" s="533"/>
      <c r="T372" s="533"/>
      <c r="U372" s="533"/>
      <c r="V372" s="533"/>
      <c r="W372" s="533"/>
      <c r="X372" s="533"/>
      <c r="Y372" s="533"/>
      <c r="Z372" s="533"/>
      <c r="AA372" s="533"/>
      <c r="AB372" s="533"/>
      <c r="AC372" s="533"/>
      <c r="AD372" s="533"/>
      <c r="AE372" s="1200"/>
      <c r="AF372" s="1200"/>
      <c r="AG372" s="1200"/>
      <c r="AH372" s="1200"/>
      <c r="AI372" s="1200"/>
      <c r="AJ372" s="1200"/>
      <c r="AK372" s="1200"/>
      <c r="AL372" s="1200"/>
      <c r="AM372" s="436"/>
      <c r="AN372" s="459"/>
      <c r="BS372" s="24"/>
      <c r="BT372" s="24"/>
      <c r="BU372" s="12"/>
      <c r="BV372" s="12"/>
      <c r="BW372" s="12"/>
      <c r="BX372" s="12"/>
      <c r="BY372" s="12"/>
      <c r="BZ372" s="12"/>
      <c r="CA372" s="12"/>
      <c r="CB372" s="12"/>
      <c r="CC372" s="12"/>
    </row>
    <row r="373" spans="1:81" s="418" customFormat="1" ht="12.75" customHeight="1">
      <c r="A373" s="405"/>
      <c r="B373" s="12"/>
      <c r="C373" s="568"/>
      <c r="D373" s="569"/>
      <c r="E373" s="570" t="s">
        <v>1963</v>
      </c>
      <c r="F373" s="1934" t="s">
        <v>2144</v>
      </c>
      <c r="G373" s="1934"/>
      <c r="H373" s="1934"/>
      <c r="I373" s="1934"/>
      <c r="J373" s="1934"/>
      <c r="K373" s="1934"/>
      <c r="L373" s="1934"/>
      <c r="M373" s="1934"/>
      <c r="N373" s="1934"/>
      <c r="O373" s="1934"/>
      <c r="P373" s="1934"/>
      <c r="Q373" s="1934"/>
      <c r="R373" s="1934"/>
      <c r="S373" s="1934"/>
      <c r="T373" s="1934"/>
      <c r="U373" s="1934"/>
      <c r="V373" s="1934"/>
      <c r="W373" s="1934"/>
      <c r="X373" s="1934"/>
      <c r="Y373" s="1934"/>
      <c r="Z373" s="1934"/>
      <c r="AA373" s="1934"/>
      <c r="AB373" s="1934"/>
      <c r="AC373" s="1934"/>
      <c r="AD373" s="1934"/>
      <c r="AE373" s="1934"/>
      <c r="AF373" s="1934"/>
      <c r="AG373" s="571"/>
      <c r="AH373" s="571"/>
      <c r="AI373" s="571"/>
      <c r="AJ373" s="571"/>
      <c r="AK373" s="571"/>
      <c r="AL373" s="572"/>
      <c r="AM373" s="436"/>
      <c r="AN373" s="459"/>
      <c r="BS373" s="24"/>
      <c r="BT373" s="24"/>
      <c r="BU373" s="12"/>
      <c r="BV373" s="12"/>
      <c r="BW373" s="12"/>
      <c r="BX373" s="12"/>
      <c r="BY373" s="12"/>
      <c r="BZ373" s="12"/>
      <c r="CA373" s="12"/>
      <c r="CB373" s="12"/>
      <c r="CC373" s="12"/>
    </row>
    <row r="374" spans="1:81" s="418" customFormat="1" ht="12.75" customHeight="1">
      <c r="A374" s="405"/>
      <c r="B374" s="12"/>
      <c r="C374" s="584"/>
      <c r="D374" s="12"/>
      <c r="E374" s="547"/>
      <c r="F374" s="1935"/>
      <c r="G374" s="1935"/>
      <c r="H374" s="1935"/>
      <c r="I374" s="1935"/>
      <c r="J374" s="1935"/>
      <c r="K374" s="1935"/>
      <c r="L374" s="1935"/>
      <c r="M374" s="1935"/>
      <c r="N374" s="1935"/>
      <c r="O374" s="1935"/>
      <c r="P374" s="1935"/>
      <c r="Q374" s="1935"/>
      <c r="R374" s="1935"/>
      <c r="S374" s="1935"/>
      <c r="T374" s="1935"/>
      <c r="U374" s="1935"/>
      <c r="V374" s="1935"/>
      <c r="W374" s="1935"/>
      <c r="X374" s="1935"/>
      <c r="Y374" s="1935"/>
      <c r="Z374" s="1935"/>
      <c r="AA374" s="1935"/>
      <c r="AB374" s="1935"/>
      <c r="AC374" s="1935"/>
      <c r="AD374" s="1935"/>
      <c r="AE374" s="1935"/>
      <c r="AF374" s="1935"/>
      <c r="AG374" s="408"/>
      <c r="AH374" s="408"/>
      <c r="AI374" s="408"/>
      <c r="AJ374" s="408"/>
      <c r="AK374" s="408"/>
      <c r="AL374" s="1201"/>
      <c r="AM374" s="436"/>
      <c r="AN374" s="459"/>
      <c r="BS374" s="24"/>
      <c r="BT374" s="24"/>
      <c r="BU374" s="12"/>
      <c r="BV374" s="12"/>
      <c r="BW374" s="12"/>
      <c r="BX374" s="12"/>
      <c r="BY374" s="12"/>
      <c r="BZ374" s="12"/>
      <c r="CA374" s="12"/>
      <c r="CB374" s="12"/>
      <c r="CC374" s="12"/>
    </row>
    <row r="375" spans="1:81" s="418" customFormat="1" ht="12.75" customHeight="1">
      <c r="A375" s="405"/>
      <c r="B375" s="12"/>
      <c r="C375" s="584"/>
      <c r="D375" s="12"/>
      <c r="E375" s="547"/>
      <c r="F375" s="1935"/>
      <c r="G375" s="1935"/>
      <c r="H375" s="1935"/>
      <c r="I375" s="1935"/>
      <c r="J375" s="1935"/>
      <c r="K375" s="1935"/>
      <c r="L375" s="1935"/>
      <c r="M375" s="1935"/>
      <c r="N375" s="1935"/>
      <c r="O375" s="1935"/>
      <c r="P375" s="1935"/>
      <c r="Q375" s="1935"/>
      <c r="R375" s="1935"/>
      <c r="S375" s="1935"/>
      <c r="T375" s="1935"/>
      <c r="U375" s="1935"/>
      <c r="V375" s="1935"/>
      <c r="W375" s="1935"/>
      <c r="X375" s="1935"/>
      <c r="Y375" s="1935"/>
      <c r="Z375" s="1935"/>
      <c r="AA375" s="1935"/>
      <c r="AB375" s="1935"/>
      <c r="AC375" s="1935"/>
      <c r="AD375" s="1935"/>
      <c r="AE375" s="1935"/>
      <c r="AF375" s="1935"/>
      <c r="AG375" s="408"/>
      <c r="AH375" s="408"/>
      <c r="AI375" s="408"/>
      <c r="AJ375" s="408"/>
      <c r="AK375" s="408"/>
      <c r="AL375" s="1201"/>
      <c r="AM375" s="436"/>
      <c r="AN375" s="459"/>
      <c r="BS375" s="24"/>
      <c r="BT375" s="24"/>
      <c r="BU375" s="12"/>
      <c r="BV375" s="12"/>
      <c r="BW375" s="12"/>
      <c r="BX375" s="12"/>
      <c r="BY375" s="12"/>
      <c r="BZ375" s="12"/>
      <c r="CA375" s="12"/>
      <c r="CB375" s="12"/>
      <c r="CC375" s="12"/>
    </row>
    <row r="376" spans="1:81" s="418" customFormat="1" ht="12.75" customHeight="1">
      <c r="A376" s="405"/>
      <c r="B376" s="12"/>
      <c r="C376" s="584"/>
      <c r="D376" s="12"/>
      <c r="E376" s="547"/>
      <c r="F376" s="1935"/>
      <c r="G376" s="1935"/>
      <c r="H376" s="1935"/>
      <c r="I376" s="1935"/>
      <c r="J376" s="1935"/>
      <c r="K376" s="1935"/>
      <c r="L376" s="1935"/>
      <c r="M376" s="1935"/>
      <c r="N376" s="1935"/>
      <c r="O376" s="1935"/>
      <c r="P376" s="1935"/>
      <c r="Q376" s="1935"/>
      <c r="R376" s="1935"/>
      <c r="S376" s="1935"/>
      <c r="T376" s="1935"/>
      <c r="U376" s="1935"/>
      <c r="V376" s="1935"/>
      <c r="W376" s="1935"/>
      <c r="X376" s="1935"/>
      <c r="Y376" s="1935"/>
      <c r="Z376" s="1935"/>
      <c r="AA376" s="1935"/>
      <c r="AB376" s="1935"/>
      <c r="AC376" s="1935"/>
      <c r="AD376" s="1935"/>
      <c r="AE376" s="1935"/>
      <c r="AF376" s="1935"/>
      <c r="AG376" s="408"/>
      <c r="AH376" s="408"/>
      <c r="AI376" s="408"/>
      <c r="AJ376" s="408"/>
      <c r="AK376" s="408"/>
      <c r="AL376" s="1201"/>
      <c r="AM376" s="436"/>
      <c r="AN376" s="459"/>
      <c r="BS376" s="24"/>
      <c r="BT376" s="24"/>
      <c r="BU376" s="12"/>
      <c r="BV376" s="12"/>
      <c r="BW376" s="12"/>
      <c r="BX376" s="12"/>
      <c r="BY376" s="12"/>
      <c r="BZ376" s="12"/>
      <c r="CA376" s="12"/>
      <c r="CB376" s="12"/>
      <c r="CC376" s="12"/>
    </row>
    <row r="377" spans="1:81" s="418" customFormat="1" ht="12.75" customHeight="1">
      <c r="A377" s="405"/>
      <c r="B377" s="12"/>
      <c r="C377" s="584"/>
      <c r="D377" s="12"/>
      <c r="E377" s="547"/>
      <c r="F377" s="1935"/>
      <c r="G377" s="1935"/>
      <c r="H377" s="1935"/>
      <c r="I377" s="1935"/>
      <c r="J377" s="1935"/>
      <c r="K377" s="1935"/>
      <c r="L377" s="1935"/>
      <c r="M377" s="1935"/>
      <c r="N377" s="1935"/>
      <c r="O377" s="1935"/>
      <c r="P377" s="1935"/>
      <c r="Q377" s="1935"/>
      <c r="R377" s="1935"/>
      <c r="S377" s="1935"/>
      <c r="T377" s="1935"/>
      <c r="U377" s="1935"/>
      <c r="V377" s="1935"/>
      <c r="W377" s="1935"/>
      <c r="X377" s="1935"/>
      <c r="Y377" s="1935"/>
      <c r="Z377" s="1935"/>
      <c r="AA377" s="1935"/>
      <c r="AB377" s="1935"/>
      <c r="AC377" s="1935"/>
      <c r="AD377" s="1935"/>
      <c r="AE377" s="1935"/>
      <c r="AF377" s="1935"/>
      <c r="AL377" s="585"/>
      <c r="AN377" s="459"/>
      <c r="BS377" s="24"/>
      <c r="BT377" s="24"/>
      <c r="BU377" s="12"/>
      <c r="BV377" s="12"/>
      <c r="BW377" s="12"/>
      <c r="BX377" s="12"/>
      <c r="BY377" s="12"/>
      <c r="BZ377" s="12"/>
      <c r="CA377" s="12"/>
      <c r="CB377" s="12"/>
      <c r="CC377" s="12"/>
    </row>
    <row r="378" spans="1:81" s="418" customFormat="1" ht="12.75" customHeight="1">
      <c r="A378" s="405"/>
      <c r="B378" s="12"/>
      <c r="C378" s="1931" t="s">
        <v>299</v>
      </c>
      <c r="D378" s="1888"/>
      <c r="E378" s="547"/>
      <c r="F378" s="575" t="s">
        <v>2145</v>
      </c>
      <c r="G378" s="465"/>
      <c r="H378" s="465"/>
      <c r="I378" s="465"/>
      <c r="J378" s="465"/>
      <c r="K378" s="465"/>
      <c r="L378" s="465"/>
      <c r="M378" s="465"/>
      <c r="N378" s="465"/>
      <c r="O378" s="465"/>
      <c r="P378" s="465"/>
      <c r="Q378" s="465"/>
      <c r="R378" s="465"/>
      <c r="S378" s="465"/>
      <c r="T378" s="465"/>
      <c r="U378" s="465"/>
      <c r="V378" s="465"/>
      <c r="W378" s="465"/>
      <c r="X378" s="465"/>
      <c r="Y378" s="465"/>
      <c r="Z378" s="465"/>
      <c r="AA378" s="465"/>
      <c r="AB378" s="465"/>
      <c r="AC378" s="465"/>
      <c r="AD378" s="465"/>
      <c r="AF378" s="1932" t="s">
        <v>2143</v>
      </c>
      <c r="AG378" s="1932"/>
      <c r="AH378" s="1932"/>
      <c r="AI378" s="1932"/>
      <c r="AJ378" s="1932"/>
      <c r="AK378" s="1932"/>
      <c r="AL378" s="1933"/>
      <c r="AM378" s="583"/>
      <c r="AN378" s="459"/>
      <c r="BS378" s="24"/>
      <c r="BT378" s="24"/>
      <c r="BU378" s="12"/>
      <c r="BV378" s="12"/>
      <c r="BW378" s="12"/>
      <c r="BX378" s="12"/>
      <c r="BY378" s="12"/>
      <c r="BZ378" s="12"/>
      <c r="CA378" s="12"/>
      <c r="CB378" s="12"/>
      <c r="CC378" s="12"/>
    </row>
    <row r="379" spans="1:81" s="418" customFormat="1" ht="12.75" customHeight="1">
      <c r="A379" s="405"/>
      <c r="B379" s="12"/>
      <c r="C379" s="593"/>
      <c r="D379" s="586"/>
      <c r="E379" s="587"/>
      <c r="F379" s="588"/>
      <c r="G379" s="589"/>
      <c r="H379" s="589"/>
      <c r="I379" s="589"/>
      <c r="J379" s="589"/>
      <c r="K379" s="589"/>
      <c r="L379" s="589"/>
      <c r="M379" s="589"/>
      <c r="N379" s="589"/>
      <c r="O379" s="589"/>
      <c r="P379" s="589"/>
      <c r="Q379" s="589"/>
      <c r="R379" s="589"/>
      <c r="S379" s="589"/>
      <c r="T379" s="589"/>
      <c r="U379" s="589"/>
      <c r="V379" s="589"/>
      <c r="W379" s="589"/>
      <c r="X379" s="589"/>
      <c r="Y379" s="589"/>
      <c r="Z379" s="589"/>
      <c r="AA379" s="589"/>
      <c r="AB379" s="589"/>
      <c r="AC379" s="589"/>
      <c r="AD379" s="589"/>
      <c r="AE379" s="590"/>
      <c r="AF379" s="448"/>
      <c r="AG379" s="590"/>
      <c r="AH379" s="581"/>
      <c r="AI379" s="581"/>
      <c r="AJ379" s="581"/>
      <c r="AK379" s="581"/>
      <c r="AL379" s="595"/>
      <c r="AM379" s="583"/>
      <c r="AN379" s="459"/>
      <c r="BS379" s="24"/>
      <c r="BT379" s="24"/>
      <c r="BU379" s="12"/>
      <c r="BV379" s="12"/>
      <c r="BW379" s="12"/>
      <c r="BX379" s="12"/>
      <c r="BY379" s="12"/>
      <c r="BZ379" s="12"/>
      <c r="CA379" s="12"/>
      <c r="CB379" s="12"/>
      <c r="CC379" s="12"/>
    </row>
    <row r="380" spans="1:81" s="418" customFormat="1" ht="12.75" customHeight="1">
      <c r="A380" s="405"/>
      <c r="B380" s="12"/>
      <c r="C380" s="12"/>
      <c r="D380" s="12"/>
      <c r="E380" s="547"/>
      <c r="F380" s="533"/>
      <c r="G380" s="533"/>
      <c r="H380" s="533"/>
      <c r="I380" s="533"/>
      <c r="J380" s="533"/>
      <c r="K380" s="533"/>
      <c r="L380" s="533"/>
      <c r="M380" s="533"/>
      <c r="N380" s="533"/>
      <c r="O380" s="533"/>
      <c r="P380" s="533"/>
      <c r="Q380" s="533"/>
      <c r="R380" s="533"/>
      <c r="S380" s="533"/>
      <c r="T380" s="533"/>
      <c r="U380" s="533"/>
      <c r="V380" s="533"/>
      <c r="W380" s="533"/>
      <c r="X380" s="533"/>
      <c r="Y380" s="533"/>
      <c r="Z380" s="533"/>
      <c r="AA380" s="533"/>
      <c r="AB380" s="533"/>
      <c r="AC380" s="533"/>
      <c r="AD380" s="533"/>
      <c r="AE380" s="405"/>
      <c r="AF380" s="408"/>
      <c r="AG380" s="405"/>
      <c r="AM380" s="436"/>
      <c r="AN380" s="459"/>
      <c r="BS380" s="24"/>
      <c r="BT380" s="24"/>
      <c r="BU380" s="12"/>
      <c r="BV380" s="12"/>
      <c r="BW380" s="12"/>
      <c r="BX380" s="12"/>
      <c r="BY380" s="12"/>
      <c r="BZ380" s="12"/>
      <c r="CA380" s="12"/>
      <c r="CB380" s="12"/>
      <c r="CC380" s="12"/>
    </row>
    <row r="381" spans="1:81" s="418" customFormat="1" ht="12.75" customHeight="1">
      <c r="A381" s="405"/>
      <c r="B381" s="12"/>
      <c r="C381" s="568"/>
      <c r="D381" s="569"/>
      <c r="E381" s="570" t="s">
        <v>1969</v>
      </c>
      <c r="F381" s="1934" t="s">
        <v>2146</v>
      </c>
      <c r="G381" s="1934"/>
      <c r="H381" s="1934"/>
      <c r="I381" s="1934"/>
      <c r="J381" s="1934"/>
      <c r="K381" s="1934"/>
      <c r="L381" s="1934"/>
      <c r="M381" s="1934"/>
      <c r="N381" s="1934"/>
      <c r="O381" s="1934"/>
      <c r="P381" s="1934"/>
      <c r="Q381" s="1934"/>
      <c r="R381" s="1934"/>
      <c r="S381" s="1934"/>
      <c r="T381" s="1934"/>
      <c r="U381" s="1934"/>
      <c r="V381" s="1934"/>
      <c r="W381" s="1934"/>
      <c r="X381" s="1934"/>
      <c r="Y381" s="1934"/>
      <c r="Z381" s="1934"/>
      <c r="AA381" s="1934"/>
      <c r="AB381" s="1934"/>
      <c r="AC381" s="1934"/>
      <c r="AD381" s="1934"/>
      <c r="AE381" s="1934"/>
      <c r="AF381" s="1934"/>
      <c r="AG381" s="571"/>
      <c r="AH381" s="571"/>
      <c r="AI381" s="571"/>
      <c r="AJ381" s="571"/>
      <c r="AK381" s="571"/>
      <c r="AL381" s="572"/>
      <c r="AM381" s="436"/>
      <c r="AN381" s="459"/>
      <c r="BS381" s="436"/>
      <c r="BT381" s="436"/>
      <c r="BU381" s="436"/>
      <c r="BV381" s="436"/>
      <c r="BW381" s="436"/>
      <c r="BX381" s="436"/>
      <c r="BY381" s="436"/>
      <c r="BZ381" s="436"/>
      <c r="CA381" s="436"/>
      <c r="CB381" s="436"/>
      <c r="CC381" s="436"/>
    </row>
    <row r="382" spans="1:81" s="418" customFormat="1" ht="12.75" customHeight="1">
      <c r="A382" s="405"/>
      <c r="B382" s="12"/>
      <c r="C382" s="584"/>
      <c r="D382" s="12"/>
      <c r="E382" s="547"/>
      <c r="F382" s="1935"/>
      <c r="G382" s="1935"/>
      <c r="H382" s="1935"/>
      <c r="I382" s="1935"/>
      <c r="J382" s="1935"/>
      <c r="K382" s="1935"/>
      <c r="L382" s="1935"/>
      <c r="M382" s="1935"/>
      <c r="N382" s="1935"/>
      <c r="O382" s="1935"/>
      <c r="P382" s="1935"/>
      <c r="Q382" s="1935"/>
      <c r="R382" s="1935"/>
      <c r="S382" s="1935"/>
      <c r="T382" s="1935"/>
      <c r="U382" s="1935"/>
      <c r="V382" s="1935"/>
      <c r="W382" s="1935"/>
      <c r="X382" s="1935"/>
      <c r="Y382" s="1935"/>
      <c r="Z382" s="1935"/>
      <c r="AA382" s="1935"/>
      <c r="AB382" s="1935"/>
      <c r="AC382" s="1935"/>
      <c r="AD382" s="1935"/>
      <c r="AE382" s="1935"/>
      <c r="AF382" s="1935"/>
      <c r="AG382" s="408"/>
      <c r="AH382" s="408"/>
      <c r="AI382" s="408"/>
      <c r="AJ382" s="408"/>
      <c r="AK382" s="408"/>
      <c r="AL382" s="1201"/>
      <c r="AM382" s="436"/>
      <c r="AN382" s="459"/>
      <c r="BS382" s="436"/>
      <c r="BT382" s="436"/>
      <c r="BU382" s="436"/>
      <c r="BV382" s="436"/>
      <c r="BW382" s="436"/>
      <c r="BX382" s="436"/>
      <c r="BY382" s="436"/>
      <c r="BZ382" s="436"/>
      <c r="CA382" s="436"/>
      <c r="CB382" s="436"/>
      <c r="CC382" s="436"/>
    </row>
    <row r="383" spans="1:81" s="418" customFormat="1" ht="12.75" customHeight="1">
      <c r="A383" s="405"/>
      <c r="B383" s="12"/>
      <c r="C383" s="584"/>
      <c r="D383" s="12"/>
      <c r="E383" s="547"/>
      <c r="F383" s="1935"/>
      <c r="G383" s="1935"/>
      <c r="H383" s="1935"/>
      <c r="I383" s="1935"/>
      <c r="J383" s="1935"/>
      <c r="K383" s="1935"/>
      <c r="L383" s="1935"/>
      <c r="M383" s="1935"/>
      <c r="N383" s="1935"/>
      <c r="O383" s="1935"/>
      <c r="P383" s="1935"/>
      <c r="Q383" s="1935"/>
      <c r="R383" s="1935"/>
      <c r="S383" s="1935"/>
      <c r="T383" s="1935"/>
      <c r="U383" s="1935"/>
      <c r="V383" s="1935"/>
      <c r="W383" s="1935"/>
      <c r="X383" s="1935"/>
      <c r="Y383" s="1935"/>
      <c r="Z383" s="1935"/>
      <c r="AA383" s="1935"/>
      <c r="AB383" s="1935"/>
      <c r="AC383" s="1935"/>
      <c r="AD383" s="1935"/>
      <c r="AE383" s="1935"/>
      <c r="AF383" s="1935"/>
      <c r="AG383" s="408"/>
      <c r="AH383" s="408"/>
      <c r="AI383" s="408"/>
      <c r="AJ383" s="408"/>
      <c r="AK383" s="408"/>
      <c r="AL383" s="1201"/>
      <c r="AM383" s="436"/>
      <c r="AN383" s="459"/>
      <c r="BS383" s="436"/>
      <c r="BT383" s="436"/>
      <c r="BU383" s="436"/>
      <c r="BV383" s="436"/>
      <c r="BW383" s="436"/>
      <c r="BX383" s="436"/>
      <c r="BY383" s="436"/>
      <c r="BZ383" s="436"/>
      <c r="CA383" s="436"/>
      <c r="CB383" s="436"/>
      <c r="CC383" s="436"/>
    </row>
    <row r="384" spans="1:81" s="418" customFormat="1" ht="12.75" customHeight="1">
      <c r="A384" s="405"/>
      <c r="B384" s="12"/>
      <c r="C384" s="584"/>
      <c r="D384" s="12"/>
      <c r="E384" s="547"/>
      <c r="F384" s="1935"/>
      <c r="G384" s="1935"/>
      <c r="H384" s="1935"/>
      <c r="I384" s="1935"/>
      <c r="J384" s="1935"/>
      <c r="K384" s="1935"/>
      <c r="L384" s="1935"/>
      <c r="M384" s="1935"/>
      <c r="N384" s="1935"/>
      <c r="O384" s="1935"/>
      <c r="P384" s="1935"/>
      <c r="Q384" s="1935"/>
      <c r="R384" s="1935"/>
      <c r="S384" s="1935"/>
      <c r="T384" s="1935"/>
      <c r="U384" s="1935"/>
      <c r="V384" s="1935"/>
      <c r="W384" s="1935"/>
      <c r="X384" s="1935"/>
      <c r="Y384" s="1935"/>
      <c r="Z384" s="1935"/>
      <c r="AA384" s="1935"/>
      <c r="AB384" s="1935"/>
      <c r="AC384" s="1935"/>
      <c r="AD384" s="1935"/>
      <c r="AE384" s="1935"/>
      <c r="AF384" s="1935"/>
      <c r="AG384" s="408"/>
      <c r="AH384" s="408"/>
      <c r="AI384" s="408"/>
      <c r="AJ384" s="408"/>
      <c r="AK384" s="408"/>
      <c r="AL384" s="1201"/>
      <c r="AM384" s="436"/>
      <c r="AN384" s="459"/>
      <c r="BS384" s="436"/>
      <c r="BT384" s="436"/>
      <c r="BU384" s="436"/>
      <c r="BV384" s="436"/>
      <c r="BW384" s="436"/>
      <c r="BX384" s="436"/>
      <c r="BY384" s="436"/>
      <c r="BZ384" s="436"/>
      <c r="CA384" s="436"/>
      <c r="CB384" s="436"/>
      <c r="CC384" s="436"/>
    </row>
    <row r="385" spans="1:81" s="418" customFormat="1" ht="12.75" customHeight="1">
      <c r="A385" s="405"/>
      <c r="B385" s="12"/>
      <c r="C385" s="584"/>
      <c r="D385" s="12"/>
      <c r="E385" s="547"/>
      <c r="F385" s="1935"/>
      <c r="G385" s="1935"/>
      <c r="H385" s="1935"/>
      <c r="I385" s="1935"/>
      <c r="J385" s="1935"/>
      <c r="K385" s="1935"/>
      <c r="L385" s="1935"/>
      <c r="M385" s="1935"/>
      <c r="N385" s="1935"/>
      <c r="O385" s="1935"/>
      <c r="P385" s="1935"/>
      <c r="Q385" s="1935"/>
      <c r="R385" s="1935"/>
      <c r="S385" s="1935"/>
      <c r="T385" s="1935"/>
      <c r="U385" s="1935"/>
      <c r="V385" s="1935"/>
      <c r="W385" s="1935"/>
      <c r="X385" s="1935"/>
      <c r="Y385" s="1935"/>
      <c r="Z385" s="1935"/>
      <c r="AA385" s="1935"/>
      <c r="AB385" s="1935"/>
      <c r="AC385" s="1935"/>
      <c r="AD385" s="1935"/>
      <c r="AE385" s="1935"/>
      <c r="AF385" s="1935"/>
      <c r="AG385" s="408"/>
      <c r="AH385" s="408"/>
      <c r="AI385" s="408"/>
      <c r="AJ385" s="408"/>
      <c r="AK385" s="408"/>
      <c r="AL385" s="1201"/>
      <c r="AM385" s="436"/>
      <c r="AN385" s="459"/>
      <c r="BS385" s="436"/>
      <c r="BT385" s="436"/>
      <c r="BU385" s="436"/>
      <c r="BV385" s="436"/>
      <c r="BW385" s="436"/>
      <c r="BX385" s="436"/>
      <c r="BY385" s="436"/>
      <c r="BZ385" s="436"/>
      <c r="CA385" s="436"/>
      <c r="CB385" s="436"/>
      <c r="CC385" s="436"/>
    </row>
    <row r="386" spans="1:81" s="418" customFormat="1" ht="12.75" customHeight="1">
      <c r="A386" s="405"/>
      <c r="B386" s="12"/>
      <c r="C386" s="1931" t="s">
        <v>299</v>
      </c>
      <c r="D386" s="1888"/>
      <c r="E386" s="547"/>
      <c r="F386" s="575" t="s">
        <v>2147</v>
      </c>
      <c r="G386" s="465"/>
      <c r="H386" s="465"/>
      <c r="I386" s="465"/>
      <c r="J386" s="465"/>
      <c r="K386" s="465"/>
      <c r="L386" s="465"/>
      <c r="M386" s="465"/>
      <c r="N386" s="465"/>
      <c r="O386" s="465"/>
      <c r="P386" s="465"/>
      <c r="Q386" s="465"/>
      <c r="R386" s="465"/>
      <c r="S386" s="465"/>
      <c r="T386" s="465"/>
      <c r="U386" s="465"/>
      <c r="V386" s="465"/>
      <c r="W386" s="465"/>
      <c r="X386" s="465"/>
      <c r="Y386" s="465"/>
      <c r="Z386" s="465"/>
      <c r="AA386" s="465"/>
      <c r="AB386" s="465"/>
      <c r="AC386" s="465"/>
      <c r="AD386" s="465"/>
      <c r="AF386" s="1932" t="s">
        <v>2148</v>
      </c>
      <c r="AG386" s="1932"/>
      <c r="AH386" s="1932"/>
      <c r="AI386" s="1932"/>
      <c r="AJ386" s="1932"/>
      <c r="AK386" s="1932"/>
      <c r="AL386" s="1933"/>
      <c r="AM386" s="576"/>
      <c r="BS386" s="436"/>
      <c r="BT386" s="436"/>
      <c r="BU386" s="436"/>
      <c r="BV386" s="436"/>
      <c r="BW386" s="436"/>
      <c r="BX386" s="436"/>
      <c r="BY386" s="436"/>
      <c r="BZ386" s="436"/>
      <c r="CA386" s="436"/>
      <c r="CB386" s="436"/>
      <c r="CC386" s="436"/>
    </row>
    <row r="387" spans="1:81" s="418" customFormat="1" ht="12.75" customHeight="1">
      <c r="A387" s="405"/>
      <c r="B387" s="12"/>
      <c r="C387" s="584"/>
      <c r="D387" s="12"/>
      <c r="E387" s="547"/>
      <c r="F387" s="1203"/>
      <c r="G387" s="1203"/>
      <c r="H387" s="1203"/>
      <c r="I387" s="1203"/>
      <c r="J387" s="1203"/>
      <c r="K387" s="1203"/>
      <c r="L387" s="1203"/>
      <c r="M387" s="1203"/>
      <c r="N387" s="1203"/>
      <c r="O387" s="1203"/>
      <c r="P387" s="1203"/>
      <c r="Q387" s="1203"/>
      <c r="R387" s="1203"/>
      <c r="S387" s="1203"/>
      <c r="T387" s="1203"/>
      <c r="U387" s="1203"/>
      <c r="V387" s="1203"/>
      <c r="W387" s="1203"/>
      <c r="X387" s="1203"/>
      <c r="Y387" s="1203"/>
      <c r="Z387" s="1203"/>
      <c r="AA387" s="1203"/>
      <c r="AB387" s="1203"/>
      <c r="AC387" s="1203"/>
      <c r="AD387" s="1203"/>
      <c r="AL387" s="585"/>
      <c r="AM387" s="436"/>
      <c r="AN387" s="459"/>
      <c r="BS387" s="436"/>
      <c r="BT387" s="436"/>
      <c r="BU387" s="436"/>
      <c r="BV387" s="436"/>
      <c r="BW387" s="436"/>
      <c r="BX387" s="436"/>
      <c r="BY387" s="436"/>
      <c r="BZ387" s="436"/>
      <c r="CA387" s="436"/>
      <c r="CB387" s="436"/>
      <c r="CC387" s="436"/>
    </row>
    <row r="388" spans="1:81" s="418" customFormat="1" ht="12.75" customHeight="1">
      <c r="A388" s="405"/>
      <c r="B388" s="12"/>
      <c r="C388" s="1931" t="s">
        <v>837</v>
      </c>
      <c r="D388" s="1888"/>
      <c r="E388" s="547"/>
      <c r="F388" s="591" t="s">
        <v>2149</v>
      </c>
      <c r="G388" s="1203"/>
      <c r="H388" s="1203"/>
      <c r="I388" s="1203"/>
      <c r="J388" s="1203"/>
      <c r="K388" s="1203"/>
      <c r="L388" s="1203"/>
      <c r="M388" s="1203"/>
      <c r="N388" s="1203"/>
      <c r="O388" s="1203"/>
      <c r="P388" s="1203"/>
      <c r="Q388" s="1203"/>
      <c r="R388" s="1203"/>
      <c r="S388" s="1203"/>
      <c r="T388" s="1203"/>
      <c r="U388" s="1203"/>
      <c r="V388" s="1203"/>
      <c r="W388" s="1203"/>
      <c r="X388" s="1203"/>
      <c r="Y388" s="1203"/>
      <c r="Z388" s="1203"/>
      <c r="AA388" s="1203"/>
      <c r="AB388" s="1203"/>
      <c r="AC388" s="1203"/>
      <c r="AD388" s="1203"/>
      <c r="AF388" s="1932" t="s">
        <v>2143</v>
      </c>
      <c r="AG388" s="1932"/>
      <c r="AH388" s="1932"/>
      <c r="AI388" s="1932"/>
      <c r="AJ388" s="1932"/>
      <c r="AK388" s="1932"/>
      <c r="AL388" s="1933"/>
      <c r="AM388" s="436"/>
      <c r="AN388" s="459"/>
      <c r="BS388" s="436"/>
      <c r="BT388" s="436"/>
      <c r="BU388" s="436"/>
    </row>
    <row r="389" spans="1:81" s="418" customFormat="1" ht="12.75" customHeight="1">
      <c r="A389" s="405"/>
      <c r="B389" s="12"/>
      <c r="C389" s="592"/>
      <c r="E389" s="547"/>
      <c r="G389" s="1203"/>
      <c r="H389" s="1203"/>
      <c r="I389" s="1203"/>
      <c r="J389" s="1203"/>
      <c r="K389" s="1203"/>
      <c r="L389" s="1203"/>
      <c r="M389" s="1203"/>
      <c r="N389" s="1203"/>
      <c r="O389" s="1203"/>
      <c r="P389" s="1203"/>
      <c r="Q389" s="1203"/>
      <c r="R389" s="1203"/>
      <c r="S389" s="1203"/>
      <c r="T389" s="1203"/>
      <c r="U389" s="1203"/>
      <c r="V389" s="1203"/>
      <c r="W389" s="1203"/>
      <c r="X389" s="1203"/>
      <c r="Y389" s="1203"/>
      <c r="Z389" s="1203"/>
      <c r="AA389" s="1203"/>
      <c r="AB389" s="1203"/>
      <c r="AC389" s="1203"/>
      <c r="AD389" s="1203"/>
      <c r="AL389" s="585"/>
      <c r="AM389" s="436"/>
      <c r="AN389" s="459"/>
      <c r="BS389" s="436"/>
      <c r="BT389" s="436"/>
      <c r="BU389" s="436"/>
    </row>
    <row r="390" spans="1:81" s="418" customFormat="1" ht="12.75" customHeight="1">
      <c r="A390" s="405"/>
      <c r="B390" s="12"/>
      <c r="C390" s="593"/>
      <c r="D390" s="586"/>
      <c r="E390" s="587"/>
      <c r="F390" s="594" t="s">
        <v>2150</v>
      </c>
      <c r="G390" s="588"/>
      <c r="H390" s="588"/>
      <c r="I390" s="588"/>
      <c r="J390" s="588"/>
      <c r="K390" s="588"/>
      <c r="L390" s="588"/>
      <c r="M390" s="588"/>
      <c r="N390" s="588"/>
      <c r="O390" s="588"/>
      <c r="P390" s="588"/>
      <c r="Q390" s="588"/>
      <c r="R390" s="588"/>
      <c r="S390" s="588"/>
      <c r="T390" s="588"/>
      <c r="U390" s="588"/>
      <c r="V390" s="588"/>
      <c r="W390" s="588"/>
      <c r="X390" s="588"/>
      <c r="Y390" s="588"/>
      <c r="Z390" s="588"/>
      <c r="AA390" s="588"/>
      <c r="AB390" s="588"/>
      <c r="AC390" s="588"/>
      <c r="AD390" s="588"/>
      <c r="AE390" s="590"/>
      <c r="AF390" s="448"/>
      <c r="AG390" s="590"/>
      <c r="AH390" s="581"/>
      <c r="AI390" s="581"/>
      <c r="AJ390" s="581"/>
      <c r="AK390" s="581"/>
      <c r="AL390" s="595"/>
      <c r="AM390" s="436"/>
      <c r="AN390" s="459"/>
      <c r="BS390" s="436"/>
      <c r="BT390" s="436"/>
      <c r="BU390" s="436"/>
    </row>
    <row r="391" spans="1:81" s="418" customFormat="1" ht="12.75" customHeight="1">
      <c r="A391" s="405"/>
      <c r="B391" s="12"/>
      <c r="C391" s="12"/>
      <c r="D391" s="12"/>
      <c r="E391" s="547"/>
      <c r="F391" s="533"/>
      <c r="G391" s="533"/>
      <c r="H391" s="533"/>
      <c r="I391" s="533"/>
      <c r="J391" s="533"/>
      <c r="K391" s="533"/>
      <c r="L391" s="533"/>
      <c r="M391" s="533"/>
      <c r="N391" s="533"/>
      <c r="O391" s="533"/>
      <c r="P391" s="533"/>
      <c r="Q391" s="533"/>
      <c r="R391" s="533"/>
      <c r="S391" s="533"/>
      <c r="T391" s="533"/>
      <c r="U391" s="533"/>
      <c r="V391" s="533"/>
      <c r="W391" s="533"/>
      <c r="X391" s="533"/>
      <c r="Y391" s="533"/>
      <c r="Z391" s="533"/>
      <c r="AA391" s="533"/>
      <c r="AB391" s="533"/>
      <c r="AC391" s="533"/>
      <c r="AD391" s="533"/>
      <c r="AE391" s="405"/>
      <c r="AF391" s="408"/>
      <c r="AG391" s="405"/>
      <c r="AM391" s="436"/>
      <c r="AN391" s="459"/>
      <c r="BS391" s="436"/>
      <c r="BT391" s="436"/>
      <c r="BU391" s="436"/>
    </row>
    <row r="392" spans="1:81" s="418" customFormat="1" ht="12.75" customHeight="1">
      <c r="A392" s="405"/>
      <c r="B392" s="12"/>
      <c r="C392" s="568"/>
      <c r="D392" s="569"/>
      <c r="E392" s="570" t="s">
        <v>2151</v>
      </c>
      <c r="F392" s="1934" t="s">
        <v>2152</v>
      </c>
      <c r="G392" s="1934"/>
      <c r="H392" s="1934"/>
      <c r="I392" s="1934"/>
      <c r="J392" s="1934"/>
      <c r="K392" s="1934"/>
      <c r="L392" s="1934"/>
      <c r="M392" s="1934"/>
      <c r="N392" s="1934"/>
      <c r="O392" s="1934"/>
      <c r="P392" s="1934"/>
      <c r="Q392" s="1934"/>
      <c r="R392" s="1934"/>
      <c r="S392" s="1934"/>
      <c r="T392" s="1934"/>
      <c r="U392" s="1934"/>
      <c r="V392" s="1934"/>
      <c r="W392" s="1934"/>
      <c r="X392" s="1934"/>
      <c r="Y392" s="1934"/>
      <c r="Z392" s="1934"/>
      <c r="AA392" s="1934"/>
      <c r="AB392" s="1934"/>
      <c r="AC392" s="1934"/>
      <c r="AD392" s="1934"/>
      <c r="AE392" s="1934"/>
      <c r="AF392" s="1934"/>
      <c r="AG392" s="571"/>
      <c r="AH392" s="571"/>
      <c r="AI392" s="571"/>
      <c r="AJ392" s="571"/>
      <c r="AK392" s="571"/>
      <c r="AL392" s="572"/>
      <c r="AM392" s="436"/>
      <c r="AN392" s="459"/>
      <c r="BS392" s="436"/>
      <c r="BT392" s="436"/>
      <c r="BU392" s="436"/>
      <c r="BV392" s="436"/>
      <c r="BW392" s="436"/>
      <c r="BX392" s="436"/>
      <c r="BY392" s="436"/>
      <c r="BZ392" s="436"/>
      <c r="CA392" s="436"/>
      <c r="CB392" s="436"/>
      <c r="CC392" s="436"/>
    </row>
    <row r="393" spans="1:81" s="418" customFormat="1" ht="12.75" customHeight="1">
      <c r="A393" s="405"/>
      <c r="B393" s="12"/>
      <c r="C393" s="584"/>
      <c r="D393" s="12"/>
      <c r="E393" s="547"/>
      <c r="F393" s="1935"/>
      <c r="G393" s="1935"/>
      <c r="H393" s="1935"/>
      <c r="I393" s="1935"/>
      <c r="J393" s="1935"/>
      <c r="K393" s="1935"/>
      <c r="L393" s="1935"/>
      <c r="M393" s="1935"/>
      <c r="N393" s="1935"/>
      <c r="O393" s="1935"/>
      <c r="P393" s="1935"/>
      <c r="Q393" s="1935"/>
      <c r="R393" s="1935"/>
      <c r="S393" s="1935"/>
      <c r="T393" s="1935"/>
      <c r="U393" s="1935"/>
      <c r="V393" s="1935"/>
      <c r="W393" s="1935"/>
      <c r="X393" s="1935"/>
      <c r="Y393" s="1935"/>
      <c r="Z393" s="1935"/>
      <c r="AA393" s="1935"/>
      <c r="AB393" s="1935"/>
      <c r="AC393" s="1935"/>
      <c r="AD393" s="1935"/>
      <c r="AE393" s="1935"/>
      <c r="AF393" s="1935"/>
      <c r="AG393" s="408"/>
      <c r="AH393" s="408"/>
      <c r="AI393" s="408"/>
      <c r="AJ393" s="408"/>
      <c r="AK393" s="408"/>
      <c r="AL393" s="1201"/>
      <c r="AM393" s="436"/>
      <c r="AN393" s="459"/>
      <c r="BS393" s="436"/>
      <c r="BT393" s="436"/>
      <c r="BU393" s="436"/>
      <c r="BV393" s="436"/>
      <c r="BW393" s="436"/>
      <c r="BX393" s="436"/>
      <c r="BY393" s="436"/>
      <c r="BZ393" s="436"/>
      <c r="CA393" s="436"/>
      <c r="CB393" s="436"/>
      <c r="CC393" s="436"/>
    </row>
    <row r="394" spans="1:81" ht="13">
      <c r="A394" s="405"/>
      <c r="C394" s="584"/>
      <c r="E394" s="547"/>
      <c r="F394" s="1935"/>
      <c r="G394" s="1935"/>
      <c r="H394" s="1935"/>
      <c r="I394" s="1935"/>
      <c r="J394" s="1935"/>
      <c r="K394" s="1935"/>
      <c r="L394" s="1935"/>
      <c r="M394" s="1935"/>
      <c r="N394" s="1935"/>
      <c r="O394" s="1935"/>
      <c r="P394" s="1935"/>
      <c r="Q394" s="1935"/>
      <c r="R394" s="1935"/>
      <c r="S394" s="1935"/>
      <c r="T394" s="1935"/>
      <c r="U394" s="1935"/>
      <c r="V394" s="1935"/>
      <c r="W394" s="1935"/>
      <c r="X394" s="1935"/>
      <c r="Y394" s="1935"/>
      <c r="Z394" s="1935"/>
      <c r="AA394" s="1935"/>
      <c r="AB394" s="1935"/>
      <c r="AC394" s="1935"/>
      <c r="AD394" s="1935"/>
      <c r="AE394" s="1935"/>
      <c r="AF394" s="1935"/>
      <c r="AG394" s="408"/>
      <c r="AH394" s="408"/>
      <c r="AI394" s="408"/>
      <c r="AJ394" s="408"/>
      <c r="AK394" s="408"/>
      <c r="AL394" s="1201"/>
      <c r="AM394" s="436"/>
      <c r="BS394" s="436"/>
      <c r="BT394" s="436"/>
      <c r="BU394" s="436"/>
      <c r="BV394" s="436"/>
      <c r="BW394" s="436"/>
      <c r="BX394" s="436"/>
      <c r="BY394" s="436"/>
      <c r="BZ394" s="436"/>
      <c r="CA394" s="436"/>
      <c r="CB394" s="436"/>
      <c r="CC394" s="436"/>
    </row>
    <row r="395" spans="1:81" s="418" customFormat="1" ht="12.75" customHeight="1">
      <c r="A395" s="405"/>
      <c r="B395" s="12"/>
      <c r="C395" s="584"/>
      <c r="D395" s="12"/>
      <c r="E395" s="547"/>
      <c r="F395" s="1935"/>
      <c r="G395" s="1935"/>
      <c r="H395" s="1935"/>
      <c r="I395" s="1935"/>
      <c r="J395" s="1935"/>
      <c r="K395" s="1935"/>
      <c r="L395" s="1935"/>
      <c r="M395" s="1935"/>
      <c r="N395" s="1935"/>
      <c r="O395" s="1935"/>
      <c r="P395" s="1935"/>
      <c r="Q395" s="1935"/>
      <c r="R395" s="1935"/>
      <c r="S395" s="1935"/>
      <c r="T395" s="1935"/>
      <c r="U395" s="1935"/>
      <c r="V395" s="1935"/>
      <c r="W395" s="1935"/>
      <c r="X395" s="1935"/>
      <c r="Y395" s="1935"/>
      <c r="Z395" s="1935"/>
      <c r="AA395" s="1935"/>
      <c r="AB395" s="1935"/>
      <c r="AC395" s="1935"/>
      <c r="AD395" s="1935"/>
      <c r="AE395" s="1935"/>
      <c r="AF395" s="1935"/>
      <c r="AG395" s="408"/>
      <c r="AH395" s="408"/>
      <c r="AI395" s="408"/>
      <c r="AJ395" s="408"/>
      <c r="AK395" s="408"/>
      <c r="AL395" s="1201"/>
      <c r="AM395" s="436"/>
      <c r="AN395" s="459"/>
      <c r="BS395" s="436"/>
      <c r="BT395" s="436"/>
      <c r="BY395" s="436"/>
      <c r="BZ395" s="436"/>
      <c r="CA395" s="436"/>
      <c r="CB395" s="436"/>
      <c r="CC395" s="436"/>
    </row>
    <row r="396" spans="1:81" s="418" customFormat="1" ht="12.75" customHeight="1">
      <c r="A396" s="405"/>
      <c r="B396" s="12"/>
      <c r="C396" s="1931" t="s">
        <v>299</v>
      </c>
      <c r="D396" s="1888"/>
      <c r="E396" s="547"/>
      <c r="F396" s="575" t="s">
        <v>2153</v>
      </c>
      <c r="G396" s="465"/>
      <c r="H396" s="465"/>
      <c r="I396" s="465"/>
      <c r="J396" s="465"/>
      <c r="K396" s="465"/>
      <c r="L396" s="465"/>
      <c r="M396" s="465"/>
      <c r="N396" s="465"/>
      <c r="O396" s="465"/>
      <c r="P396" s="465"/>
      <c r="Q396" s="465"/>
      <c r="R396" s="465"/>
      <c r="S396" s="465"/>
      <c r="T396" s="465"/>
      <c r="U396" s="465"/>
      <c r="V396" s="465"/>
      <c r="W396" s="465"/>
      <c r="X396" s="465"/>
      <c r="Y396" s="465"/>
      <c r="Z396" s="465"/>
      <c r="AA396" s="465"/>
      <c r="AB396" s="465"/>
      <c r="AC396" s="465"/>
      <c r="AD396" s="465"/>
      <c r="AF396" s="1932" t="s">
        <v>2143</v>
      </c>
      <c r="AG396" s="1932"/>
      <c r="AH396" s="1932"/>
      <c r="AI396" s="1932"/>
      <c r="AJ396" s="1932"/>
      <c r="AK396" s="1932"/>
      <c r="AL396" s="1933"/>
      <c r="AM396" s="436"/>
      <c r="AN396" s="459"/>
      <c r="BS396" s="436"/>
      <c r="BT396" s="436"/>
      <c r="BY396" s="436"/>
      <c r="BZ396" s="436"/>
      <c r="CA396" s="436"/>
      <c r="CB396" s="436"/>
      <c r="CC396" s="436"/>
    </row>
    <row r="397" spans="1:81" s="418" customFormat="1" ht="12.75" customHeight="1">
      <c r="A397" s="405"/>
      <c r="B397" s="12"/>
      <c r="C397" s="584"/>
      <c r="D397" s="12"/>
      <c r="E397" s="547"/>
      <c r="G397" s="465"/>
      <c r="H397" s="465"/>
      <c r="I397" s="465"/>
      <c r="J397" s="465"/>
      <c r="K397" s="465"/>
      <c r="L397" s="465"/>
      <c r="M397" s="465"/>
      <c r="N397" s="465"/>
      <c r="O397" s="465"/>
      <c r="P397" s="465"/>
      <c r="Q397" s="465"/>
      <c r="R397" s="465"/>
      <c r="S397" s="465"/>
      <c r="T397" s="465"/>
      <c r="U397" s="465"/>
      <c r="V397" s="465"/>
      <c r="W397" s="465"/>
      <c r="X397" s="465"/>
      <c r="Y397" s="465"/>
      <c r="Z397" s="465"/>
      <c r="AA397" s="465"/>
      <c r="AB397" s="465"/>
      <c r="AC397" s="465"/>
      <c r="AD397" s="465"/>
      <c r="AL397" s="585"/>
      <c r="AM397" s="436"/>
      <c r="AN397" s="459"/>
      <c r="BS397" s="436"/>
      <c r="BT397" s="436"/>
      <c r="BY397" s="436"/>
      <c r="BZ397" s="436"/>
      <c r="CA397" s="436"/>
      <c r="CB397" s="436"/>
      <c r="CC397" s="436"/>
    </row>
    <row r="398" spans="1:81" s="418" customFormat="1" ht="12.75" customHeight="1">
      <c r="A398" s="405"/>
      <c r="B398" s="12"/>
      <c r="C398" s="1931" t="s">
        <v>299</v>
      </c>
      <c r="D398" s="1888"/>
      <c r="E398" s="574"/>
      <c r="F398" s="575" t="s">
        <v>2154</v>
      </c>
      <c r="G398" s="465"/>
      <c r="H398" s="465"/>
      <c r="I398" s="465"/>
      <c r="J398" s="465"/>
      <c r="K398" s="465"/>
      <c r="L398" s="465"/>
      <c r="M398" s="465"/>
      <c r="N398" s="465"/>
      <c r="O398" s="465"/>
      <c r="P398" s="465"/>
      <c r="Q398" s="465"/>
      <c r="R398" s="465"/>
      <c r="S398" s="465"/>
      <c r="T398" s="465"/>
      <c r="U398" s="465"/>
      <c r="V398" s="465"/>
      <c r="W398" s="465"/>
      <c r="X398" s="465"/>
      <c r="Y398" s="465"/>
      <c r="Z398" s="465"/>
      <c r="AA398" s="465"/>
      <c r="AB398" s="465"/>
      <c r="AC398" s="465"/>
      <c r="AD398" s="465"/>
      <c r="AF398" s="1932" t="s">
        <v>2155</v>
      </c>
      <c r="AG398" s="1932"/>
      <c r="AH398" s="1932"/>
      <c r="AI398" s="1932"/>
      <c r="AJ398" s="1932"/>
      <c r="AK398" s="1932"/>
      <c r="AL398" s="1933"/>
      <c r="AM398" s="436"/>
      <c r="AN398" s="459"/>
      <c r="BS398" s="436"/>
      <c r="BT398" s="436"/>
      <c r="BY398" s="436"/>
      <c r="BZ398" s="436"/>
      <c r="CA398" s="436"/>
      <c r="CB398" s="436"/>
      <c r="CC398" s="436"/>
    </row>
    <row r="399" spans="1:81" s="418" customFormat="1" ht="12.75" customHeight="1">
      <c r="A399" s="405"/>
      <c r="B399" s="12"/>
      <c r="C399" s="596"/>
      <c r="D399" s="581"/>
      <c r="E399" s="578"/>
      <c r="F399" s="581"/>
      <c r="G399" s="580"/>
      <c r="H399" s="580"/>
      <c r="I399" s="580"/>
      <c r="J399" s="580"/>
      <c r="K399" s="580"/>
      <c r="L399" s="580"/>
      <c r="M399" s="580"/>
      <c r="N399" s="580"/>
      <c r="O399" s="580"/>
      <c r="P399" s="580"/>
      <c r="Q399" s="580"/>
      <c r="R399" s="580"/>
      <c r="S399" s="580"/>
      <c r="T399" s="580"/>
      <c r="U399" s="580"/>
      <c r="V399" s="580"/>
      <c r="W399" s="580"/>
      <c r="X399" s="580"/>
      <c r="Y399" s="580"/>
      <c r="Z399" s="580"/>
      <c r="AA399" s="580"/>
      <c r="AB399" s="580"/>
      <c r="AC399" s="580"/>
      <c r="AD399" s="580"/>
      <c r="AE399" s="581"/>
      <c r="AF399" s="581"/>
      <c r="AG399" s="581"/>
      <c r="AH399" s="581"/>
      <c r="AI399" s="581"/>
      <c r="AJ399" s="581"/>
      <c r="AK399" s="581"/>
      <c r="AL399" s="595"/>
      <c r="AM399" s="436"/>
      <c r="AN399" s="459"/>
      <c r="BS399" s="436"/>
      <c r="BT399" s="436"/>
      <c r="BY399" s="436"/>
      <c r="BZ399" s="436"/>
      <c r="CA399" s="436"/>
      <c r="CB399" s="436"/>
      <c r="CC399" s="436"/>
    </row>
    <row r="400" spans="1:81" s="418" customFormat="1" ht="12.75" customHeight="1">
      <c r="A400" s="405"/>
      <c r="B400" s="12"/>
      <c r="C400" s="12"/>
      <c r="D400" s="12"/>
      <c r="E400" s="547"/>
      <c r="G400" s="465"/>
      <c r="H400" s="465"/>
      <c r="I400" s="465"/>
      <c r="J400" s="465"/>
      <c r="K400" s="465"/>
      <c r="L400" s="465"/>
      <c r="M400" s="465"/>
      <c r="N400" s="465"/>
      <c r="O400" s="465"/>
      <c r="P400" s="465"/>
      <c r="Q400" s="465"/>
      <c r="R400" s="465"/>
      <c r="S400" s="465"/>
      <c r="T400" s="465"/>
      <c r="U400" s="465"/>
      <c r="V400" s="465"/>
      <c r="W400" s="465"/>
      <c r="X400" s="465"/>
      <c r="Y400" s="465"/>
      <c r="Z400" s="465"/>
      <c r="AA400" s="465"/>
      <c r="AB400" s="465"/>
      <c r="AC400" s="465"/>
      <c r="AD400" s="465"/>
      <c r="AE400" s="405"/>
      <c r="AF400" s="408"/>
      <c r="AG400" s="405"/>
      <c r="AM400" s="436"/>
      <c r="AN400" s="459"/>
      <c r="BS400" s="436"/>
      <c r="BT400" s="436"/>
      <c r="BY400" s="436"/>
      <c r="BZ400" s="436"/>
      <c r="CA400" s="436"/>
      <c r="CB400" s="436"/>
      <c r="CC400" s="436"/>
    </row>
    <row r="401" spans="1:81" s="418" customFormat="1" ht="12.75" customHeight="1">
      <c r="A401" s="405"/>
      <c r="B401" s="12"/>
      <c r="C401" s="1931" t="s">
        <v>299</v>
      </c>
      <c r="D401" s="1888"/>
      <c r="E401" s="570" t="s">
        <v>2156</v>
      </c>
      <c r="F401" s="1934" t="s">
        <v>2157</v>
      </c>
      <c r="G401" s="1934"/>
      <c r="H401" s="1934"/>
      <c r="I401" s="1934"/>
      <c r="J401" s="1934"/>
      <c r="K401" s="1934"/>
      <c r="L401" s="1934"/>
      <c r="M401" s="1934"/>
      <c r="N401" s="1934"/>
      <c r="O401" s="1934"/>
      <c r="P401" s="1934"/>
      <c r="Q401" s="1934"/>
      <c r="R401" s="1934"/>
      <c r="S401" s="1934"/>
      <c r="T401" s="1934"/>
      <c r="U401" s="1934"/>
      <c r="V401" s="1934"/>
      <c r="W401" s="1934"/>
      <c r="X401" s="1934"/>
      <c r="Y401" s="1934"/>
      <c r="Z401" s="1934"/>
      <c r="AA401" s="1934"/>
      <c r="AB401" s="1934"/>
      <c r="AC401" s="1934"/>
      <c r="AD401" s="1934"/>
      <c r="AE401" s="1934"/>
      <c r="AF401" s="571"/>
      <c r="AG401" s="597"/>
      <c r="AH401" s="569"/>
      <c r="AI401" s="569"/>
      <c r="AJ401" s="569"/>
      <c r="AK401" s="569"/>
      <c r="AL401" s="598"/>
      <c r="AM401" s="436"/>
      <c r="AN401" s="459"/>
      <c r="BS401" s="436"/>
      <c r="BT401" s="436"/>
      <c r="BY401" s="436"/>
      <c r="BZ401" s="436"/>
      <c r="CA401" s="436"/>
      <c r="CB401" s="436"/>
      <c r="CC401" s="436"/>
    </row>
    <row r="402" spans="1:81" s="418" customFormat="1" ht="12.75" customHeight="1">
      <c r="A402" s="405"/>
      <c r="B402" s="12"/>
      <c r="C402" s="592"/>
      <c r="F402" s="1935"/>
      <c r="G402" s="1935"/>
      <c r="H402" s="1935"/>
      <c r="I402" s="1935"/>
      <c r="J402" s="1935"/>
      <c r="K402" s="1935"/>
      <c r="L402" s="1935"/>
      <c r="M402" s="1935"/>
      <c r="N402" s="1935"/>
      <c r="O402" s="1935"/>
      <c r="P402" s="1935"/>
      <c r="Q402" s="1935"/>
      <c r="R402" s="1935"/>
      <c r="S402" s="1935"/>
      <c r="T402" s="1935"/>
      <c r="U402" s="1935"/>
      <c r="V402" s="1935"/>
      <c r="W402" s="1935"/>
      <c r="X402" s="1935"/>
      <c r="Y402" s="1935"/>
      <c r="Z402" s="1935"/>
      <c r="AA402" s="1935"/>
      <c r="AB402" s="1935"/>
      <c r="AC402" s="1935"/>
      <c r="AD402" s="1935"/>
      <c r="AE402" s="1935"/>
      <c r="AF402" s="1857" t="s">
        <v>2143</v>
      </c>
      <c r="AG402" s="1857"/>
      <c r="AH402" s="1857"/>
      <c r="AI402" s="1857"/>
      <c r="AJ402" s="1857"/>
      <c r="AK402" s="1857"/>
      <c r="AL402" s="1936"/>
      <c r="AM402" s="436"/>
      <c r="AN402" s="459"/>
      <c r="BS402" s="436"/>
      <c r="BT402" s="436"/>
      <c r="BY402" s="436"/>
      <c r="BZ402" s="436"/>
      <c r="CA402" s="436"/>
      <c r="CB402" s="436"/>
      <c r="CC402" s="436"/>
    </row>
    <row r="403" spans="1:81" s="418" customFormat="1" ht="12.75" customHeight="1">
      <c r="A403" s="405"/>
      <c r="B403" s="12"/>
      <c r="C403" s="584"/>
      <c r="D403" s="12"/>
      <c r="E403" s="547"/>
      <c r="F403" s="1935"/>
      <c r="G403" s="1935"/>
      <c r="H403" s="1935"/>
      <c r="I403" s="1935"/>
      <c r="J403" s="1935"/>
      <c r="K403" s="1935"/>
      <c r="L403" s="1935"/>
      <c r="M403" s="1935"/>
      <c r="N403" s="1935"/>
      <c r="O403" s="1935"/>
      <c r="P403" s="1935"/>
      <c r="Q403" s="1935"/>
      <c r="R403" s="1935"/>
      <c r="S403" s="1935"/>
      <c r="T403" s="1935"/>
      <c r="U403" s="1935"/>
      <c r="V403" s="1935"/>
      <c r="W403" s="1935"/>
      <c r="X403" s="1935"/>
      <c r="Y403" s="1935"/>
      <c r="Z403" s="1935"/>
      <c r="AA403" s="1935"/>
      <c r="AB403" s="1935"/>
      <c r="AC403" s="1935"/>
      <c r="AD403" s="1935"/>
      <c r="AE403" s="1935"/>
      <c r="AL403" s="585"/>
      <c r="AM403" s="436"/>
      <c r="AN403" s="459"/>
      <c r="BS403" s="436"/>
      <c r="BT403" s="436"/>
      <c r="BU403" s="436"/>
      <c r="BV403" s="436"/>
      <c r="BW403" s="436"/>
      <c r="BX403" s="436"/>
      <c r="BY403" s="436"/>
      <c r="BZ403" s="436"/>
      <c r="CA403" s="436"/>
      <c r="CB403" s="436"/>
      <c r="CC403" s="436"/>
    </row>
    <row r="404" spans="1:81" s="418" customFormat="1" ht="12.75" customHeight="1">
      <c r="A404" s="405"/>
      <c r="B404" s="12"/>
      <c r="C404" s="593"/>
      <c r="D404" s="586"/>
      <c r="E404" s="587"/>
      <c r="F404" s="1954"/>
      <c r="G404" s="1954"/>
      <c r="H404" s="1954"/>
      <c r="I404" s="1954"/>
      <c r="J404" s="1954"/>
      <c r="K404" s="1954"/>
      <c r="L404" s="1954"/>
      <c r="M404" s="1954"/>
      <c r="N404" s="1954"/>
      <c r="O404" s="1954"/>
      <c r="P404" s="1954"/>
      <c r="Q404" s="1954"/>
      <c r="R404" s="1954"/>
      <c r="S404" s="1954"/>
      <c r="T404" s="1954"/>
      <c r="U404" s="1954"/>
      <c r="V404" s="1954"/>
      <c r="W404" s="1954"/>
      <c r="X404" s="1954"/>
      <c r="Y404" s="1954"/>
      <c r="Z404" s="1954"/>
      <c r="AA404" s="1954"/>
      <c r="AB404" s="1954"/>
      <c r="AC404" s="1954"/>
      <c r="AD404" s="1954"/>
      <c r="AE404" s="1954"/>
      <c r="AF404" s="448"/>
      <c r="AG404" s="590"/>
      <c r="AH404" s="581"/>
      <c r="AI404" s="581"/>
      <c r="AJ404" s="581"/>
      <c r="AK404" s="581"/>
      <c r="AL404" s="595"/>
      <c r="AM404" s="436"/>
      <c r="AN404" s="459"/>
    </row>
    <row r="405" spans="1:81" ht="13">
      <c r="A405" s="405"/>
      <c r="E405" s="547"/>
      <c r="F405" s="465"/>
      <c r="G405" s="465"/>
      <c r="H405" s="465"/>
      <c r="I405" s="465"/>
      <c r="J405" s="465"/>
      <c r="K405" s="465"/>
      <c r="L405" s="465"/>
      <c r="M405" s="465"/>
      <c r="N405" s="465"/>
      <c r="O405" s="465"/>
      <c r="P405" s="465"/>
      <c r="Q405" s="465"/>
      <c r="R405" s="465"/>
      <c r="S405" s="465"/>
      <c r="T405" s="465"/>
      <c r="U405" s="465"/>
      <c r="V405" s="465"/>
      <c r="W405" s="465"/>
      <c r="X405" s="465"/>
      <c r="Y405" s="465"/>
      <c r="Z405" s="465"/>
      <c r="AA405" s="465"/>
      <c r="AB405" s="465"/>
      <c r="AC405" s="465"/>
      <c r="AD405" s="465"/>
      <c r="AE405" s="405"/>
      <c r="AF405" s="408"/>
      <c r="AG405" s="405"/>
      <c r="AH405" s="418"/>
      <c r="AI405" s="418"/>
      <c r="AJ405" s="418"/>
      <c r="AK405" s="418"/>
      <c r="AL405" s="418"/>
      <c r="AM405" s="436"/>
    </row>
    <row r="406" spans="1:81" ht="12.75" customHeight="1">
      <c r="A406" s="405"/>
      <c r="C406" s="599"/>
      <c r="D406" s="600"/>
      <c r="E406" s="570" t="s">
        <v>2158</v>
      </c>
      <c r="F406" s="1934" t="s">
        <v>2159</v>
      </c>
      <c r="G406" s="1934"/>
      <c r="H406" s="1934"/>
      <c r="I406" s="1934"/>
      <c r="J406" s="1934"/>
      <c r="K406" s="1934"/>
      <c r="L406" s="1934"/>
      <c r="M406" s="1934"/>
      <c r="N406" s="1934"/>
      <c r="O406" s="1934"/>
      <c r="P406" s="1934"/>
      <c r="Q406" s="1934"/>
      <c r="R406" s="1934"/>
      <c r="S406" s="1934"/>
      <c r="T406" s="1934"/>
      <c r="U406" s="1934"/>
      <c r="V406" s="1934"/>
      <c r="W406" s="1934"/>
      <c r="X406" s="1934"/>
      <c r="Y406" s="1934"/>
      <c r="Z406" s="1934"/>
      <c r="AA406" s="1934"/>
      <c r="AB406" s="1934"/>
      <c r="AC406" s="1934"/>
      <c r="AD406" s="1934"/>
      <c r="AE406" s="1934"/>
      <c r="AF406" s="600"/>
      <c r="AG406" s="600"/>
      <c r="AH406" s="600"/>
      <c r="AI406" s="600"/>
      <c r="AJ406" s="600"/>
      <c r="AK406" s="600"/>
      <c r="AL406" s="601"/>
      <c r="AM406" s="436"/>
    </row>
    <row r="407" spans="1:81" ht="13">
      <c r="A407" s="405"/>
      <c r="C407" s="584"/>
      <c r="E407" s="547"/>
      <c r="F407" s="1935"/>
      <c r="G407" s="1935"/>
      <c r="H407" s="1935"/>
      <c r="I407" s="1935"/>
      <c r="J407" s="1935"/>
      <c r="K407" s="1935"/>
      <c r="L407" s="1935"/>
      <c r="M407" s="1935"/>
      <c r="N407" s="1935"/>
      <c r="O407" s="1935"/>
      <c r="P407" s="1935"/>
      <c r="Q407" s="1935"/>
      <c r="R407" s="1935"/>
      <c r="S407" s="1935"/>
      <c r="T407" s="1935"/>
      <c r="U407" s="1935"/>
      <c r="V407" s="1935"/>
      <c r="W407" s="1935"/>
      <c r="X407" s="1935"/>
      <c r="Y407" s="1935"/>
      <c r="Z407" s="1935"/>
      <c r="AA407" s="1935"/>
      <c r="AB407" s="1935"/>
      <c r="AC407" s="1935"/>
      <c r="AD407" s="1935"/>
      <c r="AE407" s="1935"/>
      <c r="AF407" s="408"/>
      <c r="AG407" s="405"/>
      <c r="AH407" s="418"/>
      <c r="AI407" s="418"/>
      <c r="AJ407" s="418"/>
      <c r="AK407" s="418"/>
      <c r="AL407" s="585"/>
      <c r="AM407" s="436"/>
    </row>
    <row r="408" spans="1:81" s="418" customFormat="1" ht="12.75" customHeight="1">
      <c r="A408" s="405"/>
      <c r="B408" s="12"/>
      <c r="C408" s="584"/>
      <c r="D408" s="12"/>
      <c r="E408" s="547"/>
      <c r="F408" s="1935"/>
      <c r="G408" s="1935"/>
      <c r="H408" s="1935"/>
      <c r="I408" s="1935"/>
      <c r="J408" s="1935"/>
      <c r="K408" s="1935"/>
      <c r="L408" s="1935"/>
      <c r="M408" s="1935"/>
      <c r="N408" s="1935"/>
      <c r="O408" s="1935"/>
      <c r="P408" s="1935"/>
      <c r="Q408" s="1935"/>
      <c r="R408" s="1935"/>
      <c r="S408" s="1935"/>
      <c r="T408" s="1935"/>
      <c r="U408" s="1935"/>
      <c r="V408" s="1935"/>
      <c r="W408" s="1935"/>
      <c r="X408" s="1935"/>
      <c r="Y408" s="1935"/>
      <c r="Z408" s="1935"/>
      <c r="AA408" s="1935"/>
      <c r="AB408" s="1935"/>
      <c r="AC408" s="1935"/>
      <c r="AD408" s="1935"/>
      <c r="AE408" s="1935"/>
      <c r="AL408" s="585"/>
      <c r="AM408" s="436"/>
      <c r="AN408" s="459"/>
    </row>
    <row r="409" spans="1:81" s="418" customFormat="1" ht="12.75" customHeight="1">
      <c r="A409" s="405"/>
      <c r="B409" s="12"/>
      <c r="C409" s="592"/>
      <c r="F409" s="1935"/>
      <c r="G409" s="1935"/>
      <c r="H409" s="1935"/>
      <c r="I409" s="1935"/>
      <c r="J409" s="1935"/>
      <c r="K409" s="1935"/>
      <c r="L409" s="1935"/>
      <c r="M409" s="1935"/>
      <c r="N409" s="1935"/>
      <c r="O409" s="1935"/>
      <c r="P409" s="1935"/>
      <c r="Q409" s="1935"/>
      <c r="R409" s="1935"/>
      <c r="S409" s="1935"/>
      <c r="T409" s="1935"/>
      <c r="U409" s="1935"/>
      <c r="V409" s="1935"/>
      <c r="W409" s="1935"/>
      <c r="X409" s="1935"/>
      <c r="Y409" s="1935"/>
      <c r="Z409" s="1935"/>
      <c r="AA409" s="1935"/>
      <c r="AB409" s="1935"/>
      <c r="AC409" s="1935"/>
      <c r="AD409" s="1935"/>
      <c r="AE409" s="1935"/>
      <c r="AL409" s="585"/>
      <c r="AM409" s="436"/>
      <c r="AN409" s="459"/>
    </row>
    <row r="410" spans="1:81" s="418" customFormat="1" ht="12.75" customHeight="1">
      <c r="A410" s="405"/>
      <c r="B410" s="12"/>
      <c r="C410" s="1931" t="s">
        <v>837</v>
      </c>
      <c r="D410" s="1888"/>
      <c r="E410" s="547"/>
      <c r="F410" s="575" t="s">
        <v>2160</v>
      </c>
      <c r="G410" s="465"/>
      <c r="H410" s="465"/>
      <c r="I410" s="465"/>
      <c r="J410" s="465"/>
      <c r="K410" s="465"/>
      <c r="L410" s="465"/>
      <c r="M410" s="465"/>
      <c r="N410" s="465"/>
      <c r="O410" s="465"/>
      <c r="P410" s="465"/>
      <c r="Q410" s="465"/>
      <c r="R410" s="465"/>
      <c r="S410" s="465"/>
      <c r="T410" s="465"/>
      <c r="U410" s="465"/>
      <c r="V410" s="465"/>
      <c r="W410" s="465"/>
      <c r="X410" s="465"/>
      <c r="Y410" s="465"/>
      <c r="Z410" s="465"/>
      <c r="AA410" s="465"/>
      <c r="AB410" s="465"/>
      <c r="AC410" s="465"/>
      <c r="AD410" s="465"/>
      <c r="AF410" s="1857" t="s">
        <v>2143</v>
      </c>
      <c r="AG410" s="1857"/>
      <c r="AH410" s="1857"/>
      <c r="AI410" s="1857"/>
      <c r="AJ410" s="1857"/>
      <c r="AK410" s="1857"/>
      <c r="AL410" s="1936"/>
      <c r="AM410" s="436"/>
      <c r="AN410" s="459"/>
    </row>
    <row r="411" spans="1:81" s="418" customFormat="1" ht="12.75" customHeight="1">
      <c r="A411" s="405"/>
      <c r="B411" s="12"/>
      <c r="C411" s="592"/>
      <c r="AL411" s="585"/>
      <c r="AM411" s="436"/>
      <c r="AN411" s="459"/>
    </row>
    <row r="412" spans="1:81" s="418" customFormat="1" ht="12.75" customHeight="1">
      <c r="A412" s="405"/>
      <c r="B412" s="12"/>
      <c r="C412" s="1931" t="s">
        <v>299</v>
      </c>
      <c r="D412" s="1888"/>
      <c r="E412" s="574"/>
      <c r="F412" s="575" t="s">
        <v>2161</v>
      </c>
      <c r="G412" s="465"/>
      <c r="H412" s="465"/>
      <c r="I412" s="465"/>
      <c r="J412" s="465"/>
      <c r="K412" s="465"/>
      <c r="L412" s="465"/>
      <c r="M412" s="465"/>
      <c r="N412" s="465"/>
      <c r="O412" s="465"/>
      <c r="P412" s="465"/>
      <c r="Q412" s="465"/>
      <c r="R412" s="465"/>
      <c r="S412" s="465"/>
      <c r="T412" s="465"/>
      <c r="U412" s="465"/>
      <c r="V412" s="465"/>
      <c r="W412" s="465"/>
      <c r="X412" s="465"/>
      <c r="Y412" s="465"/>
      <c r="Z412" s="465"/>
      <c r="AA412" s="465"/>
      <c r="AB412" s="465"/>
      <c r="AC412" s="465"/>
      <c r="AD412" s="465"/>
      <c r="AF412" s="1857" t="s">
        <v>2155</v>
      </c>
      <c r="AG412" s="1857"/>
      <c r="AH412" s="1857"/>
      <c r="AI412" s="1857"/>
      <c r="AJ412" s="1857"/>
      <c r="AK412" s="1857"/>
      <c r="AL412" s="1936"/>
      <c r="AM412" s="436"/>
      <c r="AN412" s="459"/>
      <c r="AO412" s="458"/>
      <c r="AP412" s="458"/>
      <c r="BC412" s="12"/>
    </row>
    <row r="413" spans="1:81" s="418" customFormat="1" ht="12.75" customHeight="1">
      <c r="A413" s="405"/>
      <c r="B413" s="12"/>
      <c r="C413" s="586"/>
      <c r="D413" s="586"/>
      <c r="E413" s="587"/>
      <c r="F413" s="579"/>
      <c r="G413" s="580"/>
      <c r="H413" s="580"/>
      <c r="I413" s="580"/>
      <c r="J413" s="580"/>
      <c r="K413" s="580"/>
      <c r="L413" s="580"/>
      <c r="M413" s="580"/>
      <c r="N413" s="580"/>
      <c r="O413" s="580"/>
      <c r="P413" s="580"/>
      <c r="Q413" s="580"/>
      <c r="R413" s="580"/>
      <c r="S413" s="580"/>
      <c r="T413" s="580"/>
      <c r="U413" s="580"/>
      <c r="V413" s="580"/>
      <c r="W413" s="580"/>
      <c r="X413" s="580"/>
      <c r="Y413" s="580"/>
      <c r="Z413" s="580"/>
      <c r="AA413" s="580"/>
      <c r="AB413" s="580"/>
      <c r="AC413" s="580"/>
      <c r="AD413" s="580"/>
      <c r="AE413" s="590"/>
      <c r="AF413" s="448"/>
      <c r="AG413" s="590"/>
      <c r="AH413" s="581"/>
      <c r="AI413" s="581"/>
      <c r="AJ413" s="581"/>
      <c r="AK413" s="581"/>
      <c r="AL413" s="595"/>
      <c r="AM413" s="436"/>
      <c r="AN413" s="459"/>
    </row>
    <row r="414" spans="1:81" s="418" customFormat="1" ht="12.75" customHeight="1">
      <c r="A414" s="405"/>
      <c r="B414" s="12"/>
      <c r="C414" s="12"/>
      <c r="D414" s="12"/>
      <c r="E414" s="547"/>
      <c r="F414" s="575"/>
      <c r="G414" s="465"/>
      <c r="H414" s="465"/>
      <c r="I414" s="465"/>
      <c r="J414" s="465"/>
      <c r="K414" s="465"/>
      <c r="L414" s="465"/>
      <c r="M414" s="465"/>
      <c r="N414" s="465"/>
      <c r="O414" s="465"/>
      <c r="P414" s="465"/>
      <c r="Q414" s="465"/>
      <c r="R414" s="465"/>
      <c r="S414" s="465"/>
      <c r="T414" s="465"/>
      <c r="U414" s="465"/>
      <c r="V414" s="465"/>
      <c r="W414" s="465"/>
      <c r="X414" s="465"/>
      <c r="Y414" s="465"/>
      <c r="Z414" s="465"/>
      <c r="AA414" s="465"/>
      <c r="AB414" s="465"/>
      <c r="AC414" s="465"/>
      <c r="AD414" s="465"/>
      <c r="AE414" s="405"/>
      <c r="AF414" s="408"/>
      <c r="AG414" s="405"/>
      <c r="AM414" s="436"/>
      <c r="AN414" s="459"/>
    </row>
    <row r="415" spans="1:81" s="418" customFormat="1" ht="12.75" customHeight="1">
      <c r="A415" s="405"/>
      <c r="B415" s="12"/>
      <c r="C415" s="567" t="s">
        <v>2162</v>
      </c>
      <c r="D415" s="12"/>
      <c r="E415" s="547"/>
      <c r="F415" s="465"/>
      <c r="G415" s="465"/>
      <c r="H415" s="465"/>
      <c r="I415" s="465"/>
      <c r="J415" s="465"/>
      <c r="K415" s="465"/>
      <c r="L415" s="465"/>
      <c r="M415" s="465"/>
      <c r="N415" s="465"/>
      <c r="O415" s="465"/>
      <c r="P415" s="465"/>
      <c r="Q415" s="465"/>
      <c r="R415" s="465"/>
      <c r="S415" s="465"/>
      <c r="T415" s="465"/>
      <c r="U415" s="465"/>
      <c r="V415" s="465"/>
      <c r="W415" s="465"/>
      <c r="X415" s="465"/>
      <c r="Y415" s="465"/>
      <c r="Z415" s="465"/>
      <c r="AA415" s="465"/>
      <c r="AB415" s="465"/>
      <c r="AC415" s="465"/>
      <c r="AD415" s="465"/>
      <c r="AE415" s="405"/>
      <c r="AF415" s="408"/>
      <c r="AG415" s="405"/>
      <c r="AM415" s="436"/>
      <c r="AN415" s="459"/>
    </row>
    <row r="416" spans="1:81" s="418" customFormat="1" ht="12.75" customHeight="1">
      <c r="A416" s="405"/>
      <c r="B416" s="12"/>
      <c r="C416" s="568"/>
      <c r="D416" s="569"/>
      <c r="E416" s="570" t="s">
        <v>2163</v>
      </c>
      <c r="F416" s="1934" t="s">
        <v>2164</v>
      </c>
      <c r="G416" s="1934"/>
      <c r="H416" s="1934"/>
      <c r="I416" s="1934"/>
      <c r="J416" s="1934"/>
      <c r="K416" s="1934"/>
      <c r="L416" s="1934"/>
      <c r="M416" s="1934"/>
      <c r="N416" s="1934"/>
      <c r="O416" s="1934"/>
      <c r="P416" s="1934"/>
      <c r="Q416" s="1934"/>
      <c r="R416" s="1934"/>
      <c r="S416" s="1934"/>
      <c r="T416" s="1934"/>
      <c r="U416" s="1934"/>
      <c r="V416" s="1934"/>
      <c r="W416" s="1934"/>
      <c r="X416" s="1934"/>
      <c r="Y416" s="1934"/>
      <c r="Z416" s="1934"/>
      <c r="AA416" s="1934"/>
      <c r="AB416" s="1934"/>
      <c r="AC416" s="1934"/>
      <c r="AD416" s="1934"/>
      <c r="AE416" s="1934"/>
      <c r="AF416" s="569"/>
      <c r="AG416" s="569"/>
      <c r="AH416" s="569"/>
      <c r="AI416" s="569"/>
      <c r="AJ416" s="569"/>
      <c r="AK416" s="569"/>
      <c r="AL416" s="598"/>
      <c r="AM416" s="436"/>
      <c r="AN416" s="459"/>
    </row>
    <row r="417" spans="1:60" s="418" customFormat="1" ht="12.75" customHeight="1">
      <c r="A417" s="405"/>
      <c r="B417" s="12"/>
      <c r="C417" s="584"/>
      <c r="D417" s="12"/>
      <c r="E417" s="547"/>
      <c r="F417" s="1935"/>
      <c r="G417" s="1935"/>
      <c r="H417" s="1935"/>
      <c r="I417" s="1935"/>
      <c r="J417" s="1935"/>
      <c r="K417" s="1935"/>
      <c r="L417" s="1935"/>
      <c r="M417" s="1935"/>
      <c r="N417" s="1935"/>
      <c r="O417" s="1935"/>
      <c r="P417" s="1935"/>
      <c r="Q417" s="1935"/>
      <c r="R417" s="1935"/>
      <c r="S417" s="1935"/>
      <c r="T417" s="1935"/>
      <c r="U417" s="1935"/>
      <c r="V417" s="1935"/>
      <c r="W417" s="1935"/>
      <c r="X417" s="1935"/>
      <c r="Y417" s="1935"/>
      <c r="Z417" s="1935"/>
      <c r="AA417" s="1935"/>
      <c r="AB417" s="1935"/>
      <c r="AC417" s="1935"/>
      <c r="AD417" s="1935"/>
      <c r="AE417" s="1935"/>
      <c r="AF417" s="408"/>
      <c r="AG417" s="405"/>
      <c r="AL417" s="585"/>
      <c r="AM417" s="436"/>
      <c r="AN417" s="459"/>
    </row>
    <row r="418" spans="1:60" s="418" customFormat="1" ht="12.65" customHeight="1">
      <c r="A418" s="405"/>
      <c r="B418" s="12"/>
      <c r="C418" s="584"/>
      <c r="D418" s="12"/>
      <c r="E418" s="547"/>
      <c r="F418" s="1935"/>
      <c r="G418" s="1935"/>
      <c r="H418" s="1935"/>
      <c r="I418" s="1935"/>
      <c r="J418" s="1935"/>
      <c r="K418" s="1935"/>
      <c r="L418" s="1935"/>
      <c r="M418" s="1935"/>
      <c r="N418" s="1935"/>
      <c r="O418" s="1935"/>
      <c r="P418" s="1935"/>
      <c r="Q418" s="1935"/>
      <c r="R418" s="1935"/>
      <c r="S418" s="1935"/>
      <c r="T418" s="1935"/>
      <c r="U418" s="1935"/>
      <c r="V418" s="1935"/>
      <c r="W418" s="1935"/>
      <c r="X418" s="1935"/>
      <c r="Y418" s="1935"/>
      <c r="Z418" s="1935"/>
      <c r="AA418" s="1935"/>
      <c r="AB418" s="1935"/>
      <c r="AC418" s="1935"/>
      <c r="AD418" s="1935"/>
      <c r="AE418" s="1935"/>
      <c r="AL418" s="585"/>
      <c r="AM418" s="436"/>
      <c r="AN418" s="459"/>
    </row>
    <row r="419" spans="1:60" s="418" customFormat="1" ht="12.75" customHeight="1">
      <c r="A419" s="405"/>
      <c r="B419" s="12"/>
      <c r="C419" s="1931" t="s">
        <v>299</v>
      </c>
      <c r="D419" s="1888"/>
      <c r="E419" s="547"/>
      <c r="F419" s="575" t="s">
        <v>2165</v>
      </c>
      <c r="G419" s="602"/>
      <c r="H419" s="602"/>
      <c r="I419" s="602"/>
      <c r="J419" s="602"/>
      <c r="K419" s="602"/>
      <c r="L419" s="602"/>
      <c r="M419" s="602"/>
      <c r="N419" s="602"/>
      <c r="O419" s="602"/>
      <c r="P419" s="602"/>
      <c r="Q419" s="602"/>
      <c r="R419" s="602"/>
      <c r="S419" s="602"/>
      <c r="T419" s="602"/>
      <c r="U419" s="602"/>
      <c r="V419" s="602"/>
      <c r="W419" s="602"/>
      <c r="X419" s="602"/>
      <c r="Y419" s="602"/>
      <c r="Z419" s="602"/>
      <c r="AA419" s="602"/>
      <c r="AB419" s="602"/>
      <c r="AC419" s="602"/>
      <c r="AD419" s="602"/>
      <c r="AF419" s="1857" t="s">
        <v>2143</v>
      </c>
      <c r="AG419" s="1857"/>
      <c r="AH419" s="1857"/>
      <c r="AI419" s="1857"/>
      <c r="AJ419" s="1857"/>
      <c r="AK419" s="1857"/>
      <c r="AL419" s="1936"/>
      <c r="AM419" s="436"/>
      <c r="AN419" s="459"/>
    </row>
    <row r="420" spans="1:60" s="418" customFormat="1" ht="12.75" customHeight="1">
      <c r="A420" s="405"/>
      <c r="B420" s="12"/>
      <c r="C420" s="596"/>
      <c r="D420" s="581"/>
      <c r="E420" s="578"/>
      <c r="F420" s="594"/>
      <c r="G420" s="580"/>
      <c r="H420" s="580"/>
      <c r="I420" s="580"/>
      <c r="J420" s="580"/>
      <c r="K420" s="580"/>
      <c r="L420" s="580"/>
      <c r="M420" s="580"/>
      <c r="N420" s="580"/>
      <c r="O420" s="580"/>
      <c r="P420" s="580"/>
      <c r="Q420" s="580"/>
      <c r="R420" s="580"/>
      <c r="S420" s="580"/>
      <c r="T420" s="580"/>
      <c r="U420" s="580"/>
      <c r="V420" s="580"/>
      <c r="W420" s="580"/>
      <c r="X420" s="580"/>
      <c r="Y420" s="580"/>
      <c r="Z420" s="580"/>
      <c r="AA420" s="580"/>
      <c r="AB420" s="580"/>
      <c r="AC420" s="580"/>
      <c r="AD420" s="580"/>
      <c r="AE420" s="581"/>
      <c r="AF420" s="581"/>
      <c r="AG420" s="581"/>
      <c r="AH420" s="581"/>
      <c r="AI420" s="581"/>
      <c r="AJ420" s="581"/>
      <c r="AK420" s="581"/>
      <c r="AL420" s="595"/>
      <c r="AM420" s="436"/>
      <c r="AN420" s="459"/>
    </row>
    <row r="421" spans="1:60" s="418" customFormat="1" ht="12.75" customHeight="1">
      <c r="A421" s="405"/>
      <c r="B421" s="12"/>
      <c r="C421" s="1210"/>
      <c r="D421" s="1210"/>
      <c r="E421" s="574"/>
      <c r="F421" s="575"/>
      <c r="G421" s="465"/>
      <c r="H421" s="465"/>
      <c r="I421" s="465"/>
      <c r="J421" s="465"/>
      <c r="K421" s="465"/>
      <c r="L421" s="465"/>
      <c r="M421" s="465"/>
      <c r="N421" s="465"/>
      <c r="O421" s="465"/>
      <c r="P421" s="465"/>
      <c r="Q421" s="465"/>
      <c r="R421" s="465"/>
      <c r="S421" s="465"/>
      <c r="T421" s="465"/>
      <c r="U421" s="465"/>
      <c r="V421" s="465"/>
      <c r="W421" s="465"/>
      <c r="X421" s="465"/>
      <c r="Y421" s="465"/>
      <c r="Z421" s="465"/>
      <c r="AA421" s="465"/>
      <c r="AB421" s="465"/>
      <c r="AC421" s="465"/>
      <c r="AD421" s="465"/>
      <c r="AE421" s="405"/>
      <c r="AM421" s="436"/>
      <c r="AN421" s="459"/>
    </row>
    <row r="422" spans="1:60" ht="13.4" customHeight="1">
      <c r="A422" s="405"/>
      <c r="C422" s="599"/>
      <c r="D422" s="600"/>
      <c r="E422" s="570" t="s">
        <v>2166</v>
      </c>
      <c r="F422" s="1934" t="s">
        <v>2167</v>
      </c>
      <c r="G422" s="1934"/>
      <c r="H422" s="1934"/>
      <c r="I422" s="1934"/>
      <c r="J422" s="1934"/>
      <c r="K422" s="1934"/>
      <c r="L422" s="1934"/>
      <c r="M422" s="1934"/>
      <c r="N422" s="1934"/>
      <c r="O422" s="1934"/>
      <c r="P422" s="1934"/>
      <c r="Q422" s="1934"/>
      <c r="R422" s="1934"/>
      <c r="S422" s="1934"/>
      <c r="T422" s="1934"/>
      <c r="U422" s="1934"/>
      <c r="V422" s="1934"/>
      <c r="W422" s="1934"/>
      <c r="X422" s="1934"/>
      <c r="Y422" s="1934"/>
      <c r="Z422" s="1934"/>
      <c r="AA422" s="1934"/>
      <c r="AB422" s="1934"/>
      <c r="AC422" s="1934"/>
      <c r="AD422" s="1934"/>
      <c r="AE422" s="1934"/>
      <c r="AF422" s="600"/>
      <c r="AG422" s="600"/>
      <c r="AH422" s="600"/>
      <c r="AI422" s="600"/>
      <c r="AJ422" s="600"/>
      <c r="AK422" s="600"/>
      <c r="AL422" s="601"/>
      <c r="AM422" s="436"/>
      <c r="AO422" s="418"/>
      <c r="AP422" s="418"/>
      <c r="BD422" s="12"/>
      <c r="BE422" s="12"/>
      <c r="BF422" s="12"/>
      <c r="BG422" s="12"/>
      <c r="BH422" s="12"/>
    </row>
    <row r="423" spans="1:60" ht="13">
      <c r="A423" s="405"/>
      <c r="C423" s="584"/>
      <c r="E423" s="547"/>
      <c r="F423" s="1935"/>
      <c r="G423" s="1935"/>
      <c r="H423" s="1935"/>
      <c r="I423" s="1935"/>
      <c r="J423" s="1935"/>
      <c r="K423" s="1935"/>
      <c r="L423" s="1935"/>
      <c r="M423" s="1935"/>
      <c r="N423" s="1935"/>
      <c r="O423" s="1935"/>
      <c r="P423" s="1935"/>
      <c r="Q423" s="1935"/>
      <c r="R423" s="1935"/>
      <c r="S423" s="1935"/>
      <c r="T423" s="1935"/>
      <c r="U423" s="1935"/>
      <c r="V423" s="1935"/>
      <c r="W423" s="1935"/>
      <c r="X423" s="1935"/>
      <c r="Y423" s="1935"/>
      <c r="Z423" s="1935"/>
      <c r="AA423" s="1935"/>
      <c r="AB423" s="1935"/>
      <c r="AC423" s="1935"/>
      <c r="AD423" s="1935"/>
      <c r="AE423" s="1935"/>
      <c r="AF423" s="1189"/>
      <c r="AG423" s="1189"/>
      <c r="AH423" s="1189"/>
      <c r="AI423" s="1189"/>
      <c r="AJ423" s="1189"/>
      <c r="AK423" s="1189"/>
      <c r="AL423" s="1204"/>
      <c r="AM423" s="436"/>
      <c r="AO423" s="418"/>
      <c r="AP423" s="418"/>
    </row>
    <row r="424" spans="1:60" s="418" customFormat="1" ht="12.75" customHeight="1">
      <c r="A424" s="405"/>
      <c r="B424" s="12"/>
      <c r="C424" s="584"/>
      <c r="D424" s="12"/>
      <c r="E424" s="547"/>
      <c r="F424" s="1935"/>
      <c r="G424" s="1935"/>
      <c r="H424" s="1935"/>
      <c r="I424" s="1935"/>
      <c r="J424" s="1935"/>
      <c r="K424" s="1935"/>
      <c r="L424" s="1935"/>
      <c r="M424" s="1935"/>
      <c r="N424" s="1935"/>
      <c r="O424" s="1935"/>
      <c r="P424" s="1935"/>
      <c r="Q424" s="1935"/>
      <c r="R424" s="1935"/>
      <c r="S424" s="1935"/>
      <c r="T424" s="1935"/>
      <c r="U424" s="1935"/>
      <c r="V424" s="1935"/>
      <c r="W424" s="1935"/>
      <c r="X424" s="1935"/>
      <c r="Y424" s="1935"/>
      <c r="Z424" s="1935"/>
      <c r="AA424" s="1935"/>
      <c r="AB424" s="1935"/>
      <c r="AC424" s="1935"/>
      <c r="AD424" s="1935"/>
      <c r="AE424" s="1935"/>
      <c r="AF424" s="1189"/>
      <c r="AG424" s="1189"/>
      <c r="AH424" s="1189"/>
      <c r="AI424" s="1189"/>
      <c r="AJ424" s="1189"/>
      <c r="AK424" s="1189"/>
      <c r="AL424" s="1204"/>
      <c r="AM424" s="436"/>
      <c r="AN424" s="459"/>
    </row>
    <row r="425" spans="1:60" s="418" customFormat="1" ht="12.75" customHeight="1">
      <c r="A425" s="405"/>
      <c r="B425" s="12"/>
      <c r="C425" s="1211"/>
      <c r="D425" s="1210"/>
      <c r="E425" s="574"/>
      <c r="F425" s="1935"/>
      <c r="G425" s="1935"/>
      <c r="H425" s="1935"/>
      <c r="I425" s="1935"/>
      <c r="J425" s="1935"/>
      <c r="K425" s="1935"/>
      <c r="L425" s="1935"/>
      <c r="M425" s="1935"/>
      <c r="N425" s="1935"/>
      <c r="O425" s="1935"/>
      <c r="P425" s="1935"/>
      <c r="Q425" s="1935"/>
      <c r="R425" s="1935"/>
      <c r="S425" s="1935"/>
      <c r="T425" s="1935"/>
      <c r="U425" s="1935"/>
      <c r="V425" s="1935"/>
      <c r="W425" s="1935"/>
      <c r="X425" s="1935"/>
      <c r="Y425" s="1935"/>
      <c r="Z425" s="1935"/>
      <c r="AA425" s="1935"/>
      <c r="AB425" s="1935"/>
      <c r="AC425" s="1935"/>
      <c r="AD425" s="1935"/>
      <c r="AE425" s="1935"/>
      <c r="AF425" s="1189"/>
      <c r="AG425" s="1189"/>
      <c r="AH425" s="1189"/>
      <c r="AI425" s="1189"/>
      <c r="AJ425" s="1189"/>
      <c r="AK425" s="1189"/>
      <c r="AL425" s="1204"/>
      <c r="AM425" s="436"/>
      <c r="AN425" s="459"/>
      <c r="AO425" s="24"/>
      <c r="AP425" s="12"/>
    </row>
    <row r="426" spans="1:60" s="418" customFormat="1" ht="12.75" customHeight="1">
      <c r="A426" s="405"/>
      <c r="B426" s="12"/>
      <c r="C426" s="1211"/>
      <c r="D426" s="1210"/>
      <c r="E426" s="574"/>
      <c r="F426" s="1935"/>
      <c r="G426" s="1935"/>
      <c r="H426" s="1935"/>
      <c r="I426" s="1935"/>
      <c r="J426" s="1935"/>
      <c r="K426" s="1935"/>
      <c r="L426" s="1935"/>
      <c r="M426" s="1935"/>
      <c r="N426" s="1935"/>
      <c r="O426" s="1935"/>
      <c r="P426" s="1935"/>
      <c r="Q426" s="1935"/>
      <c r="R426" s="1935"/>
      <c r="S426" s="1935"/>
      <c r="T426" s="1935"/>
      <c r="U426" s="1935"/>
      <c r="V426" s="1935"/>
      <c r="W426" s="1935"/>
      <c r="X426" s="1935"/>
      <c r="Y426" s="1935"/>
      <c r="Z426" s="1935"/>
      <c r="AA426" s="1935"/>
      <c r="AB426" s="1935"/>
      <c r="AC426" s="1935"/>
      <c r="AD426" s="1935"/>
      <c r="AE426" s="1935"/>
      <c r="AF426" s="1189"/>
      <c r="AG426" s="1189"/>
      <c r="AH426" s="1189"/>
      <c r="AI426" s="1189"/>
      <c r="AJ426" s="1189"/>
      <c r="AK426" s="1189"/>
      <c r="AL426" s="1204"/>
      <c r="AM426" s="436"/>
      <c r="AN426" s="459"/>
    </row>
    <row r="427" spans="1:60" s="418" customFormat="1" ht="12.75" customHeight="1">
      <c r="A427" s="405"/>
      <c r="B427" s="12"/>
      <c r="C427" s="1211"/>
      <c r="D427" s="1210"/>
      <c r="E427" s="574"/>
      <c r="F427" s="1935"/>
      <c r="G427" s="1935"/>
      <c r="H427" s="1935"/>
      <c r="I427" s="1935"/>
      <c r="J427" s="1935"/>
      <c r="K427" s="1935"/>
      <c r="L427" s="1935"/>
      <c r="M427" s="1935"/>
      <c r="N427" s="1935"/>
      <c r="O427" s="1935"/>
      <c r="P427" s="1935"/>
      <c r="Q427" s="1935"/>
      <c r="R427" s="1935"/>
      <c r="S427" s="1935"/>
      <c r="T427" s="1935"/>
      <c r="U427" s="1935"/>
      <c r="V427" s="1935"/>
      <c r="W427" s="1935"/>
      <c r="X427" s="1935"/>
      <c r="Y427" s="1935"/>
      <c r="Z427" s="1935"/>
      <c r="AA427" s="1935"/>
      <c r="AB427" s="1935"/>
      <c r="AC427" s="1935"/>
      <c r="AD427" s="1935"/>
      <c r="AE427" s="1935"/>
      <c r="AF427" s="1189"/>
      <c r="AG427" s="1189"/>
      <c r="AH427" s="1189"/>
      <c r="AI427" s="1189"/>
      <c r="AJ427" s="1189"/>
      <c r="AK427" s="1189"/>
      <c r="AL427" s="1204"/>
      <c r="AM427" s="436"/>
      <c r="AN427" s="459"/>
    </row>
    <row r="428" spans="1:60" s="418" customFormat="1" ht="12.75" customHeight="1">
      <c r="A428" s="405"/>
      <c r="B428" s="12"/>
      <c r="C428" s="1211"/>
      <c r="D428" s="1210"/>
      <c r="E428" s="574"/>
      <c r="F428" s="1935"/>
      <c r="G428" s="1935"/>
      <c r="H428" s="1935"/>
      <c r="I428" s="1935"/>
      <c r="J428" s="1935"/>
      <c r="K428" s="1935"/>
      <c r="L428" s="1935"/>
      <c r="M428" s="1935"/>
      <c r="N428" s="1935"/>
      <c r="O428" s="1935"/>
      <c r="P428" s="1935"/>
      <c r="Q428" s="1935"/>
      <c r="R428" s="1935"/>
      <c r="S428" s="1935"/>
      <c r="T428" s="1935"/>
      <c r="U428" s="1935"/>
      <c r="V428" s="1935"/>
      <c r="W428" s="1935"/>
      <c r="X428" s="1935"/>
      <c r="Y428" s="1935"/>
      <c r="Z428" s="1935"/>
      <c r="AA428" s="1935"/>
      <c r="AB428" s="1935"/>
      <c r="AC428" s="1935"/>
      <c r="AD428" s="1935"/>
      <c r="AE428" s="1935"/>
      <c r="AF428" s="1189"/>
      <c r="AG428" s="1189"/>
      <c r="AH428" s="1189"/>
      <c r="AI428" s="1189"/>
      <c r="AJ428" s="1189"/>
      <c r="AK428" s="1189"/>
      <c r="AL428" s="1204"/>
      <c r="AM428" s="436"/>
      <c r="AN428" s="459"/>
    </row>
    <row r="429" spans="1:60" s="418" customFormat="1" ht="12.75" customHeight="1">
      <c r="A429" s="405"/>
      <c r="B429" s="12"/>
      <c r="C429" s="1211"/>
      <c r="D429" s="1210"/>
      <c r="E429" s="574"/>
      <c r="F429" s="1935"/>
      <c r="G429" s="1935"/>
      <c r="H429" s="1935"/>
      <c r="I429" s="1935"/>
      <c r="J429" s="1935"/>
      <c r="K429" s="1935"/>
      <c r="L429" s="1935"/>
      <c r="M429" s="1935"/>
      <c r="N429" s="1935"/>
      <c r="O429" s="1935"/>
      <c r="P429" s="1935"/>
      <c r="Q429" s="1935"/>
      <c r="R429" s="1935"/>
      <c r="S429" s="1935"/>
      <c r="T429" s="1935"/>
      <c r="U429" s="1935"/>
      <c r="V429" s="1935"/>
      <c r="W429" s="1935"/>
      <c r="X429" s="1935"/>
      <c r="Y429" s="1935"/>
      <c r="Z429" s="1935"/>
      <c r="AA429" s="1935"/>
      <c r="AB429" s="1935"/>
      <c r="AC429" s="1935"/>
      <c r="AD429" s="1935"/>
      <c r="AE429" s="1935"/>
      <c r="AF429" s="1189"/>
      <c r="AG429" s="1189"/>
      <c r="AH429" s="1189"/>
      <c r="AI429" s="1189"/>
      <c r="AJ429" s="1189"/>
      <c r="AK429" s="1189"/>
      <c r="AL429" s="1204"/>
      <c r="AM429" s="436"/>
      <c r="AN429" s="459"/>
    </row>
    <row r="430" spans="1:60" s="418" customFormat="1" ht="17.25" customHeight="1">
      <c r="A430" s="405"/>
      <c r="B430" s="12"/>
      <c r="C430" s="1211"/>
      <c r="D430" s="1210"/>
      <c r="E430" s="574"/>
      <c r="F430" s="1935"/>
      <c r="G430" s="1935"/>
      <c r="H430" s="1935"/>
      <c r="I430" s="1935"/>
      <c r="J430" s="1935"/>
      <c r="K430" s="1935"/>
      <c r="L430" s="1935"/>
      <c r="M430" s="1935"/>
      <c r="N430" s="1935"/>
      <c r="O430" s="1935"/>
      <c r="P430" s="1935"/>
      <c r="Q430" s="1935"/>
      <c r="R430" s="1935"/>
      <c r="S430" s="1935"/>
      <c r="T430" s="1935"/>
      <c r="U430" s="1935"/>
      <c r="V430" s="1935"/>
      <c r="W430" s="1935"/>
      <c r="X430" s="1935"/>
      <c r="Y430" s="1935"/>
      <c r="Z430" s="1935"/>
      <c r="AA430" s="1935"/>
      <c r="AB430" s="1935"/>
      <c r="AC430" s="1935"/>
      <c r="AD430" s="1935"/>
      <c r="AE430" s="1935"/>
      <c r="AL430" s="585"/>
      <c r="AM430" s="436"/>
      <c r="AN430" s="459"/>
    </row>
    <row r="431" spans="1:60" s="418" customFormat="1" ht="12.75" customHeight="1">
      <c r="A431" s="405"/>
      <c r="B431" s="12"/>
      <c r="C431" s="1931" t="s">
        <v>299</v>
      </c>
      <c r="D431" s="1888"/>
      <c r="E431" s="574"/>
      <c r="F431" s="458" t="s">
        <v>2168</v>
      </c>
      <c r="G431" s="533"/>
      <c r="H431" s="533"/>
      <c r="I431" s="533"/>
      <c r="J431" s="533"/>
      <c r="K431" s="533"/>
      <c r="L431" s="533"/>
      <c r="M431" s="533"/>
      <c r="N431" s="533"/>
      <c r="O431" s="533"/>
      <c r="P431" s="533"/>
      <c r="Q431" s="533"/>
      <c r="R431" s="533"/>
      <c r="S431" s="533"/>
      <c r="T431" s="533"/>
      <c r="U431" s="533"/>
      <c r="V431" s="533"/>
      <c r="W431" s="533"/>
      <c r="X431" s="533"/>
      <c r="Y431" s="533"/>
      <c r="Z431" s="533"/>
      <c r="AA431" s="533"/>
      <c r="AB431" s="533"/>
      <c r="AC431" s="533"/>
      <c r="AD431" s="533"/>
      <c r="AF431" s="1857" t="s">
        <v>2143</v>
      </c>
      <c r="AG431" s="1857"/>
      <c r="AH431" s="1857"/>
      <c r="AI431" s="1857"/>
      <c r="AJ431" s="1857"/>
      <c r="AK431" s="1857"/>
      <c r="AL431" s="1936"/>
      <c r="AM431" s="436"/>
      <c r="AN431" s="459"/>
    </row>
    <row r="432" spans="1:60" s="418" customFormat="1" ht="12.75" customHeight="1">
      <c r="A432" s="405"/>
      <c r="B432" s="12"/>
      <c r="C432" s="596"/>
      <c r="D432" s="581"/>
      <c r="E432" s="578"/>
      <c r="F432" s="594"/>
      <c r="G432" s="580"/>
      <c r="H432" s="580"/>
      <c r="I432" s="580"/>
      <c r="J432" s="580"/>
      <c r="K432" s="580"/>
      <c r="L432" s="580"/>
      <c r="M432" s="580"/>
      <c r="N432" s="580"/>
      <c r="O432" s="580"/>
      <c r="P432" s="580"/>
      <c r="Q432" s="580"/>
      <c r="R432" s="580"/>
      <c r="S432" s="580"/>
      <c r="T432" s="580"/>
      <c r="U432" s="580"/>
      <c r="V432" s="580"/>
      <c r="W432" s="580"/>
      <c r="X432" s="580"/>
      <c r="Y432" s="580"/>
      <c r="Z432" s="580"/>
      <c r="AA432" s="580"/>
      <c r="AB432" s="580"/>
      <c r="AC432" s="580"/>
      <c r="AD432" s="580"/>
      <c r="AE432" s="581"/>
      <c r="AF432" s="581"/>
      <c r="AG432" s="581"/>
      <c r="AH432" s="581"/>
      <c r="AI432" s="581"/>
      <c r="AJ432" s="581"/>
      <c r="AK432" s="581"/>
      <c r="AL432" s="595"/>
      <c r="AM432" s="436"/>
      <c r="AN432" s="459"/>
    </row>
    <row r="433" spans="1:40" s="418" customFormat="1" ht="12.75" customHeight="1">
      <c r="A433" s="405"/>
      <c r="B433" s="12"/>
      <c r="C433" s="1210"/>
      <c r="D433" s="1210"/>
      <c r="E433" s="574"/>
      <c r="F433" s="575"/>
      <c r="G433" s="465"/>
      <c r="H433" s="465"/>
      <c r="I433" s="465"/>
      <c r="J433" s="465"/>
      <c r="K433" s="465"/>
      <c r="L433" s="465"/>
      <c r="M433" s="465"/>
      <c r="N433" s="465"/>
      <c r="O433" s="465"/>
      <c r="P433" s="465"/>
      <c r="Q433" s="465"/>
      <c r="R433" s="465"/>
      <c r="S433" s="465"/>
      <c r="T433" s="465"/>
      <c r="U433" s="465"/>
      <c r="V433" s="465"/>
      <c r="W433" s="465"/>
      <c r="X433" s="465"/>
      <c r="Y433" s="465"/>
      <c r="Z433" s="465"/>
      <c r="AA433" s="465"/>
      <c r="AB433" s="465"/>
      <c r="AC433" s="465"/>
      <c r="AD433" s="465"/>
      <c r="AE433" s="1200"/>
      <c r="AF433" s="1200"/>
      <c r="AG433" s="1200"/>
      <c r="AH433" s="1200"/>
      <c r="AI433" s="1200"/>
      <c r="AJ433" s="1200"/>
      <c r="AK433" s="1200"/>
      <c r="AL433" s="1200"/>
      <c r="AM433" s="436"/>
      <c r="AN433" s="459"/>
    </row>
    <row r="434" spans="1:40" s="418" customFormat="1" ht="12.75" customHeight="1">
      <c r="A434" s="405"/>
      <c r="B434" s="12"/>
      <c r="C434" s="568"/>
      <c r="D434" s="569"/>
      <c r="E434" s="570" t="s">
        <v>2169</v>
      </c>
      <c r="F434" s="1934" t="s">
        <v>2170</v>
      </c>
      <c r="G434" s="1934"/>
      <c r="H434" s="1934"/>
      <c r="I434" s="1934"/>
      <c r="J434" s="1934"/>
      <c r="K434" s="1934"/>
      <c r="L434" s="1934"/>
      <c r="M434" s="1934"/>
      <c r="N434" s="1934"/>
      <c r="O434" s="1934"/>
      <c r="P434" s="1934"/>
      <c r="Q434" s="1934"/>
      <c r="R434" s="1934"/>
      <c r="S434" s="1934"/>
      <c r="T434" s="1934"/>
      <c r="U434" s="1934"/>
      <c r="V434" s="1934"/>
      <c r="W434" s="1934"/>
      <c r="X434" s="1934"/>
      <c r="Y434" s="1934"/>
      <c r="Z434" s="1934"/>
      <c r="AA434" s="1934"/>
      <c r="AB434" s="1934"/>
      <c r="AC434" s="1934"/>
      <c r="AD434" s="1934"/>
      <c r="AE434" s="1934"/>
      <c r="AF434" s="569"/>
      <c r="AG434" s="569"/>
      <c r="AH434" s="569"/>
      <c r="AI434" s="569"/>
      <c r="AJ434" s="569"/>
      <c r="AK434" s="569"/>
      <c r="AL434" s="598"/>
      <c r="AM434" s="436"/>
      <c r="AN434" s="459"/>
    </row>
    <row r="435" spans="1:40" s="418" customFormat="1" ht="12.75" customHeight="1">
      <c r="A435" s="405"/>
      <c r="B435" s="12"/>
      <c r="C435" s="1211"/>
      <c r="D435" s="1210"/>
      <c r="E435" s="574"/>
      <c r="F435" s="1935"/>
      <c r="G435" s="1935"/>
      <c r="H435" s="1935"/>
      <c r="I435" s="1935"/>
      <c r="J435" s="1935"/>
      <c r="K435" s="1935"/>
      <c r="L435" s="1935"/>
      <c r="M435" s="1935"/>
      <c r="N435" s="1935"/>
      <c r="O435" s="1935"/>
      <c r="P435" s="1935"/>
      <c r="Q435" s="1935"/>
      <c r="R435" s="1935"/>
      <c r="S435" s="1935"/>
      <c r="T435" s="1935"/>
      <c r="U435" s="1935"/>
      <c r="V435" s="1935"/>
      <c r="W435" s="1935"/>
      <c r="X435" s="1935"/>
      <c r="Y435" s="1935"/>
      <c r="Z435" s="1935"/>
      <c r="AA435" s="1935"/>
      <c r="AB435" s="1935"/>
      <c r="AC435" s="1935"/>
      <c r="AD435" s="1935"/>
      <c r="AE435" s="1935"/>
      <c r="AF435" s="1200"/>
      <c r="AG435" s="1200"/>
      <c r="AH435" s="1200"/>
      <c r="AI435" s="1200"/>
      <c r="AJ435" s="1200"/>
      <c r="AK435" s="1200"/>
      <c r="AL435" s="1201"/>
      <c r="AM435" s="436"/>
      <c r="AN435" s="459"/>
    </row>
    <row r="436" spans="1:40" s="418" customFormat="1" ht="12.75" customHeight="1">
      <c r="A436" s="405"/>
      <c r="B436" s="12"/>
      <c r="C436" s="1211"/>
      <c r="D436" s="1210"/>
      <c r="E436" s="574"/>
      <c r="F436" s="1935"/>
      <c r="G436" s="1935"/>
      <c r="H436" s="1935"/>
      <c r="I436" s="1935"/>
      <c r="J436" s="1935"/>
      <c r="K436" s="1935"/>
      <c r="L436" s="1935"/>
      <c r="M436" s="1935"/>
      <c r="N436" s="1935"/>
      <c r="O436" s="1935"/>
      <c r="P436" s="1935"/>
      <c r="Q436" s="1935"/>
      <c r="R436" s="1935"/>
      <c r="S436" s="1935"/>
      <c r="T436" s="1935"/>
      <c r="U436" s="1935"/>
      <c r="V436" s="1935"/>
      <c r="W436" s="1935"/>
      <c r="X436" s="1935"/>
      <c r="Y436" s="1935"/>
      <c r="Z436" s="1935"/>
      <c r="AA436" s="1935"/>
      <c r="AB436" s="1935"/>
      <c r="AC436" s="1935"/>
      <c r="AD436" s="1935"/>
      <c r="AE436" s="1935"/>
      <c r="AF436" s="1200"/>
      <c r="AG436" s="1200"/>
      <c r="AH436" s="1200"/>
      <c r="AI436" s="1200"/>
      <c r="AJ436" s="1200"/>
      <c r="AK436" s="1200"/>
      <c r="AL436" s="1201"/>
      <c r="AM436" s="436"/>
      <c r="AN436" s="459"/>
    </row>
    <row r="437" spans="1:40" s="418" customFormat="1" ht="12.75" customHeight="1">
      <c r="A437" s="405"/>
      <c r="B437" s="12"/>
      <c r="C437" s="1211"/>
      <c r="D437" s="1210"/>
      <c r="E437" s="574"/>
      <c r="F437" s="1935"/>
      <c r="G437" s="1935"/>
      <c r="H437" s="1935"/>
      <c r="I437" s="1935"/>
      <c r="J437" s="1935"/>
      <c r="K437" s="1935"/>
      <c r="L437" s="1935"/>
      <c r="M437" s="1935"/>
      <c r="N437" s="1935"/>
      <c r="O437" s="1935"/>
      <c r="P437" s="1935"/>
      <c r="Q437" s="1935"/>
      <c r="R437" s="1935"/>
      <c r="S437" s="1935"/>
      <c r="T437" s="1935"/>
      <c r="U437" s="1935"/>
      <c r="V437" s="1935"/>
      <c r="W437" s="1935"/>
      <c r="X437" s="1935"/>
      <c r="Y437" s="1935"/>
      <c r="Z437" s="1935"/>
      <c r="AA437" s="1935"/>
      <c r="AB437" s="1935"/>
      <c r="AC437" s="1935"/>
      <c r="AD437" s="1935"/>
      <c r="AE437" s="1935"/>
      <c r="AL437" s="585"/>
      <c r="AM437" s="436"/>
      <c r="AN437" s="459"/>
    </row>
    <row r="438" spans="1:40" s="418" customFormat="1" ht="12.75" customHeight="1">
      <c r="A438" s="405"/>
      <c r="B438" s="12"/>
      <c r="C438" s="1931" t="s">
        <v>299</v>
      </c>
      <c r="D438" s="1888"/>
      <c r="E438" s="574"/>
      <c r="F438" s="575" t="s">
        <v>2171</v>
      </c>
      <c r="G438" s="465"/>
      <c r="H438" s="465"/>
      <c r="I438" s="465"/>
      <c r="J438" s="465"/>
      <c r="K438" s="465"/>
      <c r="L438" s="465"/>
      <c r="M438" s="465"/>
      <c r="N438" s="465"/>
      <c r="O438" s="465"/>
      <c r="P438" s="465"/>
      <c r="Q438" s="465"/>
      <c r="R438" s="465"/>
      <c r="S438" s="465"/>
      <c r="T438" s="465"/>
      <c r="U438" s="465"/>
      <c r="V438" s="465"/>
      <c r="W438" s="465"/>
      <c r="X438" s="465"/>
      <c r="Y438" s="465"/>
      <c r="Z438" s="465"/>
      <c r="AA438" s="465"/>
      <c r="AB438" s="465"/>
      <c r="AC438" s="465"/>
      <c r="AD438" s="465"/>
      <c r="AF438" s="1857" t="s">
        <v>2143</v>
      </c>
      <c r="AG438" s="1857"/>
      <c r="AH438" s="1857"/>
      <c r="AI438" s="1857"/>
      <c r="AJ438" s="1857"/>
      <c r="AK438" s="1857"/>
      <c r="AL438" s="1936"/>
      <c r="AM438" s="436"/>
      <c r="AN438" s="604"/>
    </row>
    <row r="439" spans="1:40" s="418" customFormat="1" ht="12.75" customHeight="1">
      <c r="A439" s="405"/>
      <c r="B439" s="12"/>
      <c r="C439" s="1211"/>
      <c r="D439" s="1210"/>
      <c r="E439" s="574"/>
      <c r="F439" s="575"/>
      <c r="G439" s="465"/>
      <c r="H439" s="465"/>
      <c r="I439" s="465"/>
      <c r="J439" s="465"/>
      <c r="K439" s="465"/>
      <c r="L439" s="465"/>
      <c r="M439" s="465"/>
      <c r="N439" s="465"/>
      <c r="O439" s="465"/>
      <c r="P439" s="465"/>
      <c r="Q439" s="465"/>
      <c r="R439" s="465"/>
      <c r="S439" s="465"/>
      <c r="T439" s="465"/>
      <c r="U439" s="465"/>
      <c r="V439" s="465"/>
      <c r="W439" s="465"/>
      <c r="X439" s="465"/>
      <c r="Y439" s="465"/>
      <c r="Z439" s="465"/>
      <c r="AA439" s="465"/>
      <c r="AB439" s="465"/>
      <c r="AC439" s="465"/>
      <c r="AD439" s="465"/>
      <c r="AE439" s="1200"/>
      <c r="AL439" s="585"/>
      <c r="AM439" s="436"/>
      <c r="AN439" s="604"/>
    </row>
    <row r="440" spans="1:40" s="418" customFormat="1" ht="12.75" customHeight="1">
      <c r="A440" s="405"/>
      <c r="B440" s="12"/>
      <c r="C440" s="593"/>
      <c r="D440" s="586"/>
      <c r="E440" s="587"/>
      <c r="F440" s="581" t="s">
        <v>2150</v>
      </c>
      <c r="G440" s="588"/>
      <c r="H440" s="588"/>
      <c r="I440" s="588"/>
      <c r="J440" s="588"/>
      <c r="K440" s="588"/>
      <c r="L440" s="588"/>
      <c r="M440" s="588"/>
      <c r="N440" s="588"/>
      <c r="O440" s="588"/>
      <c r="P440" s="588"/>
      <c r="Q440" s="588"/>
      <c r="R440" s="588"/>
      <c r="S440" s="588"/>
      <c r="T440" s="588"/>
      <c r="U440" s="588"/>
      <c r="V440" s="588"/>
      <c r="W440" s="588"/>
      <c r="X440" s="588"/>
      <c r="Y440" s="588"/>
      <c r="Z440" s="588"/>
      <c r="AA440" s="588"/>
      <c r="AB440" s="588"/>
      <c r="AC440" s="588"/>
      <c r="AD440" s="588"/>
      <c r="AE440" s="590"/>
      <c r="AF440" s="448"/>
      <c r="AG440" s="590"/>
      <c r="AH440" s="581"/>
      <c r="AI440" s="581"/>
      <c r="AJ440" s="581"/>
      <c r="AK440" s="581"/>
      <c r="AL440" s="595"/>
      <c r="AM440" s="436"/>
      <c r="AN440" s="604"/>
    </row>
    <row r="441" spans="1:40" s="418" customFormat="1" ht="12.75" customHeight="1">
      <c r="A441" s="405"/>
      <c r="B441" s="12"/>
      <c r="C441" s="1210"/>
      <c r="D441" s="1210"/>
      <c r="E441" s="574"/>
      <c r="F441" s="575"/>
      <c r="G441" s="465"/>
      <c r="H441" s="465"/>
      <c r="I441" s="465"/>
      <c r="J441" s="465"/>
      <c r="K441" s="465"/>
      <c r="L441" s="465"/>
      <c r="M441" s="465"/>
      <c r="N441" s="465"/>
      <c r="O441" s="465"/>
      <c r="P441" s="465"/>
      <c r="Q441" s="465"/>
      <c r="R441" s="465"/>
      <c r="S441" s="465"/>
      <c r="T441" s="465"/>
      <c r="U441" s="465"/>
      <c r="V441" s="465"/>
      <c r="W441" s="465"/>
      <c r="X441" s="465"/>
      <c r="Y441" s="465"/>
      <c r="Z441" s="465"/>
      <c r="AA441" s="465"/>
      <c r="AB441" s="465"/>
      <c r="AC441" s="465"/>
      <c r="AD441" s="465"/>
      <c r="AE441" s="1200"/>
      <c r="AM441" s="436"/>
      <c r="AN441" s="604"/>
    </row>
    <row r="442" spans="1:40" s="418" customFormat="1" ht="12.75" customHeight="1">
      <c r="A442" s="405"/>
      <c r="B442" s="12"/>
      <c r="C442" s="1937" t="s">
        <v>299</v>
      </c>
      <c r="D442" s="1938"/>
      <c r="E442" s="570" t="s">
        <v>2172</v>
      </c>
      <c r="F442" s="1934" t="s">
        <v>2173</v>
      </c>
      <c r="G442" s="1934"/>
      <c r="H442" s="1934"/>
      <c r="I442" s="1934"/>
      <c r="J442" s="1934"/>
      <c r="K442" s="1934"/>
      <c r="L442" s="1934"/>
      <c r="M442" s="1934"/>
      <c r="N442" s="1934"/>
      <c r="O442" s="1934"/>
      <c r="P442" s="1934"/>
      <c r="Q442" s="1934"/>
      <c r="R442" s="1934"/>
      <c r="S442" s="1934"/>
      <c r="T442" s="1934"/>
      <c r="U442" s="1934"/>
      <c r="V442" s="1934"/>
      <c r="W442" s="1934"/>
      <c r="X442" s="1934"/>
      <c r="Y442" s="1934"/>
      <c r="Z442" s="1934"/>
      <c r="AA442" s="1934"/>
      <c r="AB442" s="1934"/>
      <c r="AC442" s="1934"/>
      <c r="AD442" s="1934"/>
      <c r="AE442" s="1934"/>
      <c r="AF442" s="1955" t="s">
        <v>2143</v>
      </c>
      <c r="AG442" s="1955"/>
      <c r="AH442" s="1955"/>
      <c r="AI442" s="1955"/>
      <c r="AJ442" s="1955"/>
      <c r="AK442" s="1955"/>
      <c r="AL442" s="1956"/>
      <c r="AM442" s="436"/>
      <c r="AN442" s="604"/>
    </row>
    <row r="443" spans="1:40" s="418" customFormat="1" ht="12.75" customHeight="1">
      <c r="A443" s="405"/>
      <c r="B443" s="12"/>
      <c r="C443" s="1211"/>
      <c r="D443" s="1210"/>
      <c r="E443" s="574"/>
      <c r="F443" s="1935"/>
      <c r="G443" s="1935"/>
      <c r="H443" s="1935"/>
      <c r="I443" s="1935"/>
      <c r="J443" s="1935"/>
      <c r="K443" s="1935"/>
      <c r="L443" s="1935"/>
      <c r="M443" s="1935"/>
      <c r="N443" s="1935"/>
      <c r="O443" s="1935"/>
      <c r="P443" s="1935"/>
      <c r="Q443" s="1935"/>
      <c r="R443" s="1935"/>
      <c r="S443" s="1935"/>
      <c r="T443" s="1935"/>
      <c r="U443" s="1935"/>
      <c r="V443" s="1935"/>
      <c r="W443" s="1935"/>
      <c r="X443" s="1935"/>
      <c r="Y443" s="1935"/>
      <c r="Z443" s="1935"/>
      <c r="AA443" s="1935"/>
      <c r="AB443" s="1935"/>
      <c r="AC443" s="1935"/>
      <c r="AD443" s="1935"/>
      <c r="AE443" s="1935"/>
      <c r="AF443" s="1200"/>
      <c r="AG443" s="1200"/>
      <c r="AH443" s="1200"/>
      <c r="AI443" s="1200"/>
      <c r="AJ443" s="1200"/>
      <c r="AK443" s="1200"/>
      <c r="AL443" s="1201"/>
      <c r="AM443" s="436"/>
      <c r="AN443" s="605"/>
    </row>
    <row r="444" spans="1:40" s="418" customFormat="1" ht="17.899999999999999" customHeight="1">
      <c r="A444" s="405"/>
      <c r="B444" s="12"/>
      <c r="C444" s="607"/>
      <c r="D444" s="577"/>
      <c r="E444" s="578"/>
      <c r="F444" s="1954"/>
      <c r="G444" s="1954"/>
      <c r="H444" s="1954"/>
      <c r="I444" s="1954"/>
      <c r="J444" s="1954"/>
      <c r="K444" s="1954"/>
      <c r="L444" s="1954"/>
      <c r="M444" s="1954"/>
      <c r="N444" s="1954"/>
      <c r="O444" s="1954"/>
      <c r="P444" s="1954"/>
      <c r="Q444" s="1954"/>
      <c r="R444" s="1954"/>
      <c r="S444" s="1954"/>
      <c r="T444" s="1954"/>
      <c r="U444" s="1954"/>
      <c r="V444" s="1954"/>
      <c r="W444" s="1954"/>
      <c r="X444" s="1954"/>
      <c r="Y444" s="1954"/>
      <c r="Z444" s="1954"/>
      <c r="AA444" s="1954"/>
      <c r="AB444" s="1954"/>
      <c r="AC444" s="1954"/>
      <c r="AD444" s="1954"/>
      <c r="AE444" s="1954"/>
      <c r="AF444" s="582"/>
      <c r="AG444" s="582"/>
      <c r="AH444" s="582"/>
      <c r="AI444" s="582"/>
      <c r="AJ444" s="582"/>
      <c r="AK444" s="582"/>
      <c r="AL444" s="608"/>
      <c r="AM444" s="436"/>
      <c r="AN444" s="404"/>
    </row>
    <row r="445" spans="1:40" s="418" customFormat="1" ht="12.75" customHeight="1">
      <c r="A445" s="405"/>
      <c r="B445" s="12"/>
      <c r="C445" s="1210"/>
      <c r="D445" s="1210"/>
      <c r="E445" s="574"/>
      <c r="F445" s="575"/>
      <c r="G445" s="465"/>
      <c r="H445" s="465"/>
      <c r="I445" s="465"/>
      <c r="J445" s="465"/>
      <c r="K445" s="465"/>
      <c r="L445" s="465"/>
      <c r="M445" s="465"/>
      <c r="N445" s="465"/>
      <c r="O445" s="465"/>
      <c r="P445" s="465"/>
      <c r="Q445" s="465"/>
      <c r="R445" s="465"/>
      <c r="S445" s="465"/>
      <c r="T445" s="465"/>
      <c r="U445" s="465"/>
      <c r="V445" s="465"/>
      <c r="W445" s="465"/>
      <c r="X445" s="465"/>
      <c r="Y445" s="465"/>
      <c r="Z445" s="465"/>
      <c r="AA445" s="465"/>
      <c r="AB445" s="465"/>
      <c r="AC445" s="465"/>
      <c r="AD445" s="465"/>
      <c r="AE445" s="1200"/>
      <c r="AM445" s="436"/>
      <c r="AN445" s="404"/>
    </row>
    <row r="446" spans="1:40" s="418" customFormat="1" ht="12.75" customHeight="1">
      <c r="A446" s="405"/>
      <c r="B446" s="12"/>
      <c r="C446" s="1931" t="s">
        <v>299</v>
      </c>
      <c r="D446" s="1888"/>
      <c r="E446" s="570" t="s">
        <v>2174</v>
      </c>
      <c r="F446" s="1934" t="s">
        <v>2175</v>
      </c>
      <c r="G446" s="1934"/>
      <c r="H446" s="1934"/>
      <c r="I446" s="1934"/>
      <c r="J446" s="1934"/>
      <c r="K446" s="1934"/>
      <c r="L446" s="1934"/>
      <c r="M446" s="1934"/>
      <c r="N446" s="1934"/>
      <c r="O446" s="1934"/>
      <c r="P446" s="1934"/>
      <c r="Q446" s="1934"/>
      <c r="R446" s="1934"/>
      <c r="S446" s="1934"/>
      <c r="T446" s="1934"/>
      <c r="U446" s="1934"/>
      <c r="V446" s="1934"/>
      <c r="W446" s="1934"/>
      <c r="X446" s="1934"/>
      <c r="Y446" s="1934"/>
      <c r="Z446" s="1934"/>
      <c r="AA446" s="1934"/>
      <c r="AB446" s="1934"/>
      <c r="AC446" s="1934"/>
      <c r="AD446" s="1934"/>
      <c r="AE446" s="1934"/>
      <c r="AF446" s="1955" t="s">
        <v>2143</v>
      </c>
      <c r="AG446" s="1955"/>
      <c r="AH446" s="1955"/>
      <c r="AI446" s="1955"/>
      <c r="AJ446" s="1955"/>
      <c r="AK446" s="1955"/>
      <c r="AL446" s="1956"/>
      <c r="AM446" s="436"/>
      <c r="AN446" s="404"/>
    </row>
    <row r="447" spans="1:40" s="418" customFormat="1" ht="12.75" customHeight="1">
      <c r="A447" s="405"/>
      <c r="B447" s="12"/>
      <c r="C447" s="584"/>
      <c r="D447" s="12"/>
      <c r="E447" s="547"/>
      <c r="F447" s="1935"/>
      <c r="G447" s="1935"/>
      <c r="H447" s="1935"/>
      <c r="I447" s="1935"/>
      <c r="J447" s="1935"/>
      <c r="K447" s="1935"/>
      <c r="L447" s="1935"/>
      <c r="M447" s="1935"/>
      <c r="N447" s="1935"/>
      <c r="O447" s="1935"/>
      <c r="P447" s="1935"/>
      <c r="Q447" s="1935"/>
      <c r="R447" s="1935"/>
      <c r="S447" s="1935"/>
      <c r="T447" s="1935"/>
      <c r="U447" s="1935"/>
      <c r="V447" s="1935"/>
      <c r="W447" s="1935"/>
      <c r="X447" s="1935"/>
      <c r="Y447" s="1935"/>
      <c r="Z447" s="1935"/>
      <c r="AA447" s="1935"/>
      <c r="AB447" s="1935"/>
      <c r="AC447" s="1935"/>
      <c r="AD447" s="1935"/>
      <c r="AE447" s="1935"/>
      <c r="AF447" s="408"/>
      <c r="AG447" s="405"/>
      <c r="AL447" s="585"/>
      <c r="AM447" s="436"/>
      <c r="AN447" s="404"/>
    </row>
    <row r="448" spans="1:40" s="418" customFormat="1" ht="12.75" customHeight="1">
      <c r="A448" s="405"/>
      <c r="B448" s="12"/>
      <c r="C448" s="584"/>
      <c r="D448" s="12"/>
      <c r="E448" s="547"/>
      <c r="F448" s="1935"/>
      <c r="G448" s="1935"/>
      <c r="H448" s="1935"/>
      <c r="I448" s="1935"/>
      <c r="J448" s="1935"/>
      <c r="K448" s="1935"/>
      <c r="L448" s="1935"/>
      <c r="M448" s="1935"/>
      <c r="N448" s="1935"/>
      <c r="O448" s="1935"/>
      <c r="P448" s="1935"/>
      <c r="Q448" s="1935"/>
      <c r="R448" s="1935"/>
      <c r="S448" s="1935"/>
      <c r="T448" s="1935"/>
      <c r="U448" s="1935"/>
      <c r="V448" s="1935"/>
      <c r="W448" s="1935"/>
      <c r="X448" s="1935"/>
      <c r="Y448" s="1935"/>
      <c r="Z448" s="1935"/>
      <c r="AA448" s="1935"/>
      <c r="AB448" s="1935"/>
      <c r="AC448" s="1935"/>
      <c r="AD448" s="1935"/>
      <c r="AE448" s="1935"/>
      <c r="AF448" s="408"/>
      <c r="AG448" s="405"/>
      <c r="AL448" s="585"/>
      <c r="AM448" s="436"/>
      <c r="AN448" s="404"/>
    </row>
    <row r="449" spans="1:48" s="418" customFormat="1" ht="12.75" customHeight="1">
      <c r="A449" s="405"/>
      <c r="B449" s="12"/>
      <c r="C449" s="607"/>
      <c r="D449" s="577"/>
      <c r="E449" s="578"/>
      <c r="F449" s="1954"/>
      <c r="G449" s="1954"/>
      <c r="H449" s="1954"/>
      <c r="I449" s="1954"/>
      <c r="J449" s="1954"/>
      <c r="K449" s="1954"/>
      <c r="L449" s="1954"/>
      <c r="M449" s="1954"/>
      <c r="N449" s="1954"/>
      <c r="O449" s="1954"/>
      <c r="P449" s="1954"/>
      <c r="Q449" s="1954"/>
      <c r="R449" s="1954"/>
      <c r="S449" s="1954"/>
      <c r="T449" s="1954"/>
      <c r="U449" s="1954"/>
      <c r="V449" s="1954"/>
      <c r="W449" s="1954"/>
      <c r="X449" s="1954"/>
      <c r="Y449" s="1954"/>
      <c r="Z449" s="1954"/>
      <c r="AA449" s="1954"/>
      <c r="AB449" s="1954"/>
      <c r="AC449" s="1954"/>
      <c r="AD449" s="1954"/>
      <c r="AE449" s="1954"/>
      <c r="AF449" s="582"/>
      <c r="AG449" s="582"/>
      <c r="AH449" s="582"/>
      <c r="AI449" s="582"/>
      <c r="AJ449" s="582"/>
      <c r="AK449" s="582"/>
      <c r="AL449" s="608"/>
      <c r="AM449" s="436"/>
      <c r="AN449" s="459"/>
    </row>
    <row r="450" spans="1:48" s="418" customFormat="1" ht="12.75" customHeight="1">
      <c r="A450" s="405"/>
      <c r="B450" s="12"/>
      <c r="G450" s="465"/>
      <c r="H450" s="465"/>
      <c r="I450" s="465"/>
      <c r="J450" s="465"/>
      <c r="K450" s="465"/>
      <c r="L450" s="465"/>
      <c r="M450" s="465"/>
      <c r="N450" s="465"/>
      <c r="O450" s="465"/>
      <c r="P450" s="465"/>
      <c r="Q450" s="465"/>
      <c r="R450" s="465"/>
      <c r="S450" s="465"/>
      <c r="T450" s="465"/>
      <c r="U450" s="465"/>
      <c r="V450" s="465"/>
      <c r="W450" s="465"/>
      <c r="X450" s="465"/>
      <c r="Y450" s="465"/>
      <c r="Z450" s="465"/>
      <c r="AA450" s="465"/>
      <c r="AB450" s="465"/>
      <c r="AC450" s="465"/>
      <c r="AD450" s="465"/>
      <c r="AM450" s="436"/>
      <c r="AN450" s="459"/>
    </row>
    <row r="451" spans="1:48" s="418" customFormat="1" ht="12.75" customHeight="1">
      <c r="A451" s="405"/>
      <c r="B451" s="12"/>
      <c r="C451" s="568"/>
      <c r="D451" s="569"/>
      <c r="E451" s="570" t="s">
        <v>2176</v>
      </c>
      <c r="F451" s="1934" t="s">
        <v>2177</v>
      </c>
      <c r="G451" s="1934"/>
      <c r="H451" s="1934"/>
      <c r="I451" s="1934"/>
      <c r="J451" s="1934"/>
      <c r="K451" s="1934"/>
      <c r="L451" s="1934"/>
      <c r="M451" s="1934"/>
      <c r="N451" s="1934"/>
      <c r="O451" s="1934"/>
      <c r="P451" s="1934"/>
      <c r="Q451" s="1934"/>
      <c r="R451" s="1934"/>
      <c r="S451" s="1934"/>
      <c r="T451" s="1934"/>
      <c r="U451" s="1934"/>
      <c r="V451" s="1934"/>
      <c r="W451" s="1934"/>
      <c r="X451" s="1934"/>
      <c r="Y451" s="1934"/>
      <c r="Z451" s="1934"/>
      <c r="AA451" s="1934"/>
      <c r="AB451" s="1934"/>
      <c r="AC451" s="1934"/>
      <c r="AD451" s="1934"/>
      <c r="AE451" s="1934"/>
      <c r="AF451" s="1934"/>
      <c r="AG451" s="597"/>
      <c r="AH451" s="569"/>
      <c r="AI451" s="569"/>
      <c r="AJ451" s="569"/>
      <c r="AK451" s="569"/>
      <c r="AL451" s="598"/>
      <c r="AM451" s="436"/>
      <c r="AN451" s="459"/>
    </row>
    <row r="452" spans="1:48" s="418" customFormat="1" ht="12.75" customHeight="1">
      <c r="A452" s="405"/>
      <c r="B452" s="12"/>
      <c r="C452" s="584"/>
      <c r="D452" s="12"/>
      <c r="E452" s="547"/>
      <c r="F452" s="1935"/>
      <c r="G452" s="1935"/>
      <c r="H452" s="1935"/>
      <c r="I452" s="1935"/>
      <c r="J452" s="1935"/>
      <c r="K452" s="1935"/>
      <c r="L452" s="1935"/>
      <c r="M452" s="1935"/>
      <c r="N452" s="1935"/>
      <c r="O452" s="1935"/>
      <c r="P452" s="1935"/>
      <c r="Q452" s="1935"/>
      <c r="R452" s="1935"/>
      <c r="S452" s="1935"/>
      <c r="T452" s="1935"/>
      <c r="U452" s="1935"/>
      <c r="V452" s="1935"/>
      <c r="W452" s="1935"/>
      <c r="X452" s="1935"/>
      <c r="Y452" s="1935"/>
      <c r="Z452" s="1935"/>
      <c r="AA452" s="1935"/>
      <c r="AB452" s="1935"/>
      <c r="AC452" s="1935"/>
      <c r="AD452" s="1935"/>
      <c r="AE452" s="1935"/>
      <c r="AF452" s="1935"/>
      <c r="AL452" s="585"/>
      <c r="AM452" s="436"/>
      <c r="AN452" s="459"/>
    </row>
    <row r="453" spans="1:48" s="418" customFormat="1" ht="12.75" customHeight="1">
      <c r="A453" s="405"/>
      <c r="B453" s="12"/>
      <c r="C453" s="592"/>
      <c r="F453" s="1935"/>
      <c r="G453" s="1935"/>
      <c r="H453" s="1935"/>
      <c r="I453" s="1935"/>
      <c r="J453" s="1935"/>
      <c r="K453" s="1935"/>
      <c r="L453" s="1935"/>
      <c r="M453" s="1935"/>
      <c r="N453" s="1935"/>
      <c r="O453" s="1935"/>
      <c r="P453" s="1935"/>
      <c r="Q453" s="1935"/>
      <c r="R453" s="1935"/>
      <c r="S453" s="1935"/>
      <c r="T453" s="1935"/>
      <c r="U453" s="1935"/>
      <c r="V453" s="1935"/>
      <c r="W453" s="1935"/>
      <c r="X453" s="1935"/>
      <c r="Y453" s="1935"/>
      <c r="Z453" s="1935"/>
      <c r="AA453" s="1935"/>
      <c r="AB453" s="1935"/>
      <c r="AC453" s="1935"/>
      <c r="AD453" s="1935"/>
      <c r="AE453" s="1935"/>
      <c r="AF453" s="1935"/>
      <c r="AL453" s="585"/>
      <c r="AM453" s="436"/>
      <c r="AN453" s="459"/>
    </row>
    <row r="454" spans="1:48" s="418" customFormat="1" ht="12.75" customHeight="1">
      <c r="A454" s="405"/>
      <c r="B454" s="12"/>
      <c r="C454" s="592"/>
      <c r="F454" s="1935"/>
      <c r="G454" s="1935"/>
      <c r="H454" s="1935"/>
      <c r="I454" s="1935"/>
      <c r="J454" s="1935"/>
      <c r="K454" s="1935"/>
      <c r="L454" s="1935"/>
      <c r="M454" s="1935"/>
      <c r="N454" s="1935"/>
      <c r="O454" s="1935"/>
      <c r="P454" s="1935"/>
      <c r="Q454" s="1935"/>
      <c r="R454" s="1935"/>
      <c r="S454" s="1935"/>
      <c r="T454" s="1935"/>
      <c r="U454" s="1935"/>
      <c r="V454" s="1935"/>
      <c r="W454" s="1935"/>
      <c r="X454" s="1935"/>
      <c r="Y454" s="1935"/>
      <c r="Z454" s="1935"/>
      <c r="AA454" s="1935"/>
      <c r="AB454" s="1935"/>
      <c r="AC454" s="1935"/>
      <c r="AD454" s="1935"/>
      <c r="AE454" s="1935"/>
      <c r="AF454" s="1935"/>
      <c r="AL454" s="585"/>
      <c r="AM454" s="436"/>
      <c r="AN454" s="459"/>
    </row>
    <row r="455" spans="1:48" s="418" customFormat="1" ht="12.75" customHeight="1">
      <c r="A455" s="405"/>
      <c r="B455" s="12"/>
      <c r="C455" s="1931" t="s">
        <v>299</v>
      </c>
      <c r="D455" s="1888"/>
      <c r="E455" s="574"/>
      <c r="F455" s="575" t="s">
        <v>2160</v>
      </c>
      <c r="G455" s="465"/>
      <c r="H455" s="465"/>
      <c r="I455" s="465"/>
      <c r="J455" s="465"/>
      <c r="K455" s="465"/>
      <c r="L455" s="465"/>
      <c r="M455" s="465"/>
      <c r="N455" s="465"/>
      <c r="O455" s="465"/>
      <c r="P455" s="465"/>
      <c r="Q455" s="465"/>
      <c r="R455" s="465"/>
      <c r="S455" s="465"/>
      <c r="T455" s="465"/>
      <c r="U455" s="465"/>
      <c r="V455" s="465"/>
      <c r="W455" s="465"/>
      <c r="X455" s="465"/>
      <c r="Y455" s="465"/>
      <c r="Z455" s="465"/>
      <c r="AA455" s="465"/>
      <c r="AB455" s="465"/>
      <c r="AC455" s="465"/>
      <c r="AD455" s="465"/>
      <c r="AF455" s="1932" t="s">
        <v>2143</v>
      </c>
      <c r="AG455" s="1932"/>
      <c r="AH455" s="1932"/>
      <c r="AI455" s="1932"/>
      <c r="AJ455" s="1932"/>
      <c r="AK455" s="1932"/>
      <c r="AL455" s="1933"/>
      <c r="AM455" s="436"/>
      <c r="AN455" s="459"/>
    </row>
    <row r="456" spans="1:48" s="418" customFormat="1" ht="12.75" customHeight="1">
      <c r="A456" s="405"/>
      <c r="B456" s="12"/>
      <c r="C456" s="593"/>
      <c r="D456" s="586"/>
      <c r="E456" s="587"/>
      <c r="F456" s="581"/>
      <c r="G456" s="581"/>
      <c r="H456" s="581"/>
      <c r="I456" s="581"/>
      <c r="J456" s="581"/>
      <c r="K456" s="581"/>
      <c r="L456" s="581"/>
      <c r="M456" s="581"/>
      <c r="N456" s="581"/>
      <c r="O456" s="581"/>
      <c r="P456" s="581"/>
      <c r="Q456" s="581"/>
      <c r="R456" s="581"/>
      <c r="S456" s="581"/>
      <c r="T456" s="581"/>
      <c r="U456" s="581"/>
      <c r="V456" s="581"/>
      <c r="W456" s="581"/>
      <c r="X456" s="581"/>
      <c r="Y456" s="581"/>
      <c r="Z456" s="581"/>
      <c r="AA456" s="581"/>
      <c r="AB456" s="581"/>
      <c r="AC456" s="581"/>
      <c r="AD456" s="581"/>
      <c r="AE456" s="581"/>
      <c r="AF456" s="581"/>
      <c r="AG456" s="581"/>
      <c r="AH456" s="581"/>
      <c r="AI456" s="581"/>
      <c r="AJ456" s="581"/>
      <c r="AK456" s="581"/>
      <c r="AL456" s="595"/>
      <c r="AN456" s="459"/>
    </row>
    <row r="457" spans="1:48" s="418" customFormat="1" ht="12.75" customHeight="1">
      <c r="A457" s="405"/>
      <c r="B457" s="12"/>
      <c r="C457" s="826"/>
      <c r="D457" s="436"/>
      <c r="F457" s="575"/>
      <c r="G457" s="465"/>
      <c r="H457" s="465"/>
      <c r="I457" s="465"/>
      <c r="J457" s="465"/>
      <c r="K457" s="465"/>
      <c r="L457" s="465"/>
      <c r="M457" s="465"/>
      <c r="N457" s="465"/>
      <c r="O457" s="465"/>
      <c r="P457" s="465"/>
      <c r="Q457" s="465"/>
      <c r="R457" s="465"/>
      <c r="S457" s="465"/>
      <c r="T457" s="465"/>
      <c r="U457" s="465"/>
      <c r="V457" s="465"/>
      <c r="W457" s="465"/>
      <c r="X457" s="465"/>
      <c r="Y457" s="465"/>
      <c r="Z457" s="465"/>
      <c r="AA457" s="465"/>
      <c r="AB457" s="465"/>
      <c r="AC457" s="465"/>
      <c r="AD457" s="465"/>
      <c r="AF457" s="474"/>
      <c r="AG457" s="474"/>
      <c r="AH457" s="474"/>
      <c r="AI457" s="474"/>
      <c r="AJ457" s="474"/>
      <c r="AK457" s="474"/>
      <c r="AL457" s="474"/>
      <c r="AN457" s="459"/>
    </row>
    <row r="458" spans="1:48" s="418" customFormat="1" ht="12.75" customHeight="1">
      <c r="A458" s="462"/>
      <c r="B458" s="700" t="s">
        <v>2178</v>
      </c>
      <c r="D458" s="534"/>
      <c r="E458" s="463"/>
      <c r="F458" s="463"/>
      <c r="G458" s="463"/>
      <c r="H458" s="463"/>
      <c r="I458" s="463"/>
      <c r="J458" s="463"/>
      <c r="K458" s="463"/>
      <c r="L458" s="463"/>
      <c r="M458" s="463"/>
      <c r="N458" s="463"/>
      <c r="O458" s="463"/>
      <c r="P458" s="463"/>
      <c r="Q458" s="463"/>
      <c r="R458" s="463"/>
      <c r="S458" s="463"/>
      <c r="T458" s="463"/>
      <c r="U458" s="463"/>
      <c r="V458" s="463"/>
      <c r="W458" s="463"/>
      <c r="X458" s="463"/>
      <c r="Y458" s="463"/>
      <c r="Z458" s="463"/>
      <c r="AA458" s="463"/>
      <c r="AB458" s="463"/>
      <c r="AC458" s="463"/>
      <c r="AD458" s="463"/>
      <c r="AE458" s="430"/>
      <c r="AF458" s="430"/>
      <c r="AG458" s="430"/>
      <c r="AH458" s="430"/>
      <c r="AI458" s="431"/>
      <c r="AJ458" s="431" t="s">
        <v>2179</v>
      </c>
      <c r="AK458" s="1891">
        <f>IF(Application!D214="N/A",AS347,AS349)</f>
        <v>10</v>
      </c>
      <c r="AL458" s="1892"/>
      <c r="AM458" s="1893"/>
      <c r="AN458" s="459"/>
    </row>
    <row r="459" spans="1:48" s="418" customFormat="1" ht="12.75" customHeight="1" thickBot="1">
      <c r="A459" s="610"/>
      <c r="B459" s="610"/>
      <c r="C459" s="610"/>
      <c r="D459" s="610"/>
      <c r="E459" s="610"/>
      <c r="F459" s="610"/>
      <c r="G459" s="610"/>
      <c r="H459" s="610"/>
      <c r="I459" s="610"/>
      <c r="J459" s="610"/>
      <c r="K459" s="610"/>
      <c r="L459" s="610"/>
      <c r="M459" s="610"/>
      <c r="N459" s="610"/>
      <c r="O459" s="610"/>
      <c r="P459" s="610"/>
      <c r="Q459" s="610"/>
      <c r="R459" s="610"/>
      <c r="S459" s="610"/>
      <c r="T459" s="610"/>
      <c r="U459" s="610"/>
      <c r="V459" s="610"/>
      <c r="W459" s="610"/>
      <c r="X459" s="610"/>
      <c r="Y459" s="610"/>
      <c r="Z459" s="610"/>
      <c r="AA459" s="610"/>
      <c r="AB459" s="610"/>
      <c r="AC459" s="610"/>
      <c r="AD459" s="610"/>
      <c r="AE459" s="610"/>
      <c r="AF459" s="610"/>
      <c r="AG459" s="610"/>
      <c r="AH459" s="610"/>
      <c r="AI459" s="610"/>
      <c r="AJ459" s="610"/>
      <c r="AK459" s="610"/>
      <c r="AL459" s="610"/>
      <c r="AM459" s="611"/>
      <c r="AN459" s="459"/>
    </row>
    <row r="460" spans="1:48" s="418" customFormat="1" ht="12.75" hidden="1" customHeight="1" thickTop="1">
      <c r="A460" s="49"/>
      <c r="B460" s="437"/>
      <c r="C460" s="438"/>
      <c r="D460" s="438"/>
      <c r="E460" s="438"/>
      <c r="F460" s="438"/>
      <c r="G460" s="438"/>
      <c r="H460" s="438"/>
      <c r="I460" s="1203"/>
      <c r="J460" s="1203"/>
      <c r="K460" s="1203"/>
      <c r="L460" s="1203"/>
      <c r="M460" s="1203"/>
      <c r="N460" s="1203"/>
      <c r="O460" s="1203"/>
      <c r="P460" s="1203"/>
      <c r="Q460" s="1203"/>
      <c r="R460" s="436"/>
      <c r="S460" s="408"/>
      <c r="T460" s="408"/>
      <c r="U460" s="408"/>
      <c r="V460" s="408"/>
      <c r="W460" s="408"/>
      <c r="X460" s="408"/>
      <c r="Y460" s="408"/>
      <c r="Z460" s="408"/>
      <c r="AA460" s="408"/>
      <c r="AB460" s="408"/>
      <c r="AC460" s="408"/>
      <c r="AD460" s="408"/>
      <c r="AE460" s="408"/>
      <c r="AF460" s="436"/>
      <c r="AG460" s="408"/>
      <c r="AH460" s="408"/>
      <c r="AI460" s="408"/>
      <c r="AJ460" s="408"/>
      <c r="AM460" s="12"/>
      <c r="AN460" s="459"/>
      <c r="AO460" s="418" t="s">
        <v>299</v>
      </c>
      <c r="AP460" s="418">
        <v>0</v>
      </c>
      <c r="AT460" s="418" t="s">
        <v>299</v>
      </c>
      <c r="AU460" s="418">
        <v>0</v>
      </c>
      <c r="AV460" s="603"/>
    </row>
    <row r="461" spans="1:48" s="418" customFormat="1" ht="12.75" hidden="1" customHeight="1">
      <c r="A461" s="408" t="s">
        <v>2180</v>
      </c>
      <c r="C461" s="408"/>
      <c r="E461" s="458"/>
      <c r="AE461" s="1932" t="s">
        <v>2181</v>
      </c>
      <c r="AF461" s="1932"/>
      <c r="AG461" s="1932"/>
      <c r="AH461" s="1932"/>
      <c r="AI461" s="1932"/>
      <c r="AJ461" s="1932"/>
      <c r="AK461" s="1932"/>
      <c r="AL461" s="1200"/>
      <c r="AN461" s="459"/>
      <c r="AO461" s="418" t="s">
        <v>2182</v>
      </c>
      <c r="AP461" s="418">
        <v>5</v>
      </c>
      <c r="AT461" s="418" t="s">
        <v>2182</v>
      </c>
      <c r="AU461" s="418">
        <v>5</v>
      </c>
      <c r="AV461" s="603"/>
    </row>
    <row r="462" spans="1:48" s="418" customFormat="1" ht="12.75" hidden="1" customHeight="1">
      <c r="A462" s="408"/>
      <c r="B462" s="405" t="s">
        <v>2183</v>
      </c>
      <c r="C462" s="408"/>
      <c r="E462" s="458"/>
      <c r="AE462" s="1200"/>
      <c r="AF462" s="1200"/>
      <c r="AG462" s="1200"/>
      <c r="AH462" s="1200"/>
      <c r="AI462" s="1200"/>
      <c r="AJ462" s="1200"/>
      <c r="AK462" s="1200"/>
      <c r="AL462" s="1200"/>
      <c r="AN462" s="459"/>
      <c r="AO462" s="418" t="s">
        <v>2184</v>
      </c>
      <c r="AP462" s="418">
        <v>5</v>
      </c>
      <c r="AT462" s="418" t="s">
        <v>2185</v>
      </c>
      <c r="AU462" s="418">
        <v>5</v>
      </c>
      <c r="AV462" s="603"/>
    </row>
    <row r="463" spans="1:48" s="418" customFormat="1" ht="12.75" hidden="1" customHeight="1">
      <c r="A463" s="408"/>
      <c r="B463" s="408" t="s">
        <v>2186</v>
      </c>
      <c r="C463" s="408"/>
      <c r="E463" s="458"/>
      <c r="AE463" s="1200"/>
      <c r="AF463" s="1200"/>
      <c r="AG463" s="1200"/>
      <c r="AH463" s="1200"/>
      <c r="AI463" s="1200"/>
      <c r="AJ463" s="1200"/>
      <c r="AK463" s="1200"/>
      <c r="AL463" s="1200"/>
      <c r="AN463" s="459"/>
      <c r="AO463" s="418" t="s">
        <v>2187</v>
      </c>
      <c r="AP463" s="418">
        <v>5</v>
      </c>
      <c r="AQ463" s="408"/>
      <c r="AR463" s="408"/>
      <c r="AS463" s="606"/>
      <c r="AT463" s="418" t="s">
        <v>2187</v>
      </c>
      <c r="AU463" s="418">
        <v>5</v>
      </c>
      <c r="AV463" s="405"/>
    </row>
    <row r="464" spans="1:48" s="418" customFormat="1" ht="12.75" hidden="1" customHeight="1">
      <c r="A464" s="408"/>
      <c r="B464" s="408" t="s">
        <v>2188</v>
      </c>
      <c r="C464" s="408"/>
      <c r="E464" s="458"/>
      <c r="AE464" s="1200"/>
      <c r="AF464" s="1200"/>
      <c r="AG464" s="1200"/>
      <c r="AH464" s="1200"/>
      <c r="AI464" s="1200"/>
      <c r="AJ464" s="1200"/>
      <c r="AK464" s="1200"/>
      <c r="AL464" s="1200"/>
      <c r="AN464" s="459"/>
      <c r="AO464" s="418" t="s">
        <v>2189</v>
      </c>
      <c r="AP464" s="418">
        <v>5</v>
      </c>
      <c r="AQ464" s="408"/>
      <c r="AR464" s="408"/>
      <c r="AT464" s="418" t="s">
        <v>2189</v>
      </c>
      <c r="AU464" s="418">
        <v>5</v>
      </c>
    </row>
    <row r="465" spans="1:59" s="418" customFormat="1" ht="12.75" hidden="1" customHeight="1">
      <c r="A465" s="408"/>
      <c r="C465" s="408"/>
      <c r="E465" s="458"/>
      <c r="AE465" s="1200"/>
      <c r="AF465" s="1200"/>
      <c r="AG465" s="1200"/>
      <c r="AH465" s="1200"/>
      <c r="AI465" s="1200"/>
      <c r="AJ465" s="1200"/>
      <c r="AK465" s="1200"/>
      <c r="AL465" s="1200"/>
      <c r="AN465" s="459"/>
      <c r="AO465" s="418" t="s">
        <v>2190</v>
      </c>
      <c r="AP465" s="418">
        <v>5</v>
      </c>
      <c r="AQ465" s="408"/>
      <c r="AR465" s="408"/>
      <c r="AT465" s="418" t="s">
        <v>2190</v>
      </c>
      <c r="AU465" s="418">
        <v>5</v>
      </c>
    </row>
    <row r="466" spans="1:59" s="418" customFormat="1" ht="12.75" hidden="1" customHeight="1">
      <c r="A466" s="408"/>
      <c r="C466" s="567" t="s">
        <v>2191</v>
      </c>
      <c r="D466" s="436"/>
      <c r="AE466" s="1200"/>
      <c r="AF466" s="1200"/>
      <c r="AG466" s="458"/>
      <c r="AH466" s="458"/>
      <c r="AI466" s="458"/>
      <c r="AJ466" s="458"/>
      <c r="AK466" s="458"/>
      <c r="AL466" s="458"/>
      <c r="AN466" s="459"/>
      <c r="AO466" s="418" t="s">
        <v>2192</v>
      </c>
      <c r="AP466" s="418">
        <v>5</v>
      </c>
      <c r="AT466" s="418" t="s">
        <v>2192</v>
      </c>
      <c r="AU466" s="418">
        <v>5</v>
      </c>
    </row>
    <row r="467" spans="1:59" s="418" customFormat="1" ht="12.75" hidden="1" customHeight="1">
      <c r="A467" s="408"/>
      <c r="C467" s="1957" t="s">
        <v>299</v>
      </c>
      <c r="D467" s="1958"/>
      <c r="E467" s="612" t="s">
        <v>50</v>
      </c>
      <c r="F467" s="1959" t="s">
        <v>2193</v>
      </c>
      <c r="G467" s="1959"/>
      <c r="H467" s="1959"/>
      <c r="I467" s="1959"/>
      <c r="J467" s="1959"/>
      <c r="K467" s="1959"/>
      <c r="L467" s="1959"/>
      <c r="M467" s="1959"/>
      <c r="N467" s="1959"/>
      <c r="O467" s="1959"/>
      <c r="P467" s="1959"/>
      <c r="Q467" s="1959"/>
      <c r="R467" s="1959"/>
      <c r="S467" s="1959"/>
      <c r="T467" s="1959"/>
      <c r="U467" s="1959"/>
      <c r="V467" s="1959"/>
      <c r="W467" s="1959"/>
      <c r="X467" s="1959"/>
      <c r="Y467" s="1959"/>
      <c r="Z467" s="1959"/>
      <c r="AA467" s="1959"/>
      <c r="AB467" s="1959"/>
      <c r="AC467" s="1959"/>
      <c r="AD467" s="1959"/>
      <c r="AE467" s="1959"/>
      <c r="AF467" s="569"/>
      <c r="AG467" s="569"/>
      <c r="AH467" s="569"/>
      <c r="AI467" s="569"/>
      <c r="AJ467" s="569"/>
      <c r="AK467" s="598"/>
      <c r="AN467" s="459"/>
      <c r="AO467" s="418" t="s">
        <v>2194</v>
      </c>
      <c r="AP467" s="418">
        <v>5</v>
      </c>
      <c r="AS467" s="609"/>
      <c r="AT467" s="418" t="s">
        <v>2195</v>
      </c>
      <c r="AU467" s="418">
        <v>5</v>
      </c>
    </row>
    <row r="468" spans="1:59" s="418" customFormat="1" ht="12.75" hidden="1" customHeight="1">
      <c r="C468" s="613"/>
      <c r="E468" s="614"/>
      <c r="F468" s="1960"/>
      <c r="G468" s="1960"/>
      <c r="H468" s="1960"/>
      <c r="I468" s="1960"/>
      <c r="J468" s="1960"/>
      <c r="K468" s="1960"/>
      <c r="L468" s="1960"/>
      <c r="M468" s="1960"/>
      <c r="N468" s="1960"/>
      <c r="O468" s="1960"/>
      <c r="P468" s="1960"/>
      <c r="Q468" s="1960"/>
      <c r="R468" s="1960"/>
      <c r="S468" s="1960"/>
      <c r="T468" s="1960"/>
      <c r="U468" s="1960"/>
      <c r="V468" s="1960"/>
      <c r="W468" s="1960"/>
      <c r="X468" s="1960"/>
      <c r="Y468" s="1960"/>
      <c r="Z468" s="1960"/>
      <c r="AA468" s="1960"/>
      <c r="AB468" s="1960"/>
      <c r="AC468" s="1960"/>
      <c r="AD468" s="1960"/>
      <c r="AE468" s="1960"/>
      <c r="AG468" s="419"/>
      <c r="AH468" s="419"/>
      <c r="AI468" s="419"/>
      <c r="AJ468" s="419"/>
      <c r="AK468" s="585"/>
      <c r="AN468" s="459"/>
      <c r="AO468" s="418" t="s">
        <v>2196</v>
      </c>
      <c r="AP468" s="418">
        <v>1</v>
      </c>
      <c r="AT468" s="418" t="s">
        <v>2196</v>
      </c>
      <c r="AU468" s="418">
        <v>1</v>
      </c>
    </row>
    <row r="469" spans="1:59" s="418" customFormat="1" ht="12.75" hidden="1" customHeight="1">
      <c r="C469" s="615"/>
      <c r="D469" s="581"/>
      <c r="E469" s="616"/>
      <c r="F469" s="1961" t="s">
        <v>299</v>
      </c>
      <c r="G469" s="1961"/>
      <c r="H469" s="1961"/>
      <c r="I469" s="1961"/>
      <c r="J469" s="1961"/>
      <c r="K469" s="1961"/>
      <c r="L469" s="1961"/>
      <c r="M469" s="1961"/>
      <c r="N469" s="1961"/>
      <c r="O469" s="1961"/>
      <c r="P469" s="1961"/>
      <c r="Q469" s="1961"/>
      <c r="R469" s="1961"/>
      <c r="S469" s="1961"/>
      <c r="T469" s="1961"/>
      <c r="U469" s="1961"/>
      <c r="V469" s="1961"/>
      <c r="W469" s="1961"/>
      <c r="X469" s="1961"/>
      <c r="Y469" s="1961"/>
      <c r="Z469" s="1961"/>
      <c r="AA469" s="617"/>
      <c r="AB469" s="515"/>
      <c r="AC469" s="515"/>
      <c r="AD469" s="581"/>
      <c r="AE469" s="581"/>
      <c r="AF469" s="581"/>
      <c r="AG469" s="618">
        <f>IF($C$467="Yes",(VLOOKUP($F$469,$AT$460:$AU$468,2,FALSE)),0)</f>
        <v>0</v>
      </c>
      <c r="AH469" s="619" t="s">
        <v>1978</v>
      </c>
      <c r="AI469" s="618"/>
      <c r="AJ469" s="618"/>
      <c r="AK469" s="595"/>
      <c r="AN469" s="459"/>
      <c r="AS469" s="606"/>
      <c r="AX469" s="606"/>
      <c r="BB469" s="606" t="s">
        <v>2197</v>
      </c>
      <c r="BF469" s="606" t="s">
        <v>2198</v>
      </c>
    </row>
    <row r="470" spans="1:59" s="418" customFormat="1" ht="12.75" hidden="1" customHeight="1">
      <c r="C470" s="419"/>
      <c r="E470" s="614"/>
      <c r="F470" s="456"/>
      <c r="G470" s="456"/>
      <c r="H470" s="456"/>
      <c r="I470" s="456"/>
      <c r="J470" s="456"/>
      <c r="K470" s="456"/>
      <c r="L470" s="456"/>
      <c r="M470" s="456"/>
      <c r="N470" s="456"/>
      <c r="O470" s="456"/>
      <c r="P470" s="456"/>
      <c r="Q470" s="456"/>
      <c r="R470" s="456"/>
      <c r="S470" s="456"/>
      <c r="T470" s="456"/>
      <c r="U470" s="456"/>
      <c r="V470" s="456"/>
      <c r="W470" s="456"/>
      <c r="X470" s="456"/>
      <c r="Y470" s="456"/>
      <c r="Z470" s="456"/>
      <c r="AA470" s="436"/>
      <c r="AB470" s="419"/>
      <c r="AC470" s="419"/>
      <c r="AG470" s="419"/>
      <c r="AH470" s="419"/>
      <c r="AI470" s="419"/>
      <c r="AJ470" s="419"/>
      <c r="AN470" s="459"/>
      <c r="AO470" s="418" t="s">
        <v>299</v>
      </c>
      <c r="AP470" s="497">
        <v>0</v>
      </c>
      <c r="AT470" s="418" t="s">
        <v>299</v>
      </c>
      <c r="AU470" s="497">
        <v>0</v>
      </c>
      <c r="AW470" s="418" t="s">
        <v>299</v>
      </c>
      <c r="AX470" s="497">
        <v>0</v>
      </c>
      <c r="AY470" s="456"/>
      <c r="BB470" s="418" t="s">
        <v>299</v>
      </c>
      <c r="BC470" s="456">
        <v>0</v>
      </c>
      <c r="BF470" s="418" t="s">
        <v>299</v>
      </c>
      <c r="BG470" s="456">
        <v>0</v>
      </c>
    </row>
    <row r="471" spans="1:59" s="418" customFormat="1" ht="12.75" hidden="1" customHeight="1">
      <c r="C471" s="1962" t="s">
        <v>837</v>
      </c>
      <c r="D471" s="1963"/>
      <c r="E471" s="612" t="s">
        <v>52</v>
      </c>
      <c r="F471" s="620" t="s">
        <v>2199</v>
      </c>
      <c r="G471" s="507"/>
      <c r="H471" s="507"/>
      <c r="I471" s="507"/>
      <c r="J471" s="507"/>
      <c r="K471" s="507"/>
      <c r="L471" s="507"/>
      <c r="M471" s="507"/>
      <c r="N471" s="507"/>
      <c r="O471" s="507"/>
      <c r="P471" s="507"/>
      <c r="Q471" s="507"/>
      <c r="R471" s="507"/>
      <c r="S471" s="507"/>
      <c r="T471" s="507"/>
      <c r="U471" s="507"/>
      <c r="V471" s="507"/>
      <c r="W471" s="507"/>
      <c r="X471" s="507"/>
      <c r="Y471" s="507"/>
      <c r="Z471" s="507"/>
      <c r="AA471" s="507"/>
      <c r="AB471" s="507"/>
      <c r="AC471" s="507"/>
      <c r="AD471" s="569"/>
      <c r="AE471" s="569"/>
      <c r="AF471" s="569"/>
      <c r="AG471" s="507"/>
      <c r="AH471" s="507"/>
      <c r="AI471" s="507"/>
      <c r="AJ471" s="507"/>
      <c r="AK471" s="598"/>
      <c r="AN471" s="459"/>
      <c r="AO471" s="609">
        <v>0.15</v>
      </c>
      <c r="AP471" s="497">
        <v>3</v>
      </c>
      <c r="AT471" s="609">
        <v>7.0000000000000007E-2</v>
      </c>
      <c r="AU471" s="497">
        <v>3</v>
      </c>
      <c r="AW471" s="418" t="s">
        <v>2200</v>
      </c>
      <c r="AX471" s="497">
        <v>3</v>
      </c>
      <c r="AY471" s="456"/>
      <c r="BB471" s="609">
        <v>0.4</v>
      </c>
      <c r="BC471" s="456">
        <v>3</v>
      </c>
      <c r="BF471" s="609">
        <v>0.4</v>
      </c>
      <c r="BG471" s="456">
        <v>4</v>
      </c>
    </row>
    <row r="472" spans="1:59" s="418" customFormat="1" ht="12.75" hidden="1" customHeight="1">
      <c r="C472" s="621" t="s">
        <v>2201</v>
      </c>
      <c r="F472" s="622" t="s">
        <v>2202</v>
      </c>
      <c r="G472" s="419"/>
      <c r="H472" s="419"/>
      <c r="I472" s="419"/>
      <c r="J472" s="419"/>
      <c r="K472" s="419"/>
      <c r="L472" s="419"/>
      <c r="M472" s="419"/>
      <c r="N472" s="419"/>
      <c r="O472" s="419"/>
      <c r="P472" s="419"/>
      <c r="Q472" s="419"/>
      <c r="R472" s="419"/>
      <c r="S472" s="419"/>
      <c r="T472" s="419"/>
      <c r="U472" s="419"/>
      <c r="V472" s="419"/>
      <c r="W472" s="419"/>
      <c r="X472" s="419"/>
      <c r="Y472" s="419"/>
      <c r="Z472" s="419"/>
      <c r="AA472" s="419"/>
      <c r="AB472" s="419"/>
      <c r="AC472" s="1200"/>
      <c r="AG472" s="474"/>
      <c r="AH472" s="474"/>
      <c r="AI472" s="474"/>
      <c r="AJ472" s="474"/>
      <c r="AK472" s="585"/>
      <c r="AN472" s="459"/>
      <c r="AO472" s="609">
        <v>0.2</v>
      </c>
      <c r="AP472" s="497">
        <v>5</v>
      </c>
      <c r="AT472" s="609">
        <v>0.12</v>
      </c>
      <c r="AU472" s="497">
        <v>5</v>
      </c>
      <c r="AW472" s="418" t="s">
        <v>2203</v>
      </c>
      <c r="AX472" s="497">
        <v>5</v>
      </c>
      <c r="AY472" s="456"/>
      <c r="BB472" s="609">
        <v>0.6</v>
      </c>
      <c r="BC472" s="456">
        <v>4</v>
      </c>
      <c r="BF472" s="609">
        <v>0.6</v>
      </c>
      <c r="BG472" s="456">
        <v>5</v>
      </c>
    </row>
    <row r="473" spans="1:59" s="418" customFormat="1" ht="12.75" hidden="1" customHeight="1">
      <c r="C473" s="1211"/>
      <c r="D473" s="1210"/>
      <c r="E473" s="623"/>
      <c r="F473" s="622" t="s">
        <v>2204</v>
      </c>
      <c r="G473" s="622"/>
      <c r="H473" s="622"/>
      <c r="I473" s="622"/>
      <c r="J473" s="622"/>
      <c r="K473" s="622"/>
      <c r="L473" s="622"/>
      <c r="M473" s="622"/>
      <c r="N473" s="622"/>
      <c r="O473" s="622"/>
      <c r="P473" s="622"/>
      <c r="Q473" s="622"/>
      <c r="R473" s="622"/>
      <c r="S473" s="622"/>
      <c r="T473" s="622"/>
      <c r="U473" s="622"/>
      <c r="V473" s="622"/>
      <c r="W473" s="622"/>
      <c r="X473" s="622"/>
      <c r="Y473" s="622"/>
      <c r="Z473" s="622"/>
      <c r="AA473" s="622"/>
      <c r="AB473" s="622"/>
      <c r="AC473" s="624"/>
      <c r="AD473" s="470"/>
      <c r="AE473" s="470"/>
      <c r="AF473" s="470"/>
      <c r="AG473" s="625"/>
      <c r="AH473" s="474"/>
      <c r="AI473" s="474"/>
      <c r="AJ473" s="474"/>
      <c r="AK473" s="585"/>
      <c r="AN473" s="535"/>
      <c r="AO473" s="609"/>
      <c r="AP473" s="456"/>
      <c r="AT473" s="609"/>
      <c r="AU473" s="456"/>
      <c r="AX473" s="609"/>
      <c r="AY473" s="456"/>
      <c r="BB473" s="609">
        <v>0.8</v>
      </c>
      <c r="BC473" s="456">
        <v>5</v>
      </c>
      <c r="BF473" s="609"/>
      <c r="BG473" s="456"/>
    </row>
    <row r="474" spans="1:59" s="458" customFormat="1" ht="12.75" hidden="1" customHeight="1">
      <c r="A474" s="497"/>
      <c r="B474" s="418"/>
      <c r="C474" s="613"/>
      <c r="D474" s="418"/>
      <c r="E474" s="614"/>
      <c r="F474" s="626" t="s">
        <v>2205</v>
      </c>
      <c r="G474" s="418"/>
      <c r="H474" s="418"/>
      <c r="I474" s="622"/>
      <c r="J474" s="622"/>
      <c r="K474" s="622"/>
      <c r="L474" s="622"/>
      <c r="M474" s="622"/>
      <c r="N474" s="622"/>
      <c r="O474" s="622"/>
      <c r="P474" s="622"/>
      <c r="Q474" s="622"/>
      <c r="R474" s="622"/>
      <c r="S474" s="622"/>
      <c r="T474" s="622"/>
      <c r="U474" s="622"/>
      <c r="V474" s="1969" t="s">
        <v>299</v>
      </c>
      <c r="W474" s="1969"/>
      <c r="X474" s="1969"/>
      <c r="Y474" s="622"/>
      <c r="Z474" s="622"/>
      <c r="AA474" s="622"/>
      <c r="AB474" s="622"/>
      <c r="AC474" s="622"/>
      <c r="AD474" s="470"/>
      <c r="AE474" s="470"/>
      <c r="AF474" s="470"/>
      <c r="AG474" s="474">
        <f>IF(AND($C$471="Yes",$V$476="N/A",$V$481="N/A",$V$485="N/A",$V$487="N/A"),(VLOOKUP(V474,$AW$470:$AX$472,2,FALSE)),0)</f>
        <v>0</v>
      </c>
      <c r="AH474" s="1193" t="s">
        <v>1978</v>
      </c>
      <c r="AI474" s="419"/>
      <c r="AJ474" s="419"/>
      <c r="AK474" s="585"/>
      <c r="AL474" s="418"/>
      <c r="AM474" s="418"/>
      <c r="AN474" s="459"/>
      <c r="AT474" s="418" t="s">
        <v>299</v>
      </c>
      <c r="AU474" s="497">
        <v>0</v>
      </c>
      <c r="AV474" s="418"/>
      <c r="AW474" s="418"/>
      <c r="AX474" s="418"/>
      <c r="AY474" s="418"/>
      <c r="AZ474" s="418"/>
      <c r="BA474" s="418"/>
      <c r="BB474" s="609"/>
      <c r="BC474" s="456"/>
      <c r="BD474" s="418"/>
      <c r="BE474" s="418"/>
      <c r="BF474" s="418"/>
      <c r="BG474" s="418"/>
    </row>
    <row r="475" spans="1:59" s="458" customFormat="1" ht="12.75" hidden="1" customHeight="1">
      <c r="A475" s="497"/>
      <c r="B475" s="418"/>
      <c r="C475" s="613"/>
      <c r="D475" s="418"/>
      <c r="E475" s="614"/>
      <c r="F475" s="626"/>
      <c r="G475" s="418"/>
      <c r="H475" s="418"/>
      <c r="I475" s="622"/>
      <c r="J475" s="622"/>
      <c r="K475" s="622"/>
      <c r="L475" s="622"/>
      <c r="M475" s="622"/>
      <c r="N475" s="622"/>
      <c r="O475" s="622"/>
      <c r="P475" s="622"/>
      <c r="Q475" s="622"/>
      <c r="R475" s="622"/>
      <c r="S475" s="622"/>
      <c r="T475" s="622"/>
      <c r="U475" s="622"/>
      <c r="V475" s="622"/>
      <c r="W475" s="622"/>
      <c r="X475" s="622"/>
      <c r="Y475" s="622"/>
      <c r="Z475" s="622"/>
      <c r="AA475" s="622"/>
      <c r="AB475" s="622"/>
      <c r="AC475" s="622"/>
      <c r="AD475" s="470"/>
      <c r="AE475" s="470"/>
      <c r="AF475" s="470"/>
      <c r="AG475" s="474"/>
      <c r="AH475" s="1193"/>
      <c r="AI475" s="419"/>
      <c r="AJ475" s="419"/>
      <c r="AK475" s="585"/>
      <c r="AL475" s="418"/>
      <c r="AM475" s="418"/>
      <c r="AN475" s="459"/>
      <c r="AT475" s="609">
        <v>0.09</v>
      </c>
      <c r="AU475" s="497">
        <v>3</v>
      </c>
      <c r="AV475" s="418"/>
      <c r="AW475" s="418"/>
      <c r="AX475" s="606"/>
      <c r="AY475" s="418"/>
      <c r="AZ475" s="418"/>
      <c r="BA475" s="418"/>
      <c r="BB475" s="418"/>
      <c r="BC475" s="418"/>
      <c r="BD475" s="418"/>
      <c r="BE475" s="418"/>
      <c r="BF475" s="418"/>
      <c r="BG475" s="418"/>
    </row>
    <row r="476" spans="1:59" s="458" customFormat="1" ht="12.75" hidden="1" customHeight="1">
      <c r="A476" s="497"/>
      <c r="B476" s="418"/>
      <c r="C476" s="613"/>
      <c r="D476" s="418"/>
      <c r="E476" s="614"/>
      <c r="F476" s="626" t="s">
        <v>2206</v>
      </c>
      <c r="G476" s="418"/>
      <c r="H476" s="418"/>
      <c r="I476" s="622"/>
      <c r="J476" s="622"/>
      <c r="K476" s="622"/>
      <c r="L476" s="622"/>
      <c r="M476" s="622"/>
      <c r="N476" s="622"/>
      <c r="O476" s="622"/>
      <c r="P476" s="622"/>
      <c r="Q476" s="622"/>
      <c r="R476" s="622"/>
      <c r="S476" s="622"/>
      <c r="T476" s="622"/>
      <c r="U476" s="622"/>
      <c r="V476" s="1969" t="s">
        <v>299</v>
      </c>
      <c r="W476" s="1969"/>
      <c r="X476" s="1969"/>
      <c r="Y476" s="622"/>
      <c r="Z476" s="622"/>
      <c r="AA476" s="622"/>
      <c r="AB476" s="622"/>
      <c r="AC476" s="622"/>
      <c r="AD476" s="470"/>
      <c r="AE476" s="470"/>
      <c r="AF476" s="470"/>
      <c r="AG476" s="474">
        <f>IF(AND($C$471="Yes",$V$474="N/A", $V$481="N/A",$V$485="N/A",$V$487="N/A"),(VLOOKUP(V476,$AT$470:$AU$472,2,FALSE)),0)</f>
        <v>0</v>
      </c>
      <c r="AH476" s="1193" t="s">
        <v>1978</v>
      </c>
      <c r="AI476" s="419"/>
      <c r="AJ476" s="419"/>
      <c r="AK476" s="585"/>
      <c r="AL476" s="418"/>
      <c r="AM476" s="418"/>
      <c r="AN476" s="459"/>
      <c r="AT476" s="609">
        <v>0.15</v>
      </c>
      <c r="AU476" s="497">
        <v>5</v>
      </c>
      <c r="AV476" s="418"/>
      <c r="AW476" s="418"/>
      <c r="AX476" s="418"/>
      <c r="AY476" s="418"/>
      <c r="AZ476" s="418"/>
      <c r="BA476" s="418"/>
      <c r="BB476" s="418"/>
      <c r="BC476" s="418"/>
      <c r="BD476" s="418"/>
      <c r="BE476" s="418"/>
      <c r="BF476" s="418"/>
      <c r="BG476" s="418"/>
    </row>
    <row r="477" spans="1:59" s="418" customFormat="1" ht="12.75" hidden="1" customHeight="1">
      <c r="C477" s="613"/>
      <c r="E477" s="614"/>
      <c r="F477" s="458"/>
      <c r="G477" s="627"/>
      <c r="H477" s="627"/>
      <c r="I477" s="627"/>
      <c r="J477" s="627"/>
      <c r="K477" s="627"/>
      <c r="L477" s="627"/>
      <c r="M477" s="627"/>
      <c r="N477" s="627"/>
      <c r="O477" s="627"/>
      <c r="P477" s="627"/>
      <c r="Q477" s="419"/>
      <c r="R477" s="419"/>
      <c r="S477" s="419"/>
      <c r="T477" s="419"/>
      <c r="U477" s="419"/>
      <c r="V477" s="419"/>
      <c r="W477" s="419"/>
      <c r="X477" s="419"/>
      <c r="Y477" s="419"/>
      <c r="Z477" s="419"/>
      <c r="AA477" s="419"/>
      <c r="AB477" s="419"/>
      <c r="AC477" s="419"/>
      <c r="AG477" s="458"/>
      <c r="AH477" s="458"/>
      <c r="AI477" s="458"/>
      <c r="AJ477" s="458"/>
      <c r="AK477" s="585"/>
      <c r="AN477" s="459"/>
      <c r="AO477" s="418" t="s">
        <v>299</v>
      </c>
      <c r="AP477" s="418">
        <v>0</v>
      </c>
    </row>
    <row r="478" spans="1:59" s="418" customFormat="1" ht="12.75" hidden="1" customHeight="1">
      <c r="C478" s="613"/>
      <c r="E478" s="614"/>
      <c r="F478" s="627" t="s">
        <v>2207</v>
      </c>
      <c r="I478" s="614"/>
      <c r="J478" s="614"/>
      <c r="K478" s="614"/>
      <c r="L478" s="614"/>
      <c r="M478" s="614"/>
      <c r="N478" s="614"/>
      <c r="O478" s="614"/>
      <c r="P478" s="614"/>
      <c r="Q478" s="419"/>
      <c r="R478" s="419"/>
      <c r="S478" s="419"/>
      <c r="T478" s="419"/>
      <c r="U478" s="419"/>
      <c r="V478" s="419"/>
      <c r="W478" s="419"/>
      <c r="X478" s="419"/>
      <c r="Y478" s="419"/>
      <c r="Z478" s="419"/>
      <c r="AA478" s="419"/>
      <c r="AB478" s="419"/>
      <c r="AC478" s="419"/>
      <c r="AJ478" s="419"/>
      <c r="AK478" s="585"/>
      <c r="AN478" s="459"/>
      <c r="AO478" s="418" t="s">
        <v>2208</v>
      </c>
      <c r="AP478" s="497">
        <v>2</v>
      </c>
    </row>
    <row r="479" spans="1:59" s="418" customFormat="1" ht="12.75" hidden="1" customHeight="1">
      <c r="C479" s="613"/>
      <c r="F479" s="470" t="s">
        <v>2209</v>
      </c>
      <c r="M479" s="614"/>
      <c r="N479" s="614"/>
      <c r="O479" s="614"/>
      <c r="P479" s="614"/>
      <c r="Q479" s="419"/>
      <c r="R479" s="419"/>
      <c r="S479" s="419"/>
      <c r="T479" s="419"/>
      <c r="U479" s="419"/>
      <c r="V479" s="419"/>
      <c r="W479" s="419"/>
      <c r="X479" s="419"/>
      <c r="Y479" s="419"/>
      <c r="Z479" s="419"/>
      <c r="AA479" s="419"/>
      <c r="AB479" s="419"/>
      <c r="AC479" s="419"/>
      <c r="AG479" s="474"/>
      <c r="AH479" s="1193"/>
      <c r="AI479" s="419"/>
      <c r="AJ479" s="419"/>
      <c r="AK479" s="585"/>
      <c r="AN479" s="459"/>
      <c r="AO479" s="418" t="s">
        <v>2210</v>
      </c>
      <c r="AP479" s="418">
        <v>2</v>
      </c>
    </row>
    <row r="480" spans="1:59" s="458" customFormat="1" ht="12.75" hidden="1" customHeight="1">
      <c r="A480" s="418"/>
      <c r="B480" s="418"/>
      <c r="C480" s="592"/>
      <c r="D480" s="436"/>
      <c r="E480" s="436"/>
      <c r="F480" s="470" t="s">
        <v>2211</v>
      </c>
      <c r="G480" s="418"/>
      <c r="H480" s="418"/>
      <c r="I480" s="418"/>
      <c r="J480" s="418"/>
      <c r="K480" s="418"/>
      <c r="L480" s="418"/>
      <c r="M480" s="614"/>
      <c r="N480" s="614"/>
      <c r="O480" s="614"/>
      <c r="P480" s="614"/>
      <c r="Q480" s="419"/>
      <c r="R480" s="419"/>
      <c r="S480" s="419"/>
      <c r="T480" s="419"/>
      <c r="U480" s="419"/>
      <c r="V480" s="419"/>
      <c r="W480" s="419"/>
      <c r="X480" s="419"/>
      <c r="Y480" s="419"/>
      <c r="Z480" s="419"/>
      <c r="AA480" s="419"/>
      <c r="AB480" s="419"/>
      <c r="AC480" s="419"/>
      <c r="AD480" s="418"/>
      <c r="AE480" s="418"/>
      <c r="AF480" s="418"/>
      <c r="AG480" s="474"/>
      <c r="AH480" s="1193"/>
      <c r="AI480" s="419"/>
      <c r="AJ480" s="419"/>
      <c r="AK480" s="585"/>
      <c r="AL480" s="418"/>
      <c r="AM480" s="418"/>
      <c r="AN480" s="535"/>
      <c r="AO480" s="418" t="s">
        <v>2212</v>
      </c>
      <c r="AP480" s="418">
        <v>2</v>
      </c>
    </row>
    <row r="481" spans="1:81" s="418" customFormat="1" ht="12.75" hidden="1" customHeight="1">
      <c r="C481" s="628"/>
      <c r="F481" s="626" t="s">
        <v>2213</v>
      </c>
      <c r="M481" s="614"/>
      <c r="N481" s="614"/>
      <c r="O481" s="614"/>
      <c r="P481" s="614"/>
      <c r="Q481" s="419"/>
      <c r="R481" s="419"/>
      <c r="S481" s="419"/>
      <c r="T481" s="419"/>
      <c r="U481" s="419"/>
      <c r="V481" s="1969" t="s">
        <v>299</v>
      </c>
      <c r="W481" s="1969"/>
      <c r="X481" s="1969"/>
      <c r="Y481" s="419"/>
      <c r="Z481" s="419"/>
      <c r="AA481" s="419"/>
      <c r="AB481" s="419"/>
      <c r="AC481" s="419"/>
      <c r="AG481" s="474">
        <f>IF(AND($C$471="Yes",$V$474="N/A",$V$476="N/A", $V$485="N/A",$V$487="N/A"),(VLOOKUP($V$481,$AT$474:$AU$476,2,FALSE)),0)</f>
        <v>0</v>
      </c>
      <c r="AH481" s="1193" t="s">
        <v>1978</v>
      </c>
      <c r="AI481" s="419"/>
      <c r="AJ481" s="419"/>
      <c r="AK481" s="585"/>
      <c r="AN481" s="404"/>
    </row>
    <row r="482" spans="1:81" s="418" customFormat="1" ht="12.75" hidden="1" customHeight="1">
      <c r="C482" s="613"/>
      <c r="M482" s="614"/>
      <c r="N482" s="614"/>
      <c r="O482" s="614"/>
      <c r="P482" s="614"/>
      <c r="Q482" s="419"/>
      <c r="R482" s="419"/>
      <c r="S482" s="419"/>
      <c r="T482" s="419"/>
      <c r="U482" s="419"/>
      <c r="V482" s="419"/>
      <c r="W482" s="419"/>
      <c r="X482" s="419"/>
      <c r="Y482" s="419"/>
      <c r="Z482" s="419"/>
      <c r="AA482" s="419"/>
      <c r="AB482" s="419"/>
      <c r="AC482" s="419"/>
      <c r="AJ482" s="419"/>
      <c r="AK482" s="585"/>
      <c r="AN482" s="629"/>
    </row>
    <row r="483" spans="1:81" s="458" customFormat="1" ht="12.75" hidden="1" customHeight="1">
      <c r="A483" s="418"/>
      <c r="B483" s="418"/>
      <c r="C483" s="630" t="s">
        <v>2214</v>
      </c>
      <c r="D483" s="569"/>
      <c r="E483" s="569"/>
      <c r="F483" s="631" t="s">
        <v>2215</v>
      </c>
      <c r="G483" s="569"/>
      <c r="H483" s="569"/>
      <c r="I483" s="569"/>
      <c r="J483" s="569"/>
      <c r="K483" s="569"/>
      <c r="L483" s="569"/>
      <c r="M483" s="569"/>
      <c r="N483" s="569"/>
      <c r="O483" s="569"/>
      <c r="P483" s="569"/>
      <c r="Q483" s="569"/>
      <c r="R483" s="569"/>
      <c r="S483" s="569"/>
      <c r="T483" s="569"/>
      <c r="U483" s="569"/>
      <c r="V483" s="569"/>
      <c r="W483" s="569"/>
      <c r="X483" s="569"/>
      <c r="Y483" s="569"/>
      <c r="Z483" s="569"/>
      <c r="AA483" s="569"/>
      <c r="AB483" s="569"/>
      <c r="AC483" s="569"/>
      <c r="AD483" s="569"/>
      <c r="AE483" s="569"/>
      <c r="AF483" s="569"/>
      <c r="AG483" s="569"/>
      <c r="AH483" s="569"/>
      <c r="AI483" s="569"/>
      <c r="AJ483" s="569"/>
      <c r="AK483" s="598"/>
      <c r="AL483" s="418"/>
      <c r="AM483" s="418"/>
      <c r="AN483" s="455"/>
      <c r="AO483" s="418" t="s">
        <v>299</v>
      </c>
      <c r="AP483" s="418">
        <v>0</v>
      </c>
      <c r="AQ483" s="408"/>
    </row>
    <row r="484" spans="1:81" s="458" customFormat="1" ht="12.75" hidden="1" customHeight="1">
      <c r="A484" s="418"/>
      <c r="B484" s="418"/>
      <c r="C484" s="632"/>
      <c r="D484" s="1968"/>
      <c r="E484" s="1968"/>
      <c r="F484" s="622" t="s">
        <v>2216</v>
      </c>
      <c r="I484" s="418"/>
      <c r="J484" s="418"/>
      <c r="K484" s="418"/>
      <c r="L484" s="418"/>
      <c r="M484" s="418"/>
      <c r="N484" s="418"/>
      <c r="O484" s="418"/>
      <c r="P484" s="418"/>
      <c r="Q484" s="418"/>
      <c r="R484" s="418"/>
      <c r="S484" s="418"/>
      <c r="T484" s="418"/>
      <c r="U484" s="418"/>
      <c r="Y484" s="418"/>
      <c r="Z484" s="418"/>
      <c r="AA484" s="418"/>
      <c r="AB484" s="418"/>
      <c r="AC484" s="418"/>
      <c r="AD484" s="418"/>
      <c r="AE484" s="418"/>
      <c r="AF484" s="418"/>
      <c r="AK484" s="585"/>
      <c r="AL484" s="418"/>
      <c r="AM484" s="418"/>
      <c r="AN484" s="455"/>
      <c r="AO484" s="418" t="s">
        <v>2217</v>
      </c>
      <c r="AP484" s="497">
        <v>5</v>
      </c>
      <c r="AQ484" s="408"/>
    </row>
    <row r="485" spans="1:81" s="436" customFormat="1" ht="12.75" hidden="1" customHeight="1">
      <c r="A485" s="1206"/>
      <c r="B485" s="418"/>
      <c r="C485" s="613"/>
      <c r="D485" s="418"/>
      <c r="E485" s="418"/>
      <c r="F485" s="633" t="s">
        <v>2205</v>
      </c>
      <c r="G485" s="418"/>
      <c r="H485" s="418"/>
      <c r="I485" s="418"/>
      <c r="J485" s="418"/>
      <c r="K485" s="418"/>
      <c r="L485" s="418"/>
      <c r="M485" s="418"/>
      <c r="N485" s="418"/>
      <c r="O485" s="418"/>
      <c r="P485" s="418"/>
      <c r="Q485" s="418"/>
      <c r="R485" s="418"/>
      <c r="S485" s="418"/>
      <c r="T485" s="418"/>
      <c r="U485" s="418"/>
      <c r="V485" s="1969" t="s">
        <v>299</v>
      </c>
      <c r="W485" s="1969"/>
      <c r="X485" s="1969"/>
      <c r="Y485" s="418"/>
      <c r="Z485" s="418"/>
      <c r="AA485" s="418"/>
      <c r="AB485" s="418"/>
      <c r="AC485" s="418"/>
      <c r="AD485" s="418"/>
      <c r="AE485" s="418"/>
      <c r="AF485" s="418"/>
      <c r="AG485" s="474">
        <f>IF(AND($C$471="Yes",$V$474="N/A",V476="N/A",$V$481="N/A",$V$487="N/A"),(VLOOKUP($V$485,$BB$470:$BC$473,2,FALSE)),0)</f>
        <v>0</v>
      </c>
      <c r="AH485" s="1193" t="s">
        <v>1978</v>
      </c>
      <c r="AI485" s="419"/>
      <c r="AJ485" s="418"/>
      <c r="AK485" s="585"/>
      <c r="AL485" s="418"/>
      <c r="AM485" s="418"/>
      <c r="AN485" s="540"/>
      <c r="AO485" s="418" t="s">
        <v>2218</v>
      </c>
      <c r="AP485" s="418">
        <v>5</v>
      </c>
      <c r="AS485" s="418"/>
      <c r="AT485" s="418"/>
      <c r="AU485" s="418"/>
      <c r="AV485" s="418"/>
      <c r="AW485" s="418"/>
      <c r="AX485" s="418"/>
      <c r="AY485" s="418"/>
      <c r="AZ485" s="418"/>
      <c r="BA485" s="418"/>
      <c r="BB485" s="418"/>
      <c r="BO485" s="418"/>
      <c r="BP485" s="418"/>
      <c r="BQ485" s="418"/>
      <c r="BR485" s="418"/>
      <c r="BS485" s="418"/>
      <c r="BT485" s="418"/>
      <c r="BU485" s="418"/>
      <c r="BV485" s="418"/>
      <c r="BW485" s="418"/>
      <c r="BX485" s="418"/>
      <c r="BY485" s="418"/>
      <c r="BZ485" s="418"/>
      <c r="CA485" s="418"/>
      <c r="CB485" s="418"/>
      <c r="CC485" s="418"/>
    </row>
    <row r="486" spans="1:81" s="436" customFormat="1" ht="12.75" hidden="1" customHeight="1">
      <c r="A486" s="1206"/>
      <c r="B486" s="418"/>
      <c r="C486" s="613"/>
      <c r="D486" s="418"/>
      <c r="E486" s="418"/>
      <c r="I486" s="418"/>
      <c r="J486" s="418"/>
      <c r="K486" s="418"/>
      <c r="L486" s="418"/>
      <c r="M486" s="418"/>
      <c r="N486" s="418"/>
      <c r="O486" s="418"/>
      <c r="P486" s="418"/>
      <c r="Q486" s="418"/>
      <c r="R486" s="418"/>
      <c r="S486" s="418"/>
      <c r="T486" s="418"/>
      <c r="U486" s="418"/>
      <c r="V486" s="418"/>
      <c r="W486" s="418"/>
      <c r="X486" s="418"/>
      <c r="Y486" s="418"/>
      <c r="Z486" s="418"/>
      <c r="AA486" s="418"/>
      <c r="AB486" s="418"/>
      <c r="AC486" s="418"/>
      <c r="AD486" s="418"/>
      <c r="AE486" s="418"/>
      <c r="AF486" s="418"/>
      <c r="AK486" s="585"/>
      <c r="AL486" s="418"/>
      <c r="AM486" s="418"/>
      <c r="AN486" s="540"/>
      <c r="AO486" s="418" t="s">
        <v>2219</v>
      </c>
      <c r="AP486" s="418">
        <v>5</v>
      </c>
      <c r="AS486" s="418"/>
      <c r="AT486" s="418"/>
      <c r="AU486" s="418"/>
      <c r="AV486" s="418"/>
      <c r="AW486" s="418"/>
      <c r="AX486" s="418"/>
      <c r="AY486" s="418"/>
      <c r="AZ486" s="418"/>
      <c r="BA486" s="418"/>
      <c r="BB486" s="418"/>
      <c r="BC486" s="418"/>
      <c r="BD486" s="418"/>
      <c r="BE486" s="418"/>
      <c r="BF486" s="418"/>
      <c r="BG486" s="418"/>
      <c r="BH486" s="418"/>
      <c r="BI486" s="418"/>
      <c r="BJ486" s="418"/>
      <c r="BK486" s="418"/>
      <c r="BL486" s="418"/>
      <c r="BM486" s="418"/>
      <c r="BN486" s="418"/>
      <c r="BO486" s="418"/>
      <c r="BP486" s="418"/>
      <c r="BQ486" s="418"/>
      <c r="BR486" s="418"/>
      <c r="BS486" s="418"/>
      <c r="BT486" s="418"/>
      <c r="BU486" s="418"/>
      <c r="BV486" s="418"/>
      <c r="BW486" s="418"/>
      <c r="BX486" s="418"/>
      <c r="BY486" s="418"/>
      <c r="BZ486" s="418"/>
      <c r="CA486" s="418"/>
      <c r="CB486" s="418"/>
      <c r="CC486" s="418"/>
    </row>
    <row r="487" spans="1:81" s="408" customFormat="1" ht="12.75" hidden="1" customHeight="1">
      <c r="A487" s="1206"/>
      <c r="B487" s="418"/>
      <c r="C487" s="615"/>
      <c r="D487" s="581"/>
      <c r="E487" s="581"/>
      <c r="F487" s="626" t="s">
        <v>2206</v>
      </c>
      <c r="G487" s="617"/>
      <c r="H487" s="617"/>
      <c r="I487" s="581"/>
      <c r="J487" s="581"/>
      <c r="K487" s="581"/>
      <c r="L487" s="581"/>
      <c r="M487" s="581"/>
      <c r="N487" s="581"/>
      <c r="O487" s="581"/>
      <c r="P487" s="581"/>
      <c r="Q487" s="581"/>
      <c r="R487" s="581"/>
      <c r="S487" s="581"/>
      <c r="T487" s="581"/>
      <c r="U487" s="581"/>
      <c r="V487" s="1969" t="s">
        <v>299</v>
      </c>
      <c r="W487" s="1969"/>
      <c r="X487" s="1969"/>
      <c r="Y487" s="581"/>
      <c r="Z487" s="581"/>
      <c r="AA487" s="581"/>
      <c r="AB487" s="581"/>
      <c r="AC487" s="581"/>
      <c r="AD487" s="581"/>
      <c r="AE487" s="581"/>
      <c r="AF487" s="581"/>
      <c r="AG487" s="634">
        <f>IF(AND($C$471="Yes",$V$474="N/A",$V$476="N/A",$V$481="N/A",$V$485="N/A"),(VLOOKUP($V$487,$BF$470:$BG$472,2,FALSE)),0)</f>
        <v>0</v>
      </c>
      <c r="AH487" s="619" t="s">
        <v>1978</v>
      </c>
      <c r="AI487" s="581"/>
      <c r="AJ487" s="581"/>
      <c r="AK487" s="595"/>
      <c r="AL487" s="418"/>
      <c r="AM487" s="418"/>
      <c r="AN487" s="635"/>
      <c r="AP487" s="458"/>
      <c r="AQ487" s="458"/>
      <c r="AR487" s="458"/>
      <c r="AS487" s="458"/>
      <c r="AT487" s="458"/>
      <c r="AU487" s="458"/>
      <c r="AV487" s="458"/>
      <c r="AW487" s="458"/>
      <c r="AX487" s="458"/>
      <c r="AY487" s="458"/>
      <c r="AZ487" s="458"/>
      <c r="BA487" s="458"/>
      <c r="BB487" s="458"/>
      <c r="BC487" s="458"/>
      <c r="BE487" s="458"/>
      <c r="BF487" s="458"/>
      <c r="BG487" s="458"/>
      <c r="BH487" s="458"/>
      <c r="BI487" s="458"/>
      <c r="BJ487" s="458"/>
      <c r="BK487" s="458"/>
      <c r="BL487" s="458"/>
      <c r="BM487" s="458"/>
      <c r="BN487" s="458"/>
      <c r="BO487" s="458"/>
      <c r="BP487" s="458"/>
      <c r="BQ487" s="458"/>
      <c r="BR487" s="458"/>
    </row>
    <row r="488" spans="1:81" s="408" customFormat="1" ht="12.75" hidden="1" customHeight="1">
      <c r="A488" s="1206"/>
      <c r="B488" s="418"/>
      <c r="C488" s="419"/>
      <c r="D488" s="418"/>
      <c r="E488" s="614"/>
      <c r="F488" s="418"/>
      <c r="G488" s="418"/>
      <c r="H488" s="418"/>
      <c r="I488" s="418"/>
      <c r="J488" s="418"/>
      <c r="K488" s="418"/>
      <c r="L488" s="418"/>
      <c r="M488" s="418"/>
      <c r="N488" s="418"/>
      <c r="O488" s="418"/>
      <c r="P488" s="418"/>
      <c r="Q488" s="418"/>
      <c r="R488" s="418"/>
      <c r="S488" s="418"/>
      <c r="T488" s="418"/>
      <c r="U488" s="418"/>
      <c r="V488" s="418"/>
      <c r="W488" s="418"/>
      <c r="X488" s="418"/>
      <c r="Y488" s="418"/>
      <c r="Z488" s="418"/>
      <c r="AA488" s="418"/>
      <c r="AB488" s="418"/>
      <c r="AC488" s="418"/>
      <c r="AD488" s="418"/>
      <c r="AE488" s="418"/>
      <c r="AF488" s="418"/>
      <c r="AG488" s="418"/>
      <c r="AH488" s="418"/>
      <c r="AI488" s="418"/>
      <c r="AJ488" s="418"/>
      <c r="AK488" s="418"/>
      <c r="AL488" s="418"/>
      <c r="AM488" s="418"/>
      <c r="AN488" s="635"/>
      <c r="AO488" s="636"/>
      <c r="AP488" s="418"/>
      <c r="AQ488" s="418"/>
      <c r="AR488" s="418"/>
      <c r="AS488" s="418"/>
      <c r="AT488" s="418"/>
      <c r="AU488" s="637"/>
      <c r="AV488" s="637"/>
      <c r="AW488" s="637"/>
      <c r="AX488" s="637"/>
      <c r="AY488" s="637"/>
      <c r="AZ488" s="637"/>
      <c r="BA488" s="637"/>
      <c r="BB488" s="458"/>
      <c r="BC488" s="458"/>
      <c r="BE488" s="418"/>
      <c r="BF488" s="418"/>
      <c r="BG488" s="418"/>
      <c r="BH488" s="418"/>
      <c r="BI488" s="418"/>
      <c r="BJ488" s="637"/>
      <c r="BK488" s="637"/>
      <c r="BL488" s="637"/>
      <c r="BM488" s="637"/>
      <c r="BN488" s="637"/>
      <c r="BO488" s="637"/>
      <c r="BP488" s="637"/>
      <c r="BQ488" s="458"/>
      <c r="BR488" s="418"/>
    </row>
    <row r="489" spans="1:81" s="408" customFormat="1" ht="12.75" hidden="1" customHeight="1">
      <c r="A489" s="1206"/>
      <c r="B489" s="418"/>
      <c r="C489" s="567" t="s">
        <v>2220</v>
      </c>
      <c r="D489" s="418"/>
      <c r="E489" s="614"/>
      <c r="F489" s="419"/>
      <c r="G489" s="419"/>
      <c r="H489" s="419"/>
      <c r="I489" s="419"/>
      <c r="J489" s="419"/>
      <c r="K489" s="419"/>
      <c r="L489" s="419"/>
      <c r="M489" s="419"/>
      <c r="N489" s="419"/>
      <c r="O489" s="419"/>
      <c r="P489" s="419"/>
      <c r="Q489" s="419"/>
      <c r="R489" s="419"/>
      <c r="S489" s="419"/>
      <c r="T489" s="419"/>
      <c r="U489" s="419"/>
      <c r="V489" s="419"/>
      <c r="W489" s="419"/>
      <c r="X489" s="419"/>
      <c r="Y489" s="419"/>
      <c r="Z489" s="419"/>
      <c r="AA489" s="419"/>
      <c r="AB489" s="419"/>
      <c r="AC489" s="419"/>
      <c r="AD489" s="418"/>
      <c r="AE489" s="418"/>
      <c r="AF489" s="418"/>
      <c r="AG489" s="419"/>
      <c r="AH489" s="419"/>
      <c r="AI489" s="419"/>
      <c r="AJ489" s="419"/>
      <c r="AK489" s="418"/>
      <c r="AL489" s="418"/>
      <c r="AM489" s="418"/>
      <c r="AN489" s="635"/>
      <c r="AO489" s="636"/>
      <c r="AP489" s="418"/>
      <c r="AQ489" s="418"/>
      <c r="AR489" s="418"/>
      <c r="AS489" s="418"/>
      <c r="AT489" s="418"/>
      <c r="AU489" s="637"/>
      <c r="AV489" s="637"/>
      <c r="AW489" s="637"/>
      <c r="AX489" s="637"/>
      <c r="AY489" s="637"/>
      <c r="AZ489" s="637"/>
      <c r="BA489" s="637"/>
      <c r="BB489" s="458"/>
      <c r="BC489" s="458"/>
      <c r="BE489" s="418"/>
      <c r="BF489" s="418"/>
      <c r="BG489" s="418"/>
      <c r="BH489" s="418"/>
      <c r="BI489" s="418"/>
      <c r="BJ489" s="637"/>
      <c r="BK489" s="637"/>
      <c r="BL489" s="637"/>
      <c r="BM489" s="637"/>
      <c r="BN489" s="637"/>
      <c r="BO489" s="637"/>
      <c r="BP489" s="637"/>
      <c r="BQ489" s="458"/>
      <c r="BR489" s="418"/>
    </row>
    <row r="490" spans="1:81" s="436" customFormat="1" ht="12.75" hidden="1" customHeight="1">
      <c r="A490" s="1206"/>
      <c r="B490" s="418"/>
      <c r="C490" s="1957" t="s">
        <v>299</v>
      </c>
      <c r="D490" s="1958"/>
      <c r="E490" s="612" t="s">
        <v>50</v>
      </c>
      <c r="F490" s="1959" t="s">
        <v>2193</v>
      </c>
      <c r="G490" s="1959"/>
      <c r="H490" s="1959"/>
      <c r="I490" s="1959"/>
      <c r="J490" s="1959"/>
      <c r="K490" s="1959"/>
      <c r="L490" s="1959"/>
      <c r="M490" s="1959"/>
      <c r="N490" s="1959"/>
      <c r="O490" s="1959"/>
      <c r="P490" s="1959"/>
      <c r="Q490" s="1959"/>
      <c r="R490" s="1959"/>
      <c r="S490" s="1959"/>
      <c r="T490" s="1959"/>
      <c r="U490" s="1959"/>
      <c r="V490" s="1959"/>
      <c r="W490" s="1959"/>
      <c r="X490" s="1959"/>
      <c r="Y490" s="1959"/>
      <c r="Z490" s="1959"/>
      <c r="AA490" s="1959"/>
      <c r="AB490" s="1959"/>
      <c r="AC490" s="1959"/>
      <c r="AD490" s="1959"/>
      <c r="AE490" s="1959"/>
      <c r="AF490" s="569"/>
      <c r="AG490" s="571"/>
      <c r="AH490" s="571"/>
      <c r="AI490" s="571"/>
      <c r="AJ490" s="571"/>
      <c r="AK490" s="598"/>
      <c r="AL490" s="418"/>
      <c r="AM490" s="418"/>
      <c r="AN490" s="403"/>
      <c r="AO490" s="24"/>
      <c r="AP490" s="418"/>
      <c r="AQ490" s="418"/>
      <c r="AR490" s="418"/>
      <c r="AS490" s="418"/>
      <c r="AT490" s="418"/>
      <c r="AU490" s="638"/>
      <c r="AV490" s="638"/>
      <c r="AW490" s="638"/>
      <c r="AX490" s="638"/>
      <c r="AY490" s="638"/>
      <c r="AZ490" s="638"/>
      <c r="BA490" s="638"/>
      <c r="BB490" s="418"/>
      <c r="BC490" s="418"/>
      <c r="BD490" s="405"/>
      <c r="BE490" s="418"/>
      <c r="BF490" s="418"/>
      <c r="BG490" s="418"/>
      <c r="BH490" s="418"/>
      <c r="BI490" s="418"/>
      <c r="BJ490" s="638"/>
      <c r="BK490" s="638"/>
      <c r="BL490" s="638"/>
      <c r="BM490" s="638"/>
      <c r="BN490" s="638"/>
      <c r="BO490" s="638"/>
      <c r="BP490" s="638"/>
      <c r="BQ490" s="418"/>
      <c r="BR490" s="418"/>
      <c r="BS490" s="405"/>
      <c r="BT490" s="405"/>
      <c r="BU490" s="405"/>
      <c r="BV490" s="405"/>
      <c r="BW490" s="405"/>
      <c r="BX490" s="405"/>
      <c r="BY490" s="405"/>
      <c r="BZ490" s="405"/>
      <c r="CA490" s="405"/>
      <c r="CB490" s="405"/>
      <c r="CC490" s="405"/>
    </row>
    <row r="491" spans="1:81" s="436" customFormat="1" ht="12.75" hidden="1" customHeight="1">
      <c r="A491" s="1206"/>
      <c r="B491" s="418"/>
      <c r="C491" s="613"/>
      <c r="D491" s="418"/>
      <c r="E491" s="614"/>
      <c r="F491" s="1960"/>
      <c r="G491" s="1960"/>
      <c r="H491" s="1960"/>
      <c r="I491" s="1960"/>
      <c r="J491" s="1960"/>
      <c r="K491" s="1960"/>
      <c r="L491" s="1960"/>
      <c r="M491" s="1960"/>
      <c r="N491" s="1960"/>
      <c r="O491" s="1960"/>
      <c r="P491" s="1960"/>
      <c r="Q491" s="1960"/>
      <c r="R491" s="1960"/>
      <c r="S491" s="1960"/>
      <c r="T491" s="1960"/>
      <c r="U491" s="1960"/>
      <c r="V491" s="1960"/>
      <c r="W491" s="1960"/>
      <c r="X491" s="1960"/>
      <c r="Y491" s="1960"/>
      <c r="Z491" s="1960"/>
      <c r="AA491" s="1960"/>
      <c r="AB491" s="1960"/>
      <c r="AC491" s="1960"/>
      <c r="AD491" s="1960"/>
      <c r="AE491" s="1960"/>
      <c r="AF491" s="418"/>
      <c r="AG491" s="419"/>
      <c r="AH491" s="419"/>
      <c r="AI491" s="419"/>
      <c r="AJ491" s="419"/>
      <c r="AK491" s="585"/>
      <c r="AL491" s="418"/>
      <c r="AM491" s="418"/>
      <c r="AN491" s="403"/>
      <c r="AO491" s="24"/>
      <c r="AP491" s="639"/>
      <c r="AQ491" s="639"/>
      <c r="AR491" s="639"/>
      <c r="AS491" s="1206"/>
      <c r="AT491" s="418"/>
      <c r="AU491" s="640"/>
      <c r="AV491" s="640"/>
      <c r="AW491" s="640"/>
      <c r="AX491" s="640"/>
      <c r="AY491" s="640"/>
      <c r="AZ491" s="640"/>
      <c r="BA491" s="640"/>
      <c r="BB491" s="12"/>
      <c r="BC491" s="12"/>
      <c r="BD491" s="405"/>
      <c r="BE491" s="639"/>
      <c r="BF491" s="639"/>
      <c r="BG491" s="639"/>
      <c r="BH491" s="1206"/>
      <c r="BI491" s="418"/>
      <c r="BJ491" s="641"/>
      <c r="BK491" s="640"/>
      <c r="BL491" s="640"/>
      <c r="BM491" s="640"/>
      <c r="BN491" s="640"/>
      <c r="BO491" s="640"/>
      <c r="BP491" s="640"/>
      <c r="BQ491" s="12"/>
      <c r="BR491" s="418"/>
      <c r="BS491" s="405"/>
      <c r="BT491" s="405"/>
      <c r="BU491" s="405"/>
      <c r="BV491" s="405"/>
      <c r="BW491" s="405"/>
      <c r="BX491" s="405"/>
      <c r="BY491" s="405"/>
      <c r="BZ491" s="405"/>
      <c r="CA491" s="405"/>
      <c r="CB491" s="405"/>
      <c r="CC491" s="405"/>
    </row>
    <row r="492" spans="1:81" s="436" customFormat="1" ht="12.75" hidden="1" customHeight="1">
      <c r="A492" s="1206"/>
      <c r="B492" s="418"/>
      <c r="C492" s="615"/>
      <c r="D492" s="581"/>
      <c r="E492" s="616"/>
      <c r="F492" s="1964" t="s">
        <v>299</v>
      </c>
      <c r="G492" s="1964"/>
      <c r="H492" s="1964"/>
      <c r="I492" s="1964"/>
      <c r="J492" s="1964"/>
      <c r="K492" s="1964"/>
      <c r="L492" s="1964"/>
      <c r="M492" s="1964"/>
      <c r="N492" s="1964"/>
      <c r="O492" s="1964"/>
      <c r="P492" s="1964"/>
      <c r="Q492" s="1964"/>
      <c r="R492" s="1964"/>
      <c r="S492" s="1964"/>
      <c r="T492" s="1964"/>
      <c r="U492" s="1964"/>
      <c r="V492" s="1964"/>
      <c r="W492" s="1964"/>
      <c r="X492" s="1964"/>
      <c r="Y492" s="1964"/>
      <c r="Z492" s="1964"/>
      <c r="AA492" s="617"/>
      <c r="AB492" s="515"/>
      <c r="AC492" s="515"/>
      <c r="AD492" s="581"/>
      <c r="AE492" s="581"/>
      <c r="AF492" s="581"/>
      <c r="AG492" s="618">
        <f>IF($C$490="Yes",(VLOOKUP($F$492,$AO$460:$AP$468,2,FALSE)),0)</f>
        <v>0</v>
      </c>
      <c r="AH492" s="619" t="s">
        <v>1978</v>
      </c>
      <c r="AI492" s="618"/>
      <c r="AJ492" s="515"/>
      <c r="AK492" s="595"/>
      <c r="AL492" s="418"/>
      <c r="AM492" s="418"/>
      <c r="AN492" s="403"/>
      <c r="AO492" s="24"/>
      <c r="AP492" s="639"/>
      <c r="AQ492" s="639"/>
      <c r="AR492" s="639"/>
      <c r="AS492" s="1206"/>
      <c r="AT492" s="418"/>
      <c r="AU492" s="640"/>
      <c r="AV492" s="640"/>
      <c r="AW492" s="640"/>
      <c r="AX492" s="640"/>
      <c r="AY492" s="640"/>
      <c r="AZ492" s="640"/>
      <c r="BA492" s="640"/>
      <c r="BB492" s="12"/>
      <c r="BC492" s="12"/>
      <c r="BD492" s="405"/>
      <c r="BE492" s="639"/>
      <c r="BF492" s="639"/>
      <c r="BG492" s="639"/>
      <c r="BH492" s="1206"/>
      <c r="BI492" s="418"/>
      <c r="BJ492" s="641"/>
      <c r="BK492" s="640"/>
      <c r="BL492" s="640"/>
      <c r="BM492" s="640"/>
      <c r="BN492" s="640"/>
      <c r="BO492" s="640"/>
      <c r="BP492" s="640"/>
      <c r="BQ492" s="12"/>
      <c r="BR492" s="418"/>
      <c r="BS492" s="405"/>
      <c r="BT492" s="405"/>
      <c r="BU492" s="405"/>
      <c r="BV492" s="405"/>
      <c r="BW492" s="405"/>
      <c r="BX492" s="405"/>
      <c r="BY492" s="405"/>
      <c r="BZ492" s="405"/>
      <c r="CA492" s="405"/>
      <c r="CB492" s="405"/>
      <c r="CC492" s="405"/>
    </row>
    <row r="493" spans="1:81" s="436" customFormat="1" ht="12.75" hidden="1" customHeight="1">
      <c r="A493" s="1206"/>
      <c r="B493" s="418"/>
      <c r="C493" s="567"/>
      <c r="D493" s="418"/>
      <c r="E493" s="614"/>
      <c r="F493" s="419"/>
      <c r="G493" s="419"/>
      <c r="H493" s="419"/>
      <c r="I493" s="419"/>
      <c r="J493" s="419"/>
      <c r="K493" s="419"/>
      <c r="L493" s="419"/>
      <c r="M493" s="419"/>
      <c r="N493" s="419"/>
      <c r="O493" s="419"/>
      <c r="P493" s="419"/>
      <c r="Q493" s="419"/>
      <c r="R493" s="419"/>
      <c r="S493" s="419"/>
      <c r="T493" s="419"/>
      <c r="U493" s="419"/>
      <c r="V493" s="419"/>
      <c r="W493" s="419"/>
      <c r="X493" s="419"/>
      <c r="Y493" s="419"/>
      <c r="Z493" s="419"/>
      <c r="AA493" s="419"/>
      <c r="AB493" s="419"/>
      <c r="AC493" s="419"/>
      <c r="AD493" s="418"/>
      <c r="AE493" s="418"/>
      <c r="AF493" s="418"/>
      <c r="AG493" s="419"/>
      <c r="AH493" s="419"/>
      <c r="AI493" s="419"/>
      <c r="AJ493" s="419"/>
      <c r="AK493" s="418"/>
      <c r="AL493" s="418"/>
      <c r="AM493" s="418"/>
      <c r="AN493" s="403"/>
      <c r="AO493" s="24"/>
      <c r="AP493" s="639"/>
      <c r="AQ493" s="639"/>
      <c r="AR493" s="639"/>
      <c r="AS493" s="1206"/>
      <c r="AT493" s="418"/>
      <c r="AU493" s="640"/>
      <c r="AV493" s="640"/>
      <c r="AW493" s="640"/>
      <c r="AX493" s="640"/>
      <c r="AY493" s="640"/>
      <c r="AZ493" s="640"/>
      <c r="BA493" s="640"/>
      <c r="BB493" s="12"/>
      <c r="BC493" s="12"/>
      <c r="BD493" s="405"/>
      <c r="BE493" s="639"/>
      <c r="BF493" s="639"/>
      <c r="BG493" s="639"/>
      <c r="BH493" s="1206"/>
      <c r="BI493" s="418"/>
      <c r="BJ493" s="641"/>
      <c r="BK493" s="640"/>
      <c r="BL493" s="640"/>
      <c r="BM493" s="640"/>
      <c r="BN493" s="640"/>
      <c r="BO493" s="640"/>
      <c r="BP493" s="640"/>
      <c r="BQ493" s="12"/>
      <c r="BR493" s="418"/>
      <c r="BS493" s="405"/>
      <c r="BT493" s="405"/>
      <c r="BU493" s="405"/>
      <c r="BV493" s="405"/>
      <c r="BW493" s="405"/>
      <c r="BX493" s="405"/>
      <c r="BY493" s="405"/>
      <c r="BZ493" s="405"/>
      <c r="CA493" s="405"/>
      <c r="CB493" s="405"/>
      <c r="CC493" s="405"/>
    </row>
    <row r="494" spans="1:81" s="436" customFormat="1" ht="12.75" hidden="1" customHeight="1">
      <c r="A494" s="418"/>
      <c r="B494" s="418"/>
      <c r="C494" s="1957" t="s">
        <v>299</v>
      </c>
      <c r="D494" s="1958"/>
      <c r="E494" s="612" t="s">
        <v>52</v>
      </c>
      <c r="F494" s="1965" t="s">
        <v>2221</v>
      </c>
      <c r="G494" s="1965"/>
      <c r="H494" s="1965"/>
      <c r="I494" s="1965"/>
      <c r="J494" s="1965"/>
      <c r="K494" s="1965"/>
      <c r="L494" s="1965"/>
      <c r="M494" s="1965"/>
      <c r="N494" s="1965"/>
      <c r="O494" s="1965"/>
      <c r="P494" s="1965"/>
      <c r="Q494" s="1965"/>
      <c r="R494" s="1965"/>
      <c r="S494" s="1965"/>
      <c r="T494" s="1965"/>
      <c r="U494" s="1965"/>
      <c r="V494" s="1965"/>
      <c r="W494" s="1965"/>
      <c r="X494" s="1965"/>
      <c r="Y494" s="1965"/>
      <c r="Z494" s="1965"/>
      <c r="AA494" s="1965"/>
      <c r="AB494" s="1965"/>
      <c r="AC494" s="1965"/>
      <c r="AD494" s="1965"/>
      <c r="AE494" s="1965"/>
      <c r="AF494" s="569"/>
      <c r="AG494" s="507"/>
      <c r="AH494" s="507"/>
      <c r="AI494" s="507"/>
      <c r="AJ494" s="507"/>
      <c r="AK494" s="598"/>
      <c r="AL494" s="418"/>
      <c r="AM494" s="418"/>
      <c r="AN494" s="403"/>
      <c r="AO494" s="24"/>
      <c r="AP494" s="639"/>
      <c r="AQ494" s="639"/>
      <c r="AR494" s="639"/>
      <c r="AS494" s="1206"/>
      <c r="AT494" s="418"/>
      <c r="AU494" s="640"/>
      <c r="AV494" s="640"/>
      <c r="AW494" s="640"/>
      <c r="AX494" s="640"/>
      <c r="AY494" s="640"/>
      <c r="AZ494" s="640"/>
      <c r="BA494" s="640"/>
      <c r="BB494" s="12"/>
      <c r="BC494" s="12"/>
      <c r="BD494" s="405"/>
      <c r="BE494" s="639"/>
      <c r="BF494" s="639"/>
      <c r="BG494" s="639"/>
      <c r="BH494" s="1206"/>
      <c r="BI494" s="418"/>
      <c r="BJ494" s="641"/>
      <c r="BK494" s="640"/>
      <c r="BL494" s="640"/>
      <c r="BM494" s="640"/>
      <c r="BN494" s="640"/>
      <c r="BO494" s="640"/>
      <c r="BP494" s="640"/>
      <c r="BQ494" s="12"/>
      <c r="BR494" s="418"/>
      <c r="BS494" s="405"/>
      <c r="BT494" s="405"/>
      <c r="BU494" s="405"/>
      <c r="BV494" s="405"/>
      <c r="BW494" s="405"/>
      <c r="BX494" s="405"/>
      <c r="BY494" s="405"/>
      <c r="BZ494" s="405"/>
      <c r="CA494" s="405"/>
      <c r="CB494" s="405"/>
      <c r="CC494" s="405"/>
    </row>
    <row r="495" spans="1:81" s="436" customFormat="1" ht="12.75" hidden="1" customHeight="1">
      <c r="A495" s="418"/>
      <c r="B495" s="418"/>
      <c r="C495" s="613"/>
      <c r="D495" s="418"/>
      <c r="E495" s="614"/>
      <c r="F495" s="1966"/>
      <c r="G495" s="1966"/>
      <c r="H495" s="1966"/>
      <c r="I495" s="1966"/>
      <c r="J495" s="1966"/>
      <c r="K495" s="1966"/>
      <c r="L495" s="1966"/>
      <c r="M495" s="1966"/>
      <c r="N495" s="1966"/>
      <c r="O495" s="1966"/>
      <c r="P495" s="1966"/>
      <c r="Q495" s="1966"/>
      <c r="R495" s="1966"/>
      <c r="S495" s="1966"/>
      <c r="T495" s="1966"/>
      <c r="U495" s="1966"/>
      <c r="V495" s="1966"/>
      <c r="W495" s="1966"/>
      <c r="X495" s="1966"/>
      <c r="Y495" s="1966"/>
      <c r="Z495" s="1966"/>
      <c r="AA495" s="1966"/>
      <c r="AB495" s="1966"/>
      <c r="AC495" s="1966"/>
      <c r="AD495" s="1966"/>
      <c r="AE495" s="1966"/>
      <c r="AF495" s="418"/>
      <c r="AG495" s="419"/>
      <c r="AH495" s="419"/>
      <c r="AI495" s="419"/>
      <c r="AJ495" s="419"/>
      <c r="AK495" s="585"/>
      <c r="AL495" s="418"/>
      <c r="AM495" s="418"/>
      <c r="AN495" s="403"/>
      <c r="AO495" s="24"/>
      <c r="AP495" s="639"/>
      <c r="AQ495" s="639"/>
      <c r="AR495" s="639"/>
      <c r="AS495" s="1206"/>
      <c r="AT495" s="418"/>
      <c r="AU495" s="640"/>
      <c r="AV495" s="640"/>
      <c r="AW495" s="640"/>
      <c r="AX495" s="640"/>
      <c r="AY495" s="640"/>
      <c r="AZ495" s="640"/>
      <c r="BA495" s="640"/>
      <c r="BB495" s="12"/>
      <c r="BC495" s="12"/>
      <c r="BD495" s="405"/>
      <c r="BE495" s="639"/>
      <c r="BF495" s="639"/>
      <c r="BG495" s="639"/>
      <c r="BH495" s="1206"/>
      <c r="BI495" s="418"/>
      <c r="BJ495" s="641"/>
      <c r="BK495" s="640"/>
      <c r="BL495" s="640"/>
      <c r="BM495" s="640"/>
      <c r="BN495" s="640"/>
      <c r="BO495" s="640"/>
      <c r="BP495" s="640"/>
      <c r="BQ495" s="12"/>
      <c r="BR495" s="418"/>
      <c r="BS495" s="405"/>
      <c r="BT495" s="405"/>
      <c r="BU495" s="405"/>
      <c r="BV495" s="405"/>
      <c r="BW495" s="405"/>
      <c r="BX495" s="405"/>
      <c r="BY495" s="405"/>
      <c r="BZ495" s="405"/>
      <c r="CA495" s="405"/>
      <c r="CB495" s="405"/>
      <c r="CC495" s="405"/>
    </row>
    <row r="496" spans="1:81" s="436" customFormat="1" ht="12.75" hidden="1" customHeight="1">
      <c r="A496" s="418"/>
      <c r="B496" s="418"/>
      <c r="C496" s="592"/>
      <c r="D496" s="418"/>
      <c r="E496" s="418"/>
      <c r="F496" s="633" t="s">
        <v>2222</v>
      </c>
      <c r="G496" s="419"/>
      <c r="H496" s="419"/>
      <c r="I496" s="419"/>
      <c r="J496" s="419"/>
      <c r="K496" s="419"/>
      <c r="L496" s="419"/>
      <c r="M496" s="419"/>
      <c r="N496" s="419"/>
      <c r="O496" s="419"/>
      <c r="P496" s="419"/>
      <c r="Q496" s="419"/>
      <c r="R496" s="419"/>
      <c r="S496" s="419"/>
      <c r="T496" s="419"/>
      <c r="U496" s="419"/>
      <c r="V496" s="419"/>
      <c r="W496" s="419"/>
      <c r="X496" s="419"/>
      <c r="Y496" s="419"/>
      <c r="Z496" s="419"/>
      <c r="AA496" s="419"/>
      <c r="AB496" s="419"/>
      <c r="AC496" s="1200"/>
      <c r="AD496" s="418"/>
      <c r="AE496" s="418"/>
      <c r="AF496" s="418"/>
      <c r="AG496" s="474"/>
      <c r="AH496" s="474"/>
      <c r="AI496" s="474"/>
      <c r="AJ496" s="474"/>
      <c r="AK496" s="585"/>
      <c r="AL496" s="418"/>
      <c r="AM496" s="418"/>
      <c r="AN496" s="403"/>
      <c r="AO496" s="405"/>
      <c r="AP496" s="639"/>
      <c r="AQ496" s="639"/>
      <c r="AR496" s="639"/>
      <c r="AS496" s="1206"/>
      <c r="AT496" s="418"/>
      <c r="AU496" s="640"/>
      <c r="AV496" s="640"/>
      <c r="AW496" s="640"/>
      <c r="AX496" s="640"/>
      <c r="AY496" s="640"/>
      <c r="AZ496" s="640"/>
      <c r="BA496" s="640"/>
      <c r="BB496" s="405"/>
      <c r="BC496" s="405"/>
      <c r="BD496" s="405"/>
      <c r="BE496" s="639"/>
      <c r="BF496" s="639"/>
      <c r="BG496" s="639"/>
      <c r="BH496" s="1206"/>
      <c r="BI496" s="418"/>
      <c r="BJ496" s="641"/>
      <c r="BK496" s="640"/>
      <c r="BL496" s="640"/>
      <c r="BM496" s="640"/>
      <c r="BN496" s="640"/>
      <c r="BO496" s="640"/>
      <c r="BP496" s="640"/>
      <c r="BQ496" s="405"/>
      <c r="BR496" s="418"/>
      <c r="BS496" s="405"/>
      <c r="BT496" s="405"/>
      <c r="BU496" s="405"/>
      <c r="BV496" s="405"/>
      <c r="BW496" s="405"/>
      <c r="BX496" s="405"/>
      <c r="BY496" s="405"/>
      <c r="BZ496" s="405"/>
      <c r="CA496" s="405"/>
      <c r="CB496" s="405"/>
      <c r="CC496" s="405"/>
    </row>
    <row r="497" spans="1:81" s="436" customFormat="1" ht="13" hidden="1">
      <c r="A497" s="418"/>
      <c r="B497" s="418"/>
      <c r="C497" s="615"/>
      <c r="D497" s="581"/>
      <c r="E497" s="616"/>
      <c r="F497" s="1967" t="s">
        <v>299</v>
      </c>
      <c r="G497" s="1967"/>
      <c r="H497" s="1967"/>
      <c r="I497" s="515"/>
      <c r="J497" s="515"/>
      <c r="K497" s="515"/>
      <c r="L497" s="515"/>
      <c r="M497" s="515"/>
      <c r="N497" s="515"/>
      <c r="O497" s="515"/>
      <c r="P497" s="515"/>
      <c r="Q497" s="515"/>
      <c r="R497" s="515"/>
      <c r="S497" s="515"/>
      <c r="T497" s="515"/>
      <c r="U497" s="515"/>
      <c r="V497" s="515"/>
      <c r="W497" s="515"/>
      <c r="X497" s="515"/>
      <c r="Y497" s="515"/>
      <c r="Z497" s="515"/>
      <c r="AA497" s="515"/>
      <c r="AB497" s="515"/>
      <c r="AC497" s="515"/>
      <c r="AD497" s="581"/>
      <c r="AE497" s="581"/>
      <c r="AF497" s="581"/>
      <c r="AG497" s="618">
        <f>IF($C$494="Yes",(VLOOKUP($F$497,$AO$470:$AP$472,2,FALSE)),0)</f>
        <v>0</v>
      </c>
      <c r="AH497" s="619" t="s">
        <v>1978</v>
      </c>
      <c r="AI497" s="515"/>
      <c r="AJ497" s="515"/>
      <c r="AK497" s="595"/>
      <c r="AL497" s="418"/>
      <c r="AM497" s="418"/>
      <c r="AN497" s="403"/>
      <c r="AO497" s="405"/>
      <c r="AP497" s="639"/>
      <c r="AQ497" s="639"/>
      <c r="AR497" s="639"/>
      <c r="AS497" s="638"/>
      <c r="AT497" s="418"/>
      <c r="AU497" s="640"/>
      <c r="AV497" s="640"/>
      <c r="AW497" s="640"/>
      <c r="AX497" s="640"/>
      <c r="AY497" s="640"/>
      <c r="AZ497" s="640"/>
      <c r="BA497" s="640"/>
      <c r="BB497" s="405"/>
      <c r="BC497" s="405"/>
      <c r="BD497" s="405"/>
      <c r="BE497" s="639"/>
      <c r="BF497" s="639"/>
      <c r="BG497" s="639"/>
      <c r="BH497" s="638"/>
      <c r="BI497" s="418"/>
      <c r="BJ497" s="641"/>
      <c r="BK497" s="640"/>
      <c r="BL497" s="640"/>
      <c r="BM497" s="640"/>
      <c r="BN497" s="640"/>
      <c r="BO497" s="640"/>
      <c r="BP497" s="640"/>
      <c r="BQ497" s="405"/>
      <c r="BR497" s="418"/>
      <c r="BS497" s="405"/>
      <c r="BT497" s="405"/>
      <c r="BU497" s="405"/>
      <c r="BV497" s="405"/>
      <c r="BW497" s="405"/>
      <c r="BX497" s="405"/>
      <c r="BY497" s="405"/>
      <c r="BZ497" s="405"/>
      <c r="CA497" s="405"/>
      <c r="CB497" s="405"/>
      <c r="CC497" s="405"/>
    </row>
    <row r="498" spans="1:81" s="436" customFormat="1" ht="13" hidden="1">
      <c r="A498" s="419"/>
      <c r="B498" s="419"/>
      <c r="C498" s="419"/>
      <c r="D498" s="419"/>
      <c r="E498" s="419"/>
      <c r="F498" s="419"/>
      <c r="G498" s="419"/>
      <c r="H498" s="419"/>
      <c r="I498" s="419"/>
      <c r="J498" s="419"/>
      <c r="K498" s="419"/>
      <c r="L498" s="419"/>
      <c r="M498" s="419"/>
      <c r="N498" s="419"/>
      <c r="O498" s="419"/>
      <c r="P498" s="419"/>
      <c r="Q498" s="419"/>
      <c r="R498" s="419"/>
      <c r="S498" s="419"/>
      <c r="T498" s="419"/>
      <c r="U498" s="419"/>
      <c r="V498" s="419"/>
      <c r="W498" s="419"/>
      <c r="X498" s="419"/>
      <c r="Y498" s="419"/>
      <c r="Z498" s="419"/>
      <c r="AA498" s="419"/>
      <c r="AB498" s="419"/>
      <c r="AC498" s="419"/>
      <c r="AD498" s="419"/>
      <c r="AE498" s="418"/>
      <c r="AF498" s="418"/>
      <c r="AG498" s="474"/>
      <c r="AH498" s="1193"/>
      <c r="AI498" s="419"/>
      <c r="AJ498" s="419"/>
      <c r="AK498" s="418"/>
      <c r="AL498" s="418"/>
      <c r="AM498" s="418"/>
      <c r="AN498" s="403"/>
      <c r="AO498" s="405"/>
      <c r="AP498" s="639"/>
      <c r="AQ498" s="639"/>
      <c r="AR498" s="639"/>
      <c r="AS498" s="638"/>
      <c r="AT498" s="418"/>
      <c r="AU498" s="640"/>
      <c r="AV498" s="640"/>
      <c r="AW498" s="640"/>
      <c r="AX498" s="640"/>
      <c r="AY498" s="640"/>
      <c r="AZ498" s="640"/>
      <c r="BA498" s="640"/>
      <c r="BB498" s="405"/>
      <c r="BC498" s="405"/>
      <c r="BD498" s="405"/>
      <c r="BE498" s="639"/>
      <c r="BF498" s="639"/>
      <c r="BG498" s="639"/>
      <c r="BH498" s="638"/>
      <c r="BI498" s="418"/>
      <c r="BJ498" s="641"/>
      <c r="BK498" s="640"/>
      <c r="BL498" s="640"/>
      <c r="BM498" s="640"/>
      <c r="BN498" s="640"/>
      <c r="BO498" s="640"/>
      <c r="BP498" s="640"/>
      <c r="BQ498" s="405"/>
      <c r="BR498" s="418"/>
      <c r="BS498" s="405"/>
      <c r="BT498" s="405"/>
      <c r="BU498" s="405"/>
      <c r="BV498" s="405"/>
      <c r="BW498" s="405"/>
      <c r="BX498" s="405"/>
      <c r="BY498" s="405"/>
      <c r="BZ498" s="405"/>
      <c r="CA498" s="405"/>
      <c r="CB498" s="405"/>
      <c r="CC498" s="405"/>
    </row>
    <row r="499" spans="1:81" s="436" customFormat="1" ht="13" hidden="1">
      <c r="A499" s="418"/>
      <c r="B499" s="418"/>
      <c r="C499" s="1957" t="s">
        <v>299</v>
      </c>
      <c r="D499" s="1958"/>
      <c r="E499" s="612" t="s">
        <v>2223</v>
      </c>
      <c r="F499" s="631" t="s">
        <v>2224</v>
      </c>
      <c r="G499" s="507"/>
      <c r="H499" s="507"/>
      <c r="I499" s="507"/>
      <c r="J499" s="507"/>
      <c r="K499" s="507"/>
      <c r="L499" s="507"/>
      <c r="M499" s="507"/>
      <c r="N499" s="507"/>
      <c r="O499" s="507"/>
      <c r="P499" s="507"/>
      <c r="Q499" s="507"/>
      <c r="R499" s="507"/>
      <c r="S499" s="507"/>
      <c r="T499" s="507"/>
      <c r="U499" s="507"/>
      <c r="V499" s="507"/>
      <c r="W499" s="507"/>
      <c r="X499" s="507"/>
      <c r="Y499" s="507"/>
      <c r="Z499" s="507"/>
      <c r="AA499" s="507"/>
      <c r="AB499" s="507"/>
      <c r="AC499" s="642"/>
      <c r="AD499" s="569"/>
      <c r="AE499" s="569"/>
      <c r="AF499" s="569"/>
      <c r="AG499" s="643"/>
      <c r="AH499" s="643"/>
      <c r="AI499" s="643"/>
      <c r="AJ499" s="643"/>
      <c r="AK499" s="598"/>
      <c r="AL499" s="418"/>
      <c r="AM499" s="418"/>
      <c r="AN499" s="403"/>
      <c r="AO499" s="405"/>
      <c r="AP499" s="639"/>
      <c r="AQ499" s="639"/>
      <c r="AR499" s="639"/>
      <c r="AS499" s="638"/>
      <c r="AT499" s="418"/>
      <c r="AU499" s="640"/>
      <c r="AV499" s="640"/>
      <c r="AW499" s="640"/>
      <c r="AX499" s="640"/>
      <c r="AY499" s="640"/>
      <c r="AZ499" s="640"/>
      <c r="BA499" s="640"/>
      <c r="BB499" s="405"/>
      <c r="BC499" s="405"/>
      <c r="BD499" s="405"/>
      <c r="BE499" s="639"/>
      <c r="BF499" s="639"/>
      <c r="BG499" s="639"/>
      <c r="BH499" s="638"/>
      <c r="BI499" s="418"/>
      <c r="BJ499" s="641"/>
      <c r="BK499" s="640"/>
      <c r="BL499" s="640"/>
      <c r="BM499" s="640"/>
      <c r="BN499" s="640"/>
      <c r="BO499" s="640"/>
      <c r="BP499" s="640"/>
      <c r="BQ499" s="405"/>
      <c r="BR499" s="418"/>
      <c r="BS499" s="405"/>
      <c r="BT499" s="405"/>
      <c r="BU499" s="405"/>
      <c r="BV499" s="405"/>
      <c r="BW499" s="405"/>
      <c r="BX499" s="405"/>
      <c r="BY499" s="405"/>
      <c r="BZ499" s="405"/>
      <c r="CA499" s="405"/>
      <c r="CB499" s="405"/>
      <c r="CC499" s="405"/>
    </row>
    <row r="500" spans="1:81" s="436" customFormat="1" hidden="1">
      <c r="A500" s="418"/>
      <c r="B500" s="418"/>
      <c r="C500" s="613"/>
      <c r="D500" s="418"/>
      <c r="E500" s="614"/>
      <c r="F500" s="419"/>
      <c r="G500" s="419"/>
      <c r="H500" s="419"/>
      <c r="I500" s="419"/>
      <c r="J500" s="419"/>
      <c r="K500" s="419"/>
      <c r="L500" s="419"/>
      <c r="M500" s="419"/>
      <c r="N500" s="419"/>
      <c r="O500" s="419"/>
      <c r="P500" s="419"/>
      <c r="Q500" s="419"/>
      <c r="R500" s="419"/>
      <c r="S500" s="419"/>
      <c r="T500" s="419"/>
      <c r="U500" s="419"/>
      <c r="V500" s="419"/>
      <c r="W500" s="419"/>
      <c r="X500" s="419"/>
      <c r="Y500" s="419"/>
      <c r="Z500" s="419"/>
      <c r="AA500" s="419"/>
      <c r="AB500" s="419"/>
      <c r="AC500" s="419"/>
      <c r="AD500" s="418"/>
      <c r="AE500" s="418"/>
      <c r="AF500" s="418"/>
      <c r="AG500" s="419"/>
      <c r="AH500" s="419"/>
      <c r="AI500" s="419"/>
      <c r="AJ500" s="419"/>
      <c r="AK500" s="585"/>
      <c r="AL500" s="418"/>
      <c r="AM500" s="418"/>
      <c r="AN500" s="403"/>
      <c r="AO500" s="405"/>
      <c r="AP500" s="639"/>
      <c r="AQ500" s="639"/>
      <c r="AR500" s="639"/>
      <c r="AS500" s="638"/>
      <c r="AT500" s="418"/>
      <c r="AU500" s="640"/>
      <c r="AV500" s="640"/>
      <c r="AW500" s="640"/>
      <c r="AX500" s="640"/>
      <c r="AY500" s="640"/>
      <c r="AZ500" s="640"/>
      <c r="BA500" s="640"/>
      <c r="BB500" s="405"/>
      <c r="BC500" s="405"/>
      <c r="BD500" s="405"/>
      <c r="BE500" s="639"/>
      <c r="BF500" s="639"/>
      <c r="BG500" s="639"/>
      <c r="BH500" s="638"/>
      <c r="BI500" s="418"/>
      <c r="BJ500" s="641"/>
      <c r="BK500" s="640"/>
      <c r="BL500" s="640"/>
      <c r="BM500" s="640"/>
      <c r="BN500" s="640"/>
      <c r="BO500" s="640"/>
      <c r="BP500" s="640"/>
      <c r="BQ500" s="405"/>
      <c r="BR500" s="12"/>
      <c r="BS500" s="405"/>
      <c r="BT500" s="405"/>
      <c r="BU500" s="405"/>
      <c r="BV500" s="405"/>
      <c r="BW500" s="405"/>
      <c r="BX500" s="405"/>
      <c r="BY500" s="405"/>
      <c r="BZ500" s="405"/>
      <c r="CA500" s="405"/>
      <c r="CB500" s="405"/>
      <c r="CC500" s="405"/>
    </row>
    <row r="501" spans="1:81" s="436" customFormat="1" ht="13" hidden="1">
      <c r="A501" s="418"/>
      <c r="B501" s="418"/>
      <c r="C501" s="1980"/>
      <c r="D501" s="1968"/>
      <c r="E501" s="623"/>
      <c r="F501" s="419" t="s">
        <v>2225</v>
      </c>
      <c r="G501" s="419"/>
      <c r="H501" s="419"/>
      <c r="I501" s="419"/>
      <c r="J501" s="419"/>
      <c r="K501" s="419"/>
      <c r="L501" s="419"/>
      <c r="M501" s="419"/>
      <c r="N501" s="419"/>
      <c r="O501" s="419"/>
      <c r="P501" s="419"/>
      <c r="Q501" s="419"/>
      <c r="R501" s="419"/>
      <c r="S501" s="419"/>
      <c r="T501" s="419"/>
      <c r="U501" s="419"/>
      <c r="V501" s="419"/>
      <c r="W501" s="419"/>
      <c r="X501" s="419"/>
      <c r="Y501" s="419"/>
      <c r="Z501" s="419"/>
      <c r="AA501" s="419"/>
      <c r="AB501" s="419"/>
      <c r="AC501" s="1200"/>
      <c r="AD501" s="418"/>
      <c r="AE501" s="418"/>
      <c r="AF501" s="418"/>
      <c r="AG501" s="474">
        <f>IF($C$499="Yes",(VLOOKUP($G$502,$AO$477:$AP$480,2,FALSE)),0)</f>
        <v>0</v>
      </c>
      <c r="AH501" s="1193" t="s">
        <v>1978</v>
      </c>
      <c r="AI501" s="419"/>
      <c r="AJ501" s="474"/>
      <c r="AK501" s="585"/>
      <c r="AL501" s="418"/>
      <c r="AM501" s="418"/>
      <c r="AN501" s="403"/>
      <c r="AO501" s="405"/>
      <c r="AP501" s="639"/>
      <c r="AQ501" s="639"/>
      <c r="AR501" s="639"/>
      <c r="AS501" s="638"/>
      <c r="AT501" s="418"/>
      <c r="AU501" s="640"/>
      <c r="AV501" s="640"/>
      <c r="AW501" s="640"/>
      <c r="AX501" s="640"/>
      <c r="AY501" s="640"/>
      <c r="AZ501" s="640"/>
      <c r="BA501" s="640"/>
      <c r="BB501" s="405"/>
      <c r="BC501" s="405"/>
      <c r="BD501" s="405"/>
      <c r="BE501" s="639"/>
      <c r="BF501" s="639"/>
      <c r="BG501" s="639"/>
      <c r="BH501" s="638"/>
      <c r="BI501" s="418"/>
      <c r="BJ501" s="641"/>
      <c r="BK501" s="640"/>
      <c r="BL501" s="640"/>
      <c r="BM501" s="640"/>
      <c r="BN501" s="640"/>
      <c r="BO501" s="640"/>
      <c r="BP501" s="640"/>
      <c r="BQ501" s="405"/>
      <c r="BR501" s="418"/>
      <c r="BS501" s="405"/>
      <c r="BT501" s="405"/>
      <c r="BU501" s="405"/>
      <c r="BV501" s="405"/>
      <c r="BW501" s="405"/>
      <c r="BX501" s="405"/>
      <c r="BY501" s="405"/>
      <c r="BZ501" s="405"/>
      <c r="CA501" s="405"/>
      <c r="CB501" s="405"/>
      <c r="CC501" s="405"/>
    </row>
    <row r="502" spans="1:81" s="436" customFormat="1" hidden="1">
      <c r="A502" s="418"/>
      <c r="B502" s="418"/>
      <c r="C502" s="613"/>
      <c r="D502" s="418"/>
      <c r="E502" s="614"/>
      <c r="F502" s="419"/>
      <c r="G502" s="1981" t="s">
        <v>299</v>
      </c>
      <c r="H502" s="1981"/>
      <c r="I502" s="1981"/>
      <c r="J502" s="1981"/>
      <c r="K502" s="1981"/>
      <c r="L502" s="1981"/>
      <c r="M502" s="1981"/>
      <c r="N502" s="1981"/>
      <c r="O502" s="1981"/>
      <c r="P502" s="1981"/>
      <c r="Q502" s="1981"/>
      <c r="R502" s="1981"/>
      <c r="S502" s="1981"/>
      <c r="T502" s="1981"/>
      <c r="U502" s="1981"/>
      <c r="V502" s="1981"/>
      <c r="W502" s="1981"/>
      <c r="X502" s="1981"/>
      <c r="Y502" s="1981"/>
      <c r="Z502" s="1981"/>
      <c r="AA502" s="1981"/>
      <c r="AB502" s="1981"/>
      <c r="AC502" s="1981"/>
      <c r="AD502" s="1981"/>
      <c r="AE502" s="1981"/>
      <c r="AF502" s="1981"/>
      <c r="AG502" s="418"/>
      <c r="AH502" s="418"/>
      <c r="AI502" s="418"/>
      <c r="AJ502" s="419"/>
      <c r="AK502" s="585"/>
      <c r="AL502" s="418"/>
      <c r="AM502" s="418"/>
      <c r="AN502" s="403"/>
      <c r="AO502" s="405"/>
      <c r="AP502" s="639"/>
      <c r="AQ502" s="639"/>
      <c r="AR502" s="639"/>
      <c r="AS502" s="638"/>
      <c r="AT502" s="418"/>
      <c r="AU502" s="640"/>
      <c r="AV502" s="640"/>
      <c r="AW502" s="640"/>
      <c r="AX502" s="640"/>
      <c r="AY502" s="640"/>
      <c r="AZ502" s="640"/>
      <c r="BA502" s="640"/>
      <c r="BB502" s="405"/>
      <c r="BC502" s="405"/>
      <c r="BD502" s="405"/>
      <c r="BE502" s="639"/>
      <c r="BF502" s="639"/>
      <c r="BG502" s="639"/>
      <c r="BH502" s="638"/>
      <c r="BI502" s="418"/>
      <c r="BJ502" s="641"/>
      <c r="BK502" s="640"/>
      <c r="BL502" s="640"/>
      <c r="BM502" s="640"/>
      <c r="BN502" s="640"/>
      <c r="BO502" s="640"/>
      <c r="BP502" s="640"/>
      <c r="BQ502" s="405"/>
      <c r="BR502" s="418"/>
      <c r="BS502" s="405"/>
      <c r="BT502" s="405"/>
      <c r="BU502" s="405"/>
      <c r="BV502" s="405"/>
      <c r="BW502" s="405"/>
      <c r="BX502" s="405"/>
      <c r="BY502" s="405"/>
      <c r="BZ502" s="405"/>
      <c r="CA502" s="405"/>
      <c r="CB502" s="405"/>
      <c r="CC502" s="405"/>
    </row>
    <row r="503" spans="1:81" s="436" customFormat="1" hidden="1">
      <c r="A503" s="418"/>
      <c r="B503" s="418"/>
      <c r="C503" s="584"/>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418"/>
      <c r="AE503" s="418"/>
      <c r="AF503" s="418"/>
      <c r="AG503" s="12"/>
      <c r="AH503" s="12"/>
      <c r="AI503" s="12"/>
      <c r="AJ503" s="12"/>
      <c r="AK503" s="585"/>
      <c r="AL503" s="418"/>
      <c r="AM503" s="418"/>
      <c r="AN503" s="403"/>
      <c r="AO503" s="405"/>
      <c r="AP503" s="639"/>
      <c r="AQ503" s="639"/>
      <c r="AR503" s="639"/>
      <c r="AS503" s="638"/>
      <c r="AT503" s="418"/>
      <c r="AU503" s="640"/>
      <c r="AV503" s="640"/>
      <c r="AW503" s="640"/>
      <c r="AX503" s="640"/>
      <c r="AY503" s="640"/>
      <c r="AZ503" s="640"/>
      <c r="BA503" s="640"/>
      <c r="BB503" s="405"/>
      <c r="BC503" s="405"/>
      <c r="BD503" s="405"/>
      <c r="BE503" s="639"/>
      <c r="BF503" s="639"/>
      <c r="BG503" s="639"/>
      <c r="BH503" s="638"/>
      <c r="BI503" s="418"/>
      <c r="BJ503" s="641"/>
      <c r="BK503" s="640"/>
      <c r="BL503" s="640"/>
      <c r="BM503" s="640"/>
      <c r="BN503" s="640"/>
      <c r="BO503" s="640"/>
      <c r="BP503" s="640"/>
      <c r="BQ503" s="405"/>
      <c r="BR503" s="418"/>
      <c r="BS503" s="405"/>
      <c r="BT503" s="405"/>
      <c r="BU503" s="405"/>
      <c r="BV503" s="405"/>
      <c r="BW503" s="405"/>
      <c r="BX503" s="405"/>
      <c r="BY503" s="405"/>
      <c r="BZ503" s="405"/>
      <c r="CA503" s="405"/>
      <c r="CB503" s="405"/>
      <c r="CC503" s="405"/>
    </row>
    <row r="504" spans="1:81" s="436" customFormat="1" ht="12.75" hidden="1" customHeight="1">
      <c r="A504" s="12"/>
      <c r="B504" s="418"/>
      <c r="C504" s="1982" t="s">
        <v>299</v>
      </c>
      <c r="D504" s="1983"/>
      <c r="F504" s="419" t="s">
        <v>2226</v>
      </c>
      <c r="G504" s="419"/>
      <c r="H504" s="419"/>
      <c r="I504" s="419"/>
      <c r="J504" s="419"/>
      <c r="K504" s="419"/>
      <c r="L504" s="419"/>
      <c r="M504" s="419"/>
      <c r="N504" s="419"/>
      <c r="O504" s="419"/>
      <c r="P504" s="419"/>
      <c r="Q504" s="419"/>
      <c r="R504" s="419"/>
      <c r="S504" s="419"/>
      <c r="T504" s="419"/>
      <c r="U504" s="419"/>
      <c r="V504" s="419"/>
      <c r="W504" s="419"/>
      <c r="X504" s="419"/>
      <c r="Y504" s="419"/>
      <c r="Z504" s="419"/>
      <c r="AA504" s="419"/>
      <c r="AB504" s="419"/>
      <c r="AC504" s="1200"/>
      <c r="AD504" s="418"/>
      <c r="AE504" s="418"/>
      <c r="AF504" s="418"/>
      <c r="AG504" s="474">
        <f>IF(AND($C$504="Yes",$C$499="Yes"),2,0)</f>
        <v>0</v>
      </c>
      <c r="AH504" s="1193" t="s">
        <v>1978</v>
      </c>
      <c r="AI504" s="419"/>
      <c r="AJ504" s="1189"/>
      <c r="AK504" s="585"/>
      <c r="AL504" s="418"/>
      <c r="AM504" s="418"/>
      <c r="AN504" s="403"/>
      <c r="AO504" s="405"/>
      <c r="AP504" s="639"/>
      <c r="AQ504" s="639"/>
      <c r="AR504" s="639"/>
      <c r="AS504" s="638"/>
      <c r="AT504" s="418"/>
      <c r="AU504" s="640"/>
      <c r="AV504" s="640"/>
      <c r="AW504" s="640"/>
      <c r="AX504" s="640"/>
      <c r="AY504" s="640"/>
      <c r="AZ504" s="640"/>
      <c r="BA504" s="640"/>
      <c r="BB504" s="405"/>
      <c r="BC504" s="405"/>
      <c r="BD504" s="405"/>
      <c r="BE504" s="639"/>
      <c r="BF504" s="639"/>
      <c r="BG504" s="639"/>
      <c r="BH504" s="638"/>
      <c r="BI504" s="418"/>
      <c r="BJ504" s="641"/>
      <c r="BK504" s="640"/>
      <c r="BL504" s="640"/>
      <c r="BM504" s="640"/>
      <c r="BN504" s="640"/>
      <c r="BO504" s="640"/>
      <c r="BP504" s="640"/>
      <c r="BQ504" s="405"/>
      <c r="BR504" s="418"/>
      <c r="BS504" s="405"/>
      <c r="BT504" s="405"/>
      <c r="BU504" s="405"/>
      <c r="BV504" s="405"/>
      <c r="BW504" s="405"/>
      <c r="BX504" s="405"/>
      <c r="BY504" s="405"/>
      <c r="BZ504" s="405"/>
      <c r="CA504" s="405"/>
      <c r="CB504" s="405"/>
      <c r="CC504" s="405"/>
    </row>
    <row r="505" spans="1:81" s="436" customFormat="1" ht="13" hidden="1">
      <c r="A505" s="12"/>
      <c r="B505" s="418"/>
      <c r="C505" s="632"/>
      <c r="D505" s="1210"/>
      <c r="E505" s="1210"/>
      <c r="F505" s="419"/>
      <c r="G505" s="419" t="s">
        <v>2227</v>
      </c>
      <c r="H505" s="419"/>
      <c r="I505" s="419"/>
      <c r="J505" s="419"/>
      <c r="K505" s="419"/>
      <c r="L505" s="419"/>
      <c r="M505" s="419"/>
      <c r="N505" s="419"/>
      <c r="O505" s="419"/>
      <c r="P505" s="419"/>
      <c r="Q505" s="419"/>
      <c r="R505" s="419"/>
      <c r="S505" s="419"/>
      <c r="T505" s="419"/>
      <c r="U505" s="419"/>
      <c r="V505" s="419"/>
      <c r="W505" s="419"/>
      <c r="X505" s="419"/>
      <c r="Y505" s="419"/>
      <c r="Z505" s="419"/>
      <c r="AA505" s="419"/>
      <c r="AB505" s="419"/>
      <c r="AC505" s="1200"/>
      <c r="AD505" s="418"/>
      <c r="AE505" s="418"/>
      <c r="AF505" s="418"/>
      <c r="AG505" s="1189"/>
      <c r="AH505" s="1189"/>
      <c r="AI505" s="1189"/>
      <c r="AJ505" s="1189"/>
      <c r="AK505" s="585"/>
      <c r="AL505" s="418"/>
      <c r="AM505" s="418"/>
      <c r="AN505" s="459"/>
      <c r="AO505" s="405"/>
      <c r="AP505" s="639"/>
      <c r="AQ505" s="639"/>
      <c r="AR505" s="639"/>
      <c r="AS505" s="638"/>
      <c r="AT505" s="418"/>
      <c r="AU505" s="640"/>
      <c r="AV505" s="640"/>
      <c r="AW505" s="640"/>
      <c r="AX505" s="640"/>
      <c r="AY505" s="640"/>
      <c r="AZ505" s="640"/>
      <c r="BA505" s="640"/>
      <c r="BB505" s="405"/>
      <c r="BC505" s="405"/>
      <c r="BD505" s="405"/>
      <c r="BE505" s="639"/>
      <c r="BF505" s="639"/>
      <c r="BG505" s="639"/>
      <c r="BH505" s="638"/>
      <c r="BI505" s="418"/>
      <c r="BJ505" s="641"/>
      <c r="BK505" s="640"/>
      <c r="BL505" s="640"/>
      <c r="BM505" s="640"/>
      <c r="BN505" s="640"/>
      <c r="BO505" s="640"/>
      <c r="BP505" s="640"/>
      <c r="BQ505" s="405"/>
      <c r="BR505" s="418"/>
      <c r="BS505" s="405"/>
      <c r="BT505" s="405"/>
      <c r="BU505" s="405"/>
      <c r="BV505" s="405"/>
      <c r="BW505" s="405"/>
      <c r="BX505" s="405"/>
      <c r="BY505" s="405"/>
      <c r="BZ505" s="405"/>
      <c r="CA505" s="405"/>
      <c r="CB505" s="405"/>
      <c r="CC505" s="405"/>
    </row>
    <row r="506" spans="1:81" s="418" customFormat="1" ht="12.75" hidden="1" customHeight="1">
      <c r="A506" s="12"/>
      <c r="C506" s="632"/>
      <c r="D506" s="1210"/>
      <c r="E506" s="1210"/>
      <c r="F506" s="419"/>
      <c r="G506" s="419" t="s">
        <v>2228</v>
      </c>
      <c r="H506" s="419"/>
      <c r="I506" s="419"/>
      <c r="J506" s="419"/>
      <c r="K506" s="419"/>
      <c r="L506" s="419"/>
      <c r="M506" s="419"/>
      <c r="N506" s="419"/>
      <c r="O506" s="419"/>
      <c r="P506" s="419"/>
      <c r="Q506" s="419"/>
      <c r="R506" s="419"/>
      <c r="S506" s="419"/>
      <c r="T506" s="419"/>
      <c r="U506" s="419"/>
      <c r="V506" s="419"/>
      <c r="W506" s="419"/>
      <c r="X506" s="419"/>
      <c r="Y506" s="419"/>
      <c r="Z506" s="419"/>
      <c r="AA506" s="419"/>
      <c r="AB506" s="419"/>
      <c r="AC506" s="1200"/>
      <c r="AG506" s="1189"/>
      <c r="AH506" s="1189"/>
      <c r="AI506" s="1189"/>
      <c r="AJ506" s="1189"/>
      <c r="AK506" s="585"/>
      <c r="AN506" s="404"/>
      <c r="AP506" s="405"/>
      <c r="AQ506" s="405"/>
      <c r="AR506" s="405"/>
    </row>
    <row r="507" spans="1:81" s="418" customFormat="1" ht="12.75" hidden="1" customHeight="1">
      <c r="A507" s="497"/>
      <c r="B507" s="12"/>
      <c r="C507" s="644"/>
      <c r="D507" s="12"/>
      <c r="G507" s="472"/>
      <c r="H507" s="472"/>
      <c r="I507" s="472"/>
      <c r="J507" s="472"/>
      <c r="K507" s="472"/>
      <c r="L507" s="472"/>
      <c r="M507" s="472"/>
      <c r="N507" s="472"/>
      <c r="O507" s="472"/>
      <c r="P507" s="472"/>
      <c r="Q507" s="472"/>
      <c r="R507" s="472"/>
      <c r="S507" s="472"/>
      <c r="T507" s="472"/>
      <c r="U507" s="472"/>
      <c r="V507" s="472"/>
      <c r="W507" s="472"/>
      <c r="X507" s="472"/>
      <c r="Y507" s="472"/>
      <c r="Z507" s="472"/>
      <c r="AA507" s="472"/>
      <c r="AB507" s="472"/>
      <c r="AC507" s="472"/>
      <c r="AD507" s="472"/>
      <c r="AE507" s="472"/>
      <c r="AF507" s="472"/>
      <c r="AG507" s="1200"/>
      <c r="AH507" s="1200"/>
      <c r="AI507" s="1200"/>
      <c r="AJ507" s="1200"/>
      <c r="AK507" s="645"/>
      <c r="AL507" s="12"/>
      <c r="AM507" s="12"/>
      <c r="AN507" s="404"/>
      <c r="AO507" s="405"/>
      <c r="AP507" s="405"/>
      <c r="AQ507" s="405"/>
      <c r="AR507" s="405"/>
    </row>
    <row r="508" spans="1:81" s="418" customFormat="1" ht="12.75" hidden="1" customHeight="1">
      <c r="A508" s="497"/>
      <c r="C508" s="1982" t="s">
        <v>299</v>
      </c>
      <c r="D508" s="1983"/>
      <c r="F508" s="646" t="s">
        <v>2229</v>
      </c>
      <c r="G508" s="1935" t="s">
        <v>2230</v>
      </c>
      <c r="H508" s="1935"/>
      <c r="I508" s="1935"/>
      <c r="J508" s="1935"/>
      <c r="K508" s="1935"/>
      <c r="L508" s="1935"/>
      <c r="M508" s="1935"/>
      <c r="N508" s="1935"/>
      <c r="O508" s="1935"/>
      <c r="P508" s="1935"/>
      <c r="Q508" s="1935"/>
      <c r="R508" s="1935"/>
      <c r="S508" s="1935"/>
      <c r="T508" s="1935"/>
      <c r="U508" s="1935"/>
      <c r="V508" s="1935"/>
      <c r="W508" s="1935"/>
      <c r="X508" s="1935"/>
      <c r="Y508" s="1935"/>
      <c r="Z508" s="1935"/>
      <c r="AA508" s="1935"/>
      <c r="AB508" s="1935"/>
      <c r="AC508" s="1935"/>
      <c r="AD508" s="1935"/>
      <c r="AE508" s="1935"/>
      <c r="AF508" s="1935"/>
      <c r="AG508" s="474">
        <f>IF(AND($C$508="Yes",$C$499="Yes"),2,0)</f>
        <v>0</v>
      </c>
      <c r="AH508" s="1193" t="s">
        <v>1978</v>
      </c>
      <c r="AI508" s="419"/>
      <c r="AJ508" s="1189"/>
      <c r="AK508" s="585"/>
      <c r="AN508" s="404"/>
      <c r="AZ508" s="408"/>
      <c r="BC508" s="1183"/>
      <c r="BD508" s="408"/>
      <c r="BE508" s="408"/>
      <c r="BF508" s="408"/>
      <c r="BM508" s="405"/>
      <c r="BN508" s="408"/>
      <c r="BO508" s="405"/>
      <c r="BP508" s="408"/>
      <c r="BQ508" s="408"/>
      <c r="BR508" s="408"/>
      <c r="BS508" s="408"/>
      <c r="BT508" s="408"/>
      <c r="BU508" s="408"/>
      <c r="BV508" s="405"/>
      <c r="BW508" s="405"/>
      <c r="BX508" s="405"/>
      <c r="BY508" s="405"/>
      <c r="BZ508" s="405"/>
      <c r="CA508" s="405"/>
      <c r="CB508" s="405"/>
      <c r="CC508" s="405"/>
    </row>
    <row r="509" spans="1:81" s="418" customFormat="1" ht="12.75" hidden="1" customHeight="1">
      <c r="C509" s="647"/>
      <c r="D509" s="581"/>
      <c r="E509" s="616"/>
      <c r="F509" s="580"/>
      <c r="G509" s="1954"/>
      <c r="H509" s="1954"/>
      <c r="I509" s="1954"/>
      <c r="J509" s="1954"/>
      <c r="K509" s="1954"/>
      <c r="L509" s="1954"/>
      <c r="M509" s="1954"/>
      <c r="N509" s="1954"/>
      <c r="O509" s="1954"/>
      <c r="P509" s="1954"/>
      <c r="Q509" s="1954"/>
      <c r="R509" s="1954"/>
      <c r="S509" s="1954"/>
      <c r="T509" s="1954"/>
      <c r="U509" s="1954"/>
      <c r="V509" s="1954"/>
      <c r="W509" s="1954"/>
      <c r="X509" s="1954"/>
      <c r="Y509" s="1954"/>
      <c r="Z509" s="1954"/>
      <c r="AA509" s="1954"/>
      <c r="AB509" s="1954"/>
      <c r="AC509" s="1954"/>
      <c r="AD509" s="1954"/>
      <c r="AE509" s="1954"/>
      <c r="AF509" s="1954"/>
      <c r="AG509" s="515"/>
      <c r="AH509" s="515"/>
      <c r="AI509" s="515"/>
      <c r="AJ509" s="515"/>
      <c r="AK509" s="595"/>
      <c r="AN509" s="404"/>
      <c r="AZ509" s="408"/>
      <c r="BC509" s="1183"/>
      <c r="BD509" s="408"/>
      <c r="BE509" s="408"/>
      <c r="BF509" s="408"/>
      <c r="BM509" s="457"/>
      <c r="BN509" s="457"/>
      <c r="BO509" s="457"/>
      <c r="BP509" s="457"/>
      <c r="BQ509" s="457"/>
      <c r="BR509" s="457"/>
      <c r="BS509" s="457"/>
      <c r="BT509" s="457"/>
      <c r="BU509" s="457"/>
      <c r="BV509" s="457"/>
      <c r="BW509" s="457"/>
      <c r="BX509" s="457"/>
      <c r="BY509" s="457"/>
      <c r="BZ509" s="457"/>
      <c r="CA509" s="457"/>
      <c r="CB509" s="457"/>
      <c r="CC509" s="457"/>
    </row>
    <row r="510" spans="1:81" s="418" customFormat="1" ht="12.75" hidden="1" customHeight="1">
      <c r="C510" s="405"/>
      <c r="E510" s="614"/>
      <c r="F510" s="465"/>
      <c r="G510" s="1203"/>
      <c r="H510" s="1203"/>
      <c r="I510" s="1203"/>
      <c r="J510" s="1203"/>
      <c r="K510" s="1203"/>
      <c r="L510" s="1203"/>
      <c r="M510" s="1203"/>
      <c r="N510" s="1203"/>
      <c r="O510" s="1203"/>
      <c r="P510" s="1203"/>
      <c r="Q510" s="1203"/>
      <c r="R510" s="1203"/>
      <c r="S510" s="1203"/>
      <c r="T510" s="1203"/>
      <c r="U510" s="1203"/>
      <c r="V510" s="1203"/>
      <c r="W510" s="1203"/>
      <c r="X510" s="1203"/>
      <c r="Y510" s="1203"/>
      <c r="Z510" s="1203"/>
      <c r="AA510" s="1203"/>
      <c r="AB510" s="1203"/>
      <c r="AC510" s="1203"/>
      <c r="AD510" s="1203"/>
      <c r="AE510" s="1203"/>
      <c r="AF510" s="1203"/>
      <c r="AG510" s="419"/>
      <c r="AH510" s="419"/>
      <c r="AI510" s="419"/>
      <c r="AJ510" s="419"/>
      <c r="AN510" s="404"/>
      <c r="AP510" s="408"/>
      <c r="AQ510" s="408"/>
      <c r="AR510" s="408"/>
      <c r="AS510" s="408"/>
      <c r="AT510" s="408"/>
      <c r="AU510" s="408"/>
      <c r="AV510" s="408"/>
      <c r="AW510" s="408"/>
      <c r="AX510" s="408"/>
      <c r="AY510" s="408"/>
      <c r="AZ510" s="408"/>
      <c r="BA510" s="408"/>
      <c r="BB510" s="408"/>
      <c r="BC510" s="408"/>
      <c r="BD510" s="408"/>
      <c r="BE510" s="408"/>
      <c r="BF510" s="408"/>
      <c r="BG510" s="408"/>
      <c r="BH510" s="408"/>
      <c r="BI510" s="1183"/>
      <c r="BJ510" s="648"/>
      <c r="BK510" s="648"/>
      <c r="BM510" s="457"/>
      <c r="BN510" s="457"/>
      <c r="BO510" s="457"/>
      <c r="BP510" s="457"/>
      <c r="BQ510" s="457"/>
      <c r="BR510" s="457"/>
      <c r="BS510" s="457"/>
      <c r="BT510" s="457"/>
      <c r="BU510" s="457"/>
      <c r="BV510" s="457"/>
      <c r="BW510" s="457"/>
      <c r="BX510" s="457"/>
      <c r="BY510" s="457"/>
      <c r="BZ510" s="457"/>
      <c r="CA510" s="457"/>
      <c r="CB510" s="457"/>
      <c r="CC510" s="457"/>
    </row>
    <row r="511" spans="1:81" s="418" customFormat="1" ht="12.75" hidden="1" customHeight="1">
      <c r="C511" s="649" t="s">
        <v>2231</v>
      </c>
      <c r="D511" s="569"/>
      <c r="E511" s="650"/>
      <c r="F511" s="651"/>
      <c r="G511" s="1202"/>
      <c r="H511" s="1202"/>
      <c r="I511" s="1202"/>
      <c r="J511" s="1202"/>
      <c r="K511" s="1202"/>
      <c r="L511" s="1202"/>
      <c r="M511" s="1202"/>
      <c r="N511" s="1202"/>
      <c r="O511" s="1202"/>
      <c r="P511" s="1202"/>
      <c r="Q511" s="1202"/>
      <c r="R511" s="1202"/>
      <c r="S511" s="1202"/>
      <c r="T511" s="1202"/>
      <c r="U511" s="1202"/>
      <c r="V511" s="1202"/>
      <c r="W511" s="1202"/>
      <c r="X511" s="1202"/>
      <c r="Y511" s="1202"/>
      <c r="Z511" s="1202"/>
      <c r="AA511" s="1202"/>
      <c r="AB511" s="1202"/>
      <c r="AC511" s="1202"/>
      <c r="AD511" s="1202"/>
      <c r="AE511" s="1202"/>
      <c r="AF511" s="1202"/>
      <c r="AG511" s="507"/>
      <c r="AH511" s="507"/>
      <c r="AI511" s="507"/>
      <c r="AJ511" s="507"/>
      <c r="AK511" s="598"/>
      <c r="AN511" s="459"/>
      <c r="AP511" s="408"/>
      <c r="AQ511" s="408"/>
      <c r="AR511" s="408"/>
      <c r="AS511" s="408"/>
      <c r="AT511" s="408"/>
      <c r="AU511" s="408"/>
      <c r="AV511" s="408"/>
      <c r="AW511" s="408"/>
      <c r="AX511" s="408"/>
      <c r="AY511" s="408"/>
      <c r="AZ511" s="408"/>
      <c r="BA511" s="408"/>
      <c r="BB511" s="408"/>
      <c r="BC511" s="408"/>
      <c r="BD511" s="408"/>
      <c r="BE511" s="408"/>
      <c r="BF511" s="408"/>
      <c r="BG511" s="408"/>
      <c r="BH511" s="408"/>
      <c r="BI511" s="497"/>
      <c r="BJ511" s="648"/>
      <c r="BK511" s="648"/>
      <c r="BM511" s="457"/>
      <c r="BN511" s="457"/>
      <c r="BO511" s="457"/>
      <c r="BP511" s="457"/>
      <c r="BQ511" s="457"/>
      <c r="BR511" s="457"/>
      <c r="BS511" s="457"/>
      <c r="BT511" s="457"/>
      <c r="BU511" s="457"/>
      <c r="BV511" s="457"/>
      <c r="BW511" s="457"/>
      <c r="BX511" s="457"/>
      <c r="BY511" s="457"/>
      <c r="BZ511" s="457"/>
      <c r="CA511" s="457"/>
      <c r="CB511" s="457"/>
      <c r="CC511" s="457"/>
    </row>
    <row r="512" spans="1:81" s="418" customFormat="1" ht="12.75" hidden="1" customHeight="1">
      <c r="C512" s="1970" t="s">
        <v>299</v>
      </c>
      <c r="D512" s="1971"/>
      <c r="E512" s="652" t="s">
        <v>2232</v>
      </c>
      <c r="F512" s="622" t="s">
        <v>2233</v>
      </c>
      <c r="G512" s="1203"/>
      <c r="H512" s="1203"/>
      <c r="I512" s="1203"/>
      <c r="J512" s="1203"/>
      <c r="K512" s="1203"/>
      <c r="L512" s="1203"/>
      <c r="M512" s="1203"/>
      <c r="N512" s="1203"/>
      <c r="O512" s="1203"/>
      <c r="P512" s="1203"/>
      <c r="Q512" s="1203"/>
      <c r="R512" s="1203"/>
      <c r="S512" s="1203"/>
      <c r="T512" s="1203"/>
      <c r="U512" s="1203"/>
      <c r="V512" s="1203"/>
      <c r="W512" s="1203"/>
      <c r="X512" s="1203"/>
      <c r="Y512" s="1203"/>
      <c r="Z512" s="1203"/>
      <c r="AA512" s="1203"/>
      <c r="AB512" s="1203"/>
      <c r="AC512" s="1203"/>
      <c r="AD512" s="1203"/>
      <c r="AE512" s="1203"/>
      <c r="AF512" s="1203"/>
      <c r="AG512" s="474">
        <f>IF(C$512="Yes",(VLOOKUP(F$513,$AO$483:$AP$486,2,FALSE)),0)</f>
        <v>0</v>
      </c>
      <c r="AH512" s="1193" t="s">
        <v>1978</v>
      </c>
      <c r="AI512" s="419"/>
      <c r="AJ512" s="419"/>
      <c r="AK512" s="585"/>
      <c r="AN512" s="459"/>
      <c r="AP512" s="408"/>
      <c r="AQ512" s="408"/>
      <c r="AR512" s="408"/>
      <c r="AS512" s="408"/>
      <c r="AT512" s="408"/>
      <c r="AU512" s="408"/>
      <c r="AV512" s="408"/>
      <c r="AW512" s="408"/>
      <c r="AX512" s="408"/>
      <c r="AY512" s="408"/>
      <c r="AZ512" s="408"/>
      <c r="BA512" s="408"/>
      <c r="BB512" s="408"/>
      <c r="BC512" s="408"/>
      <c r="BD512" s="408"/>
      <c r="BE512" s="408"/>
      <c r="BF512" s="408"/>
      <c r="BG512" s="408"/>
      <c r="BH512" s="408"/>
      <c r="BI512" s="497"/>
      <c r="BJ512" s="648"/>
      <c r="BK512" s="648"/>
      <c r="BM512" s="405"/>
      <c r="BN512" s="405"/>
      <c r="BO512" s="405"/>
      <c r="BP512" s="405"/>
      <c r="BQ512" s="405"/>
      <c r="BR512" s="405"/>
      <c r="BS512" s="405"/>
      <c r="BT512" s="405"/>
      <c r="BU512" s="405"/>
      <c r="BV512" s="405"/>
      <c r="BW512" s="405"/>
      <c r="BX512" s="405"/>
      <c r="BY512" s="405"/>
      <c r="BZ512" s="405"/>
      <c r="CA512" s="405"/>
      <c r="CB512" s="405"/>
      <c r="CC512" s="405"/>
    </row>
    <row r="513" spans="1:81" s="418" customFormat="1" ht="12.75" hidden="1" customHeight="1">
      <c r="C513" s="573"/>
      <c r="E513" s="614"/>
      <c r="F513" s="1972" t="s">
        <v>299</v>
      </c>
      <c r="G513" s="1972"/>
      <c r="H513" s="1972"/>
      <c r="I513" s="1972"/>
      <c r="J513" s="1972"/>
      <c r="K513" s="1972"/>
      <c r="L513" s="1972"/>
      <c r="M513" s="1972"/>
      <c r="N513" s="1972"/>
      <c r="O513" s="1972"/>
      <c r="P513" s="1972"/>
      <c r="Q513" s="1972"/>
      <c r="R513" s="1972"/>
      <c r="S513" s="1972"/>
      <c r="T513" s="1972"/>
      <c r="U513" s="1972"/>
      <c r="V513" s="1972"/>
      <c r="W513" s="1972"/>
      <c r="X513" s="1972"/>
      <c r="Y513" s="1972"/>
      <c r="Z513" s="1972"/>
      <c r="AA513" s="1972"/>
      <c r="AB513" s="1972"/>
      <c r="AC513" s="1972"/>
      <c r="AD513" s="1972"/>
      <c r="AE513" s="1972"/>
      <c r="AF513" s="1972"/>
      <c r="AG513" s="419"/>
      <c r="AH513" s="419"/>
      <c r="AI513" s="419"/>
      <c r="AJ513" s="419"/>
      <c r="AK513" s="585"/>
      <c r="AN513" s="459"/>
      <c r="BM513" s="405"/>
      <c r="BN513" s="405"/>
      <c r="BO513" s="405"/>
      <c r="BP513" s="405"/>
      <c r="BQ513" s="405"/>
      <c r="BR513" s="405"/>
      <c r="BS513" s="405"/>
      <c r="BT513" s="405"/>
      <c r="BU513" s="405"/>
      <c r="BV513" s="405"/>
      <c r="BW513" s="405"/>
      <c r="BX513" s="405"/>
      <c r="BY513" s="405"/>
      <c r="BZ513" s="405"/>
      <c r="CA513" s="405"/>
      <c r="CB513" s="405"/>
      <c r="CC513" s="405"/>
    </row>
    <row r="514" spans="1:81" s="418" customFormat="1" ht="12.75" hidden="1" customHeight="1">
      <c r="C514" s="647"/>
      <c r="D514" s="581"/>
      <c r="E514" s="616"/>
      <c r="F514" s="1973"/>
      <c r="G514" s="1973"/>
      <c r="H514" s="1973"/>
      <c r="I514" s="1973"/>
      <c r="J514" s="1973"/>
      <c r="K514" s="1973"/>
      <c r="L514" s="1973"/>
      <c r="M514" s="1973"/>
      <c r="N514" s="1973"/>
      <c r="O514" s="1973"/>
      <c r="P514" s="1973"/>
      <c r="Q514" s="1973"/>
      <c r="R514" s="1973"/>
      <c r="S514" s="1973"/>
      <c r="T514" s="1973"/>
      <c r="U514" s="1973"/>
      <c r="V514" s="1973"/>
      <c r="W514" s="1973"/>
      <c r="X514" s="1973"/>
      <c r="Y514" s="1973"/>
      <c r="Z514" s="1973"/>
      <c r="AA514" s="1973"/>
      <c r="AB514" s="1973"/>
      <c r="AC514" s="1973"/>
      <c r="AD514" s="1973"/>
      <c r="AE514" s="1973"/>
      <c r="AF514" s="1973"/>
      <c r="AG514" s="515"/>
      <c r="AH514" s="515"/>
      <c r="AI514" s="515"/>
      <c r="AJ514" s="515"/>
      <c r="AK514" s="595"/>
      <c r="AN514" s="459"/>
      <c r="BM514" s="405"/>
      <c r="BN514" s="405"/>
      <c r="BO514" s="405"/>
      <c r="BP514" s="405"/>
      <c r="BQ514" s="405"/>
      <c r="BR514" s="405"/>
      <c r="BS514" s="405"/>
      <c r="BT514" s="405"/>
      <c r="BU514" s="405"/>
      <c r="BV514" s="405"/>
      <c r="BW514" s="405"/>
      <c r="BX514" s="405"/>
      <c r="BY514" s="405"/>
      <c r="BZ514" s="405"/>
      <c r="CA514" s="405"/>
      <c r="CB514" s="405"/>
      <c r="CC514" s="405"/>
    </row>
    <row r="515" spans="1:81" s="418" customFormat="1" ht="12.75" hidden="1" customHeight="1">
      <c r="A515" s="497"/>
      <c r="C515" s="419"/>
      <c r="E515" s="419"/>
      <c r="F515" s="622"/>
      <c r="G515" s="419"/>
      <c r="H515" s="419"/>
      <c r="I515" s="419"/>
      <c r="J515" s="419"/>
      <c r="K515" s="419"/>
      <c r="L515" s="419"/>
      <c r="M515" s="419"/>
      <c r="N515" s="419"/>
      <c r="O515" s="419"/>
      <c r="P515" s="419"/>
      <c r="Q515" s="419"/>
      <c r="R515" s="419"/>
      <c r="S515" s="419"/>
      <c r="T515" s="419"/>
      <c r="U515" s="419"/>
      <c r="V515" s="419"/>
      <c r="W515" s="419"/>
      <c r="X515" s="419"/>
      <c r="Y515" s="419"/>
      <c r="Z515" s="419"/>
      <c r="AA515" s="419"/>
      <c r="AB515" s="419"/>
      <c r="AC515" s="419"/>
      <c r="AD515" s="476"/>
      <c r="AE515" s="419"/>
      <c r="AF515" s="419"/>
      <c r="AG515" s="419"/>
      <c r="AH515" s="419"/>
      <c r="AN515" s="459"/>
      <c r="BM515" s="405"/>
      <c r="BN515" s="405"/>
      <c r="BO515" s="405"/>
      <c r="BP515" s="405"/>
      <c r="BQ515" s="405"/>
      <c r="BR515" s="405"/>
      <c r="BS515" s="405"/>
      <c r="BT515" s="405"/>
      <c r="BU515" s="405"/>
      <c r="BV515" s="405"/>
      <c r="BW515" s="405"/>
      <c r="BX515" s="405"/>
      <c r="BY515" s="405"/>
      <c r="BZ515" s="405"/>
      <c r="CA515" s="405"/>
      <c r="CB515" s="405"/>
      <c r="CC515" s="405"/>
    </row>
    <row r="516" spans="1:81" s="418" customFormat="1" ht="12.75" hidden="1" customHeight="1">
      <c r="A516" s="497"/>
      <c r="B516" s="418" t="s">
        <v>2234</v>
      </c>
      <c r="C516" s="419"/>
      <c r="E516" s="419"/>
      <c r="F516" s="419"/>
      <c r="G516" s="419"/>
      <c r="H516" s="419"/>
      <c r="I516" s="419"/>
      <c r="J516" s="419"/>
      <c r="K516" s="419"/>
      <c r="L516" s="419"/>
      <c r="M516" s="419"/>
      <c r="N516" s="419"/>
      <c r="O516" s="419"/>
      <c r="P516" s="419"/>
      <c r="Q516" s="419"/>
      <c r="R516" s="419"/>
      <c r="S516" s="419"/>
      <c r="T516" s="419"/>
      <c r="U516" s="419"/>
      <c r="V516" s="419"/>
      <c r="W516" s="419"/>
      <c r="X516" s="419"/>
      <c r="Y516" s="419"/>
      <c r="Z516" s="419"/>
      <c r="AA516" s="419"/>
      <c r="AB516" s="419"/>
      <c r="AC516" s="419"/>
      <c r="AD516" s="476"/>
      <c r="AE516" s="419"/>
      <c r="AF516" s="419"/>
      <c r="AG516" s="419"/>
      <c r="AH516" s="419"/>
      <c r="AN516" s="459"/>
      <c r="AP516" s="637"/>
      <c r="AQ516" s="637"/>
      <c r="AR516" s="637"/>
      <c r="AS516" s="637"/>
      <c r="AT516" s="637"/>
      <c r="AU516" s="637"/>
      <c r="AV516" s="637"/>
      <c r="AW516" s="637"/>
      <c r="AX516" s="637"/>
      <c r="AY516" s="637"/>
      <c r="BM516" s="405"/>
      <c r="BN516" s="405"/>
      <c r="BO516" s="405"/>
      <c r="BP516" s="405"/>
      <c r="BQ516" s="405"/>
      <c r="BR516" s="405"/>
      <c r="BS516" s="405"/>
      <c r="BT516" s="405"/>
      <c r="BU516" s="405"/>
      <c r="BV516" s="405"/>
      <c r="BW516" s="405"/>
      <c r="BX516" s="405"/>
      <c r="BY516" s="405"/>
      <c r="BZ516" s="405"/>
      <c r="CA516" s="405"/>
      <c r="CB516" s="405"/>
      <c r="CC516" s="405"/>
    </row>
    <row r="517" spans="1:81" s="418" customFormat="1" ht="12.75" hidden="1" customHeight="1">
      <c r="A517" s="497"/>
      <c r="B517" s="418" t="s">
        <v>2235</v>
      </c>
      <c r="C517" s="419"/>
      <c r="E517" s="419"/>
      <c r="F517" s="419"/>
      <c r="G517" s="419"/>
      <c r="H517" s="419"/>
      <c r="I517" s="419"/>
      <c r="J517" s="419"/>
      <c r="K517" s="419"/>
      <c r="L517" s="419"/>
      <c r="M517" s="419"/>
      <c r="N517" s="419"/>
      <c r="O517" s="419"/>
      <c r="P517" s="419"/>
      <c r="Q517" s="419"/>
      <c r="R517" s="419"/>
      <c r="S517" s="419"/>
      <c r="T517" s="419"/>
      <c r="U517" s="419"/>
      <c r="V517" s="419"/>
      <c r="W517" s="419"/>
      <c r="X517" s="419"/>
      <c r="Y517" s="419"/>
      <c r="Z517" s="419"/>
      <c r="AA517" s="419"/>
      <c r="AB517" s="419"/>
      <c r="AC517" s="419"/>
      <c r="AD517" s="476"/>
      <c r="AE517" s="419"/>
      <c r="AF517" s="419"/>
      <c r="AG517" s="419"/>
      <c r="AH517" s="419"/>
      <c r="AN517" s="459"/>
      <c r="AP517" s="653"/>
      <c r="AQ517" s="653"/>
      <c r="AR517" s="653"/>
      <c r="AS517" s="653"/>
      <c r="AT517" s="653"/>
      <c r="AU517" s="653"/>
      <c r="AV517" s="653"/>
      <c r="AW517" s="653"/>
      <c r="AX517" s="653"/>
      <c r="AY517" s="653"/>
      <c r="BM517" s="405"/>
      <c r="BN517" s="405"/>
      <c r="BO517" s="405"/>
      <c r="BP517" s="405"/>
      <c r="BQ517" s="405"/>
      <c r="BR517" s="405"/>
      <c r="BS517" s="405"/>
      <c r="BT517" s="405"/>
      <c r="BU517" s="405"/>
      <c r="BV517" s="405"/>
      <c r="BW517" s="405"/>
      <c r="BX517" s="405"/>
      <c r="BY517" s="405"/>
      <c r="BZ517" s="405"/>
      <c r="CA517" s="405"/>
      <c r="CB517" s="405"/>
      <c r="CC517" s="405"/>
    </row>
    <row r="518" spans="1:81" s="418" customFormat="1" ht="12.75" hidden="1" customHeight="1">
      <c r="A518" s="497"/>
      <c r="B518" s="418" t="s">
        <v>2236</v>
      </c>
      <c r="C518" s="419"/>
      <c r="E518" s="419"/>
      <c r="F518" s="419"/>
      <c r="G518" s="419"/>
      <c r="H518" s="419"/>
      <c r="I518" s="419"/>
      <c r="J518" s="419"/>
      <c r="K518" s="419"/>
      <c r="L518" s="419"/>
      <c r="M518" s="419"/>
      <c r="N518" s="419"/>
      <c r="O518" s="419"/>
      <c r="P518" s="419"/>
      <c r="Q518" s="419"/>
      <c r="R518" s="419"/>
      <c r="S518" s="419"/>
      <c r="T518" s="419"/>
      <c r="U518" s="419"/>
      <c r="V518" s="419"/>
      <c r="W518" s="419"/>
      <c r="X518" s="419"/>
      <c r="Y518" s="419"/>
      <c r="Z518" s="419"/>
      <c r="AA518" s="419"/>
      <c r="AB518" s="419"/>
      <c r="AC518" s="419"/>
      <c r="AD518" s="476"/>
      <c r="AE518" s="419"/>
      <c r="AF518" s="419"/>
      <c r="AG518" s="419"/>
      <c r="AH518" s="419"/>
      <c r="AN518" s="459"/>
      <c r="AP518" s="653"/>
      <c r="AQ518" s="653"/>
      <c r="AR518" s="653"/>
      <c r="AS518" s="653"/>
      <c r="AT518" s="653"/>
      <c r="AU518" s="653"/>
      <c r="AV518" s="653"/>
      <c r="AW518" s="653"/>
      <c r="AX518" s="653"/>
      <c r="AY518" s="653"/>
      <c r="BM518" s="405"/>
      <c r="BN518" s="405"/>
      <c r="BO518" s="405"/>
      <c r="BP518" s="405"/>
      <c r="BQ518" s="405"/>
      <c r="BR518" s="405"/>
      <c r="BS518" s="405"/>
      <c r="BT518" s="405"/>
      <c r="BU518" s="405"/>
      <c r="BV518" s="405"/>
      <c r="BW518" s="405"/>
      <c r="BX518" s="405"/>
      <c r="BY518" s="405"/>
      <c r="BZ518" s="405"/>
      <c r="CA518" s="405"/>
      <c r="CB518" s="405"/>
      <c r="CC518" s="405"/>
    </row>
    <row r="519" spans="1:81" s="418" customFormat="1" ht="12.75" hidden="1" customHeight="1">
      <c r="A519" s="497"/>
      <c r="B519" s="418" t="s">
        <v>2237</v>
      </c>
      <c r="C519" s="419"/>
      <c r="E519" s="419"/>
      <c r="F519" s="419"/>
      <c r="G519" s="419"/>
      <c r="H519" s="419"/>
      <c r="I519" s="419"/>
      <c r="J519" s="419"/>
      <c r="K519" s="419"/>
      <c r="L519" s="419"/>
      <c r="M519" s="419"/>
      <c r="N519" s="419"/>
      <c r="O519" s="419"/>
      <c r="P519" s="419"/>
      <c r="Q519" s="419"/>
      <c r="R519" s="419"/>
      <c r="S519" s="419"/>
      <c r="T519" s="419"/>
      <c r="U519" s="419"/>
      <c r="V519" s="419"/>
      <c r="W519" s="419"/>
      <c r="X519" s="419"/>
      <c r="Y519" s="419"/>
      <c r="Z519" s="419"/>
      <c r="AA519" s="419"/>
      <c r="AB519" s="419"/>
      <c r="AC519" s="419"/>
      <c r="AD519" s="476"/>
      <c r="AE519" s="419"/>
      <c r="AF519" s="419"/>
      <c r="AG519" s="419"/>
      <c r="AH519" s="419"/>
      <c r="AN519" s="459"/>
      <c r="AP519" s="653"/>
      <c r="AQ519" s="653"/>
      <c r="AR519" s="653"/>
      <c r="AS519" s="653"/>
      <c r="AT519" s="653"/>
      <c r="AU519" s="653"/>
      <c r="AV519" s="653"/>
      <c r="AW519" s="653"/>
      <c r="AX519" s="653"/>
      <c r="AY519" s="653"/>
      <c r="BM519" s="405"/>
      <c r="BN519" s="405"/>
      <c r="BO519" s="405"/>
      <c r="BP519" s="405"/>
      <c r="BQ519" s="405"/>
      <c r="BR519" s="405"/>
      <c r="BS519" s="405"/>
      <c r="BT519" s="405"/>
      <c r="BU519" s="405"/>
      <c r="BV519" s="405"/>
      <c r="BW519" s="405"/>
      <c r="BX519" s="405"/>
      <c r="BY519" s="405"/>
      <c r="BZ519" s="405"/>
      <c r="CA519" s="405"/>
      <c r="CB519" s="405"/>
      <c r="CC519" s="405"/>
    </row>
    <row r="520" spans="1:81" s="418" customFormat="1" ht="12.75" hidden="1" customHeight="1">
      <c r="A520" s="497"/>
      <c r="B520" s="418" t="s">
        <v>2238</v>
      </c>
      <c r="C520" s="419"/>
      <c r="E520" s="419"/>
      <c r="F520" s="419"/>
      <c r="G520" s="419"/>
      <c r="H520" s="419"/>
      <c r="I520" s="419"/>
      <c r="J520" s="419"/>
      <c r="K520" s="419"/>
      <c r="L520" s="419"/>
      <c r="M520" s="419"/>
      <c r="N520" s="419"/>
      <c r="O520" s="419"/>
      <c r="P520" s="419"/>
      <c r="Q520" s="419"/>
      <c r="R520" s="419"/>
      <c r="S520" s="419"/>
      <c r="T520" s="419"/>
      <c r="U520" s="419"/>
      <c r="V520" s="419"/>
      <c r="W520" s="419"/>
      <c r="X520" s="419"/>
      <c r="Y520" s="419"/>
      <c r="Z520" s="419"/>
      <c r="AA520" s="419"/>
      <c r="AB520" s="419"/>
      <c r="AC520" s="419"/>
      <c r="AD520" s="476"/>
      <c r="AE520" s="419"/>
      <c r="AF520" s="419"/>
      <c r="AG520" s="419"/>
      <c r="AH520" s="419"/>
      <c r="AN520" s="459"/>
      <c r="AP520" s="653"/>
      <c r="AQ520" s="653"/>
      <c r="AR520" s="653"/>
      <c r="AS520" s="653"/>
      <c r="AT520" s="653"/>
      <c r="AU520" s="653"/>
      <c r="AV520" s="653"/>
      <c r="AW520" s="653"/>
      <c r="AX520" s="653"/>
      <c r="AY520" s="653"/>
      <c r="BM520" s="405"/>
      <c r="BN520" s="405"/>
      <c r="BO520" s="405"/>
      <c r="BP520" s="405"/>
      <c r="BQ520" s="405"/>
      <c r="BR520" s="405"/>
      <c r="BS520" s="405"/>
      <c r="BT520" s="405"/>
      <c r="BU520" s="405"/>
      <c r="BV520" s="405"/>
      <c r="BW520" s="405"/>
      <c r="BX520" s="405"/>
      <c r="BY520" s="405"/>
      <c r="BZ520" s="405"/>
      <c r="CA520" s="405"/>
      <c r="CB520" s="405"/>
      <c r="CC520" s="405"/>
    </row>
    <row r="521" spans="1:81" s="418" customFormat="1" ht="12.75" hidden="1" customHeight="1">
      <c r="A521" s="497"/>
      <c r="B521" s="418" t="s">
        <v>2239</v>
      </c>
      <c r="C521" s="419"/>
      <c r="E521" s="419"/>
      <c r="F521" s="419"/>
      <c r="G521" s="419"/>
      <c r="H521" s="419"/>
      <c r="I521" s="419"/>
      <c r="J521" s="419"/>
      <c r="K521" s="419"/>
      <c r="L521" s="419"/>
      <c r="M521" s="419"/>
      <c r="N521" s="419"/>
      <c r="O521" s="419"/>
      <c r="P521" s="419"/>
      <c r="Q521" s="419"/>
      <c r="R521" s="419"/>
      <c r="S521" s="419"/>
      <c r="T521" s="419"/>
      <c r="U521" s="419"/>
      <c r="V521" s="419"/>
      <c r="W521" s="419"/>
      <c r="X521" s="419"/>
      <c r="Y521" s="419"/>
      <c r="Z521" s="419"/>
      <c r="AA521" s="419"/>
      <c r="AB521" s="419"/>
      <c r="AC521" s="419"/>
      <c r="AD521" s="476"/>
      <c r="AE521" s="419"/>
      <c r="AF521" s="419"/>
      <c r="AG521" s="419"/>
      <c r="AH521" s="419"/>
      <c r="AN521" s="459"/>
      <c r="AP521" s="653"/>
      <c r="AQ521" s="653"/>
      <c r="AR521" s="653"/>
      <c r="AS521" s="653"/>
      <c r="AT521" s="653"/>
      <c r="AU521" s="653"/>
      <c r="AV521" s="653"/>
      <c r="AW521" s="653"/>
      <c r="AX521" s="653"/>
      <c r="AY521" s="653"/>
      <c r="BM521" s="405"/>
      <c r="BN521" s="405"/>
      <c r="BO521" s="405"/>
      <c r="BP521" s="405"/>
      <c r="BQ521" s="405"/>
      <c r="BR521" s="405"/>
      <c r="BS521" s="405"/>
      <c r="BT521" s="405"/>
      <c r="BU521" s="405"/>
      <c r="BV521" s="405"/>
      <c r="BW521" s="405"/>
      <c r="BX521" s="405"/>
      <c r="BY521" s="405"/>
      <c r="BZ521" s="405"/>
      <c r="CA521" s="405"/>
      <c r="CB521" s="405"/>
      <c r="CC521" s="405"/>
    </row>
    <row r="522" spans="1:81" s="418" customFormat="1" ht="12.75" hidden="1" customHeight="1">
      <c r="A522" s="497"/>
      <c r="B522" s="418" t="s">
        <v>2240</v>
      </c>
      <c r="C522" s="419"/>
      <c r="E522" s="419"/>
      <c r="F522" s="419"/>
      <c r="G522" s="419"/>
      <c r="H522" s="419"/>
      <c r="I522" s="419"/>
      <c r="J522" s="419"/>
      <c r="K522" s="419"/>
      <c r="L522" s="419"/>
      <c r="M522" s="419"/>
      <c r="N522" s="419"/>
      <c r="O522" s="419"/>
      <c r="P522" s="419"/>
      <c r="Q522" s="419"/>
      <c r="R522" s="419"/>
      <c r="S522" s="419"/>
      <c r="T522" s="419"/>
      <c r="U522" s="419"/>
      <c r="V522" s="419"/>
      <c r="W522" s="419"/>
      <c r="X522" s="419"/>
      <c r="Y522" s="419"/>
      <c r="Z522" s="419"/>
      <c r="AA522" s="419"/>
      <c r="AB522" s="419"/>
      <c r="AC522" s="419"/>
      <c r="AD522" s="476"/>
      <c r="AE522" s="419"/>
      <c r="AF522" s="419"/>
      <c r="AG522" s="419"/>
      <c r="AH522" s="419"/>
      <c r="AN522" s="459"/>
    </row>
    <row r="523" spans="1:81" s="418" customFormat="1" ht="12.75" hidden="1" customHeight="1">
      <c r="A523" s="654"/>
      <c r="C523" s="419"/>
      <c r="E523" s="419"/>
      <c r="F523" s="419"/>
      <c r="G523" s="419"/>
      <c r="H523" s="419"/>
      <c r="I523" s="419"/>
      <c r="J523" s="419"/>
      <c r="K523" s="419"/>
      <c r="L523" s="419"/>
      <c r="M523" s="419"/>
      <c r="N523" s="419"/>
      <c r="O523" s="419"/>
      <c r="P523" s="419"/>
      <c r="Q523" s="419"/>
      <c r="R523" s="419"/>
      <c r="S523" s="419"/>
      <c r="T523" s="419"/>
      <c r="U523" s="419"/>
      <c r="V523" s="419"/>
      <c r="W523" s="419"/>
      <c r="X523" s="419"/>
      <c r="Y523" s="419"/>
      <c r="Z523" s="419"/>
      <c r="AA523" s="419"/>
      <c r="AB523" s="419"/>
      <c r="AC523" s="419"/>
      <c r="AD523" s="476"/>
      <c r="AE523" s="419"/>
      <c r="AF523" s="419"/>
      <c r="AG523" s="419"/>
      <c r="AH523" s="419"/>
      <c r="AN523" s="459"/>
    </row>
    <row r="524" spans="1:81" s="418" customFormat="1" ht="12.75" hidden="1" customHeight="1">
      <c r="A524" s="467"/>
      <c r="B524" s="521"/>
      <c r="C524" s="521"/>
      <c r="D524" s="521"/>
      <c r="E524" s="521"/>
      <c r="F524" s="521"/>
      <c r="G524" s="521"/>
      <c r="H524" s="521"/>
      <c r="I524" s="521"/>
      <c r="J524" s="521"/>
      <c r="K524" s="521"/>
      <c r="L524" s="521"/>
      <c r="M524" s="521"/>
      <c r="N524" s="521"/>
      <c r="O524" s="521"/>
      <c r="P524" s="521"/>
      <c r="Q524" s="521"/>
      <c r="R524" s="521"/>
      <c r="S524" s="521"/>
      <c r="T524" s="521"/>
      <c r="U524" s="521"/>
      <c r="V524" s="521"/>
      <c r="W524" s="521"/>
      <c r="X524" s="521"/>
      <c r="Y524" s="521"/>
      <c r="Z524" s="521"/>
      <c r="AA524" s="521"/>
      <c r="AB524" s="521"/>
      <c r="AC524" s="522"/>
      <c r="AD524" s="521"/>
      <c r="AE524" s="521"/>
      <c r="AF524" s="521"/>
      <c r="AG524" s="521"/>
      <c r="AH524" s="430"/>
      <c r="AI524" s="431"/>
      <c r="AJ524" s="431" t="s">
        <v>2241</v>
      </c>
      <c r="AK524" s="1891">
        <f>SUM(AG468:AG513)</f>
        <v>0</v>
      </c>
      <c r="AL524" s="1892"/>
      <c r="AM524" s="1893"/>
      <c r="AN524" s="459"/>
      <c r="AP524" s="405"/>
      <c r="AQ524" s="405"/>
      <c r="AR524" s="405"/>
      <c r="AS524" s="405"/>
      <c r="AT524" s="405"/>
      <c r="AU524" s="405"/>
      <c r="AV524" s="405"/>
      <c r="AW524" s="405"/>
      <c r="AX524" s="405"/>
      <c r="AY524" s="405"/>
      <c r="AZ524" s="405"/>
    </row>
    <row r="525" spans="1:81" s="418" customFormat="1" ht="12.75" hidden="1" customHeight="1">
      <c r="B525" s="419"/>
      <c r="C525" s="419"/>
      <c r="D525" s="419"/>
      <c r="E525" s="419"/>
      <c r="F525" s="419"/>
      <c r="G525" s="419"/>
      <c r="H525" s="419"/>
      <c r="I525" s="419"/>
      <c r="J525" s="419"/>
      <c r="K525" s="419"/>
      <c r="L525" s="419"/>
      <c r="M525" s="419"/>
      <c r="N525" s="419"/>
      <c r="O525" s="419"/>
      <c r="P525" s="419"/>
      <c r="Q525" s="419"/>
      <c r="R525" s="419"/>
      <c r="S525" s="419"/>
      <c r="T525" s="419"/>
      <c r="U525" s="419"/>
      <c r="V525" s="419"/>
      <c r="W525" s="419"/>
      <c r="X525" s="419"/>
      <c r="Y525" s="419"/>
      <c r="Z525" s="419"/>
      <c r="AA525" s="419"/>
      <c r="AB525" s="419"/>
      <c r="AC525" s="476"/>
      <c r="AD525" s="419"/>
      <c r="AE525" s="419"/>
      <c r="AF525" s="419"/>
      <c r="AG525" s="419"/>
      <c r="AI525" s="1183"/>
      <c r="AJ525" s="1183"/>
      <c r="AK525" s="457"/>
      <c r="AL525" s="457"/>
      <c r="AM525" s="457"/>
      <c r="AN525" s="459"/>
      <c r="AP525" s="405"/>
      <c r="AQ525" s="405"/>
      <c r="AR525" s="405"/>
      <c r="AS525" s="405"/>
      <c r="AT525" s="405"/>
      <c r="AU525" s="405"/>
      <c r="AV525" s="405"/>
      <c r="AW525" s="405"/>
      <c r="AX525" s="405"/>
      <c r="AY525" s="405"/>
      <c r="AZ525" s="405"/>
    </row>
    <row r="526" spans="1:81" ht="13" thickTop="1"/>
    <row r="527" spans="1:81" s="418" customFormat="1" ht="12.75" customHeight="1">
      <c r="A527" s="408" t="s">
        <v>2242</v>
      </c>
      <c r="B527" s="408" t="s">
        <v>2243</v>
      </c>
      <c r="C527" s="419"/>
      <c r="D527" s="419"/>
      <c r="E527" s="419"/>
      <c r="F527" s="419"/>
      <c r="G527" s="419"/>
      <c r="H527" s="419"/>
      <c r="I527" s="419"/>
      <c r="J527" s="419"/>
      <c r="K527" s="419"/>
      <c r="L527" s="419"/>
      <c r="M527" s="419"/>
      <c r="N527" s="419"/>
      <c r="O527" s="419"/>
      <c r="P527" s="419"/>
      <c r="Q527" s="419"/>
      <c r="R527" s="419"/>
      <c r="S527" s="419"/>
      <c r="T527" s="419"/>
      <c r="U527" s="419"/>
      <c r="V527" s="419"/>
      <c r="W527" s="419"/>
      <c r="X527" s="419"/>
      <c r="Y527" s="419"/>
      <c r="Z527" s="419"/>
      <c r="AA527" s="419"/>
      <c r="AB527" s="419"/>
      <c r="AC527" s="476"/>
      <c r="AD527" s="419"/>
      <c r="AE527" s="1825" t="s">
        <v>2244</v>
      </c>
      <c r="AF527" s="1825"/>
      <c r="AG527" s="1825"/>
      <c r="AH527" s="1825"/>
      <c r="AI527" s="1825"/>
      <c r="AJ527" s="1825"/>
      <c r="AK527" s="1825"/>
      <c r="AL527" s="457"/>
      <c r="AM527" s="457"/>
      <c r="AN527" s="459"/>
    </row>
    <row r="528" spans="1:81" s="418" customFormat="1" ht="12.75" customHeight="1">
      <c r="A528" s="408"/>
      <c r="B528" s="408" t="s">
        <v>1974</v>
      </c>
      <c r="C528" s="419"/>
      <c r="D528" s="419"/>
      <c r="E528" s="419"/>
      <c r="F528" s="419"/>
      <c r="G528" s="419"/>
      <c r="H528" s="419"/>
      <c r="I528" s="419"/>
      <c r="J528" s="419"/>
      <c r="K528" s="419"/>
      <c r="L528" s="419"/>
      <c r="M528" s="419"/>
      <c r="N528" s="419"/>
      <c r="O528" s="419"/>
      <c r="P528" s="419"/>
      <c r="Q528" s="419"/>
      <c r="R528" s="419"/>
      <c r="S528" s="419"/>
      <c r="T528" s="419"/>
      <c r="U528" s="419"/>
      <c r="V528" s="419"/>
      <c r="W528" s="419"/>
      <c r="X528" s="419"/>
      <c r="Y528" s="419"/>
      <c r="Z528" s="419"/>
      <c r="AA528" s="419"/>
      <c r="AB528" s="419"/>
      <c r="AC528" s="476"/>
      <c r="AD528" s="419"/>
      <c r="AE528" s="1183"/>
      <c r="AF528" s="1183"/>
      <c r="AG528" s="1183"/>
      <c r="AH528" s="1183"/>
      <c r="AI528" s="1183"/>
      <c r="AJ528" s="1183"/>
      <c r="AK528" s="1183"/>
      <c r="AL528" s="457"/>
      <c r="AM528" s="457"/>
      <c r="AN528" s="459"/>
    </row>
    <row r="529" spans="1:49" s="418" customFormat="1" ht="12.75" customHeight="1">
      <c r="A529" s="408"/>
      <c r="B529" s="408"/>
      <c r="C529" s="419"/>
      <c r="D529" s="419"/>
      <c r="E529" s="419"/>
      <c r="F529" s="419"/>
      <c r="G529" s="419"/>
      <c r="H529" s="419"/>
      <c r="I529" s="419"/>
      <c r="J529" s="419"/>
      <c r="K529" s="419"/>
      <c r="L529" s="419"/>
      <c r="M529" s="419"/>
      <c r="N529" s="419"/>
      <c r="O529" s="419"/>
      <c r="P529" s="419"/>
      <c r="Q529" s="419"/>
      <c r="R529" s="419"/>
      <c r="S529" s="419"/>
      <c r="T529" s="419"/>
      <c r="U529" s="419"/>
      <c r="V529" s="419"/>
      <c r="W529" s="419"/>
      <c r="X529" s="419"/>
      <c r="Y529" s="419"/>
      <c r="Z529" s="419"/>
      <c r="AA529" s="419"/>
      <c r="AB529" s="419"/>
      <c r="AC529" s="476"/>
      <c r="AD529" s="419"/>
      <c r="AE529" s="1183"/>
      <c r="AF529" s="1183"/>
      <c r="AG529" s="1183"/>
      <c r="AH529" s="1183"/>
      <c r="AI529" s="1183"/>
      <c r="AJ529" s="1183"/>
      <c r="AK529" s="1183"/>
      <c r="AL529" s="457"/>
      <c r="AM529" s="457"/>
      <c r="AN529" s="459"/>
    </row>
    <row r="530" spans="1:49" s="418" customFormat="1" ht="12.75" customHeight="1">
      <c r="A530" s="408"/>
      <c r="B530" s="408"/>
      <c r="C530" s="1888" t="s">
        <v>837</v>
      </c>
      <c r="D530" s="1888"/>
      <c r="E530" s="419"/>
      <c r="F530" s="1974" t="s">
        <v>2245</v>
      </c>
      <c r="G530" s="1975"/>
      <c r="H530" s="1975"/>
      <c r="I530" s="1975"/>
      <c r="J530" s="1975"/>
      <c r="K530" s="1975"/>
      <c r="L530" s="1975"/>
      <c r="M530" s="1975"/>
      <c r="N530" s="1975"/>
      <c r="O530" s="1975"/>
      <c r="P530" s="1975"/>
      <c r="Q530" s="1975"/>
      <c r="R530" s="1975"/>
      <c r="S530" s="1975"/>
      <c r="T530" s="1975"/>
      <c r="U530" s="1975"/>
      <c r="V530" s="1975"/>
      <c r="W530" s="1975"/>
      <c r="X530" s="1975"/>
      <c r="Y530" s="1975"/>
      <c r="Z530" s="1975"/>
      <c r="AA530" s="1975"/>
      <c r="AB530" s="1975"/>
      <c r="AC530" s="1975"/>
      <c r="AD530" s="1975"/>
      <c r="AE530" s="1975"/>
      <c r="AF530" s="1975"/>
      <c r="AG530" s="1975"/>
      <c r="AH530" s="1975"/>
      <c r="AI530" s="1975"/>
      <c r="AJ530" s="1975"/>
      <c r="AK530" s="1975"/>
      <c r="AL530" s="1976"/>
      <c r="AM530" s="457"/>
      <c r="AN530" s="459"/>
    </row>
    <row r="531" spans="1:49" s="418" customFormat="1" ht="12.75" customHeight="1">
      <c r="A531" s="408"/>
      <c r="B531" s="408"/>
      <c r="C531" s="419"/>
      <c r="D531" s="419"/>
      <c r="E531" s="419"/>
      <c r="F531" s="1977"/>
      <c r="G531" s="1978"/>
      <c r="H531" s="1978"/>
      <c r="I531" s="1978"/>
      <c r="J531" s="1978"/>
      <c r="K531" s="1978"/>
      <c r="L531" s="1978"/>
      <c r="M531" s="1978"/>
      <c r="N531" s="1978"/>
      <c r="O531" s="1978"/>
      <c r="P531" s="1978"/>
      <c r="Q531" s="1978"/>
      <c r="R531" s="1978"/>
      <c r="S531" s="1978"/>
      <c r="T531" s="1978"/>
      <c r="U531" s="1978"/>
      <c r="V531" s="1978"/>
      <c r="W531" s="1978"/>
      <c r="X531" s="1978"/>
      <c r="Y531" s="1978"/>
      <c r="Z531" s="1978"/>
      <c r="AA531" s="1978"/>
      <c r="AB531" s="1978"/>
      <c r="AC531" s="1978"/>
      <c r="AD531" s="1978"/>
      <c r="AE531" s="1978"/>
      <c r="AF531" s="1978"/>
      <c r="AG531" s="1978"/>
      <c r="AH531" s="1978"/>
      <c r="AI531" s="1978"/>
      <c r="AJ531" s="1978"/>
      <c r="AK531" s="1978"/>
      <c r="AL531" s="1979"/>
      <c r="AM531" s="457"/>
      <c r="AN531" s="459"/>
    </row>
    <row r="532" spans="1:49" s="418" customFormat="1" ht="12.75" customHeight="1">
      <c r="A532" s="408"/>
      <c r="B532" s="408"/>
      <c r="C532" s="419"/>
      <c r="D532" s="419"/>
      <c r="E532" s="419"/>
      <c r="F532" s="655"/>
      <c r="G532" s="655"/>
      <c r="H532" s="655"/>
      <c r="I532" s="655"/>
      <c r="J532" s="655"/>
      <c r="K532" s="655"/>
      <c r="L532" s="655"/>
      <c r="M532" s="655"/>
      <c r="N532" s="655"/>
      <c r="O532" s="655"/>
      <c r="P532" s="655"/>
      <c r="Q532" s="655"/>
      <c r="R532" s="655"/>
      <c r="S532" s="655"/>
      <c r="T532" s="655"/>
      <c r="U532" s="655"/>
      <c r="V532" s="655"/>
      <c r="W532" s="655"/>
      <c r="X532" s="655"/>
      <c r="Y532" s="655"/>
      <c r="Z532" s="655"/>
      <c r="AA532" s="655"/>
      <c r="AB532" s="655"/>
      <c r="AC532" s="655"/>
      <c r="AD532" s="655"/>
      <c r="AE532" s="655"/>
      <c r="AF532" s="655"/>
      <c r="AG532" s="655"/>
      <c r="AH532" s="655"/>
      <c r="AI532" s="655"/>
      <c r="AJ532" s="655"/>
      <c r="AK532" s="655"/>
      <c r="AL532" s="655"/>
      <c r="AM532" s="457"/>
      <c r="AN532" s="459"/>
    </row>
    <row r="533" spans="1:49" s="418" customFormat="1" ht="12.75" customHeight="1">
      <c r="A533" s="408"/>
      <c r="B533" s="656"/>
      <c r="C533" s="1888" t="s">
        <v>299</v>
      </c>
      <c r="D533" s="1888"/>
      <c r="E533" s="656"/>
      <c r="F533" s="502" t="s">
        <v>2246</v>
      </c>
      <c r="G533" s="657"/>
      <c r="H533" s="658"/>
      <c r="I533" s="658"/>
      <c r="J533" s="658"/>
      <c r="K533" s="658"/>
      <c r="L533" s="658"/>
      <c r="M533" s="658"/>
      <c r="N533" s="658"/>
      <c r="O533" s="658"/>
      <c r="P533" s="658"/>
      <c r="Q533" s="658"/>
      <c r="R533" s="658"/>
      <c r="S533" s="658"/>
      <c r="T533" s="658"/>
      <c r="U533" s="658"/>
      <c r="V533" s="658"/>
      <c r="W533" s="658"/>
      <c r="X533" s="658"/>
      <c r="Y533" s="658"/>
      <c r="Z533" s="658"/>
      <c r="AA533" s="658"/>
      <c r="AB533" s="658"/>
      <c r="AC533" s="658"/>
      <c r="AD533" s="658"/>
      <c r="AE533" s="658"/>
      <c r="AF533" s="658"/>
      <c r="AG533" s="658"/>
      <c r="AH533" s="658"/>
      <c r="AI533" s="658"/>
      <c r="AJ533" s="658"/>
      <c r="AK533" s="659"/>
      <c r="AL533" s="660"/>
      <c r="AM533" s="457"/>
      <c r="AN533" s="459"/>
    </row>
    <row r="534" spans="1:49" s="418" customFormat="1" ht="12.75" customHeight="1">
      <c r="B534" s="656"/>
      <c r="C534" s="656"/>
      <c r="D534" s="656"/>
      <c r="E534" s="656"/>
      <c r="F534" s="1910" t="s">
        <v>2247</v>
      </c>
      <c r="G534" s="1911"/>
      <c r="H534" s="1911"/>
      <c r="I534" s="1911"/>
      <c r="J534" s="1911"/>
      <c r="K534" s="1911"/>
      <c r="L534" s="1911"/>
      <c r="M534" s="1911"/>
      <c r="N534" s="1911"/>
      <c r="O534" s="1911"/>
      <c r="P534" s="1911"/>
      <c r="Q534" s="1911"/>
      <c r="R534" s="1911"/>
      <c r="S534" s="1911"/>
      <c r="T534" s="1911"/>
      <c r="U534" s="1911"/>
      <c r="V534" s="1911"/>
      <c r="W534" s="1911"/>
      <c r="X534" s="1911"/>
      <c r="Y534" s="1911"/>
      <c r="Z534" s="1911"/>
      <c r="AA534" s="1911"/>
      <c r="AB534" s="1911"/>
      <c r="AC534" s="1911"/>
      <c r="AD534" s="1911"/>
      <c r="AE534" s="1911"/>
      <c r="AF534" s="1911"/>
      <c r="AG534" s="1911"/>
      <c r="AH534" s="1911"/>
      <c r="AI534" s="1911"/>
      <c r="AJ534" s="1911"/>
      <c r="AK534" s="1911"/>
      <c r="AL534" s="1912"/>
      <c r="AM534" s="457"/>
      <c r="AN534" s="459"/>
      <c r="AS534" s="712"/>
      <c r="AT534" s="712"/>
      <c r="AU534" s="712"/>
      <c r="AV534" s="712"/>
      <c r="AW534" s="712"/>
    </row>
    <row r="535" spans="1:49" s="418" customFormat="1" ht="12.75" customHeight="1">
      <c r="B535" s="656"/>
      <c r="C535" s="656"/>
      <c r="D535" s="656"/>
      <c r="E535" s="656"/>
      <c r="F535" s="1910"/>
      <c r="G535" s="1911"/>
      <c r="H535" s="1911"/>
      <c r="I535" s="1911"/>
      <c r="J535" s="1911"/>
      <c r="K535" s="1911"/>
      <c r="L535" s="1911"/>
      <c r="M535" s="1911"/>
      <c r="N535" s="1911"/>
      <c r="O535" s="1911"/>
      <c r="P535" s="1911"/>
      <c r="Q535" s="1911"/>
      <c r="R535" s="1911"/>
      <c r="S535" s="1911"/>
      <c r="T535" s="1911"/>
      <c r="U535" s="1911"/>
      <c r="V535" s="1911"/>
      <c r="W535" s="1911"/>
      <c r="X535" s="1911"/>
      <c r="Y535" s="1911"/>
      <c r="Z535" s="1911"/>
      <c r="AA535" s="1911"/>
      <c r="AB535" s="1911"/>
      <c r="AC535" s="1911"/>
      <c r="AD535" s="1911"/>
      <c r="AE535" s="1911"/>
      <c r="AF535" s="1911"/>
      <c r="AG535" s="1911"/>
      <c r="AH535" s="1911"/>
      <c r="AI535" s="1911"/>
      <c r="AJ535" s="1911"/>
      <c r="AK535" s="1911"/>
      <c r="AL535" s="1912"/>
      <c r="AM535" s="457"/>
      <c r="AN535" s="459"/>
    </row>
    <row r="536" spans="1:49" s="418" customFormat="1" ht="12.75" customHeight="1">
      <c r="B536" s="656"/>
      <c r="C536" s="656"/>
      <c r="D536" s="656"/>
      <c r="E536" s="656"/>
      <c r="F536" s="661" t="s">
        <v>2248</v>
      </c>
      <c r="G536" s="476"/>
      <c r="H536" s="476"/>
      <c r="I536" s="476"/>
      <c r="J536" s="476"/>
      <c r="K536" s="476"/>
      <c r="L536" s="476"/>
      <c r="M536" s="476"/>
      <c r="N536" s="476"/>
      <c r="O536" s="476"/>
      <c r="P536" s="476"/>
      <c r="Q536" s="476"/>
      <c r="R536" s="476"/>
      <c r="S536" s="476"/>
      <c r="T536" s="476"/>
      <c r="U536" s="476"/>
      <c r="V536" s="476"/>
      <c r="W536" s="476"/>
      <c r="X536" s="476"/>
      <c r="Y536" s="476"/>
      <c r="Z536" s="476"/>
      <c r="AA536" s="476"/>
      <c r="AB536" s="476"/>
      <c r="AC536" s="476"/>
      <c r="AD536" s="476"/>
      <c r="AE536" s="476"/>
      <c r="AF536" s="476"/>
      <c r="AG536" s="476"/>
      <c r="AH536" s="476"/>
      <c r="AI536" s="476"/>
      <c r="AJ536" s="476"/>
      <c r="AK536" s="476"/>
      <c r="AL536" s="662"/>
      <c r="AM536" s="457"/>
      <c r="AN536" s="459"/>
    </row>
    <row r="537" spans="1:49" s="418" customFormat="1" ht="12.75" customHeight="1">
      <c r="B537" s="656"/>
      <c r="C537" s="656"/>
      <c r="D537" s="656"/>
      <c r="E537" s="656"/>
      <c r="F537" s="1910" t="s">
        <v>2249</v>
      </c>
      <c r="G537" s="1911"/>
      <c r="H537" s="1911"/>
      <c r="I537" s="1911"/>
      <c r="J537" s="1911"/>
      <c r="K537" s="1911"/>
      <c r="L537" s="1911"/>
      <c r="M537" s="1911"/>
      <c r="N537" s="1911"/>
      <c r="O537" s="1911"/>
      <c r="P537" s="1911"/>
      <c r="Q537" s="1911"/>
      <c r="R537" s="1911"/>
      <c r="S537" s="1911"/>
      <c r="T537" s="1911"/>
      <c r="U537" s="1911"/>
      <c r="V537" s="1911"/>
      <c r="W537" s="1911"/>
      <c r="X537" s="1911"/>
      <c r="Y537" s="1911"/>
      <c r="Z537" s="1911"/>
      <c r="AA537" s="1911"/>
      <c r="AB537" s="1911"/>
      <c r="AC537" s="1911"/>
      <c r="AD537" s="1911"/>
      <c r="AE537" s="1911"/>
      <c r="AF537" s="1911"/>
      <c r="AG537" s="1911"/>
      <c r="AH537" s="1911"/>
      <c r="AI537" s="1911"/>
      <c r="AJ537" s="1911"/>
      <c r="AK537" s="1911"/>
      <c r="AL537" s="663"/>
      <c r="AM537" s="457"/>
      <c r="AN537" s="459"/>
    </row>
    <row r="538" spans="1:49" s="418" customFormat="1" ht="12.75" customHeight="1">
      <c r="B538" s="656"/>
      <c r="C538" s="656"/>
      <c r="D538" s="656"/>
      <c r="E538" s="656"/>
      <c r="F538" s="1913"/>
      <c r="G538" s="1914"/>
      <c r="H538" s="1914"/>
      <c r="I538" s="1914"/>
      <c r="J538" s="1914"/>
      <c r="K538" s="1914"/>
      <c r="L538" s="1914"/>
      <c r="M538" s="1914"/>
      <c r="N538" s="1914"/>
      <c r="O538" s="1914"/>
      <c r="P538" s="1914"/>
      <c r="Q538" s="1914"/>
      <c r="R538" s="1914"/>
      <c r="S538" s="1914"/>
      <c r="T538" s="1914"/>
      <c r="U538" s="1914"/>
      <c r="V538" s="1914"/>
      <c r="W538" s="1914"/>
      <c r="X538" s="1914"/>
      <c r="Y538" s="1914"/>
      <c r="Z538" s="1914"/>
      <c r="AA538" s="1914"/>
      <c r="AB538" s="1914"/>
      <c r="AC538" s="1914"/>
      <c r="AD538" s="1914"/>
      <c r="AE538" s="1914"/>
      <c r="AF538" s="1914"/>
      <c r="AG538" s="1914"/>
      <c r="AH538" s="1914"/>
      <c r="AI538" s="1914"/>
      <c r="AJ538" s="1914"/>
      <c r="AK538" s="1914"/>
      <c r="AL538" s="664"/>
      <c r="AM538" s="457"/>
      <c r="AN538" s="459"/>
    </row>
    <row r="539" spans="1:49" s="418" customFormat="1" ht="12.75" customHeight="1">
      <c r="B539" s="656"/>
      <c r="C539" s="656"/>
      <c r="D539" s="656"/>
      <c r="E539" s="656"/>
      <c r="F539" s="501"/>
      <c r="G539" s="501"/>
      <c r="H539" s="501"/>
      <c r="I539" s="501"/>
      <c r="J539" s="501"/>
      <c r="K539" s="501"/>
      <c r="L539" s="501"/>
      <c r="M539" s="501"/>
      <c r="N539" s="501"/>
      <c r="O539" s="501"/>
      <c r="P539" s="501"/>
      <c r="Q539" s="501"/>
      <c r="R539" s="501"/>
      <c r="S539" s="501"/>
      <c r="T539" s="501"/>
      <c r="U539" s="501"/>
      <c r="V539" s="501"/>
      <c r="W539" s="501"/>
      <c r="X539" s="501"/>
      <c r="Y539" s="501"/>
      <c r="Z539" s="501"/>
      <c r="AA539" s="501"/>
      <c r="AB539" s="501"/>
      <c r="AC539" s="501"/>
      <c r="AD539" s="501"/>
      <c r="AE539" s="501"/>
      <c r="AF539" s="501"/>
      <c r="AG539" s="501"/>
      <c r="AH539" s="501"/>
      <c r="AI539" s="501"/>
      <c r="AJ539" s="501"/>
      <c r="AK539" s="501"/>
      <c r="AL539" s="457"/>
      <c r="AM539" s="457"/>
      <c r="AN539" s="459"/>
      <c r="AP539" s="2038">
        <f>Application!AJ991</f>
        <v>28599492</v>
      </c>
      <c r="AQ539" s="2038"/>
      <c r="AR539" s="2038"/>
      <c r="AS539" s="418" t="s">
        <v>2250</v>
      </c>
    </row>
    <row r="540" spans="1:49" s="418" customFormat="1" ht="12.75" customHeight="1">
      <c r="A540" s="370"/>
      <c r="B540" s="1115" t="s">
        <v>2251</v>
      </c>
      <c r="C540" s="483"/>
      <c r="D540" s="483"/>
      <c r="E540" s="483"/>
      <c r="F540" s="12"/>
      <c r="G540" s="484"/>
      <c r="H540" s="484"/>
      <c r="I540" s="484"/>
      <c r="J540" s="484"/>
      <c r="K540" s="484"/>
      <c r="L540" s="484"/>
      <c r="M540" s="484"/>
      <c r="N540" s="484"/>
      <c r="O540" s="484"/>
      <c r="P540" s="484"/>
      <c r="Q540" s="484"/>
      <c r="R540" s="12"/>
      <c r="S540" s="12"/>
      <c r="T540" s="12"/>
      <c r="U540" s="12"/>
      <c r="V540" s="12"/>
      <c r="W540" s="12"/>
      <c r="X540" s="484"/>
      <c r="Y540" s="484"/>
      <c r="Z540" s="484"/>
      <c r="AA540" s="482"/>
      <c r="AB540" s="482"/>
      <c r="AC540" s="482"/>
      <c r="AD540" s="482"/>
      <c r="AE540" s="12"/>
      <c r="AF540" s="1894">
        <f>'Sources and Uses Budget'!S107+'Sources and Uses Budget'!T107</f>
        <v>42599253</v>
      </c>
      <c r="AG540" s="1894"/>
      <c r="AH540" s="1894"/>
      <c r="AI540" s="1894"/>
      <c r="AJ540" s="1894"/>
      <c r="AK540" s="457"/>
      <c r="AL540" s="457"/>
      <c r="AM540" s="457"/>
      <c r="AN540" s="459"/>
    </row>
    <row r="541" spans="1:49" s="418" customFormat="1" ht="12.75" customHeight="1">
      <c r="A541" s="485"/>
      <c r="B541" s="485" t="s">
        <v>2252</v>
      </c>
      <c r="C541" s="484"/>
      <c r="D541" s="484"/>
      <c r="E541" s="486"/>
      <c r="F541" s="486"/>
      <c r="G541" s="486"/>
      <c r="H541" s="486"/>
      <c r="I541" s="486"/>
      <c r="J541" s="486"/>
      <c r="K541" s="486"/>
      <c r="L541" s="484"/>
      <c r="M541" s="486"/>
      <c r="N541" s="486"/>
      <c r="O541" s="486"/>
      <c r="P541" s="486"/>
      <c r="Q541" s="486"/>
      <c r="R541" s="12"/>
      <c r="S541" s="12"/>
      <c r="T541" s="12"/>
      <c r="U541" s="12"/>
      <c r="V541" s="12"/>
      <c r="W541" s="12"/>
      <c r="X541" s="484"/>
      <c r="Y541" s="484"/>
      <c r="Z541" s="484"/>
      <c r="AA541" s="482"/>
      <c r="AB541" s="482"/>
      <c r="AC541" s="482"/>
      <c r="AD541" s="482"/>
      <c r="AE541" s="12"/>
      <c r="AF541" s="2043">
        <f>IFERROR(AP548,0)</f>
        <v>59318983.600000001</v>
      </c>
      <c r="AG541" s="2043"/>
      <c r="AH541" s="2043"/>
      <c r="AI541" s="2043"/>
      <c r="AJ541" s="2043"/>
      <c r="AK541" s="457"/>
      <c r="AL541" s="457"/>
      <c r="AM541" s="457"/>
      <c r="AN541" s="459"/>
      <c r="AP541" s="2038">
        <f>Application!AJ1044</f>
        <v>0</v>
      </c>
      <c r="AQ541" s="2038"/>
      <c r="AR541" s="2038"/>
      <c r="AS541" s="418" t="s">
        <v>1768</v>
      </c>
    </row>
    <row r="542" spans="1:49" s="418" customFormat="1" ht="12.75" customHeight="1">
      <c r="A542" s="484"/>
      <c r="B542" s="484" t="s">
        <v>1703</v>
      </c>
      <c r="C542" s="484"/>
      <c r="D542" s="484"/>
      <c r="E542" s="484"/>
      <c r="F542" s="484"/>
      <c r="G542" s="484"/>
      <c r="H542" s="484"/>
      <c r="I542" s="484"/>
      <c r="J542" s="484"/>
      <c r="K542" s="484"/>
      <c r="L542" s="484"/>
      <c r="M542" s="484"/>
      <c r="N542" s="484"/>
      <c r="O542" s="484"/>
      <c r="P542" s="484"/>
      <c r="Q542" s="484"/>
      <c r="R542" s="12"/>
      <c r="S542" s="12"/>
      <c r="T542" s="12"/>
      <c r="U542" s="12"/>
      <c r="V542" s="12"/>
      <c r="W542" s="12"/>
      <c r="X542" s="484"/>
      <c r="Y542" s="484"/>
      <c r="Z542" s="484"/>
      <c r="AA542" s="482"/>
      <c r="AB542" s="482"/>
      <c r="AC542" s="482"/>
      <c r="AD542" s="482"/>
      <c r="AE542" s="12"/>
      <c r="AF542" s="2044">
        <f>IFERROR(ROUNDDOWN(IF(C533="YES",((1-(AF540/AF541))*2),(1-(AF540/AF541))),2),0)</f>
        <v>0.28000000000000003</v>
      </c>
      <c r="AG542" s="2044"/>
      <c r="AH542" s="2044"/>
      <c r="AI542" s="2044"/>
      <c r="AJ542" s="2044"/>
      <c r="AK542" s="457"/>
      <c r="AL542" s="457"/>
      <c r="AM542" s="457"/>
      <c r="AN542" s="459"/>
      <c r="AP542" s="2041">
        <f>Application!AJ1048</f>
        <v>27455512.32</v>
      </c>
      <c r="AQ542" s="2041"/>
      <c r="AR542" s="2041"/>
      <c r="AS542" s="418" t="s">
        <v>1773</v>
      </c>
    </row>
    <row r="543" spans="1:49" s="418" customFormat="1" ht="12.75" customHeight="1">
      <c r="A543" s="484"/>
      <c r="B543" s="484"/>
      <c r="C543" s="484"/>
      <c r="D543" s="484"/>
      <c r="E543" s="484"/>
      <c r="F543" s="484"/>
      <c r="G543" s="484"/>
      <c r="H543" s="484"/>
      <c r="I543" s="484"/>
      <c r="J543" s="484"/>
      <c r="K543" s="484"/>
      <c r="L543" s="484"/>
      <c r="M543" s="484"/>
      <c r="N543" s="484"/>
      <c r="O543" s="484"/>
      <c r="P543" s="484"/>
      <c r="Q543" s="484"/>
      <c r="R543" s="12"/>
      <c r="S543" s="12"/>
      <c r="T543" s="12"/>
      <c r="U543" s="12"/>
      <c r="V543" s="12"/>
      <c r="W543" s="12"/>
      <c r="X543" s="484"/>
      <c r="Y543" s="484"/>
      <c r="Z543" s="484"/>
      <c r="AA543" s="482"/>
      <c r="AB543" s="482"/>
      <c r="AC543" s="482"/>
      <c r="AD543" s="482"/>
      <c r="AE543" s="12"/>
      <c r="AF543" s="665"/>
      <c r="AG543" s="665"/>
      <c r="AH543" s="665"/>
      <c r="AI543" s="665"/>
      <c r="AJ543" s="665"/>
      <c r="AK543" s="457"/>
      <c r="AL543" s="457"/>
      <c r="AM543" s="457"/>
      <c r="AN543" s="459"/>
      <c r="AP543" s="2037">
        <f>IF(((AP541+AP542)/AP539)&gt;0.8,0.8,((AP541+AP542)/AP539))</f>
        <v>0.8</v>
      </c>
      <c r="AQ543" s="2037"/>
      <c r="AR543" s="2037"/>
      <c r="AS543" s="418" t="s">
        <v>2253</v>
      </c>
    </row>
    <row r="544" spans="1:49" s="418" customFormat="1" ht="12.75" customHeight="1">
      <c r="A544" s="484"/>
      <c r="B544" s="1990" t="s">
        <v>2254</v>
      </c>
      <c r="C544" s="1991"/>
      <c r="D544" s="1991"/>
      <c r="E544" s="1991"/>
      <c r="F544" s="1991"/>
      <c r="G544" s="1991"/>
      <c r="H544" s="1991"/>
      <c r="I544" s="1991"/>
      <c r="J544" s="1991"/>
      <c r="K544" s="1991"/>
      <c r="L544" s="1991"/>
      <c r="M544" s="1991"/>
      <c r="N544" s="1991"/>
      <c r="O544" s="1991"/>
      <c r="P544" s="1991"/>
      <c r="Q544" s="1991"/>
      <c r="R544" s="1991"/>
      <c r="S544" s="1991"/>
      <c r="T544" s="1991"/>
      <c r="U544" s="1991"/>
      <c r="V544" s="1991"/>
      <c r="W544" s="1991"/>
      <c r="X544" s="1991"/>
      <c r="Y544" s="1991"/>
      <c r="Z544" s="1991"/>
      <c r="AA544" s="1991"/>
      <c r="AB544" s="1991"/>
      <c r="AC544" s="1991"/>
      <c r="AD544" s="1991"/>
      <c r="AE544" s="1991"/>
      <c r="AF544" s="1991"/>
      <c r="AG544" s="1991"/>
      <c r="AH544" s="1991"/>
      <c r="AI544" s="1991"/>
      <c r="AJ544" s="1992"/>
      <c r="AK544" s="457"/>
      <c r="AL544" s="457"/>
      <c r="AM544" s="457"/>
      <c r="AN544" s="459"/>
    </row>
    <row r="545" spans="1:45" s="418" customFormat="1" ht="12.75" customHeight="1">
      <c r="A545" s="484"/>
      <c r="B545" s="1993"/>
      <c r="C545" s="1994"/>
      <c r="D545" s="1994"/>
      <c r="E545" s="1994"/>
      <c r="F545" s="1994"/>
      <c r="G545" s="1994"/>
      <c r="H545" s="1994"/>
      <c r="I545" s="1994"/>
      <c r="J545" s="1994"/>
      <c r="K545" s="1994"/>
      <c r="L545" s="1994"/>
      <c r="M545" s="1994"/>
      <c r="N545" s="1994"/>
      <c r="O545" s="1994"/>
      <c r="P545" s="1994"/>
      <c r="Q545" s="1994"/>
      <c r="R545" s="1994"/>
      <c r="S545" s="1994"/>
      <c r="T545" s="1994"/>
      <c r="U545" s="1994"/>
      <c r="V545" s="1994"/>
      <c r="W545" s="1994"/>
      <c r="X545" s="1994"/>
      <c r="Y545" s="1994"/>
      <c r="Z545" s="1994"/>
      <c r="AA545" s="1994"/>
      <c r="AB545" s="1994"/>
      <c r="AC545" s="1994"/>
      <c r="AD545" s="1994"/>
      <c r="AE545" s="1994"/>
      <c r="AF545" s="1994"/>
      <c r="AG545" s="1994"/>
      <c r="AH545" s="1994"/>
      <c r="AI545" s="1994"/>
      <c r="AJ545" s="1995"/>
      <c r="AK545" s="457"/>
      <c r="AL545" s="457"/>
      <c r="AM545" s="457"/>
      <c r="AN545" s="459"/>
      <c r="AP545" s="2038">
        <f>AP546-AP541-AP542</f>
        <v>36439390</v>
      </c>
      <c r="AQ545" s="1946"/>
      <c r="AR545" s="1946"/>
      <c r="AS545" s="418" t="s">
        <v>2255</v>
      </c>
    </row>
    <row r="546" spans="1:45" s="418" customFormat="1" ht="12.75" customHeight="1">
      <c r="A546" s="484"/>
      <c r="B546" s="1996"/>
      <c r="C546" s="1997"/>
      <c r="D546" s="1997"/>
      <c r="E546" s="1997"/>
      <c r="F546" s="1997"/>
      <c r="G546" s="1997"/>
      <c r="H546" s="1997"/>
      <c r="I546" s="1997"/>
      <c r="J546" s="1997"/>
      <c r="K546" s="1997"/>
      <c r="L546" s="1997"/>
      <c r="M546" s="1997"/>
      <c r="N546" s="1997"/>
      <c r="O546" s="1997"/>
      <c r="P546" s="1997"/>
      <c r="Q546" s="1997"/>
      <c r="R546" s="1997"/>
      <c r="S546" s="1997"/>
      <c r="T546" s="1997"/>
      <c r="U546" s="1997"/>
      <c r="V546" s="1997"/>
      <c r="W546" s="1997"/>
      <c r="X546" s="1997"/>
      <c r="Y546" s="1997"/>
      <c r="Z546" s="1997"/>
      <c r="AA546" s="1997"/>
      <c r="AB546" s="1997"/>
      <c r="AC546" s="1997"/>
      <c r="AD546" s="1997"/>
      <c r="AE546" s="1997"/>
      <c r="AF546" s="1997"/>
      <c r="AG546" s="1997"/>
      <c r="AH546" s="1997"/>
      <c r="AI546" s="1997"/>
      <c r="AJ546" s="1998"/>
      <c r="AK546" s="457"/>
      <c r="AL546" s="457"/>
      <c r="AM546" s="457"/>
      <c r="AN546" s="459"/>
      <c r="AP546" s="2038">
        <f>Application!AJ1052</f>
        <v>63894902.32</v>
      </c>
      <c r="AQ546" s="2038"/>
      <c r="AR546" s="2038"/>
      <c r="AS546" s="418" t="s">
        <v>2256</v>
      </c>
    </row>
    <row r="547" spans="1:45" s="418" customFormat="1" ht="12.75" customHeight="1">
      <c r="B547" s="419"/>
      <c r="C547" s="419"/>
      <c r="D547" s="419"/>
      <c r="E547" s="419"/>
      <c r="F547" s="419"/>
      <c r="G547" s="419"/>
      <c r="H547" s="419"/>
      <c r="I547" s="419"/>
      <c r="J547" s="419"/>
      <c r="K547" s="419"/>
      <c r="L547" s="419"/>
      <c r="M547" s="419"/>
      <c r="N547" s="419"/>
      <c r="O547" s="419"/>
      <c r="P547" s="419"/>
      <c r="Q547" s="419"/>
      <c r="R547" s="419"/>
      <c r="S547" s="419"/>
      <c r="T547" s="419"/>
      <c r="U547" s="419"/>
      <c r="V547" s="419"/>
      <c r="W547" s="419"/>
      <c r="X547" s="419"/>
      <c r="Y547" s="419"/>
      <c r="Z547" s="419"/>
      <c r="AA547" s="419"/>
      <c r="AB547" s="419"/>
      <c r="AC547" s="476"/>
      <c r="AD547" s="419"/>
      <c r="AI547" s="1183"/>
      <c r="AJ547" s="1183"/>
      <c r="AK547" s="457"/>
      <c r="AL547" s="457"/>
      <c r="AM547" s="457"/>
      <c r="AN547" s="459"/>
    </row>
    <row r="548" spans="1:45" s="418" customFormat="1" ht="12.75" customHeight="1">
      <c r="A548" s="488"/>
      <c r="B548" s="488"/>
      <c r="C548" s="488"/>
      <c r="D548" s="488"/>
      <c r="E548" s="488"/>
      <c r="F548" s="488"/>
      <c r="G548" s="488"/>
      <c r="H548" s="488"/>
      <c r="I548" s="488"/>
      <c r="J548" s="488"/>
      <c r="K548" s="488"/>
      <c r="L548" s="488"/>
      <c r="M548" s="488"/>
      <c r="N548" s="488"/>
      <c r="O548" s="488"/>
      <c r="P548" s="488"/>
      <c r="Q548" s="488"/>
      <c r="R548" s="488"/>
      <c r="S548" s="488"/>
      <c r="T548" s="488"/>
      <c r="U548" s="488"/>
      <c r="V548" s="488"/>
      <c r="W548" s="488"/>
      <c r="X548" s="488"/>
      <c r="Y548" s="488"/>
      <c r="Z548" s="488"/>
      <c r="AA548" s="488"/>
      <c r="AB548" s="488"/>
      <c r="AC548" s="488"/>
      <c r="AD548" s="488"/>
      <c r="AE548" s="488"/>
      <c r="AF548" s="488"/>
      <c r="AG548" s="488"/>
      <c r="AH548" s="489"/>
      <c r="AI548" s="431"/>
      <c r="AJ548" s="431" t="s">
        <v>2257</v>
      </c>
      <c r="AK548" s="1999">
        <f>IFERROR(IF(AND(C530="N/A",C533="N/A"),0,IF(AF542=0,0,IF((AF542*100)&gt;12,12,(AF542*100)))),0)</f>
        <v>12</v>
      </c>
      <c r="AL548" s="1999"/>
      <c r="AM548" s="2000"/>
      <c r="AN548" s="459"/>
      <c r="AP548" s="2054">
        <f>AP545+(AP539*AP543)</f>
        <v>59318983.600000001</v>
      </c>
      <c r="AQ548" s="2055"/>
      <c r="AR548" s="2056"/>
    </row>
    <row r="549" spans="1:45" s="418" customFormat="1" ht="12.75" customHeight="1" thickBot="1">
      <c r="A549" s="610"/>
      <c r="B549" s="610"/>
      <c r="C549" s="610"/>
      <c r="D549" s="610"/>
      <c r="E549" s="610"/>
      <c r="F549" s="610"/>
      <c r="G549" s="610"/>
      <c r="H549" s="610"/>
      <c r="I549" s="610"/>
      <c r="J549" s="610"/>
      <c r="K549" s="610"/>
      <c r="L549" s="610"/>
      <c r="M549" s="610"/>
      <c r="N549" s="610"/>
      <c r="O549" s="610"/>
      <c r="P549" s="610"/>
      <c r="Q549" s="610"/>
      <c r="R549" s="610"/>
      <c r="S549" s="610"/>
      <c r="T549" s="610"/>
      <c r="U549" s="610"/>
      <c r="V549" s="610"/>
      <c r="W549" s="610"/>
      <c r="X549" s="610"/>
      <c r="Y549" s="610"/>
      <c r="Z549" s="610"/>
      <c r="AA549" s="610"/>
      <c r="AB549" s="610"/>
      <c r="AC549" s="610"/>
      <c r="AD549" s="610"/>
      <c r="AE549" s="610"/>
      <c r="AF549" s="610"/>
      <c r="AG549" s="610"/>
      <c r="AH549" s="610"/>
      <c r="AI549" s="610"/>
      <c r="AJ549" s="610"/>
      <c r="AK549" s="610"/>
      <c r="AL549" s="610"/>
      <c r="AM549" s="611"/>
      <c r="AN549" s="459"/>
    </row>
    <row r="550" spans="1:45" s="418" customFormat="1" ht="12.75" customHeight="1" thickTop="1">
      <c r="A550" s="523"/>
      <c r="B550" s="524"/>
      <c r="C550" s="523"/>
      <c r="D550" s="524"/>
      <c r="E550" s="524"/>
      <c r="F550" s="524"/>
      <c r="G550" s="524"/>
      <c r="H550" s="524"/>
      <c r="I550" s="524"/>
      <c r="J550" s="524"/>
      <c r="K550" s="524"/>
      <c r="L550" s="524"/>
      <c r="M550" s="524"/>
      <c r="N550" s="524"/>
      <c r="O550" s="524"/>
      <c r="P550" s="524"/>
      <c r="Q550" s="524"/>
      <c r="R550" s="524"/>
      <c r="S550" s="524"/>
      <c r="T550" s="524"/>
      <c r="U550" s="524"/>
      <c r="V550" s="524"/>
      <c r="W550" s="524"/>
      <c r="X550" s="524"/>
      <c r="Y550" s="524"/>
      <c r="Z550" s="524"/>
      <c r="AA550" s="524"/>
      <c r="AB550" s="524"/>
      <c r="AC550" s="525"/>
      <c r="AD550" s="525"/>
      <c r="AE550" s="525"/>
      <c r="AF550" s="524"/>
      <c r="AG550" s="524"/>
      <c r="AH550" s="524"/>
      <c r="AI550" s="524"/>
      <c r="AJ550" s="524"/>
      <c r="AK550" s="524"/>
      <c r="AL550" s="524"/>
      <c r="AM550" s="526"/>
      <c r="AN550" s="459"/>
    </row>
    <row r="551" spans="1:45" s="418" customFormat="1" ht="12.75" customHeight="1">
      <c r="A551" s="407" t="s">
        <v>2258</v>
      </c>
      <c r="C551" s="407"/>
      <c r="D551" s="465"/>
      <c r="E551" s="465"/>
      <c r="F551" s="465"/>
      <c r="G551" s="465"/>
      <c r="H551" s="465"/>
      <c r="I551" s="465"/>
      <c r="J551" s="465"/>
      <c r="K551" s="465"/>
      <c r="L551" s="465"/>
      <c r="M551" s="465"/>
      <c r="N551" s="465"/>
      <c r="O551" s="465"/>
      <c r="P551" s="465"/>
      <c r="Q551" s="465"/>
      <c r="R551" s="465"/>
      <c r="S551" s="465"/>
      <c r="T551" s="465"/>
      <c r="U551" s="465"/>
      <c r="V551" s="465"/>
      <c r="W551" s="465"/>
      <c r="X551" s="465"/>
      <c r="Y551" s="465"/>
      <c r="Z551" s="465"/>
      <c r="AA551" s="465"/>
      <c r="AB551" s="465"/>
      <c r="AC551" s="465"/>
      <c r="AD551" s="465"/>
      <c r="AE551" s="1825" t="s">
        <v>1958</v>
      </c>
      <c r="AF551" s="1825"/>
      <c r="AG551" s="1825"/>
      <c r="AH551" s="1825"/>
      <c r="AI551" s="1825"/>
      <c r="AJ551" s="1825"/>
      <c r="AK551" s="1825"/>
      <c r="AL551" s="1200"/>
      <c r="AM551" s="465"/>
      <c r="AN551" s="459"/>
    </row>
    <row r="552" spans="1:45" s="418" customFormat="1" ht="12.75" customHeight="1">
      <c r="C552" s="465"/>
      <c r="D552" s="465"/>
      <c r="E552" s="465"/>
      <c r="F552" s="465"/>
      <c r="G552" s="465"/>
      <c r="H552" s="465"/>
      <c r="I552" s="465"/>
      <c r="J552" s="465"/>
      <c r="K552" s="465"/>
      <c r="L552" s="465"/>
      <c r="M552" s="465"/>
      <c r="N552" s="465"/>
      <c r="O552" s="465"/>
      <c r="P552" s="465"/>
      <c r="Q552" s="465"/>
      <c r="R552" s="465"/>
      <c r="S552" s="465"/>
      <c r="T552" s="465"/>
      <c r="U552" s="465"/>
      <c r="V552" s="465"/>
      <c r="W552" s="465"/>
      <c r="X552" s="465"/>
      <c r="Y552" s="465"/>
      <c r="Z552" s="465"/>
      <c r="AA552" s="465"/>
      <c r="AB552" s="465"/>
      <c r="AC552" s="465"/>
      <c r="AD552" s="465"/>
      <c r="AE552" s="465"/>
      <c r="AF552" s="465"/>
      <c r="AG552" s="465"/>
      <c r="AH552" s="465"/>
      <c r="AI552" s="465"/>
      <c r="AJ552" s="465"/>
      <c r="AK552" s="465"/>
      <c r="AL552" s="465"/>
      <c r="AM552" s="465"/>
      <c r="AN552" s="459"/>
    </row>
    <row r="553" spans="1:45" s="418" customFormat="1" ht="12.75" customHeight="1">
      <c r="A553" s="465"/>
      <c r="B553" s="1911" t="s">
        <v>2259</v>
      </c>
      <c r="C553" s="1911"/>
      <c r="D553" s="1911"/>
      <c r="E553" s="1911"/>
      <c r="F553" s="1911"/>
      <c r="G553" s="1911"/>
      <c r="H553" s="1911"/>
      <c r="I553" s="1911"/>
      <c r="J553" s="1911"/>
      <c r="K553" s="1911"/>
      <c r="L553" s="1911"/>
      <c r="M553" s="1911"/>
      <c r="N553" s="1911"/>
      <c r="O553" s="1911"/>
      <c r="P553" s="1911"/>
      <c r="Q553" s="1911"/>
      <c r="R553" s="1911"/>
      <c r="S553" s="1911"/>
      <c r="T553" s="1911"/>
      <c r="U553" s="1911"/>
      <c r="V553" s="1911"/>
      <c r="W553" s="1911"/>
      <c r="X553" s="1911"/>
      <c r="Y553" s="1911"/>
      <c r="Z553" s="1911"/>
      <c r="AA553" s="1911"/>
      <c r="AB553" s="1911"/>
      <c r="AC553" s="1911"/>
      <c r="AD553" s="1911"/>
      <c r="AE553" s="1911"/>
      <c r="AF553" s="1911"/>
      <c r="AG553" s="1911"/>
      <c r="AH553" s="1911"/>
      <c r="AI553" s="1911"/>
      <c r="AJ553" s="1911"/>
      <c r="AK553" s="501"/>
      <c r="AL553" s="1203"/>
      <c r="AM553" s="465"/>
      <c r="AN553" s="459"/>
    </row>
    <row r="554" spans="1:45" s="418" customFormat="1" ht="12.75" customHeight="1">
      <c r="A554" s="465"/>
      <c r="B554" s="1911"/>
      <c r="C554" s="1911"/>
      <c r="D554" s="1911"/>
      <c r="E554" s="1911"/>
      <c r="F554" s="1911"/>
      <c r="G554" s="1911"/>
      <c r="H554" s="1911"/>
      <c r="I554" s="1911"/>
      <c r="J554" s="1911"/>
      <c r="K554" s="1911"/>
      <c r="L554" s="1911"/>
      <c r="M554" s="1911"/>
      <c r="N554" s="1911"/>
      <c r="O554" s="1911"/>
      <c r="P554" s="1911"/>
      <c r="Q554" s="1911"/>
      <c r="R554" s="1911"/>
      <c r="S554" s="1911"/>
      <c r="T554" s="1911"/>
      <c r="U554" s="1911"/>
      <c r="V554" s="1911"/>
      <c r="W554" s="1911"/>
      <c r="X554" s="1911"/>
      <c r="Y554" s="1911"/>
      <c r="Z554" s="1911"/>
      <c r="AA554" s="1911"/>
      <c r="AB554" s="1911"/>
      <c r="AC554" s="1911"/>
      <c r="AD554" s="1911"/>
      <c r="AE554" s="1911"/>
      <c r="AF554" s="1911"/>
      <c r="AG554" s="1911"/>
      <c r="AH554" s="1911"/>
      <c r="AI554" s="1911"/>
      <c r="AJ554" s="1911"/>
      <c r="AK554" s="501"/>
      <c r="AL554" s="1203"/>
      <c r="AM554" s="465"/>
      <c r="AN554" s="459"/>
    </row>
    <row r="555" spans="1:45" s="418" customFormat="1" ht="12.75" customHeight="1">
      <c r="A555" s="465"/>
      <c r="B555" s="1911"/>
      <c r="C555" s="1911"/>
      <c r="D555" s="1911"/>
      <c r="E555" s="1911"/>
      <c r="F555" s="1911"/>
      <c r="G555" s="1911"/>
      <c r="H555" s="1911"/>
      <c r="I555" s="1911"/>
      <c r="J555" s="1911"/>
      <c r="K555" s="1911"/>
      <c r="L555" s="1911"/>
      <c r="M555" s="1911"/>
      <c r="N555" s="1911"/>
      <c r="O555" s="1911"/>
      <c r="P555" s="1911"/>
      <c r="Q555" s="1911"/>
      <c r="R555" s="1911"/>
      <c r="S555" s="1911"/>
      <c r="T555" s="1911"/>
      <c r="U555" s="1911"/>
      <c r="V555" s="1911"/>
      <c r="W555" s="1911"/>
      <c r="X555" s="1911"/>
      <c r="Y555" s="1911"/>
      <c r="Z555" s="1911"/>
      <c r="AA555" s="1911"/>
      <c r="AB555" s="1911"/>
      <c r="AC555" s="1911"/>
      <c r="AD555" s="1911"/>
      <c r="AE555" s="1911"/>
      <c r="AF555" s="1911"/>
      <c r="AG555" s="1911"/>
      <c r="AH555" s="1911"/>
      <c r="AI555" s="1911"/>
      <c r="AJ555" s="1911"/>
      <c r="AK555" s="501"/>
      <c r="AL555" s="1203"/>
      <c r="AM555" s="465"/>
      <c r="AN555" s="459"/>
    </row>
    <row r="556" spans="1:45" s="418" customFormat="1" ht="12.75" customHeight="1">
      <c r="A556" s="465"/>
      <c r="B556" s="1911"/>
      <c r="C556" s="1911"/>
      <c r="D556" s="1911"/>
      <c r="E556" s="1911"/>
      <c r="F556" s="1911"/>
      <c r="G556" s="1911"/>
      <c r="H556" s="1911"/>
      <c r="I556" s="1911"/>
      <c r="J556" s="1911"/>
      <c r="K556" s="1911"/>
      <c r="L556" s="1911"/>
      <c r="M556" s="1911"/>
      <c r="N556" s="1911"/>
      <c r="O556" s="1911"/>
      <c r="P556" s="1911"/>
      <c r="Q556" s="1911"/>
      <c r="R556" s="1911"/>
      <c r="S556" s="1911"/>
      <c r="T556" s="1911"/>
      <c r="U556" s="1911"/>
      <c r="V556" s="1911"/>
      <c r="W556" s="1911"/>
      <c r="X556" s="1911"/>
      <c r="Y556" s="1911"/>
      <c r="Z556" s="1911"/>
      <c r="AA556" s="1911"/>
      <c r="AB556" s="1911"/>
      <c r="AC556" s="1911"/>
      <c r="AD556" s="1911"/>
      <c r="AE556" s="1911"/>
      <c r="AF556" s="1911"/>
      <c r="AG556" s="1911"/>
      <c r="AH556" s="1911"/>
      <c r="AI556" s="1911"/>
      <c r="AJ556" s="1911"/>
      <c r="AK556" s="501"/>
      <c r="AL556" s="1203"/>
      <c r="AM556" s="465"/>
      <c r="AN556" s="459"/>
    </row>
    <row r="557" spans="1:45" s="418" customFormat="1" ht="12.75" customHeight="1">
      <c r="A557" s="465"/>
      <c r="B557" s="1911"/>
      <c r="C557" s="1911"/>
      <c r="D557" s="1911"/>
      <c r="E557" s="1911"/>
      <c r="F557" s="1911"/>
      <c r="G557" s="1911"/>
      <c r="H557" s="1911"/>
      <c r="I557" s="1911"/>
      <c r="J557" s="1911"/>
      <c r="K557" s="1911"/>
      <c r="L557" s="1911"/>
      <c r="M557" s="1911"/>
      <c r="N557" s="1911"/>
      <c r="O557" s="1911"/>
      <c r="P557" s="1911"/>
      <c r="Q557" s="1911"/>
      <c r="R557" s="1911"/>
      <c r="S557" s="1911"/>
      <c r="T557" s="1911"/>
      <c r="U557" s="1911"/>
      <c r="V557" s="1911"/>
      <c r="W557" s="1911"/>
      <c r="X557" s="1911"/>
      <c r="Y557" s="1911"/>
      <c r="Z557" s="1911"/>
      <c r="AA557" s="1911"/>
      <c r="AB557" s="1911"/>
      <c r="AC557" s="1911"/>
      <c r="AD557" s="1911"/>
      <c r="AE557" s="1911"/>
      <c r="AF557" s="1911"/>
      <c r="AG557" s="1911"/>
      <c r="AH557" s="1911"/>
      <c r="AI557" s="1911"/>
      <c r="AJ557" s="1911"/>
      <c r="AK557" s="501"/>
      <c r="AL557" s="1203"/>
      <c r="AM557" s="465"/>
      <c r="AN557" s="459"/>
    </row>
    <row r="558" spans="1:45" s="418" customFormat="1" ht="12.75" customHeight="1">
      <c r="A558" s="465"/>
      <c r="B558" s="1911"/>
      <c r="C558" s="1911"/>
      <c r="D558" s="1911"/>
      <c r="E558" s="1911"/>
      <c r="F558" s="1911"/>
      <c r="G558" s="1911"/>
      <c r="H558" s="1911"/>
      <c r="I558" s="1911"/>
      <c r="J558" s="1911"/>
      <c r="K558" s="1911"/>
      <c r="L558" s="1911"/>
      <c r="M558" s="1911"/>
      <c r="N558" s="1911"/>
      <c r="O558" s="1911"/>
      <c r="P558" s="1911"/>
      <c r="Q558" s="1911"/>
      <c r="R558" s="1911"/>
      <c r="S558" s="1911"/>
      <c r="T558" s="1911"/>
      <c r="U558" s="1911"/>
      <c r="V558" s="1911"/>
      <c r="W558" s="1911"/>
      <c r="X558" s="1911"/>
      <c r="Y558" s="1911"/>
      <c r="Z558" s="1911"/>
      <c r="AA558" s="1911"/>
      <c r="AB558" s="1911"/>
      <c r="AC558" s="1911"/>
      <c r="AD558" s="1911"/>
      <c r="AE558" s="1911"/>
      <c r="AF558" s="1911"/>
      <c r="AG558" s="1911"/>
      <c r="AH558" s="1911"/>
      <c r="AI558" s="1911"/>
      <c r="AJ558" s="1911"/>
      <c r="AK558" s="501"/>
      <c r="AL558" s="1203"/>
      <c r="AM558" s="465"/>
      <c r="AN558" s="459"/>
    </row>
    <row r="559" spans="1:45" s="418" customFormat="1" ht="12.75" customHeight="1">
      <c r="A559" s="465"/>
      <c r="B559" s="1911"/>
      <c r="C559" s="1911"/>
      <c r="D559" s="1911"/>
      <c r="E559" s="1911"/>
      <c r="F559" s="1911"/>
      <c r="G559" s="1911"/>
      <c r="H559" s="1911"/>
      <c r="I559" s="1911"/>
      <c r="J559" s="1911"/>
      <c r="K559" s="1911"/>
      <c r="L559" s="1911"/>
      <c r="M559" s="1911"/>
      <c r="N559" s="1911"/>
      <c r="O559" s="1911"/>
      <c r="P559" s="1911"/>
      <c r="Q559" s="1911"/>
      <c r="R559" s="1911"/>
      <c r="S559" s="1911"/>
      <c r="T559" s="1911"/>
      <c r="U559" s="1911"/>
      <c r="V559" s="1911"/>
      <c r="W559" s="1911"/>
      <c r="X559" s="1911"/>
      <c r="Y559" s="1911"/>
      <c r="Z559" s="1911"/>
      <c r="AA559" s="1911"/>
      <c r="AB559" s="1911"/>
      <c r="AC559" s="1911"/>
      <c r="AD559" s="1911"/>
      <c r="AE559" s="1911"/>
      <c r="AF559" s="1911"/>
      <c r="AG559" s="1911"/>
      <c r="AH559" s="1911"/>
      <c r="AI559" s="1911"/>
      <c r="AJ559" s="1911"/>
      <c r="AK559" s="501"/>
      <c r="AL559" s="1203"/>
      <c r="AM559" s="465"/>
      <c r="AN559" s="459"/>
    </row>
    <row r="560" spans="1:45" ht="12.75" customHeight="1">
      <c r="A560" s="465"/>
      <c r="B560" s="1911"/>
      <c r="C560" s="1911"/>
      <c r="D560" s="1911"/>
      <c r="E560" s="1911"/>
      <c r="F560" s="1911"/>
      <c r="G560" s="1911"/>
      <c r="H560" s="1911"/>
      <c r="I560" s="1911"/>
      <c r="J560" s="1911"/>
      <c r="K560" s="1911"/>
      <c r="L560" s="1911"/>
      <c r="M560" s="1911"/>
      <c r="N560" s="1911"/>
      <c r="O560" s="1911"/>
      <c r="P560" s="1911"/>
      <c r="Q560" s="1911"/>
      <c r="R560" s="1911"/>
      <c r="S560" s="1911"/>
      <c r="T560" s="1911"/>
      <c r="U560" s="1911"/>
      <c r="V560" s="1911"/>
      <c r="W560" s="1911"/>
      <c r="X560" s="1911"/>
      <c r="Y560" s="1911"/>
      <c r="Z560" s="1911"/>
      <c r="AA560" s="1911"/>
      <c r="AB560" s="1911"/>
      <c r="AC560" s="1911"/>
      <c r="AD560" s="1911"/>
      <c r="AE560" s="1911"/>
      <c r="AF560" s="1911"/>
      <c r="AG560" s="1911"/>
      <c r="AH560" s="1911"/>
      <c r="AI560" s="1911"/>
      <c r="AJ560" s="1911"/>
      <c r="AK560" s="501"/>
      <c r="AL560" s="1203"/>
      <c r="AM560" s="465"/>
    </row>
    <row r="561" spans="1:42" s="418" customFormat="1" ht="12.75" customHeight="1">
      <c r="B561" s="1911"/>
      <c r="C561" s="1911"/>
      <c r="D561" s="1911"/>
      <c r="E561" s="1911"/>
      <c r="F561" s="1911"/>
      <c r="G561" s="1911"/>
      <c r="H561" s="1911"/>
      <c r="I561" s="1911"/>
      <c r="J561" s="1911"/>
      <c r="K561" s="1911"/>
      <c r="L561" s="1911"/>
      <c r="M561" s="1911"/>
      <c r="N561" s="1911"/>
      <c r="O561" s="1911"/>
      <c r="P561" s="1911"/>
      <c r="Q561" s="1911"/>
      <c r="R561" s="1911"/>
      <c r="S561" s="1911"/>
      <c r="T561" s="1911"/>
      <c r="U561" s="1911"/>
      <c r="V561" s="1911"/>
      <c r="W561" s="1911"/>
      <c r="X561" s="1911"/>
      <c r="Y561" s="1911"/>
      <c r="Z561" s="1911"/>
      <c r="AA561" s="1911"/>
      <c r="AB561" s="1911"/>
      <c r="AC561" s="1911"/>
      <c r="AD561" s="1911"/>
      <c r="AE561" s="1911"/>
      <c r="AF561" s="1911"/>
      <c r="AG561" s="1911"/>
      <c r="AH561" s="1911"/>
      <c r="AI561" s="1911"/>
      <c r="AJ561" s="1911"/>
      <c r="AK561" s="501"/>
      <c r="AL561" s="1203"/>
      <c r="AN561" s="459"/>
    </row>
    <row r="562" spans="1:42" s="418" customFormat="1" ht="12.75" customHeight="1">
      <c r="B562" s="501"/>
      <c r="C562" s="501"/>
      <c r="D562" s="501"/>
      <c r="E562" s="501"/>
      <c r="F562" s="501"/>
      <c r="G562" s="501"/>
      <c r="H562" s="501"/>
      <c r="I562" s="501"/>
      <c r="J562" s="501"/>
      <c r="K562" s="501"/>
      <c r="L562" s="501"/>
      <c r="M562" s="501"/>
      <c r="N562" s="501"/>
      <c r="O562" s="501"/>
      <c r="P562" s="501"/>
      <c r="Q562" s="501"/>
      <c r="R562" s="501"/>
      <c r="S562" s="501"/>
      <c r="T562" s="501"/>
      <c r="U562" s="501"/>
      <c r="V562" s="501"/>
      <c r="W562" s="501"/>
      <c r="X562" s="501"/>
      <c r="Y562" s="501"/>
      <c r="Z562" s="501"/>
      <c r="AA562" s="501"/>
      <c r="AB562" s="501"/>
      <c r="AC562" s="501"/>
      <c r="AD562" s="501"/>
      <c r="AE562" s="501"/>
      <c r="AF562" s="501"/>
      <c r="AG562" s="501"/>
      <c r="AH562" s="501"/>
      <c r="AI562" s="501"/>
      <c r="AJ562" s="501"/>
      <c r="AK562" s="501"/>
      <c r="AL562" s="1203"/>
      <c r="AN562" s="459"/>
    </row>
    <row r="563" spans="1:42" s="418" customFormat="1" ht="12.75" customHeight="1">
      <c r="B563" s="520" t="s">
        <v>2260</v>
      </c>
      <c r="C563" s="528"/>
      <c r="D563" s="1203"/>
      <c r="E563" s="1203"/>
      <c r="F563" s="1203"/>
      <c r="G563" s="1203"/>
      <c r="H563" s="1203"/>
      <c r="I563" s="1203"/>
      <c r="J563" s="1203"/>
      <c r="K563" s="1203"/>
      <c r="L563" s="1203"/>
      <c r="M563" s="1203"/>
      <c r="N563" s="1203"/>
      <c r="O563" s="1203"/>
      <c r="P563" s="1203"/>
      <c r="Q563" s="1203"/>
      <c r="R563" s="1203"/>
      <c r="S563" s="1203"/>
      <c r="T563" s="1203"/>
      <c r="U563" s="1203"/>
      <c r="V563" s="1203"/>
      <c r="W563" s="1203"/>
      <c r="X563" s="1203"/>
      <c r="Y563" s="1203"/>
      <c r="Z563" s="1203"/>
      <c r="AA563" s="1203"/>
      <c r="AB563" s="1203"/>
      <c r="AC563" s="1203"/>
      <c r="AD563" s="1203"/>
      <c r="AE563" s="1203"/>
      <c r="AF563" s="1203"/>
      <c r="AG563" s="1203"/>
      <c r="AH563" s="1203"/>
      <c r="AI563" s="1203"/>
      <c r="AN563" s="459"/>
      <c r="AP563" s="418" t="s">
        <v>299</v>
      </c>
    </row>
    <row r="564" spans="1:42" s="418" customFormat="1" ht="12.75" customHeight="1">
      <c r="B564" s="405"/>
      <c r="C564" s="528"/>
      <c r="D564" s="1203"/>
      <c r="E564" s="1203"/>
      <c r="F564" s="1203"/>
      <c r="G564" s="1203"/>
      <c r="H564" s="1203"/>
      <c r="I564" s="1203"/>
      <c r="J564" s="1203"/>
      <c r="K564" s="1203"/>
      <c r="L564" s="1203"/>
      <c r="M564" s="1203"/>
      <c r="N564" s="1203"/>
      <c r="O564" s="1203"/>
      <c r="P564" s="1203"/>
      <c r="Q564" s="1203"/>
      <c r="R564" s="1203"/>
      <c r="S564" s="1203"/>
      <c r="T564" s="1203"/>
      <c r="U564" s="1203"/>
      <c r="V564" s="1203"/>
      <c r="W564" s="1203"/>
      <c r="X564" s="1203"/>
      <c r="Y564" s="1203"/>
      <c r="Z564" s="1203"/>
      <c r="AA564" s="1203"/>
      <c r="AB564" s="1203"/>
      <c r="AC564" s="1203"/>
      <c r="AD564" s="1203"/>
      <c r="AE564" s="1203"/>
      <c r="AF564" s="1203"/>
      <c r="AG564" s="1203"/>
      <c r="AH564" s="1203"/>
      <c r="AI564" s="1203"/>
      <c r="AN564" s="459"/>
      <c r="AP564" s="418" t="s">
        <v>837</v>
      </c>
    </row>
    <row r="565" spans="1:42" s="418" customFormat="1" ht="12.75" customHeight="1">
      <c r="C565" s="408" t="s">
        <v>2261</v>
      </c>
      <c r="D565" s="529"/>
      <c r="E565" s="1203"/>
      <c r="F565" s="1203"/>
      <c r="G565" s="1203"/>
      <c r="H565" s="1203"/>
      <c r="I565" s="1203"/>
      <c r="J565" s="1203"/>
      <c r="K565" s="1203"/>
      <c r="L565" s="1203"/>
      <c r="M565" s="1203"/>
      <c r="N565" s="1203"/>
      <c r="O565" s="1203"/>
      <c r="P565" s="1203"/>
      <c r="Q565" s="1203"/>
      <c r="R565" s="1203"/>
      <c r="S565" s="1203"/>
      <c r="T565" s="1203"/>
      <c r="U565" s="1203"/>
      <c r="V565" s="1203"/>
      <c r="W565" s="1203"/>
      <c r="X565" s="1203"/>
      <c r="Y565" s="1203"/>
      <c r="Z565" s="1203"/>
      <c r="AA565" s="1203"/>
      <c r="AB565" s="1203"/>
      <c r="AC565" s="1203"/>
      <c r="AD565" s="1203"/>
      <c r="AE565" s="1203"/>
      <c r="AF565" s="1203"/>
      <c r="AG565" s="1203"/>
      <c r="AH565" s="1203"/>
      <c r="AI565" s="1203"/>
      <c r="AN565" s="459"/>
    </row>
    <row r="566" spans="1:42" s="418" customFormat="1" ht="12.75" customHeight="1">
      <c r="B566" s="405"/>
      <c r="C566" s="405"/>
      <c r="D566" s="1193"/>
      <c r="E566" s="1196"/>
      <c r="F566" s="1196"/>
      <c r="G566" s="1196"/>
      <c r="H566" s="1196"/>
      <c r="I566" s="1196"/>
      <c r="J566" s="1196"/>
      <c r="K566" s="1196"/>
      <c r="L566" s="1196"/>
      <c r="M566" s="1196"/>
      <c r="N566" s="1196"/>
      <c r="O566" s="1196"/>
      <c r="P566" s="1196"/>
      <c r="Q566" s="1196"/>
      <c r="R566" s="1196"/>
      <c r="S566" s="1196"/>
      <c r="T566" s="1196"/>
      <c r="U566" s="1196"/>
      <c r="V566" s="1196"/>
      <c r="W566" s="1196"/>
      <c r="X566" s="1196"/>
      <c r="Y566" s="1196"/>
      <c r="Z566" s="1196"/>
      <c r="AA566" s="1196"/>
      <c r="AB566" s="1196"/>
      <c r="AC566" s="1196"/>
      <c r="AD566" s="1196"/>
      <c r="AE566" s="1196"/>
      <c r="AF566" s="405"/>
      <c r="AG566" s="405"/>
      <c r="AH566" s="405"/>
      <c r="AI566" s="405"/>
      <c r="AJ566" s="405"/>
      <c r="AK566" s="405"/>
      <c r="AL566" s="405"/>
      <c r="AN566" s="459"/>
    </row>
    <row r="567" spans="1:42" s="418" customFormat="1" ht="12.75" customHeight="1">
      <c r="B567" s="405"/>
      <c r="C567" s="405"/>
      <c r="D567" s="520" t="s">
        <v>21</v>
      </c>
      <c r="E567" s="683" t="s">
        <v>2262</v>
      </c>
      <c r="F567" s="501"/>
      <c r="G567" s="501"/>
      <c r="H567" s="501"/>
      <c r="I567" s="501"/>
      <c r="J567" s="501"/>
      <c r="K567" s="501"/>
      <c r="L567" s="501"/>
      <c r="M567" s="501"/>
      <c r="N567" s="501"/>
      <c r="O567" s="501"/>
      <c r="P567" s="501"/>
      <c r="Q567" s="501"/>
      <c r="R567" s="501"/>
      <c r="S567" s="501"/>
      <c r="T567" s="501"/>
      <c r="U567" s="501"/>
      <c r="V567" s="501"/>
      <c r="W567" s="501"/>
      <c r="X567" s="501"/>
      <c r="Y567" s="501"/>
      <c r="Z567" s="501"/>
      <c r="AA567" s="501"/>
      <c r="AB567" s="501"/>
      <c r="AC567" s="405"/>
      <c r="AD567" s="405"/>
      <c r="AE567" s="405"/>
      <c r="AF567" s="1857" t="s">
        <v>2003</v>
      </c>
      <c r="AG567" s="1857"/>
      <c r="AH567" s="1857"/>
      <c r="AI567" s="1857"/>
      <c r="AJ567" s="1857"/>
      <c r="AK567" s="1857"/>
      <c r="AL567" s="1857"/>
      <c r="AN567" s="459"/>
    </row>
    <row r="568" spans="1:42" s="418" customFormat="1" ht="12.75" customHeight="1">
      <c r="B568" s="405"/>
      <c r="C568" s="476"/>
      <c r="D568" s="520"/>
      <c r="E568" s="683" t="s">
        <v>2263</v>
      </c>
      <c r="F568" s="501"/>
      <c r="G568" s="501"/>
      <c r="H568" s="501"/>
      <c r="I568" s="501"/>
      <c r="J568" s="501"/>
      <c r="K568" s="501"/>
      <c r="L568" s="501"/>
      <c r="M568" s="501"/>
      <c r="N568" s="501"/>
      <c r="O568" s="501"/>
      <c r="P568" s="501"/>
      <c r="Q568" s="501"/>
      <c r="R568" s="501"/>
      <c r="S568" s="501"/>
      <c r="T568" s="501"/>
      <c r="U568" s="501"/>
      <c r="V568" s="501"/>
      <c r="W568" s="501"/>
      <c r="X568" s="501"/>
      <c r="Y568" s="501"/>
      <c r="Z568" s="501"/>
      <c r="AA568" s="501"/>
      <c r="AB568" s="501"/>
      <c r="AC568" s="405"/>
      <c r="AD568" s="405"/>
      <c r="AE568" s="476"/>
      <c r="AF568" s="476"/>
      <c r="AG568" s="476"/>
      <c r="AH568" s="476"/>
      <c r="AI568" s="476"/>
      <c r="AJ568" s="476"/>
      <c r="AK568" s="476"/>
      <c r="AL568" s="476"/>
      <c r="AN568" s="459"/>
    </row>
    <row r="569" spans="1:42" s="418" customFormat="1" ht="12.75" customHeight="1">
      <c r="B569" s="405"/>
      <c r="C569" s="476"/>
      <c r="D569" s="520"/>
      <c r="E569" s="683" t="s">
        <v>2264</v>
      </c>
      <c r="F569" s="501"/>
      <c r="G569" s="501"/>
      <c r="H569" s="501"/>
      <c r="I569" s="501"/>
      <c r="J569" s="501"/>
      <c r="K569" s="501"/>
      <c r="L569" s="501"/>
      <c r="M569" s="501"/>
      <c r="N569" s="501"/>
      <c r="O569" s="501"/>
      <c r="P569" s="501"/>
      <c r="Q569" s="501"/>
      <c r="R569" s="501"/>
      <c r="S569" s="501"/>
      <c r="T569" s="501"/>
      <c r="U569" s="501"/>
      <c r="V569" s="501"/>
      <c r="W569" s="501"/>
      <c r="X569" s="501"/>
      <c r="Y569" s="501"/>
      <c r="Z569" s="501"/>
      <c r="AA569" s="501"/>
      <c r="AB569" s="501"/>
      <c r="AC569" s="405"/>
      <c r="AD569" s="405"/>
      <c r="AE569" s="476"/>
      <c r="AF569" s="476"/>
      <c r="AG569" s="476"/>
      <c r="AH569" s="476"/>
      <c r="AI569" s="476"/>
      <c r="AJ569" s="476"/>
      <c r="AK569" s="476"/>
      <c r="AL569" s="476"/>
      <c r="AN569" s="459"/>
    </row>
    <row r="570" spans="1:42" s="418" customFormat="1" ht="12.75" customHeight="1">
      <c r="B570" s="405"/>
      <c r="C570" s="476"/>
      <c r="D570" s="520"/>
      <c r="E570" s="683" t="s">
        <v>2265</v>
      </c>
      <c r="F570" s="501"/>
      <c r="G570" s="501"/>
      <c r="H570" s="501"/>
      <c r="I570" s="501"/>
      <c r="J570" s="501"/>
      <c r="K570" s="501"/>
      <c r="L570" s="501"/>
      <c r="M570" s="501"/>
      <c r="N570" s="501"/>
      <c r="O570" s="501"/>
      <c r="P570" s="501"/>
      <c r="Q570" s="501"/>
      <c r="R570" s="501"/>
      <c r="S570" s="501"/>
      <c r="T570" s="501"/>
      <c r="U570" s="501"/>
      <c r="V570" s="501"/>
      <c r="W570" s="501"/>
      <c r="X570" s="501"/>
      <c r="Y570" s="501"/>
      <c r="Z570" s="501"/>
      <c r="AA570" s="501"/>
      <c r="AB570" s="501"/>
      <c r="AC570" s="405"/>
      <c r="AD570" s="405"/>
      <c r="AE570" s="476"/>
      <c r="AF570" s="476"/>
      <c r="AG570" s="476"/>
      <c r="AH570" s="476"/>
      <c r="AI570" s="476"/>
      <c r="AJ570" s="476"/>
      <c r="AK570" s="476"/>
      <c r="AL570" s="476"/>
      <c r="AN570" s="459"/>
    </row>
    <row r="571" spans="1:42" s="418" customFormat="1" ht="12.75" customHeight="1">
      <c r="B571" s="405"/>
      <c r="C571" s="476"/>
      <c r="D571" s="520"/>
      <c r="E571" s="683" t="s">
        <v>2266</v>
      </c>
      <c r="F571" s="501"/>
      <c r="G571" s="501"/>
      <c r="H571" s="501"/>
      <c r="I571" s="501"/>
      <c r="J571" s="501"/>
      <c r="K571" s="501"/>
      <c r="L571" s="501"/>
      <c r="M571" s="501"/>
      <c r="N571" s="501"/>
      <c r="O571" s="501"/>
      <c r="P571" s="501"/>
      <c r="Q571" s="501"/>
      <c r="R571" s="501"/>
      <c r="S571" s="501"/>
      <c r="T571" s="501"/>
      <c r="U571" s="501"/>
      <c r="V571" s="501"/>
      <c r="W571" s="501"/>
      <c r="X571" s="501"/>
      <c r="Y571" s="501"/>
      <c r="Z571" s="501"/>
      <c r="AA571" s="501"/>
      <c r="AB571" s="501"/>
      <c r="AC571" s="405"/>
      <c r="AD571" s="405"/>
      <c r="AE571" s="476"/>
      <c r="AF571" s="476"/>
      <c r="AG571" s="476"/>
      <c r="AH571" s="476"/>
      <c r="AI571" s="476"/>
      <c r="AJ571" s="476"/>
      <c r="AK571" s="476"/>
      <c r="AL571" s="476"/>
      <c r="AN571" s="459"/>
      <c r="AO571" s="18" t="s">
        <v>2267</v>
      </c>
      <c r="AP571" s="418" t="b">
        <f>IF(Application!AF418&gt;=25,TRUE,FALSE)</f>
        <v>0</v>
      </c>
    </row>
    <row r="572" spans="1:42" s="418" customFormat="1" ht="12.75" customHeight="1">
      <c r="B572" s="405"/>
      <c r="C572" s="476"/>
      <c r="D572" s="520"/>
      <c r="E572" s="683" t="s">
        <v>2268</v>
      </c>
      <c r="F572" s="501"/>
      <c r="G572" s="501"/>
      <c r="H572" s="501"/>
      <c r="I572" s="501"/>
      <c r="J572" s="501"/>
      <c r="K572" s="501"/>
      <c r="L572" s="501"/>
      <c r="M572" s="501"/>
      <c r="N572" s="501"/>
      <c r="O572" s="501"/>
      <c r="P572" s="501"/>
      <c r="Q572" s="501"/>
      <c r="R572" s="501"/>
      <c r="S572" s="501"/>
      <c r="T572" s="501"/>
      <c r="U572" s="501"/>
      <c r="V572" s="501"/>
      <c r="W572" s="501"/>
      <c r="X572" s="501"/>
      <c r="Y572" s="501"/>
      <c r="Z572" s="501"/>
      <c r="AA572" s="501"/>
      <c r="AB572" s="501"/>
      <c r="AC572" s="405"/>
      <c r="AD572" s="405"/>
      <c r="AE572" s="476"/>
      <c r="AF572" s="476"/>
      <c r="AG572" s="476"/>
      <c r="AH572" s="476"/>
      <c r="AI572" s="476"/>
      <c r="AJ572" s="476"/>
      <c r="AK572" s="476"/>
      <c r="AL572" s="476"/>
      <c r="AN572" s="459"/>
      <c r="AO572" s="18" t="s">
        <v>2269</v>
      </c>
      <c r="AP572" s="418" t="b">
        <f>Application!Z199="Yes"</f>
        <v>1</v>
      </c>
    </row>
    <row r="573" spans="1:42" s="418" customFormat="1" ht="12.75" customHeight="1">
      <c r="B573" s="405"/>
      <c r="C573" s="476"/>
      <c r="D573" s="520"/>
      <c r="E573" s="683"/>
      <c r="F573" s="501"/>
      <c r="G573" s="501"/>
      <c r="H573" s="501"/>
      <c r="I573" s="501"/>
      <c r="J573" s="501"/>
      <c r="K573" s="501"/>
      <c r="L573" s="501"/>
      <c r="M573" s="501"/>
      <c r="N573" s="501"/>
      <c r="O573" s="501"/>
      <c r="P573" s="501"/>
      <c r="Q573" s="501"/>
      <c r="R573" s="501"/>
      <c r="S573" s="501"/>
      <c r="T573" s="501"/>
      <c r="U573" s="501"/>
      <c r="V573" s="501"/>
      <c r="W573" s="501"/>
      <c r="X573" s="501"/>
      <c r="Y573" s="501"/>
      <c r="Z573" s="501"/>
      <c r="AA573" s="501"/>
      <c r="AB573" s="501"/>
      <c r="AC573" s="405"/>
      <c r="AD573" s="405"/>
      <c r="AE573" s="476"/>
      <c r="AF573" s="405"/>
      <c r="AG573" s="405"/>
      <c r="AH573" s="405"/>
      <c r="AI573" s="405"/>
      <c r="AJ573" s="405"/>
      <c r="AK573" s="405"/>
      <c r="AL573" s="405"/>
      <c r="AN573" s="459"/>
    </row>
    <row r="574" spans="1:42" s="418" customFormat="1" ht="12.75" customHeight="1">
      <c r="A574" s="497"/>
      <c r="B574" s="405"/>
      <c r="C574" s="756"/>
      <c r="D574" s="520" t="s">
        <v>26</v>
      </c>
      <c r="E574" s="683" t="s">
        <v>2270</v>
      </c>
      <c r="F574" s="757"/>
      <c r="G574" s="757"/>
      <c r="H574" s="757"/>
      <c r="I574" s="757"/>
      <c r="J574" s="757"/>
      <c r="K574" s="757"/>
      <c r="L574" s="757"/>
      <c r="M574" s="757"/>
      <c r="N574" s="757"/>
      <c r="O574" s="757"/>
      <c r="P574" s="757"/>
      <c r="Q574" s="757"/>
      <c r="R574" s="757"/>
      <c r="S574" s="757"/>
      <c r="T574" s="757"/>
      <c r="U574" s="757"/>
      <c r="V574" s="757"/>
      <c r="W574" s="757"/>
      <c r="X574" s="757"/>
      <c r="Y574" s="757"/>
      <c r="Z574" s="757"/>
      <c r="AA574" s="757"/>
      <c r="AB574" s="757"/>
      <c r="AC574" s="405"/>
      <c r="AD574" s="405"/>
      <c r="AE574" s="405"/>
      <c r="AF574" s="1857" t="s">
        <v>2271</v>
      </c>
      <c r="AG574" s="1857"/>
      <c r="AH574" s="1857"/>
      <c r="AI574" s="1857"/>
      <c r="AJ574" s="1857"/>
      <c r="AK574" s="1857"/>
      <c r="AL574" s="1857"/>
      <c r="AN574" s="459"/>
    </row>
    <row r="575" spans="1:42" s="418" customFormat="1" ht="12.75" customHeight="1">
      <c r="B575" s="405"/>
      <c r="C575" s="758"/>
      <c r="D575" s="520"/>
      <c r="E575" s="683" t="s">
        <v>2272</v>
      </c>
      <c r="F575" s="757"/>
      <c r="G575" s="757"/>
      <c r="H575" s="757"/>
      <c r="I575" s="757"/>
      <c r="J575" s="757"/>
      <c r="K575" s="757"/>
      <c r="L575" s="757"/>
      <c r="M575" s="757"/>
      <c r="N575" s="757"/>
      <c r="O575" s="757"/>
      <c r="P575" s="757"/>
      <c r="Q575" s="757"/>
      <c r="R575" s="757"/>
      <c r="S575" s="757"/>
      <c r="T575" s="757"/>
      <c r="U575" s="757"/>
      <c r="V575" s="757"/>
      <c r="W575" s="757"/>
      <c r="X575" s="757"/>
      <c r="Y575" s="757"/>
      <c r="Z575" s="757"/>
      <c r="AA575" s="757"/>
      <c r="AB575" s="757"/>
      <c r="AC575" s="405"/>
      <c r="AD575" s="405"/>
      <c r="AE575" s="405"/>
      <c r="AF575" s="405"/>
      <c r="AG575" s="405"/>
      <c r="AH575" s="405"/>
      <c r="AI575" s="405"/>
      <c r="AJ575" s="405"/>
      <c r="AK575" s="405"/>
      <c r="AL575" s="405"/>
      <c r="AN575" s="459"/>
      <c r="AO575" s="418" t="s">
        <v>299</v>
      </c>
      <c r="AP575" s="530">
        <v>0</v>
      </c>
    </row>
    <row r="576" spans="1:42" s="418" customFormat="1" ht="12.75" customHeight="1">
      <c r="B576" s="471"/>
      <c r="C576" s="756"/>
      <c r="D576" s="520"/>
      <c r="E576" s="683" t="s">
        <v>2273</v>
      </c>
      <c r="F576" s="757"/>
      <c r="G576" s="757"/>
      <c r="H576" s="757"/>
      <c r="I576" s="757"/>
      <c r="J576" s="757"/>
      <c r="K576" s="757"/>
      <c r="L576" s="757"/>
      <c r="M576" s="757"/>
      <c r="N576" s="757"/>
      <c r="O576" s="757"/>
      <c r="P576" s="757"/>
      <c r="Q576" s="757"/>
      <c r="R576" s="757"/>
      <c r="S576" s="757"/>
      <c r="T576" s="757"/>
      <c r="U576" s="757"/>
      <c r="V576" s="757"/>
      <c r="W576" s="757"/>
      <c r="X576" s="757"/>
      <c r="Y576" s="757"/>
      <c r="Z576" s="757"/>
      <c r="AA576" s="757"/>
      <c r="AB576" s="757"/>
      <c r="AC576" s="405"/>
      <c r="AD576" s="405"/>
      <c r="AE576" s="405"/>
      <c r="AF576" s="405"/>
      <c r="AG576" s="405"/>
      <c r="AH576" s="405"/>
      <c r="AI576" s="405"/>
      <c r="AJ576" s="405"/>
      <c r="AK576" s="405"/>
      <c r="AL576" s="405"/>
      <c r="AN576" s="459"/>
      <c r="AO576" s="472" t="s">
        <v>21</v>
      </c>
      <c r="AP576" s="418">
        <f>7*AP571</f>
        <v>0</v>
      </c>
    </row>
    <row r="577" spans="1:53" s="418" customFormat="1" ht="12.75" customHeight="1">
      <c r="B577" s="471"/>
      <c r="C577" s="756"/>
      <c r="D577" s="520"/>
      <c r="E577" s="683" t="s">
        <v>2274</v>
      </c>
      <c r="F577" s="757"/>
      <c r="G577" s="757"/>
      <c r="H577" s="757"/>
      <c r="I577" s="757"/>
      <c r="J577" s="757"/>
      <c r="K577" s="757"/>
      <c r="L577" s="757"/>
      <c r="M577" s="757"/>
      <c r="N577" s="757"/>
      <c r="O577" s="757"/>
      <c r="P577" s="757"/>
      <c r="Q577" s="757"/>
      <c r="R577" s="757"/>
      <c r="S577" s="757"/>
      <c r="T577" s="757"/>
      <c r="U577" s="757"/>
      <c r="V577" s="757"/>
      <c r="W577" s="757"/>
      <c r="X577" s="757"/>
      <c r="Y577" s="757"/>
      <c r="Z577" s="757"/>
      <c r="AA577" s="757"/>
      <c r="AB577" s="757"/>
      <c r="AC577" s="405"/>
      <c r="AD577" s="405"/>
      <c r="AE577" s="405"/>
      <c r="AF577" s="405"/>
      <c r="AG577" s="405"/>
      <c r="AH577" s="405"/>
      <c r="AI577" s="405"/>
      <c r="AJ577" s="405"/>
      <c r="AK577" s="405"/>
      <c r="AL577" s="405"/>
      <c r="AN577" s="459"/>
      <c r="AO577" s="472" t="s">
        <v>26</v>
      </c>
      <c r="AP577" s="418">
        <v>6</v>
      </c>
    </row>
    <row r="578" spans="1:53" s="418" customFormat="1" ht="12.75" customHeight="1">
      <c r="B578" s="471"/>
      <c r="C578" s="756"/>
      <c r="D578" s="520"/>
      <c r="E578" s="683" t="s">
        <v>2275</v>
      </c>
      <c r="F578" s="757"/>
      <c r="G578" s="757"/>
      <c r="H578" s="757"/>
      <c r="I578" s="757"/>
      <c r="J578" s="757"/>
      <c r="K578" s="757"/>
      <c r="L578" s="757"/>
      <c r="M578" s="757"/>
      <c r="N578" s="757"/>
      <c r="O578" s="757"/>
      <c r="P578" s="757"/>
      <c r="Q578" s="757"/>
      <c r="R578" s="757"/>
      <c r="S578" s="757"/>
      <c r="T578" s="757"/>
      <c r="U578" s="757"/>
      <c r="V578" s="757"/>
      <c r="W578" s="757"/>
      <c r="X578" s="757"/>
      <c r="Y578" s="757"/>
      <c r="Z578" s="757"/>
      <c r="AA578" s="757"/>
      <c r="AB578" s="757"/>
      <c r="AC578" s="405"/>
      <c r="AD578" s="405"/>
      <c r="AE578" s="405"/>
      <c r="AF578" s="405"/>
      <c r="AG578" s="405"/>
      <c r="AH578" s="405"/>
      <c r="AI578" s="405"/>
      <c r="AJ578" s="405"/>
      <c r="AK578" s="405"/>
      <c r="AL578" s="405"/>
      <c r="AN578" s="459"/>
      <c r="AO578" s="472" t="s">
        <v>48</v>
      </c>
      <c r="AP578" s="418">
        <v>5</v>
      </c>
    </row>
    <row r="579" spans="1:53" s="418" customFormat="1" ht="12.75" customHeight="1">
      <c r="B579" s="471"/>
      <c r="C579" s="756"/>
      <c r="D579" s="520"/>
      <c r="E579" s="759"/>
      <c r="F579" s="760"/>
      <c r="G579" s="760"/>
      <c r="H579" s="760"/>
      <c r="I579" s="476"/>
      <c r="J579" s="476"/>
      <c r="K579" s="476"/>
      <c r="L579" s="476"/>
      <c r="M579" s="476"/>
      <c r="N579" s="476"/>
      <c r="O579" s="476"/>
      <c r="P579" s="476"/>
      <c r="Q579" s="476"/>
      <c r="R579" s="476"/>
      <c r="S579" s="476"/>
      <c r="T579" s="476"/>
      <c r="U579" s="476"/>
      <c r="V579" s="476"/>
      <c r="W579" s="476"/>
      <c r="X579" s="476"/>
      <c r="Y579" s="476"/>
      <c r="Z579" s="476"/>
      <c r="AA579" s="476"/>
      <c r="AB579" s="476"/>
      <c r="AC579" s="405"/>
      <c r="AD579" s="405"/>
      <c r="AE579" s="476"/>
      <c r="AF579" s="405"/>
      <c r="AG579" s="405"/>
      <c r="AH579" s="405"/>
      <c r="AI579" s="405"/>
      <c r="AJ579" s="405"/>
      <c r="AK579" s="405"/>
      <c r="AL579" s="405"/>
      <c r="AN579" s="459"/>
      <c r="AO579" s="472" t="s">
        <v>2276</v>
      </c>
      <c r="AP579" s="418">
        <v>4</v>
      </c>
    </row>
    <row r="580" spans="1:53" s="418" customFormat="1" ht="12.75" customHeight="1">
      <c r="B580" s="405"/>
      <c r="C580" s="756"/>
      <c r="D580" s="520" t="s">
        <v>48</v>
      </c>
      <c r="E580" s="683" t="s">
        <v>2277</v>
      </c>
      <c r="F580" s="757"/>
      <c r="G580" s="757"/>
      <c r="H580" s="757"/>
      <c r="I580" s="757"/>
      <c r="J580" s="757"/>
      <c r="K580" s="757"/>
      <c r="L580" s="757"/>
      <c r="M580" s="757"/>
      <c r="N580" s="757"/>
      <c r="O580" s="757"/>
      <c r="P580" s="757"/>
      <c r="Q580" s="757"/>
      <c r="R580" s="757"/>
      <c r="S580" s="757"/>
      <c r="T580" s="757"/>
      <c r="U580" s="757"/>
      <c r="V580" s="757"/>
      <c r="W580" s="757"/>
      <c r="X580" s="757"/>
      <c r="Y580" s="757"/>
      <c r="Z580" s="757"/>
      <c r="AA580" s="757"/>
      <c r="AB580" s="757"/>
      <c r="AC580" s="405"/>
      <c r="AD580" s="405"/>
      <c r="AE580" s="405"/>
      <c r="AF580" s="1857" t="s">
        <v>2278</v>
      </c>
      <c r="AG580" s="1857"/>
      <c r="AH580" s="1857"/>
      <c r="AI580" s="1857"/>
      <c r="AJ580" s="1857"/>
      <c r="AK580" s="1857"/>
      <c r="AL580" s="1857"/>
      <c r="AN580" s="459"/>
      <c r="AO580" s="472" t="s">
        <v>2279</v>
      </c>
      <c r="AP580" s="418">
        <v>3</v>
      </c>
    </row>
    <row r="581" spans="1:53" s="418" customFormat="1" ht="12.75" customHeight="1">
      <c r="B581" s="405"/>
      <c r="C581" s="758"/>
      <c r="D581" s="520"/>
      <c r="E581" s="683" t="s">
        <v>2272</v>
      </c>
      <c r="F581" s="757"/>
      <c r="G581" s="757"/>
      <c r="H581" s="757"/>
      <c r="I581" s="757"/>
      <c r="J581" s="757"/>
      <c r="K581" s="757"/>
      <c r="L581" s="757"/>
      <c r="M581" s="757"/>
      <c r="N581" s="757"/>
      <c r="O581" s="757"/>
      <c r="P581" s="757"/>
      <c r="Q581" s="757"/>
      <c r="R581" s="757"/>
      <c r="S581" s="757"/>
      <c r="T581" s="757"/>
      <c r="U581" s="757"/>
      <c r="V581" s="757"/>
      <c r="W581" s="757"/>
      <c r="X581" s="757"/>
      <c r="Y581" s="757"/>
      <c r="Z581" s="757"/>
      <c r="AA581" s="757"/>
      <c r="AB581" s="757"/>
      <c r="AC581" s="405"/>
      <c r="AD581" s="405"/>
      <c r="AE581" s="405"/>
      <c r="AF581" s="405"/>
      <c r="AG581" s="405"/>
      <c r="AH581" s="405"/>
      <c r="AI581" s="405"/>
      <c r="AJ581" s="405"/>
      <c r="AK581" s="405"/>
      <c r="AL581" s="405"/>
      <c r="AN581" s="459"/>
    </row>
    <row r="582" spans="1:53" s="418" customFormat="1" ht="12.75" customHeight="1">
      <c r="B582" s="405"/>
      <c r="C582" s="758"/>
      <c r="D582" s="520"/>
      <c r="E582" s="683" t="s">
        <v>2273</v>
      </c>
      <c r="F582" s="757"/>
      <c r="G582" s="757"/>
      <c r="H582" s="757"/>
      <c r="I582" s="757"/>
      <c r="J582" s="757"/>
      <c r="K582" s="757"/>
      <c r="L582" s="757"/>
      <c r="M582" s="757"/>
      <c r="N582" s="757"/>
      <c r="O582" s="757"/>
      <c r="P582" s="757"/>
      <c r="Q582" s="757"/>
      <c r="R582" s="757"/>
      <c r="S582" s="757"/>
      <c r="T582" s="757"/>
      <c r="U582" s="757"/>
      <c r="V582" s="757"/>
      <c r="W582" s="757"/>
      <c r="X582" s="757"/>
      <c r="Y582" s="757"/>
      <c r="Z582" s="757"/>
      <c r="AA582" s="757"/>
      <c r="AB582" s="757"/>
      <c r="AC582" s="405"/>
      <c r="AD582" s="405"/>
      <c r="AE582" s="405"/>
      <c r="AF582" s="405"/>
      <c r="AG582" s="405"/>
      <c r="AH582" s="405"/>
      <c r="AI582" s="405"/>
      <c r="AJ582" s="405"/>
      <c r="AK582" s="405"/>
      <c r="AL582" s="405"/>
      <c r="AN582" s="459"/>
      <c r="AO582" s="18" t="s">
        <v>2280</v>
      </c>
    </row>
    <row r="583" spans="1:53" s="418" customFormat="1" ht="12.75" customHeight="1">
      <c r="B583" s="405"/>
      <c r="C583" s="758"/>
      <c r="D583" s="520"/>
      <c r="E583" s="683" t="s">
        <v>2274</v>
      </c>
      <c r="F583" s="757"/>
      <c r="G583" s="757"/>
      <c r="H583" s="757"/>
      <c r="I583" s="757"/>
      <c r="J583" s="757"/>
      <c r="K583" s="757"/>
      <c r="L583" s="757"/>
      <c r="M583" s="757"/>
      <c r="N583" s="757"/>
      <c r="O583" s="757"/>
      <c r="P583" s="757"/>
      <c r="Q583" s="757"/>
      <c r="R583" s="757"/>
      <c r="S583" s="757"/>
      <c r="T583" s="757"/>
      <c r="U583" s="757"/>
      <c r="V583" s="757"/>
      <c r="W583" s="757"/>
      <c r="X583" s="757"/>
      <c r="Y583" s="757"/>
      <c r="Z583" s="757"/>
      <c r="AA583" s="757"/>
      <c r="AB583" s="757"/>
      <c r="AC583" s="405"/>
      <c r="AD583" s="405"/>
      <c r="AE583" s="405"/>
      <c r="AF583" s="405"/>
      <c r="AG583" s="405"/>
      <c r="AH583" s="405"/>
      <c r="AI583" s="405"/>
      <c r="AJ583" s="405"/>
      <c r="AK583" s="405"/>
      <c r="AL583" s="405"/>
      <c r="AN583" s="459"/>
      <c r="AO583" s="18" t="s">
        <v>2281</v>
      </c>
    </row>
    <row r="584" spans="1:53" s="418" customFormat="1" ht="12.75" customHeight="1">
      <c r="B584" s="405"/>
      <c r="C584" s="758"/>
      <c r="D584" s="520"/>
      <c r="E584" s="683" t="s">
        <v>2275</v>
      </c>
      <c r="F584" s="757"/>
      <c r="G584" s="757"/>
      <c r="H584" s="757"/>
      <c r="I584" s="757"/>
      <c r="J584" s="757"/>
      <c r="K584" s="757"/>
      <c r="L584" s="757"/>
      <c r="M584" s="757"/>
      <c r="N584" s="757"/>
      <c r="O584" s="757"/>
      <c r="P584" s="757"/>
      <c r="Q584" s="757"/>
      <c r="R584" s="757"/>
      <c r="S584" s="757"/>
      <c r="T584" s="757"/>
      <c r="U584" s="757"/>
      <c r="V584" s="757"/>
      <c r="W584" s="757"/>
      <c r="X584" s="757"/>
      <c r="Y584" s="757"/>
      <c r="Z584" s="757"/>
      <c r="AA584" s="757"/>
      <c r="AB584" s="757"/>
      <c r="AC584" s="405"/>
      <c r="AD584" s="405"/>
      <c r="AE584" s="405"/>
      <c r="AF584" s="405"/>
      <c r="AG584" s="405"/>
      <c r="AH584" s="405"/>
      <c r="AI584" s="405"/>
      <c r="AJ584" s="405"/>
      <c r="AK584" s="405"/>
      <c r="AL584" s="405"/>
      <c r="AN584" s="459"/>
      <c r="AO584" s="18" t="s">
        <v>2282</v>
      </c>
    </row>
    <row r="585" spans="1:53" s="418" customFormat="1" ht="12.75" customHeight="1">
      <c r="A585" s="12"/>
      <c r="B585" s="12"/>
      <c r="C585" s="12"/>
      <c r="D585" s="520"/>
      <c r="E585" s="531"/>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405"/>
      <c r="AD585" s="405"/>
      <c r="AE585" s="12"/>
      <c r="AF585" s="405"/>
      <c r="AG585" s="405"/>
      <c r="AH585" s="405"/>
      <c r="AI585" s="405"/>
      <c r="AJ585" s="405"/>
      <c r="AK585" s="405"/>
      <c r="AL585" s="405"/>
      <c r="AM585" s="12"/>
      <c r="AN585" s="459"/>
    </row>
    <row r="586" spans="1:53" s="418" customFormat="1" ht="12.75" customHeight="1">
      <c r="B586" s="405"/>
      <c r="C586" s="756"/>
      <c r="D586" s="520" t="s">
        <v>2276</v>
      </c>
      <c r="E586" s="683" t="s">
        <v>2283</v>
      </c>
      <c r="F586" s="757"/>
      <c r="G586" s="757"/>
      <c r="H586" s="757"/>
      <c r="I586" s="757"/>
      <c r="J586" s="757"/>
      <c r="K586" s="757"/>
      <c r="L586" s="757"/>
      <c r="M586" s="757"/>
      <c r="N586" s="757"/>
      <c r="O586" s="757"/>
      <c r="P586" s="757"/>
      <c r="Q586" s="757"/>
      <c r="R586" s="757"/>
      <c r="S586" s="757"/>
      <c r="T586" s="757"/>
      <c r="U586" s="757"/>
      <c r="V586" s="757"/>
      <c r="W586" s="757"/>
      <c r="X586" s="757"/>
      <c r="Y586" s="757"/>
      <c r="Z586" s="757"/>
      <c r="AA586" s="757"/>
      <c r="AB586" s="757"/>
      <c r="AC586" s="405"/>
      <c r="AD586" s="405"/>
      <c r="AE586" s="405"/>
      <c r="AF586" s="1857" t="s">
        <v>2284</v>
      </c>
      <c r="AG586" s="1857"/>
      <c r="AH586" s="1857"/>
      <c r="AI586" s="1857"/>
      <c r="AJ586" s="1857"/>
      <c r="AK586" s="1857"/>
      <c r="AL586" s="1857"/>
      <c r="AN586" s="459"/>
      <c r="AO586" s="418" t="str">
        <f>X623</f>
        <v>N/A</v>
      </c>
    </row>
    <row r="587" spans="1:53" s="418" customFormat="1" ht="12.75" customHeight="1">
      <c r="B587" s="405"/>
      <c r="C587" s="758"/>
      <c r="D587" s="520"/>
      <c r="E587" s="683" t="s">
        <v>2285</v>
      </c>
      <c r="F587" s="757"/>
      <c r="G587" s="757"/>
      <c r="H587" s="757"/>
      <c r="I587" s="757"/>
      <c r="J587" s="757"/>
      <c r="K587" s="757"/>
      <c r="L587" s="757"/>
      <c r="M587" s="757"/>
      <c r="N587" s="757"/>
      <c r="O587" s="757"/>
      <c r="P587" s="757"/>
      <c r="Q587" s="757"/>
      <c r="R587" s="757"/>
      <c r="S587" s="757"/>
      <c r="T587" s="757"/>
      <c r="U587" s="757"/>
      <c r="V587" s="757"/>
      <c r="W587" s="757"/>
      <c r="X587" s="757"/>
      <c r="Y587" s="757"/>
      <c r="Z587" s="757"/>
      <c r="AA587" s="757"/>
      <c r="AB587" s="757"/>
      <c r="AC587" s="12"/>
      <c r="AD587" s="12"/>
      <c r="AE587" s="405"/>
      <c r="AF587" s="405"/>
      <c r="AG587" s="405"/>
      <c r="AH587" s="405"/>
      <c r="AI587" s="405"/>
      <c r="AJ587" s="405"/>
      <c r="AK587" s="405"/>
      <c r="AL587" s="405"/>
      <c r="AN587" s="459"/>
      <c r="AU587" s="1189"/>
      <c r="AV587" s="1189"/>
      <c r="AW587" s="1189"/>
      <c r="AX587" s="1189"/>
      <c r="AY587" s="1189"/>
      <c r="AZ587" s="1189"/>
      <c r="BA587" s="1189"/>
    </row>
    <row r="588" spans="1:53" s="418" customFormat="1" ht="12.75" customHeight="1">
      <c r="B588" s="471"/>
      <c r="C588" s="756"/>
      <c r="D588" s="520"/>
      <c r="E588" s="683" t="s">
        <v>2286</v>
      </c>
      <c r="F588" s="757"/>
      <c r="G588" s="757"/>
      <c r="H588" s="757"/>
      <c r="I588" s="757"/>
      <c r="J588" s="757"/>
      <c r="K588" s="757"/>
      <c r="L588" s="757"/>
      <c r="M588" s="757"/>
      <c r="N588" s="757"/>
      <c r="O588" s="757"/>
      <c r="P588" s="757"/>
      <c r="Q588" s="757"/>
      <c r="R588" s="757"/>
      <c r="S588" s="757"/>
      <c r="T588" s="757"/>
      <c r="U588" s="757"/>
      <c r="V588" s="757"/>
      <c r="W588" s="757"/>
      <c r="X588" s="757"/>
      <c r="Y588" s="757"/>
      <c r="Z588" s="757"/>
      <c r="AA588" s="757"/>
      <c r="AB588" s="757"/>
      <c r="AC588" s="405"/>
      <c r="AD588" s="405"/>
      <c r="AE588" s="405"/>
      <c r="AF588" s="405"/>
      <c r="AG588" s="405"/>
      <c r="AH588" s="405"/>
      <c r="AI588" s="405"/>
      <c r="AJ588" s="405"/>
      <c r="AK588" s="405"/>
      <c r="AL588" s="405"/>
      <c r="AN588" s="459"/>
      <c r="AO588" s="18" t="s">
        <v>2287</v>
      </c>
    </row>
    <row r="589" spans="1:53" s="418" customFormat="1" ht="12.75" customHeight="1">
      <c r="B589" s="471"/>
      <c r="C589" s="756"/>
      <c r="D589" s="520"/>
      <c r="E589" s="683"/>
      <c r="F589" s="757"/>
      <c r="G589" s="757"/>
      <c r="H589" s="757"/>
      <c r="I589" s="757"/>
      <c r="J589" s="757"/>
      <c r="K589" s="757"/>
      <c r="L589" s="757"/>
      <c r="M589" s="757"/>
      <c r="N589" s="757"/>
      <c r="O589" s="757"/>
      <c r="P589" s="757"/>
      <c r="Q589" s="757"/>
      <c r="R589" s="757"/>
      <c r="S589" s="757"/>
      <c r="T589" s="757"/>
      <c r="U589" s="757"/>
      <c r="V589" s="757"/>
      <c r="W589" s="757"/>
      <c r="X589" s="757"/>
      <c r="Y589" s="757"/>
      <c r="Z589" s="757"/>
      <c r="AA589" s="757"/>
      <c r="AB589" s="757"/>
      <c r="AC589" s="405"/>
      <c r="AD589" s="405"/>
      <c r="AE589" s="405"/>
      <c r="AF589" s="405"/>
      <c r="AG589" s="405"/>
      <c r="AH589" s="405"/>
      <c r="AI589" s="405"/>
      <c r="AJ589" s="405"/>
      <c r="AK589" s="405"/>
      <c r="AL589" s="405"/>
      <c r="AN589" s="459"/>
      <c r="AO589" s="18" t="s">
        <v>2288</v>
      </c>
    </row>
    <row r="590" spans="1:53" s="418" customFormat="1" ht="12.75" customHeight="1">
      <c r="B590" s="471"/>
      <c r="C590" s="756"/>
      <c r="D590" s="520"/>
      <c r="E590" s="405" t="s">
        <v>2289</v>
      </c>
      <c r="O590" s="1942" t="s">
        <v>1079</v>
      </c>
      <c r="P590" s="1942"/>
      <c r="Q590" s="1942"/>
      <c r="R590" s="1942"/>
      <c r="S590" s="1942"/>
      <c r="T590" s="1942"/>
      <c r="U590" s="1942"/>
      <c r="V590" s="1942"/>
      <c r="W590" s="1942"/>
      <c r="X590" s="1942"/>
      <c r="Y590" s="1942"/>
      <c r="Z590" s="1942"/>
      <c r="AA590" s="1942"/>
      <c r="AB590" s="1942"/>
      <c r="AH590" s="405"/>
      <c r="AI590" s="405"/>
      <c r="AJ590" s="405"/>
      <c r="AK590" s="405"/>
      <c r="AL590" s="405"/>
      <c r="AN590" s="459"/>
    </row>
    <row r="591" spans="1:53" s="418" customFormat="1" ht="12.75" customHeight="1">
      <c r="B591" s="471"/>
      <c r="C591" s="756"/>
      <c r="D591" s="520"/>
      <c r="E591" s="683"/>
      <c r="F591" s="757"/>
      <c r="G591" s="757"/>
      <c r="H591" s="757"/>
      <c r="I591" s="757"/>
      <c r="J591" s="757"/>
      <c r="K591" s="757"/>
      <c r="L591" s="757"/>
      <c r="M591" s="757"/>
      <c r="N591" s="757"/>
      <c r="O591" s="757"/>
      <c r="P591" s="757"/>
      <c r="Q591" s="757"/>
      <c r="R591" s="757"/>
      <c r="S591" s="757"/>
      <c r="T591" s="757"/>
      <c r="U591" s="757"/>
      <c r="V591" s="757"/>
      <c r="W591" s="757"/>
      <c r="X591" s="757"/>
      <c r="Y591" s="757"/>
      <c r="Z591" s="757"/>
      <c r="AA591" s="757"/>
      <c r="AB591" s="757"/>
      <c r="AC591" s="405"/>
      <c r="AD591" s="405"/>
      <c r="AE591" s="405"/>
      <c r="AF591" s="405"/>
      <c r="AG591" s="405"/>
      <c r="AH591" s="405"/>
      <c r="AI591" s="405"/>
      <c r="AJ591" s="405"/>
      <c r="AK591" s="405"/>
      <c r="AL591" s="405"/>
      <c r="AN591" s="459"/>
    </row>
    <row r="592" spans="1:53" s="418" customFormat="1" ht="12.75" customHeight="1">
      <c r="B592" s="405"/>
      <c r="C592" s="756"/>
      <c r="D592" s="520" t="s">
        <v>2279</v>
      </c>
      <c r="E592" s="683" t="s">
        <v>2290</v>
      </c>
      <c r="F592" s="757"/>
      <c r="G592" s="757"/>
      <c r="H592" s="757"/>
      <c r="I592" s="757"/>
      <c r="J592" s="757"/>
      <c r="K592" s="757"/>
      <c r="L592" s="757"/>
      <c r="M592" s="757"/>
      <c r="N592" s="757"/>
      <c r="O592" s="757"/>
      <c r="P592" s="757"/>
      <c r="Q592" s="757"/>
      <c r="R592" s="757"/>
      <c r="S592" s="757"/>
      <c r="T592" s="757"/>
      <c r="U592" s="757"/>
      <c r="V592" s="757"/>
      <c r="W592" s="757"/>
      <c r="X592" s="757"/>
      <c r="Y592" s="757"/>
      <c r="Z592" s="757"/>
      <c r="AA592" s="757"/>
      <c r="AB592" s="757"/>
      <c r="AC592" s="405"/>
      <c r="AD592" s="405"/>
      <c r="AE592" s="405"/>
      <c r="AF592" s="1857" t="s">
        <v>2016</v>
      </c>
      <c r="AG592" s="1857"/>
      <c r="AH592" s="1857"/>
      <c r="AI592" s="1857"/>
      <c r="AJ592" s="1857"/>
      <c r="AK592" s="1857"/>
      <c r="AL592" s="1857"/>
      <c r="AN592" s="459"/>
    </row>
    <row r="593" spans="2:47" s="418" customFormat="1" ht="12.75" customHeight="1">
      <c r="B593" s="405"/>
      <c r="C593" s="756"/>
      <c r="D593" s="520"/>
      <c r="E593" s="683" t="s">
        <v>2291</v>
      </c>
      <c r="F593" s="757"/>
      <c r="G593" s="757"/>
      <c r="H593" s="757"/>
      <c r="I593" s="757"/>
      <c r="J593" s="757"/>
      <c r="K593" s="757"/>
      <c r="L593" s="757"/>
      <c r="M593" s="757"/>
      <c r="N593" s="757"/>
      <c r="O593" s="757"/>
      <c r="P593" s="757"/>
      <c r="Q593" s="757"/>
      <c r="R593" s="757"/>
      <c r="S593" s="757"/>
      <c r="T593" s="757"/>
      <c r="U593" s="757"/>
      <c r="V593" s="757"/>
      <c r="W593" s="757"/>
      <c r="X593" s="757"/>
      <c r="Y593" s="757"/>
      <c r="Z593" s="757"/>
      <c r="AA593" s="757"/>
      <c r="AB593" s="757"/>
      <c r="AC593" s="405"/>
      <c r="AD593" s="405"/>
      <c r="AE593" s="1189"/>
      <c r="AF593" s="405"/>
      <c r="AG593" s="405"/>
      <c r="AH593" s="405"/>
      <c r="AI593" s="405"/>
      <c r="AJ593" s="405"/>
      <c r="AK593" s="405"/>
      <c r="AL593" s="405"/>
      <c r="AN593" s="459"/>
    </row>
    <row r="594" spans="2:47" s="418" customFormat="1" ht="12.75" customHeight="1">
      <c r="B594" s="405"/>
      <c r="C594" s="758"/>
      <c r="D594" s="405"/>
      <c r="E594" s="476"/>
      <c r="F594" s="1207"/>
      <c r="G594" s="1207"/>
      <c r="H594" s="1207"/>
      <c r="I594" s="1207"/>
      <c r="J594" s="1207"/>
      <c r="K594" s="1207"/>
      <c r="L594" s="1207"/>
      <c r="M594" s="1207"/>
      <c r="N594" s="1207"/>
      <c r="O594" s="1207"/>
      <c r="P594" s="1207"/>
      <c r="Q594" s="1207"/>
      <c r="R594" s="1207"/>
      <c r="S594" s="1207"/>
      <c r="T594" s="1207"/>
      <c r="U594" s="1207"/>
      <c r="V594" s="1207"/>
      <c r="W594" s="1207"/>
      <c r="X594" s="1207"/>
      <c r="Y594" s="1207"/>
      <c r="Z594" s="1207"/>
      <c r="AA594" s="1207"/>
      <c r="AB594" s="1207"/>
      <c r="AC594" s="405"/>
      <c r="AD594" s="405"/>
      <c r="AE594" s="405"/>
      <c r="AF594" s="405"/>
      <c r="AG594" s="405"/>
      <c r="AH594" s="405"/>
      <c r="AI594" s="405"/>
      <c r="AJ594" s="405"/>
      <c r="AK594" s="405"/>
      <c r="AL594" s="405"/>
      <c r="AN594" s="459"/>
      <c r="AO594" s="418" t="s">
        <v>299</v>
      </c>
      <c r="AP594" s="530">
        <v>0</v>
      </c>
      <c r="AT594" s="418" t="s">
        <v>299</v>
      </c>
      <c r="AU594" s="530">
        <v>0</v>
      </c>
    </row>
    <row r="595" spans="2:47" s="418" customFormat="1" ht="12.75" customHeight="1">
      <c r="B595" s="405"/>
      <c r="C595" s="758"/>
      <c r="D595" s="405" t="s">
        <v>2292</v>
      </c>
      <c r="E595" s="1207"/>
      <c r="F595" s="1207"/>
      <c r="G595" s="1207"/>
      <c r="H595" s="1940" t="s">
        <v>2279</v>
      </c>
      <c r="I595" s="1940"/>
      <c r="J595" s="1207"/>
      <c r="K595" s="1207"/>
      <c r="L595" s="1207"/>
      <c r="N595" s="18"/>
      <c r="O595" s="18"/>
      <c r="P595" s="18"/>
      <c r="Q595" s="963" t="s">
        <v>2293</v>
      </c>
      <c r="R595" s="1943"/>
      <c r="S595" s="1943"/>
      <c r="T595" s="1943"/>
      <c r="U595" s="1943"/>
      <c r="V595" s="1943"/>
      <c r="W595" s="1943"/>
      <c r="X595" s="405"/>
      <c r="Y595" s="405"/>
      <c r="Z595" s="405"/>
      <c r="AA595" s="405"/>
      <c r="AB595" s="405"/>
      <c r="AC595" s="405"/>
      <c r="AD595" s="405"/>
      <c r="AE595" s="405"/>
      <c r="AF595" s="405"/>
      <c r="AG595" s="405"/>
      <c r="AH595" s="405"/>
      <c r="AI595" s="405"/>
      <c r="AJ595" s="405"/>
      <c r="AK595" s="405"/>
      <c r="AL595" s="405"/>
      <c r="AN595" s="459"/>
      <c r="AO595" s="472" t="s">
        <v>21</v>
      </c>
      <c r="AP595" s="418">
        <v>3</v>
      </c>
      <c r="AT595" s="472" t="s">
        <v>21</v>
      </c>
      <c r="AU595" s="418">
        <v>3</v>
      </c>
    </row>
    <row r="596" spans="2:47" s="418" customFormat="1" ht="12.75" customHeight="1">
      <c r="B596" s="405"/>
      <c r="C596" s="758"/>
      <c r="D596" s="405"/>
      <c r="E596" s="1207"/>
      <c r="F596" s="1207"/>
      <c r="G596" s="1207"/>
      <c r="H596" s="1207"/>
      <c r="I596" s="1207"/>
      <c r="J596" s="1207"/>
      <c r="K596" s="1207"/>
      <c r="L596" s="1207"/>
      <c r="M596" s="1207"/>
      <c r="N596" s="405"/>
      <c r="O596" s="405"/>
      <c r="P596" s="405"/>
      <c r="Q596" s="405"/>
      <c r="R596" s="405"/>
      <c r="S596" s="405"/>
      <c r="T596" s="405"/>
      <c r="U596" s="405"/>
      <c r="V596" s="405"/>
      <c r="W596" s="405"/>
      <c r="X596" s="405"/>
      <c r="Y596" s="1944" t="str">
        <f>IF(AND(H595="(i)",NOT(AP571)),AO588,IF(AND(H595="(iv)",OR(R595=AO584,R595=AO583),NOT(AP572)),AO589,""))</f>
        <v/>
      </c>
      <c r="Z596" s="1944"/>
      <c r="AA596" s="1944"/>
      <c r="AB596" s="1944"/>
      <c r="AC596" s="1944"/>
      <c r="AD596" s="1944"/>
      <c r="AE596" s="1944"/>
      <c r="AF596" s="1944"/>
      <c r="AG596" s="1944"/>
      <c r="AH596" s="1944"/>
      <c r="AI596" s="1944"/>
      <c r="AJ596" s="1944"/>
      <c r="AK596" s="1944"/>
      <c r="AL596" s="1944"/>
      <c r="AM596" s="1945"/>
      <c r="AN596" s="459"/>
      <c r="AO596" s="472" t="s">
        <v>26</v>
      </c>
      <c r="AP596" s="418">
        <v>2</v>
      </c>
      <c r="AT596" s="472" t="s">
        <v>26</v>
      </c>
      <c r="AU596" s="418">
        <v>2</v>
      </c>
    </row>
    <row r="597" spans="2:47" s="418" customFormat="1" ht="12.75" customHeight="1">
      <c r="B597" s="405"/>
      <c r="C597" s="758"/>
      <c r="D597" s="405"/>
      <c r="E597" s="1207"/>
      <c r="F597" s="1207"/>
      <c r="G597" s="1207"/>
      <c r="H597" s="1207"/>
      <c r="I597" s="1207"/>
      <c r="J597" s="1207"/>
      <c r="K597" s="1207"/>
      <c r="L597" s="1207"/>
      <c r="M597" s="1207"/>
      <c r="N597" s="405"/>
      <c r="O597" s="405"/>
      <c r="P597" s="405"/>
      <c r="Q597" s="405"/>
      <c r="X597" s="405"/>
      <c r="Y597" s="1944"/>
      <c r="Z597" s="1944"/>
      <c r="AA597" s="1944"/>
      <c r="AB597" s="1944"/>
      <c r="AC597" s="1944"/>
      <c r="AD597" s="1944"/>
      <c r="AE597" s="1944"/>
      <c r="AF597" s="1944"/>
      <c r="AG597" s="1944"/>
      <c r="AH597" s="1944"/>
      <c r="AI597" s="1944"/>
      <c r="AJ597" s="1944"/>
      <c r="AK597" s="1944"/>
      <c r="AL597" s="1944"/>
      <c r="AM597" s="1945"/>
      <c r="AN597" s="459"/>
      <c r="AO597" s="472"/>
      <c r="AT597" s="472"/>
    </row>
    <row r="598" spans="2:47" s="418" customFormat="1" ht="12.75" customHeight="1">
      <c r="B598" s="405"/>
      <c r="C598" s="758"/>
      <c r="D598" s="405" t="s">
        <v>2294</v>
      </c>
      <c r="E598" s="1207"/>
      <c r="F598" s="1207"/>
      <c r="G598" s="1207"/>
      <c r="H598" s="1207"/>
      <c r="I598" s="1207"/>
      <c r="J598" s="1207"/>
      <c r="K598" s="1207"/>
      <c r="L598" s="1207"/>
      <c r="M598" s="1207"/>
      <c r="N598" s="405"/>
      <c r="O598" s="405"/>
      <c r="P598" s="405"/>
      <c r="Q598" s="405"/>
      <c r="R598" s="405"/>
      <c r="S598" s="405"/>
      <c r="T598" s="405"/>
      <c r="U598" s="405"/>
      <c r="V598" s="405"/>
      <c r="W598" s="405"/>
      <c r="X598" s="405"/>
      <c r="Y598" s="405"/>
      <c r="Z598" s="405"/>
      <c r="AA598" s="405"/>
      <c r="AB598" s="405"/>
      <c r="AC598" s="405"/>
      <c r="AD598" s="405"/>
      <c r="AE598" s="405"/>
      <c r="AF598" s="405"/>
      <c r="AG598" s="405"/>
      <c r="AH598" s="405"/>
      <c r="AI598" s="405"/>
      <c r="AJ598" s="405"/>
      <c r="AK598" s="405"/>
      <c r="AL598" s="405"/>
      <c r="AN598" s="459"/>
    </row>
    <row r="599" spans="2:47" s="418" customFormat="1" ht="12.75" customHeight="1">
      <c r="B599" s="405"/>
      <c r="C599" s="758"/>
      <c r="D599" s="405" t="s">
        <v>2295</v>
      </c>
      <c r="E599" s="1207"/>
      <c r="F599" s="1207"/>
      <c r="G599" s="1207"/>
      <c r="H599" s="1207"/>
      <c r="I599" s="1207"/>
      <c r="J599" s="1207"/>
      <c r="K599" s="1207"/>
      <c r="L599" s="1207"/>
      <c r="M599" s="1207"/>
      <c r="N599" s="405"/>
      <c r="O599" s="405"/>
      <c r="P599" s="405"/>
      <c r="Q599" s="405"/>
      <c r="R599" s="405"/>
      <c r="S599" s="405"/>
      <c r="T599" s="405"/>
      <c r="U599" s="405"/>
      <c r="V599" s="405"/>
      <c r="W599" s="405"/>
      <c r="X599" s="405"/>
      <c r="Y599" s="405"/>
      <c r="Z599" s="405"/>
      <c r="AA599" s="405"/>
      <c r="AB599" s="405"/>
      <c r="AC599" s="405"/>
      <c r="AD599" s="405"/>
      <c r="AE599" s="405"/>
      <c r="AF599" s="405"/>
      <c r="AG599" s="405"/>
      <c r="AH599" s="405"/>
      <c r="AI599" s="405"/>
      <c r="AJ599" s="405"/>
      <c r="AK599" s="405"/>
      <c r="AL599" s="405"/>
      <c r="AN599" s="459"/>
    </row>
    <row r="600" spans="2:47" s="418" customFormat="1" ht="12.75" customHeight="1">
      <c r="B600" s="405"/>
      <c r="C600" s="758"/>
      <c r="D600" s="405" t="s">
        <v>2296</v>
      </c>
      <c r="E600" s="1207"/>
      <c r="F600" s="1207"/>
      <c r="G600" s="1207"/>
      <c r="H600" s="1207"/>
      <c r="I600" s="1207"/>
      <c r="J600" s="1207"/>
      <c r="K600" s="1207"/>
      <c r="L600" s="1207"/>
      <c r="M600" s="1207"/>
      <c r="N600" s="405"/>
      <c r="O600" s="405"/>
      <c r="P600" s="405"/>
      <c r="Q600" s="405"/>
      <c r="R600" s="405"/>
      <c r="S600" s="405"/>
      <c r="T600" s="405"/>
      <c r="U600" s="405"/>
      <c r="V600" s="405"/>
      <c r="W600" s="405"/>
      <c r="X600" s="405"/>
      <c r="Y600" s="405"/>
      <c r="Z600" s="405"/>
      <c r="AA600" s="405"/>
      <c r="AB600" s="405"/>
      <c r="AC600" s="405"/>
      <c r="AD600" s="405"/>
      <c r="AE600" s="405"/>
      <c r="AF600" s="405"/>
      <c r="AG600" s="405"/>
      <c r="AH600" s="405"/>
      <c r="AI600" s="405"/>
      <c r="AJ600" s="405"/>
      <c r="AK600" s="405"/>
      <c r="AL600" s="405"/>
      <c r="AN600" s="459"/>
    </row>
    <row r="601" spans="2:47" s="418" customFormat="1" ht="12.75" customHeight="1">
      <c r="B601" s="405"/>
      <c r="C601" s="758"/>
      <c r="D601" s="1192" t="s">
        <v>2297</v>
      </c>
      <c r="E601" s="1207"/>
      <c r="F601" s="1207"/>
      <c r="G601" s="1207"/>
      <c r="H601" s="1207"/>
      <c r="I601" s="1207"/>
      <c r="J601" s="1207"/>
      <c r="K601" s="1207"/>
      <c r="L601" s="1207"/>
      <c r="M601" s="1207"/>
      <c r="N601" s="405"/>
      <c r="O601" s="405"/>
      <c r="P601" s="405"/>
      <c r="Q601" s="405"/>
      <c r="R601" s="405"/>
      <c r="S601" s="405"/>
      <c r="T601" s="405"/>
      <c r="U601" s="405"/>
      <c r="V601" s="405"/>
      <c r="W601" s="405"/>
      <c r="X601" s="405"/>
      <c r="Y601" s="405"/>
      <c r="Z601" s="405"/>
      <c r="AA601" s="405"/>
      <c r="AB601" s="405"/>
      <c r="AC601" s="405"/>
      <c r="AD601" s="405"/>
      <c r="AE601" s="405"/>
      <c r="AF601" s="405"/>
      <c r="AG601" s="405"/>
      <c r="AH601" s="405"/>
      <c r="AI601" s="405"/>
      <c r="AJ601" s="405"/>
      <c r="AK601" s="405"/>
      <c r="AL601" s="405"/>
      <c r="AN601" s="459"/>
    </row>
    <row r="602" spans="2:47" s="418" customFormat="1" ht="12.75" customHeight="1">
      <c r="B602" s="405"/>
      <c r="C602" s="758"/>
      <c r="D602" s="405"/>
      <c r="E602" s="405"/>
      <c r="F602" s="405"/>
      <c r="G602" s="405"/>
      <c r="H602" s="405"/>
      <c r="I602" s="405"/>
      <c r="J602" s="405"/>
      <c r="K602" s="405"/>
      <c r="L602" s="405"/>
      <c r="M602" s="405"/>
      <c r="N602" s="405"/>
      <c r="O602" s="405"/>
      <c r="P602" s="405"/>
      <c r="Q602" s="405"/>
      <c r="R602" s="405"/>
      <c r="S602" s="405"/>
      <c r="T602" s="405"/>
      <c r="U602" s="405"/>
      <c r="V602" s="405"/>
      <c r="W602" s="405"/>
      <c r="X602" s="405"/>
      <c r="Y602" s="405"/>
      <c r="Z602" s="405"/>
      <c r="AA602" s="405"/>
      <c r="AB602" s="405"/>
      <c r="AC602" s="405"/>
      <c r="AD602" s="405"/>
      <c r="AE602" s="405"/>
      <c r="AF602" s="405"/>
      <c r="AG602" s="405"/>
      <c r="AH602" s="405"/>
      <c r="AI602" s="405"/>
      <c r="AJ602" s="405"/>
      <c r="AK602" s="405"/>
      <c r="AL602" s="405"/>
      <c r="AN602" s="459"/>
      <c r="AO602" s="418" t="s">
        <v>299</v>
      </c>
      <c r="AP602" s="530">
        <v>0</v>
      </c>
    </row>
    <row r="603" spans="2:47" s="418" customFormat="1" ht="12.75" customHeight="1">
      <c r="B603" s="405"/>
      <c r="C603" s="758"/>
      <c r="D603" s="405"/>
      <c r="E603" s="405" t="s">
        <v>2292</v>
      </c>
      <c r="F603" s="1207"/>
      <c r="G603" s="1207"/>
      <c r="I603" s="1941" t="s">
        <v>299</v>
      </c>
      <c r="J603" s="1941"/>
      <c r="K603" s="1941"/>
      <c r="L603" s="1941"/>
      <c r="M603" s="1941"/>
      <c r="N603" s="1941"/>
      <c r="O603" s="1941"/>
      <c r="P603" s="1941"/>
      <c r="Q603" s="1941"/>
      <c r="R603" s="1941"/>
      <c r="S603" s="1941"/>
      <c r="T603" s="1941"/>
      <c r="U603" s="1941"/>
      <c r="V603" s="1941"/>
      <c r="W603" s="1941"/>
      <c r="X603" s="1941"/>
      <c r="Y603" s="1941"/>
      <c r="Z603" s="1941"/>
      <c r="AA603" s="1941"/>
      <c r="AB603" s="1941"/>
      <c r="AC603" s="1941"/>
      <c r="AD603" s="1941"/>
      <c r="AE603" s="1941"/>
      <c r="AF603" s="405"/>
      <c r="AG603" s="405"/>
      <c r="AH603" s="405"/>
      <c r="AI603" s="405"/>
      <c r="AJ603" s="405"/>
      <c r="AK603" s="405"/>
      <c r="AL603" s="405"/>
      <c r="AN603" s="459"/>
      <c r="AO603" s="418" t="s">
        <v>2298</v>
      </c>
      <c r="AP603" s="418">
        <v>3</v>
      </c>
    </row>
    <row r="604" spans="2:47" s="418" customFormat="1" ht="12.75" customHeight="1">
      <c r="B604" s="405"/>
      <c r="C604" s="405"/>
      <c r="D604" s="405"/>
      <c r="E604" s="405"/>
      <c r="F604" s="501"/>
      <c r="G604" s="501"/>
      <c r="H604" s="501"/>
      <c r="I604" s="501"/>
      <c r="J604" s="501"/>
      <c r="K604" s="501"/>
      <c r="L604" s="501"/>
      <c r="M604" s="501"/>
      <c r="N604" s="501"/>
      <c r="O604" s="501"/>
      <c r="P604" s="501"/>
      <c r="Q604" s="501"/>
      <c r="R604" s="501"/>
      <c r="S604" s="501"/>
      <c r="T604" s="501"/>
      <c r="U604" s="501"/>
      <c r="V604" s="501"/>
      <c r="W604" s="501"/>
      <c r="X604" s="501"/>
      <c r="Y604" s="501"/>
      <c r="Z604" s="501"/>
      <c r="AA604" s="501"/>
      <c r="AB604" s="501"/>
      <c r="AC604" s="501"/>
      <c r="AD604" s="501"/>
      <c r="AE604" s="501"/>
      <c r="AF604" s="501"/>
      <c r="AG604" s="501"/>
      <c r="AH604" s="501"/>
      <c r="AI604" s="501"/>
      <c r="AJ604" s="501"/>
      <c r="AK604" s="501"/>
      <c r="AL604" s="501"/>
      <c r="AN604" s="459"/>
      <c r="AO604" s="418" t="s">
        <v>2299</v>
      </c>
      <c r="AP604" s="418">
        <v>2</v>
      </c>
    </row>
    <row r="605" spans="2:47" s="418" customFormat="1" ht="12.75" customHeight="1">
      <c r="B605" s="1884" t="s">
        <v>299</v>
      </c>
      <c r="C605" s="1884"/>
      <c r="D605" s="501"/>
      <c r="E605" s="1911" t="s">
        <v>2300</v>
      </c>
      <c r="F605" s="1911"/>
      <c r="G605" s="1911"/>
      <c r="H605" s="1911"/>
      <c r="I605" s="1911"/>
      <c r="J605" s="1911"/>
      <c r="K605" s="1911"/>
      <c r="L605" s="1911"/>
      <c r="M605" s="1911"/>
      <c r="N605" s="1911"/>
      <c r="O605" s="1911"/>
      <c r="P605" s="1911"/>
      <c r="Q605" s="1911"/>
      <c r="R605" s="1911"/>
      <c r="S605" s="1911"/>
      <c r="T605" s="1911"/>
      <c r="U605" s="1911"/>
      <c r="V605" s="1911"/>
      <c r="W605" s="1911"/>
      <c r="X605" s="1911"/>
      <c r="Y605" s="1911"/>
      <c r="Z605" s="1911"/>
      <c r="AA605" s="1911"/>
      <c r="AB605" s="1911"/>
      <c r="AC605" s="1911"/>
      <c r="AD605" s="1911"/>
      <c r="AE605" s="1911"/>
      <c r="AF605" s="1911"/>
      <c r="AG605" s="1911"/>
      <c r="AH605" s="501"/>
      <c r="AI605" s="501"/>
      <c r="AJ605" s="501"/>
      <c r="AK605" s="501"/>
      <c r="AL605" s="501"/>
      <c r="AN605" s="459"/>
    </row>
    <row r="606" spans="2:47" s="418" customFormat="1" ht="12.75" customHeight="1">
      <c r="B606" s="405"/>
      <c r="C606" s="758"/>
      <c r="D606" s="501"/>
      <c r="E606" s="1911"/>
      <c r="F606" s="1911"/>
      <c r="G606" s="1911"/>
      <c r="H606" s="1911"/>
      <c r="I606" s="1911"/>
      <c r="J606" s="1911"/>
      <c r="K606" s="1911"/>
      <c r="L606" s="1911"/>
      <c r="M606" s="1911"/>
      <c r="N606" s="1911"/>
      <c r="O606" s="1911"/>
      <c r="P606" s="1911"/>
      <c r="Q606" s="1911"/>
      <c r="R606" s="1911"/>
      <c r="S606" s="1911"/>
      <c r="T606" s="1911"/>
      <c r="U606" s="1911"/>
      <c r="V606" s="1911"/>
      <c r="W606" s="1911"/>
      <c r="X606" s="1911"/>
      <c r="Y606" s="1911"/>
      <c r="Z606" s="1911"/>
      <c r="AA606" s="1911"/>
      <c r="AB606" s="1911"/>
      <c r="AC606" s="1911"/>
      <c r="AD606" s="1911"/>
      <c r="AE606" s="1911"/>
      <c r="AF606" s="1911"/>
      <c r="AG606" s="1911"/>
      <c r="AH606" s="501"/>
      <c r="AI606" s="501"/>
      <c r="AJ606" s="501"/>
      <c r="AK606" s="501"/>
      <c r="AL606" s="501"/>
      <c r="AN606" s="459"/>
    </row>
    <row r="607" spans="2:47" s="418" customFormat="1" ht="12.75" customHeight="1">
      <c r="B607" s="405"/>
      <c r="C607" s="758"/>
      <c r="D607" s="501"/>
      <c r="E607" s="1911"/>
      <c r="F607" s="1911"/>
      <c r="G607" s="1911"/>
      <c r="H607" s="1911"/>
      <c r="I607" s="1911"/>
      <c r="J607" s="1911"/>
      <c r="K607" s="1911"/>
      <c r="L607" s="1911"/>
      <c r="M607" s="1911"/>
      <c r="N607" s="1911"/>
      <c r="O607" s="1911"/>
      <c r="P607" s="1911"/>
      <c r="Q607" s="1911"/>
      <c r="R607" s="1911"/>
      <c r="S607" s="1911"/>
      <c r="T607" s="1911"/>
      <c r="U607" s="1911"/>
      <c r="V607" s="1911"/>
      <c r="W607" s="1911"/>
      <c r="X607" s="1911"/>
      <c r="Y607" s="1911"/>
      <c r="Z607" s="1911"/>
      <c r="AA607" s="1911"/>
      <c r="AB607" s="1911"/>
      <c r="AC607" s="1911"/>
      <c r="AD607" s="1911"/>
      <c r="AE607" s="1911"/>
      <c r="AF607" s="1911"/>
      <c r="AG607" s="1911"/>
      <c r="AH607" s="501"/>
      <c r="AI607" s="501"/>
      <c r="AJ607" s="501"/>
      <c r="AK607" s="501"/>
      <c r="AL607" s="501"/>
      <c r="AN607" s="459"/>
    </row>
    <row r="608" spans="2:47" s="418" customFormat="1" ht="12.75" customHeight="1">
      <c r="B608" s="405"/>
      <c r="C608" s="758"/>
      <c r="D608" s="501"/>
      <c r="E608" s="1911"/>
      <c r="F608" s="1911"/>
      <c r="G608" s="1911"/>
      <c r="H608" s="1911"/>
      <c r="I608" s="1911"/>
      <c r="J608" s="1911"/>
      <c r="K608" s="1911"/>
      <c r="L608" s="1911"/>
      <c r="M608" s="1911"/>
      <c r="N608" s="1911"/>
      <c r="O608" s="1911"/>
      <c r="P608" s="1911"/>
      <c r="Q608" s="1911"/>
      <c r="R608" s="1911"/>
      <c r="S608" s="1911"/>
      <c r="T608" s="1911"/>
      <c r="U608" s="1911"/>
      <c r="V608" s="1911"/>
      <c r="W608" s="1911"/>
      <c r="X608" s="1911"/>
      <c r="Y608" s="1911"/>
      <c r="Z608" s="1911"/>
      <c r="AA608" s="1911"/>
      <c r="AB608" s="1911"/>
      <c r="AC608" s="1911"/>
      <c r="AD608" s="1911"/>
      <c r="AE608" s="1911"/>
      <c r="AF608" s="1911"/>
      <c r="AG608" s="1911"/>
      <c r="AH608" s="501"/>
      <c r="AI608" s="501"/>
      <c r="AJ608" s="501"/>
      <c r="AK608" s="501"/>
      <c r="AL608" s="501"/>
      <c r="AN608" s="459"/>
    </row>
    <row r="609" spans="1:42" s="418" customFormat="1" ht="12.75" customHeight="1">
      <c r="B609" s="405"/>
      <c r="C609" s="758"/>
      <c r="D609" s="761"/>
      <c r="E609" s="779"/>
      <c r="F609" s="779"/>
      <c r="G609" s="779"/>
      <c r="H609" s="779"/>
      <c r="I609" s="779"/>
      <c r="J609" s="779"/>
      <c r="K609" s="779"/>
      <c r="L609" s="779"/>
      <c r="M609" s="779"/>
      <c r="N609" s="779"/>
      <c r="O609" s="779"/>
      <c r="P609" s="779"/>
      <c r="Q609" s="779"/>
      <c r="R609" s="779"/>
      <c r="S609" s="779"/>
      <c r="T609" s="779"/>
      <c r="U609" s="779"/>
      <c r="V609" s="779"/>
      <c r="W609" s="779"/>
      <c r="X609" s="779"/>
      <c r="Y609" s="779"/>
      <c r="Z609" s="779"/>
      <c r="AA609" s="779"/>
      <c r="AB609" s="779"/>
      <c r="AC609" s="779"/>
      <c r="AD609" s="779"/>
      <c r="AE609" s="779"/>
      <c r="AF609" s="779"/>
      <c r="AG609" s="779"/>
      <c r="AH609" s="761"/>
      <c r="AI609" s="761"/>
      <c r="AJ609" s="761"/>
      <c r="AK609" s="761"/>
      <c r="AL609" s="501"/>
      <c r="AN609" s="459"/>
    </row>
    <row r="610" spans="1:42" s="418" customFormat="1" ht="12.75" customHeight="1">
      <c r="A610" s="467"/>
      <c r="B610" s="463"/>
      <c r="C610" s="762"/>
      <c r="D610" s="463"/>
      <c r="E610" s="763"/>
      <c r="F610" s="763"/>
      <c r="G610" s="763"/>
      <c r="H610" s="763"/>
      <c r="I610" s="763"/>
      <c r="J610" s="763"/>
      <c r="K610" s="763"/>
      <c r="L610" s="763"/>
      <c r="M610" s="763"/>
      <c r="N610" s="763"/>
      <c r="O610" s="763"/>
      <c r="P610" s="763"/>
      <c r="Q610" s="763"/>
      <c r="R610" s="763"/>
      <c r="S610" s="763"/>
      <c r="T610" s="763"/>
      <c r="U610" s="763"/>
      <c r="V610" s="763"/>
      <c r="W610" s="763"/>
      <c r="X610" s="763"/>
      <c r="Y610" s="763"/>
      <c r="Z610" s="763"/>
      <c r="AA610" s="763"/>
      <c r="AB610" s="463"/>
      <c r="AC610" s="463"/>
      <c r="AD610" s="463"/>
      <c r="AE610" s="463"/>
      <c r="AF610" s="463"/>
      <c r="AG610" s="463"/>
      <c r="AH610" s="463"/>
      <c r="AI610" s="431" t="s">
        <v>2301</v>
      </c>
      <c r="AJ610" s="1891">
        <f>VLOOKUP($H$595,$AO$575:$AP$580,2,FALSE)+IF(R595=AO583,0,VLOOKUP($I$603,$AO$602:$AP$604,2,FALSE))</f>
        <v>3</v>
      </c>
      <c r="AK610" s="1893"/>
      <c r="AL610" s="457"/>
      <c r="AM610" s="532"/>
      <c r="AN610" s="459"/>
    </row>
    <row r="611" spans="1:42" s="418" customFormat="1" ht="12.75" customHeight="1">
      <c r="B611" s="405"/>
      <c r="C611" s="758"/>
      <c r="D611" s="405"/>
      <c r="E611" s="1207"/>
      <c r="F611" s="1207"/>
      <c r="G611" s="1207"/>
      <c r="H611" s="1207"/>
      <c r="I611" s="1207"/>
      <c r="J611" s="1207"/>
      <c r="K611" s="1207"/>
      <c r="L611" s="1207"/>
      <c r="M611" s="1207"/>
      <c r="N611" s="1207"/>
      <c r="O611" s="1207"/>
      <c r="P611" s="1207"/>
      <c r="Q611" s="1207"/>
      <c r="R611" s="1207"/>
      <c r="S611" s="1207"/>
      <c r="T611" s="1207"/>
      <c r="U611" s="1207"/>
      <c r="V611" s="1207"/>
      <c r="W611" s="1207"/>
      <c r="X611" s="1207"/>
      <c r="Y611" s="1207"/>
      <c r="Z611" s="1207"/>
      <c r="AA611" s="1207"/>
      <c r="AB611" s="1207"/>
      <c r="AC611" s="405"/>
      <c r="AD611" s="405"/>
      <c r="AE611" s="1207"/>
      <c r="AF611" s="1207"/>
      <c r="AG611" s="1207"/>
      <c r="AH611" s="1207"/>
      <c r="AI611" s="1207"/>
      <c r="AJ611" s="1207"/>
      <c r="AK611" s="1207"/>
      <c r="AL611" s="1207"/>
      <c r="AM611" s="532"/>
      <c r="AN611" s="459"/>
    </row>
    <row r="612" spans="1:42" s="418" customFormat="1" ht="12.75" customHeight="1">
      <c r="B612" s="405"/>
      <c r="C612" s="408" t="s">
        <v>2302</v>
      </c>
      <c r="D612" s="408"/>
      <c r="E612" s="1207"/>
      <c r="F612" s="1207"/>
      <c r="G612" s="1207"/>
      <c r="H612" s="1207"/>
      <c r="I612" s="1207"/>
      <c r="J612" s="1207"/>
      <c r="K612" s="1207"/>
      <c r="L612" s="1207"/>
      <c r="M612" s="1207"/>
      <c r="N612" s="1207"/>
      <c r="O612" s="1207"/>
      <c r="P612" s="1207"/>
      <c r="Q612" s="1207"/>
      <c r="R612" s="1207"/>
      <c r="S612" s="1207"/>
      <c r="T612" s="1207"/>
      <c r="U612" s="1207"/>
      <c r="V612" s="1207"/>
      <c r="W612" s="1207"/>
      <c r="X612" s="1207"/>
      <c r="Y612" s="1207"/>
      <c r="Z612" s="1207"/>
      <c r="AA612" s="1207"/>
      <c r="AB612" s="1207"/>
      <c r="AC612" s="405"/>
      <c r="AD612" s="405"/>
      <c r="AE612" s="405"/>
      <c r="AF612" s="405"/>
      <c r="AG612" s="405"/>
      <c r="AH612" s="405"/>
      <c r="AI612" s="405"/>
      <c r="AJ612" s="405"/>
      <c r="AK612" s="405"/>
      <c r="AL612" s="405"/>
      <c r="AN612" s="459"/>
    </row>
    <row r="613" spans="1:42" s="418" customFormat="1" ht="12.75" customHeight="1">
      <c r="B613" s="471"/>
      <c r="C613" s="405"/>
      <c r="D613" s="760"/>
      <c r="E613" s="1207"/>
      <c r="F613" s="1207"/>
      <c r="G613" s="1207"/>
      <c r="H613" s="1207"/>
      <c r="I613" s="1207"/>
      <c r="J613" s="1207"/>
      <c r="K613" s="1207"/>
      <c r="L613" s="1207"/>
      <c r="M613" s="1207"/>
      <c r="N613" s="1207"/>
      <c r="O613" s="1207"/>
      <c r="P613" s="1207"/>
      <c r="Q613" s="1207"/>
      <c r="R613" s="1207"/>
      <c r="S613" s="1207"/>
      <c r="T613" s="1207"/>
      <c r="U613" s="1207"/>
      <c r="V613" s="1207"/>
      <c r="W613" s="1207"/>
      <c r="X613" s="1207"/>
      <c r="Y613" s="1207"/>
      <c r="Z613" s="1207"/>
      <c r="AA613" s="1207"/>
      <c r="AB613" s="1207"/>
      <c r="AC613" s="405"/>
      <c r="AD613" s="405"/>
      <c r="AE613" s="405"/>
      <c r="AF613" s="405"/>
      <c r="AG613" s="405"/>
      <c r="AH613" s="405"/>
      <c r="AI613" s="405"/>
      <c r="AJ613" s="405"/>
      <c r="AK613" s="405"/>
      <c r="AL613" s="405"/>
      <c r="AN613" s="459"/>
    </row>
    <row r="614" spans="1:42" s="458" customFormat="1" ht="12.75" customHeight="1">
      <c r="A614" s="418"/>
      <c r="B614" s="405"/>
      <c r="C614" s="405"/>
      <c r="D614" s="520" t="s">
        <v>21</v>
      </c>
      <c r="E614" s="1939" t="s">
        <v>2303</v>
      </c>
      <c r="F614" s="1939"/>
      <c r="G614" s="1939"/>
      <c r="H614" s="1939"/>
      <c r="I614" s="1939"/>
      <c r="J614" s="1939"/>
      <c r="K614" s="1939"/>
      <c r="L614" s="1939"/>
      <c r="M614" s="1939"/>
      <c r="N614" s="1939"/>
      <c r="O614" s="1939"/>
      <c r="P614" s="1939"/>
      <c r="Q614" s="1939"/>
      <c r="R614" s="1939"/>
      <c r="S614" s="1939"/>
      <c r="T614" s="1939"/>
      <c r="U614" s="1939"/>
      <c r="V614" s="1939"/>
      <c r="W614" s="1939"/>
      <c r="X614" s="1939"/>
      <c r="Y614" s="1939"/>
      <c r="Z614" s="1939"/>
      <c r="AA614" s="1939"/>
      <c r="AB614" s="1939"/>
      <c r="AC614" s="1939"/>
      <c r="AD614" s="1939"/>
      <c r="AE614" s="408"/>
      <c r="AF614" s="1857" t="s">
        <v>2016</v>
      </c>
      <c r="AG614" s="1857"/>
      <c r="AH614" s="1857"/>
      <c r="AI614" s="1857"/>
      <c r="AJ614" s="1857"/>
      <c r="AK614" s="1857"/>
      <c r="AL614" s="1857"/>
      <c r="AM614" s="418"/>
      <c r="AN614" s="535"/>
    </row>
    <row r="615" spans="1:42" s="418" customFormat="1" ht="12.75" customHeight="1">
      <c r="A615" s="1206"/>
      <c r="B615" s="405"/>
      <c r="C615" s="758"/>
      <c r="D615" s="520"/>
      <c r="E615" s="1939"/>
      <c r="F615" s="1939"/>
      <c r="G615" s="1939"/>
      <c r="H615" s="1939"/>
      <c r="I615" s="1939"/>
      <c r="J615" s="1939"/>
      <c r="K615" s="1939"/>
      <c r="L615" s="1939"/>
      <c r="M615" s="1939"/>
      <c r="N615" s="1939"/>
      <c r="O615" s="1939"/>
      <c r="P615" s="1939"/>
      <c r="Q615" s="1939"/>
      <c r="R615" s="1939"/>
      <c r="S615" s="1939"/>
      <c r="T615" s="1939"/>
      <c r="U615" s="1939"/>
      <c r="V615" s="1939"/>
      <c r="W615" s="1939"/>
      <c r="X615" s="1939"/>
      <c r="Y615" s="1939"/>
      <c r="Z615" s="1939"/>
      <c r="AA615" s="1939"/>
      <c r="AB615" s="1939"/>
      <c r="AC615" s="1939"/>
      <c r="AD615" s="1939"/>
      <c r="AE615" s="405"/>
      <c r="AF615" s="405"/>
      <c r="AG615" s="405"/>
      <c r="AH615" s="405"/>
      <c r="AI615" s="405"/>
      <c r="AJ615" s="405"/>
      <c r="AK615" s="405"/>
      <c r="AL615" s="405"/>
      <c r="AN615" s="459"/>
    </row>
    <row r="616" spans="1:42" s="418" customFormat="1" ht="12.75" customHeight="1">
      <c r="B616" s="405"/>
      <c r="C616" s="756"/>
      <c r="D616" s="520"/>
      <c r="E616" s="1939"/>
      <c r="F616" s="1939"/>
      <c r="G616" s="1939"/>
      <c r="H616" s="1939"/>
      <c r="I616" s="1939"/>
      <c r="J616" s="1939"/>
      <c r="K616" s="1939"/>
      <c r="L616" s="1939"/>
      <c r="M616" s="1939"/>
      <c r="N616" s="1939"/>
      <c r="O616" s="1939"/>
      <c r="P616" s="1939"/>
      <c r="Q616" s="1939"/>
      <c r="R616" s="1939"/>
      <c r="S616" s="1939"/>
      <c r="T616" s="1939"/>
      <c r="U616" s="1939"/>
      <c r="V616" s="1939"/>
      <c r="W616" s="1939"/>
      <c r="X616" s="1939"/>
      <c r="Y616" s="1939"/>
      <c r="Z616" s="1939"/>
      <c r="AA616" s="1939"/>
      <c r="AB616" s="1939"/>
      <c r="AC616" s="1939"/>
      <c r="AD616" s="1939"/>
      <c r="AE616" s="405"/>
      <c r="AF616" s="405"/>
      <c r="AG616" s="405"/>
      <c r="AH616" s="405"/>
      <c r="AI616" s="405"/>
      <c r="AJ616" s="405"/>
      <c r="AK616" s="405"/>
      <c r="AL616" s="405"/>
      <c r="AN616" s="459"/>
    </row>
    <row r="617" spans="1:42" s="418" customFormat="1" ht="12.75" customHeight="1">
      <c r="B617" s="405"/>
      <c r="C617" s="756"/>
      <c r="D617" s="520"/>
      <c r="E617" s="1939"/>
      <c r="F617" s="1939"/>
      <c r="G617" s="1939"/>
      <c r="H617" s="1939"/>
      <c r="I617" s="1939"/>
      <c r="J617" s="1939"/>
      <c r="K617" s="1939"/>
      <c r="L617" s="1939"/>
      <c r="M617" s="1939"/>
      <c r="N617" s="1939"/>
      <c r="O617" s="1939"/>
      <c r="P617" s="1939"/>
      <c r="Q617" s="1939"/>
      <c r="R617" s="1939"/>
      <c r="S617" s="1939"/>
      <c r="T617" s="1939"/>
      <c r="U617" s="1939"/>
      <c r="V617" s="1939"/>
      <c r="W617" s="1939"/>
      <c r="X617" s="1939"/>
      <c r="Y617" s="1939"/>
      <c r="Z617" s="1939"/>
      <c r="AA617" s="1939"/>
      <c r="AB617" s="1939"/>
      <c r="AC617" s="1939"/>
      <c r="AD617" s="1939"/>
      <c r="AE617" s="405"/>
      <c r="AF617" s="405"/>
      <c r="AG617" s="405"/>
      <c r="AH617" s="405"/>
      <c r="AI617" s="405"/>
      <c r="AJ617" s="405"/>
      <c r="AK617" s="405"/>
      <c r="AL617" s="405"/>
      <c r="AN617" s="459"/>
    </row>
    <row r="618" spans="1:42" s="418" customFormat="1" ht="12.75" customHeight="1">
      <c r="B618" s="405"/>
      <c r="C618" s="756"/>
      <c r="D618" s="520"/>
      <c r="E618" s="1939"/>
      <c r="F618" s="1939"/>
      <c r="G618" s="1939"/>
      <c r="H618" s="1939"/>
      <c r="I618" s="1939"/>
      <c r="J618" s="1939"/>
      <c r="K618" s="1939"/>
      <c r="L618" s="1939"/>
      <c r="M618" s="1939"/>
      <c r="N618" s="1939"/>
      <c r="O618" s="1939"/>
      <c r="P618" s="1939"/>
      <c r="Q618" s="1939"/>
      <c r="R618" s="1939"/>
      <c r="S618" s="1939"/>
      <c r="T618" s="1939"/>
      <c r="U618" s="1939"/>
      <c r="V618" s="1939"/>
      <c r="W618" s="1939"/>
      <c r="X618" s="1939"/>
      <c r="Y618" s="1939"/>
      <c r="Z618" s="1939"/>
      <c r="AA618" s="1939"/>
      <c r="AB618" s="1939"/>
      <c r="AC618" s="1939"/>
      <c r="AD618" s="1939"/>
      <c r="AE618" s="405"/>
      <c r="AF618" s="405"/>
      <c r="AG618" s="405"/>
      <c r="AH618" s="405"/>
      <c r="AI618" s="405"/>
      <c r="AJ618" s="405"/>
      <c r="AK618" s="405"/>
      <c r="AL618" s="405"/>
      <c r="AN618" s="459"/>
    </row>
    <row r="619" spans="1:42" s="418" customFormat="1" ht="12.75" customHeight="1">
      <c r="B619" s="405"/>
      <c r="C619" s="756"/>
      <c r="D619" s="520"/>
      <c r="E619" s="1939"/>
      <c r="F619" s="1939"/>
      <c r="G619" s="1939"/>
      <c r="H619" s="1939"/>
      <c r="I619" s="1939"/>
      <c r="J619" s="1939"/>
      <c r="K619" s="1939"/>
      <c r="L619" s="1939"/>
      <c r="M619" s="1939"/>
      <c r="N619" s="1939"/>
      <c r="O619" s="1939"/>
      <c r="P619" s="1939"/>
      <c r="Q619" s="1939"/>
      <c r="R619" s="1939"/>
      <c r="S619" s="1939"/>
      <c r="T619" s="1939"/>
      <c r="U619" s="1939"/>
      <c r="V619" s="1939"/>
      <c r="W619" s="1939"/>
      <c r="X619" s="1939"/>
      <c r="Y619" s="1939"/>
      <c r="Z619" s="1939"/>
      <c r="AA619" s="1939"/>
      <c r="AB619" s="1939"/>
      <c r="AC619" s="1939"/>
      <c r="AD619" s="1939"/>
      <c r="AE619" s="405"/>
      <c r="AF619" s="405"/>
      <c r="AG619" s="405"/>
      <c r="AH619" s="405"/>
      <c r="AI619" s="405"/>
      <c r="AJ619" s="405"/>
      <c r="AK619" s="405"/>
      <c r="AL619" s="405"/>
      <c r="AN619" s="459"/>
    </row>
    <row r="620" spans="1:42" s="418" customFormat="1" ht="12.75" customHeight="1">
      <c r="A620" s="497"/>
      <c r="B620" s="476"/>
      <c r="C620" s="764"/>
      <c r="D620" s="520"/>
      <c r="E620" s="1939"/>
      <c r="F620" s="1939"/>
      <c r="G620" s="1939"/>
      <c r="H620" s="1939"/>
      <c r="I620" s="1939"/>
      <c r="J620" s="1939"/>
      <c r="K620" s="1939"/>
      <c r="L620" s="1939"/>
      <c r="M620" s="1939"/>
      <c r="N620" s="1939"/>
      <c r="O620" s="1939"/>
      <c r="P620" s="1939"/>
      <c r="Q620" s="1939"/>
      <c r="R620" s="1939"/>
      <c r="S620" s="1939"/>
      <c r="T620" s="1939"/>
      <c r="U620" s="1939"/>
      <c r="V620" s="1939"/>
      <c r="W620" s="1939"/>
      <c r="X620" s="1939"/>
      <c r="Y620" s="1939"/>
      <c r="Z620" s="1939"/>
      <c r="AA620" s="1939"/>
      <c r="AB620" s="1939"/>
      <c r="AC620" s="1939"/>
      <c r="AD620" s="1939"/>
      <c r="AE620" s="476"/>
      <c r="AF620" s="476"/>
      <c r="AG620" s="476"/>
      <c r="AH620" s="476"/>
      <c r="AI620" s="476"/>
      <c r="AJ620" s="476"/>
      <c r="AK620" s="405"/>
      <c r="AL620" s="405"/>
      <c r="AN620" s="459"/>
    </row>
    <row r="621" spans="1:42" s="418" customFormat="1" ht="12.75" customHeight="1">
      <c r="B621" s="476"/>
      <c r="C621" s="764"/>
      <c r="D621" s="520"/>
      <c r="E621" s="1939"/>
      <c r="F621" s="1939"/>
      <c r="G621" s="1939"/>
      <c r="H621" s="1939"/>
      <c r="I621" s="1939"/>
      <c r="J621" s="1939"/>
      <c r="K621" s="1939"/>
      <c r="L621" s="1939"/>
      <c r="M621" s="1939"/>
      <c r="N621" s="1939"/>
      <c r="O621" s="1939"/>
      <c r="P621" s="1939"/>
      <c r="Q621" s="1939"/>
      <c r="R621" s="1939"/>
      <c r="S621" s="1939"/>
      <c r="T621" s="1939"/>
      <c r="U621" s="1939"/>
      <c r="V621" s="1939"/>
      <c r="W621" s="1939"/>
      <c r="X621" s="1939"/>
      <c r="Y621" s="1939"/>
      <c r="Z621" s="1939"/>
      <c r="AA621" s="1939"/>
      <c r="AB621" s="1939"/>
      <c r="AC621" s="1939"/>
      <c r="AD621" s="1939"/>
      <c r="AE621" s="476"/>
      <c r="AF621" s="476"/>
      <c r="AG621" s="476"/>
      <c r="AH621" s="476"/>
      <c r="AI621" s="476"/>
      <c r="AJ621" s="476"/>
      <c r="AK621" s="405"/>
      <c r="AL621" s="405"/>
      <c r="AN621" s="459"/>
    </row>
    <row r="622" spans="1:42" s="418" customFormat="1" ht="12" customHeight="1">
      <c r="B622" s="476"/>
      <c r="C622" s="764"/>
      <c r="D622" s="520"/>
      <c r="E622" s="1205"/>
      <c r="F622" s="1205"/>
      <c r="G622" s="1205"/>
      <c r="H622" s="1205"/>
      <c r="I622" s="1205"/>
      <c r="J622" s="1205"/>
      <c r="K622" s="1205"/>
      <c r="L622" s="1205"/>
      <c r="M622" s="1205"/>
      <c r="N622" s="1205"/>
      <c r="O622" s="1205"/>
      <c r="P622" s="1205"/>
      <c r="Q622" s="1205"/>
      <c r="R622" s="1205"/>
      <c r="S622" s="1205"/>
      <c r="T622" s="1205"/>
      <c r="U622" s="1205"/>
      <c r="V622" s="1205"/>
      <c r="W622" s="1205"/>
      <c r="X622" s="1205"/>
      <c r="Y622" s="1205"/>
      <c r="Z622" s="1205"/>
      <c r="AA622" s="1205"/>
      <c r="AB622" s="1205"/>
      <c r="AC622" s="1205"/>
      <c r="AD622" s="1205"/>
      <c r="AE622" s="476"/>
      <c r="AF622" s="476"/>
      <c r="AG622" s="476"/>
      <c r="AH622" s="476"/>
      <c r="AI622" s="476"/>
      <c r="AJ622" s="476"/>
      <c r="AK622" s="405"/>
      <c r="AL622" s="405"/>
      <c r="AN622" s="459"/>
      <c r="AO622" s="418" t="s">
        <v>299</v>
      </c>
      <c r="AP622" s="530">
        <v>0</v>
      </c>
    </row>
    <row r="623" spans="1:42" s="418" customFormat="1" ht="12.75" customHeight="1">
      <c r="B623" s="476"/>
      <c r="C623" s="756"/>
      <c r="D623" s="520"/>
      <c r="E623" s="476" t="s">
        <v>2304</v>
      </c>
      <c r="F623" s="765"/>
      <c r="G623" s="765"/>
      <c r="H623" s="765"/>
      <c r="I623" s="765"/>
      <c r="J623" s="765"/>
      <c r="K623" s="765"/>
      <c r="L623" s="765"/>
      <c r="M623" s="765"/>
      <c r="N623" s="765"/>
      <c r="O623" s="765"/>
      <c r="P623" s="765"/>
      <c r="Q623" s="765"/>
      <c r="R623" s="765"/>
      <c r="U623" s="765"/>
      <c r="V623" s="765"/>
      <c r="W623" s="765"/>
      <c r="X623" s="1884" t="s">
        <v>299</v>
      </c>
      <c r="Y623" s="1884"/>
      <c r="Z623" s="765"/>
      <c r="AA623" s="765"/>
      <c r="AB623" s="765"/>
      <c r="AC623" s="765"/>
      <c r="AD623" s="765"/>
      <c r="AE623" s="405"/>
      <c r="AF623" s="476"/>
      <c r="AG623" s="476"/>
      <c r="AH623" s="476"/>
      <c r="AI623" s="476"/>
      <c r="AJ623" s="476"/>
      <c r="AK623" s="405"/>
      <c r="AL623" s="405"/>
      <c r="AN623" s="459"/>
      <c r="AO623" s="472" t="s">
        <v>21</v>
      </c>
      <c r="AP623" s="418">
        <v>5</v>
      </c>
    </row>
    <row r="624" spans="1:42" s="418" customFormat="1" ht="12.75" customHeight="1">
      <c r="B624" s="476"/>
      <c r="C624" s="764"/>
      <c r="D624" s="405"/>
      <c r="E624" s="405"/>
      <c r="F624" s="405"/>
      <c r="G624" s="405"/>
      <c r="H624" s="405"/>
      <c r="I624" s="405"/>
      <c r="J624" s="405"/>
      <c r="K624" s="405"/>
      <c r="L624" s="405"/>
      <c r="M624" s="405"/>
      <c r="N624" s="405"/>
      <c r="O624" s="405"/>
      <c r="P624" s="405"/>
      <c r="Q624" s="405"/>
      <c r="R624" s="405"/>
      <c r="S624" s="405"/>
      <c r="T624" s="405"/>
      <c r="U624" s="405"/>
      <c r="V624" s="405"/>
      <c r="W624" s="476"/>
      <c r="X624" s="476"/>
      <c r="Y624" s="476"/>
      <c r="Z624" s="476"/>
      <c r="AA624" s="476"/>
      <c r="AB624" s="476"/>
      <c r="AC624" s="405"/>
      <c r="AD624" s="405"/>
      <c r="AE624" s="405"/>
      <c r="AF624" s="405"/>
      <c r="AG624" s="405"/>
      <c r="AH624" s="405"/>
      <c r="AI624" s="405"/>
      <c r="AJ624" s="405"/>
      <c r="AK624" s="405"/>
      <c r="AL624" s="405"/>
      <c r="AN624" s="459"/>
      <c r="AO624" s="472" t="s">
        <v>26</v>
      </c>
      <c r="AP624" s="536">
        <v>4</v>
      </c>
    </row>
    <row r="625" spans="1:42" s="418" customFormat="1" ht="12.75" customHeight="1">
      <c r="B625" s="405"/>
      <c r="C625" s="756"/>
      <c r="D625" s="520" t="s">
        <v>26</v>
      </c>
      <c r="E625" s="421" t="s">
        <v>2305</v>
      </c>
      <c r="F625" s="766"/>
      <c r="G625" s="766"/>
      <c r="H625" s="766"/>
      <c r="I625" s="766"/>
      <c r="J625" s="766"/>
      <c r="K625" s="766"/>
      <c r="L625" s="766"/>
      <c r="M625" s="766"/>
      <c r="N625" s="766"/>
      <c r="O625" s="766"/>
      <c r="P625" s="766"/>
      <c r="Q625" s="766"/>
      <c r="R625" s="766"/>
      <c r="S625" s="766"/>
      <c r="T625" s="766"/>
      <c r="U625" s="405"/>
      <c r="V625" s="405"/>
      <c r="W625" s="766"/>
      <c r="X625" s="766"/>
      <c r="Y625" s="766"/>
      <c r="Z625" s="766"/>
      <c r="AA625" s="766"/>
      <c r="AB625" s="766"/>
      <c r="AC625" s="405"/>
      <c r="AD625" s="405"/>
      <c r="AE625" s="405"/>
      <c r="AF625" s="1857" t="s">
        <v>2306</v>
      </c>
      <c r="AG625" s="1857"/>
      <c r="AH625" s="1857"/>
      <c r="AI625" s="1857"/>
      <c r="AJ625" s="1857"/>
      <c r="AK625" s="1857"/>
      <c r="AL625" s="1857"/>
      <c r="AN625" s="459"/>
      <c r="AO625" s="472" t="s">
        <v>48</v>
      </c>
      <c r="AP625" s="418">
        <v>3</v>
      </c>
    </row>
    <row r="626" spans="1:42" s="418" customFormat="1" ht="12.75" customHeight="1">
      <c r="B626" s="405"/>
      <c r="C626" s="756"/>
      <c r="D626" s="405"/>
      <c r="E626" s="405"/>
      <c r="F626" s="766"/>
      <c r="G626" s="766"/>
      <c r="H626" s="766"/>
      <c r="I626" s="766"/>
      <c r="J626" s="766"/>
      <c r="K626" s="766"/>
      <c r="L626" s="766"/>
      <c r="M626" s="766"/>
      <c r="N626" s="766"/>
      <c r="O626" s="766"/>
      <c r="P626" s="766"/>
      <c r="Q626" s="766"/>
      <c r="R626" s="766"/>
      <c r="S626" s="766"/>
      <c r="T626" s="766"/>
      <c r="U626" s="405"/>
      <c r="V626" s="405"/>
      <c r="W626" s="405"/>
      <c r="X626" s="766"/>
      <c r="Y626" s="766"/>
      <c r="Z626" s="766"/>
      <c r="AA626" s="766"/>
      <c r="AB626" s="766"/>
      <c r="AC626" s="405"/>
      <c r="AD626" s="405"/>
      <c r="AE626" s="405"/>
      <c r="AF626" s="405"/>
      <c r="AG626" s="405"/>
      <c r="AH626" s="405"/>
      <c r="AI626" s="405"/>
      <c r="AJ626" s="405"/>
      <c r="AK626" s="405"/>
      <c r="AL626" s="405"/>
      <c r="AN626" s="459"/>
      <c r="AO626" s="472" t="s">
        <v>2276</v>
      </c>
      <c r="AP626" s="536">
        <v>4</v>
      </c>
    </row>
    <row r="627" spans="1:42" s="418" customFormat="1" ht="12.75" customHeight="1">
      <c r="B627" s="405"/>
      <c r="C627" s="756"/>
      <c r="D627" s="405" t="s">
        <v>2292</v>
      </c>
      <c r="E627" s="1207"/>
      <c r="F627" s="1207"/>
      <c r="G627" s="1207"/>
      <c r="H627" s="1940" t="s">
        <v>21</v>
      </c>
      <c r="I627" s="1940"/>
      <c r="J627" s="766"/>
      <c r="K627" s="766"/>
      <c r="L627" s="766"/>
      <c r="M627" s="766"/>
      <c r="N627" s="766"/>
      <c r="O627" s="766"/>
      <c r="P627" s="766"/>
      <c r="Q627" s="766"/>
      <c r="R627" s="766"/>
      <c r="S627" s="766"/>
      <c r="T627" s="766"/>
      <c r="U627" s="1207"/>
      <c r="V627" s="1207"/>
      <c r="W627" s="1207"/>
      <c r="X627" s="405"/>
      <c r="Y627" s="405"/>
      <c r="Z627" s="405"/>
      <c r="AA627" s="405"/>
      <c r="AB627" s="405"/>
      <c r="AC627" s="405"/>
      <c r="AD627" s="405"/>
      <c r="AE627" s="405"/>
      <c r="AF627" s="405"/>
      <c r="AG627" s="405"/>
      <c r="AH627" s="405"/>
      <c r="AI627" s="405"/>
      <c r="AJ627" s="405"/>
      <c r="AK627" s="405"/>
      <c r="AL627" s="405"/>
      <c r="AN627" s="459"/>
      <c r="AO627" s="472" t="s">
        <v>2279</v>
      </c>
      <c r="AP627" s="418">
        <v>3</v>
      </c>
    </row>
    <row r="628" spans="1:42" s="418" customFormat="1" ht="12.75" customHeight="1">
      <c r="B628" s="405"/>
      <c r="C628" s="756"/>
      <c r="D628" s="405"/>
      <c r="E628" s="1207"/>
      <c r="F628" s="766"/>
      <c r="G628" s="766"/>
      <c r="H628" s="766"/>
      <c r="I628" s="767"/>
      <c r="J628" s="766"/>
      <c r="K628" s="766"/>
      <c r="L628" s="766"/>
      <c r="M628" s="766"/>
      <c r="N628" s="766"/>
      <c r="O628" s="766"/>
      <c r="P628" s="766"/>
      <c r="Q628" s="766"/>
      <c r="R628" s="405"/>
      <c r="S628" s="405"/>
      <c r="T628" s="766"/>
      <c r="U628" s="1207"/>
      <c r="V628" s="1207"/>
      <c r="W628" s="1207"/>
      <c r="X628" s="1207"/>
      <c r="Y628" s="1207"/>
      <c r="Z628" s="1207"/>
      <c r="AA628" s="1207"/>
      <c r="AB628" s="1207"/>
      <c r="AC628" s="405"/>
      <c r="AD628" s="405"/>
      <c r="AE628" s="405"/>
      <c r="AF628" s="405"/>
      <c r="AG628" s="405"/>
      <c r="AH628" s="405"/>
      <c r="AI628" s="766"/>
      <c r="AJ628" s="766"/>
      <c r="AK628" s="766"/>
      <c r="AL628" s="766"/>
      <c r="AM628" s="537"/>
      <c r="AN628" s="459"/>
      <c r="AO628" s="472" t="s">
        <v>2307</v>
      </c>
      <c r="AP628" s="418">
        <v>2</v>
      </c>
    </row>
    <row r="629" spans="1:42" s="418" customFormat="1" ht="12.75" customHeight="1">
      <c r="A629" s="467"/>
      <c r="B629" s="463"/>
      <c r="C629" s="768"/>
      <c r="D629" s="463"/>
      <c r="E629" s="763"/>
      <c r="F629" s="763"/>
      <c r="G629" s="769"/>
      <c r="H629" s="769"/>
      <c r="I629" s="769"/>
      <c r="J629" s="769"/>
      <c r="K629" s="769"/>
      <c r="L629" s="769"/>
      <c r="M629" s="769"/>
      <c r="N629" s="769"/>
      <c r="O629" s="769"/>
      <c r="P629" s="769"/>
      <c r="Q629" s="769"/>
      <c r="R629" s="769"/>
      <c r="S629" s="769"/>
      <c r="T629" s="763"/>
      <c r="U629" s="763"/>
      <c r="V629" s="763"/>
      <c r="W629" s="763"/>
      <c r="X629" s="763"/>
      <c r="Y629" s="763"/>
      <c r="Z629" s="763"/>
      <c r="AA629" s="763"/>
      <c r="AB629" s="463"/>
      <c r="AC629" s="463"/>
      <c r="AD629" s="463"/>
      <c r="AE629" s="463"/>
      <c r="AF629" s="463"/>
      <c r="AG629" s="463"/>
      <c r="AH629" s="463"/>
      <c r="AI629" s="431" t="s">
        <v>2308</v>
      </c>
      <c r="AJ629" s="1891">
        <f>VLOOKUP($H$627,$AO$594:$AP$596,2,FALSE)</f>
        <v>3</v>
      </c>
      <c r="AK629" s="1893"/>
      <c r="AL629" s="457"/>
      <c r="AN629" s="459"/>
      <c r="AO629" s="472" t="s">
        <v>2309</v>
      </c>
      <c r="AP629" s="418">
        <v>1</v>
      </c>
    </row>
    <row r="630" spans="1:42" s="418" customFormat="1" ht="12.75" customHeight="1">
      <c r="B630" s="405"/>
      <c r="C630" s="756"/>
      <c r="D630" s="405"/>
      <c r="E630" s="1207"/>
      <c r="F630" s="1207"/>
      <c r="G630" s="1207"/>
      <c r="H630" s="405"/>
      <c r="I630" s="405"/>
      <c r="J630" s="766"/>
      <c r="K630" s="766"/>
      <c r="L630" s="766"/>
      <c r="M630" s="766"/>
      <c r="N630" s="766"/>
      <c r="O630" s="766"/>
      <c r="P630" s="766"/>
      <c r="Q630" s="766"/>
      <c r="R630" s="766"/>
      <c r="S630" s="766"/>
      <c r="T630" s="766"/>
      <c r="U630" s="1207"/>
      <c r="V630" s="1207"/>
      <c r="W630" s="1207"/>
      <c r="X630" s="1207"/>
      <c r="Y630" s="1207"/>
      <c r="Z630" s="1207"/>
      <c r="AA630" s="1207"/>
      <c r="AB630" s="1207"/>
      <c r="AC630" s="405"/>
      <c r="AD630" s="405"/>
      <c r="AE630" s="405"/>
      <c r="AF630" s="405"/>
      <c r="AG630" s="405"/>
      <c r="AH630" s="405"/>
      <c r="AI630" s="405"/>
      <c r="AJ630" s="1183"/>
      <c r="AK630" s="405"/>
      <c r="AL630" s="405"/>
      <c r="AN630" s="459"/>
    </row>
    <row r="631" spans="1:42" s="418" customFormat="1" ht="12.75" customHeight="1">
      <c r="B631" s="405"/>
      <c r="C631" s="408" t="s">
        <v>2310</v>
      </c>
      <c r="D631" s="405"/>
      <c r="E631" s="1207"/>
      <c r="F631" s="766"/>
      <c r="G631" s="766"/>
      <c r="H631" s="766"/>
      <c r="I631" s="766"/>
      <c r="J631" s="766"/>
      <c r="K631" s="766"/>
      <c r="L631" s="766"/>
      <c r="M631" s="766"/>
      <c r="N631" s="766"/>
      <c r="O631" s="766"/>
      <c r="P631" s="766"/>
      <c r="Q631" s="766"/>
      <c r="R631" s="766"/>
      <c r="S631" s="766"/>
      <c r="T631" s="766"/>
      <c r="U631" s="405"/>
      <c r="V631" s="405"/>
      <c r="W631" s="766"/>
      <c r="X631" s="766"/>
      <c r="Y631" s="766"/>
      <c r="Z631" s="766"/>
      <c r="AA631" s="766"/>
      <c r="AB631" s="766"/>
      <c r="AC631" s="1189"/>
      <c r="AD631" s="1189"/>
      <c r="AE631" s="1189"/>
      <c r="AF631" s="1189"/>
      <c r="AG631" s="1189"/>
      <c r="AH631" s="1189"/>
      <c r="AI631" s="1189"/>
      <c r="AJ631" s="405"/>
      <c r="AK631" s="405"/>
      <c r="AL631" s="405"/>
      <c r="AN631" s="459"/>
    </row>
    <row r="632" spans="1:42" s="418" customFormat="1" ht="12.75" customHeight="1">
      <c r="A632" s="497"/>
      <c r="B632" s="405"/>
      <c r="C632" s="758"/>
      <c r="D632" s="405"/>
      <c r="E632" s="766"/>
      <c r="F632" s="766"/>
      <c r="G632" s="766"/>
      <c r="H632" s="766"/>
      <c r="I632" s="766"/>
      <c r="J632" s="766"/>
      <c r="K632" s="766"/>
      <c r="L632" s="766"/>
      <c r="M632" s="766"/>
      <c r="N632" s="766"/>
      <c r="O632" s="766"/>
      <c r="P632" s="766"/>
      <c r="Q632" s="766"/>
      <c r="R632" s="766"/>
      <c r="S632" s="766"/>
      <c r="T632" s="766"/>
      <c r="U632" s="766"/>
      <c r="V632" s="766"/>
      <c r="W632" s="766"/>
      <c r="X632" s="766"/>
      <c r="Y632" s="766"/>
      <c r="Z632" s="766"/>
      <c r="AA632" s="766"/>
      <c r="AB632" s="766"/>
      <c r="AC632" s="405"/>
      <c r="AD632" s="405"/>
      <c r="AE632" s="405"/>
      <c r="AF632" s="405"/>
      <c r="AG632" s="405"/>
      <c r="AH632" s="405"/>
      <c r="AI632" s="405"/>
      <c r="AJ632" s="405"/>
      <c r="AK632" s="405"/>
      <c r="AL632" s="405"/>
      <c r="AN632" s="459"/>
    </row>
    <row r="633" spans="1:42" s="418" customFormat="1" ht="12.75" customHeight="1">
      <c r="B633" s="405"/>
      <c r="C633" s="405"/>
      <c r="D633" s="520" t="s">
        <v>21</v>
      </c>
      <c r="E633" s="1911" t="s">
        <v>2311</v>
      </c>
      <c r="F633" s="1911"/>
      <c r="G633" s="1911"/>
      <c r="H633" s="1911"/>
      <c r="I633" s="1911"/>
      <c r="J633" s="1911"/>
      <c r="K633" s="1911"/>
      <c r="L633" s="1911"/>
      <c r="M633" s="1911"/>
      <c r="N633" s="1911"/>
      <c r="O633" s="1911"/>
      <c r="P633" s="1911"/>
      <c r="Q633" s="1911"/>
      <c r="R633" s="1911"/>
      <c r="S633" s="1911"/>
      <c r="T633" s="1911"/>
      <c r="U633" s="1911"/>
      <c r="V633" s="1911"/>
      <c r="W633" s="1911"/>
      <c r="X633" s="1911"/>
      <c r="Y633" s="1911"/>
      <c r="Z633" s="1911"/>
      <c r="AA633" s="1911"/>
      <c r="AB633" s="1911"/>
      <c r="AC633" s="1911"/>
      <c r="AD633" s="1911"/>
      <c r="AE633" s="405"/>
      <c r="AF633" s="1857" t="s">
        <v>2016</v>
      </c>
      <c r="AG633" s="1857"/>
      <c r="AH633" s="1857"/>
      <c r="AI633" s="1857"/>
      <c r="AJ633" s="1857"/>
      <c r="AK633" s="1857"/>
      <c r="AL633" s="1857"/>
      <c r="AN633" s="459"/>
    </row>
    <row r="634" spans="1:42" s="418" customFormat="1" ht="12.75" customHeight="1">
      <c r="B634" s="405"/>
      <c r="C634" s="405"/>
      <c r="D634" s="520"/>
      <c r="E634" s="1911"/>
      <c r="F634" s="1911"/>
      <c r="G634" s="1911"/>
      <c r="H634" s="1911"/>
      <c r="I634" s="1911"/>
      <c r="J634" s="1911"/>
      <c r="K634" s="1911"/>
      <c r="L634" s="1911"/>
      <c r="M634" s="1911"/>
      <c r="N634" s="1911"/>
      <c r="O634" s="1911"/>
      <c r="P634" s="1911"/>
      <c r="Q634" s="1911"/>
      <c r="R634" s="1911"/>
      <c r="S634" s="1911"/>
      <c r="T634" s="1911"/>
      <c r="U634" s="1911"/>
      <c r="V634" s="1911"/>
      <c r="W634" s="1911"/>
      <c r="X634" s="1911"/>
      <c r="Y634" s="1911"/>
      <c r="Z634" s="1911"/>
      <c r="AA634" s="1911"/>
      <c r="AB634" s="1911"/>
      <c r="AC634" s="1911"/>
      <c r="AD634" s="1911"/>
      <c r="AE634" s="1189"/>
      <c r="AF634" s="1189"/>
      <c r="AG634" s="1189"/>
      <c r="AH634" s="1189"/>
      <c r="AI634" s="1189"/>
      <c r="AJ634" s="1189"/>
      <c r="AK634" s="1189"/>
      <c r="AL634" s="1189"/>
      <c r="AN634" s="459"/>
    </row>
    <row r="635" spans="1:42" s="418" customFormat="1" ht="12.75" customHeight="1">
      <c r="B635" s="476"/>
      <c r="C635" s="764"/>
      <c r="D635" s="520"/>
      <c r="E635" s="476"/>
      <c r="F635" s="476"/>
      <c r="G635" s="476"/>
      <c r="H635" s="476"/>
      <c r="I635" s="476"/>
      <c r="J635" s="476"/>
      <c r="K635" s="476"/>
      <c r="L635" s="476"/>
      <c r="M635" s="476"/>
      <c r="N635" s="476"/>
      <c r="O635" s="476"/>
      <c r="P635" s="476"/>
      <c r="Q635" s="476"/>
      <c r="R635" s="476"/>
      <c r="S635" s="476"/>
      <c r="T635" s="476"/>
      <c r="U635" s="476"/>
      <c r="V635" s="476"/>
      <c r="W635" s="476"/>
      <c r="X635" s="476"/>
      <c r="Y635" s="476"/>
      <c r="Z635" s="476"/>
      <c r="AA635" s="476"/>
      <c r="AB635" s="476"/>
      <c r="AC635" s="405"/>
      <c r="AD635" s="405"/>
      <c r="AE635" s="476"/>
      <c r="AF635" s="405"/>
      <c r="AG635" s="405"/>
      <c r="AH635" s="405"/>
      <c r="AI635" s="405"/>
      <c r="AJ635" s="405"/>
      <c r="AK635" s="405"/>
      <c r="AL635" s="405"/>
      <c r="AN635" s="459"/>
    </row>
    <row r="636" spans="1:42" s="418" customFormat="1" ht="12.75" customHeight="1">
      <c r="B636" s="405"/>
      <c r="C636" s="756"/>
      <c r="D636" s="520" t="s">
        <v>26</v>
      </c>
      <c r="E636" s="476" t="s">
        <v>2312</v>
      </c>
      <c r="F636" s="476"/>
      <c r="G636" s="476"/>
      <c r="H636" s="476"/>
      <c r="I636" s="476"/>
      <c r="J636" s="476"/>
      <c r="K636" s="476"/>
      <c r="L636" s="476"/>
      <c r="M636" s="476"/>
      <c r="N636" s="476"/>
      <c r="O636" s="476"/>
      <c r="P636" s="476"/>
      <c r="Q636" s="476"/>
      <c r="R636" s="476"/>
      <c r="S636" s="476"/>
      <c r="T636" s="476"/>
      <c r="U636" s="476"/>
      <c r="V636" s="476"/>
      <c r="W636" s="476"/>
      <c r="X636" s="476"/>
      <c r="Y636" s="476"/>
      <c r="Z636" s="476"/>
      <c r="AA636" s="476"/>
      <c r="AB636" s="476"/>
      <c r="AC636" s="405"/>
      <c r="AD636" s="405"/>
      <c r="AE636" s="405"/>
      <c r="AF636" s="1857" t="s">
        <v>2306</v>
      </c>
      <c r="AG636" s="1857"/>
      <c r="AH636" s="1857"/>
      <c r="AI636" s="1857"/>
      <c r="AJ636" s="1857"/>
      <c r="AK636" s="1857"/>
      <c r="AL636" s="1857"/>
      <c r="AN636" s="459"/>
    </row>
    <row r="637" spans="1:42" s="418" customFormat="1" ht="12.75" customHeight="1">
      <c r="B637" s="405"/>
      <c r="C637" s="756"/>
      <c r="D637" s="520"/>
      <c r="E637" s="476" t="s">
        <v>2313</v>
      </c>
      <c r="F637" s="476"/>
      <c r="G637" s="476"/>
      <c r="H637" s="476"/>
      <c r="I637" s="476"/>
      <c r="J637" s="476"/>
      <c r="K637" s="476"/>
      <c r="L637" s="476"/>
      <c r="M637" s="476"/>
      <c r="N637" s="476"/>
      <c r="O637" s="476"/>
      <c r="P637" s="476"/>
      <c r="Q637" s="476"/>
      <c r="R637" s="476"/>
      <c r="S637" s="476"/>
      <c r="T637" s="476"/>
      <c r="U637" s="476"/>
      <c r="V637" s="476"/>
      <c r="W637" s="476"/>
      <c r="X637" s="476"/>
      <c r="Y637" s="476"/>
      <c r="Z637" s="476"/>
      <c r="AA637" s="476"/>
      <c r="AB637" s="476"/>
      <c r="AC637" s="405"/>
      <c r="AD637" s="405"/>
      <c r="AE637" s="1189"/>
      <c r="AF637" s="1189"/>
      <c r="AG637" s="1189"/>
      <c r="AH637" s="1189"/>
      <c r="AI637" s="1189"/>
      <c r="AJ637" s="1189"/>
      <c r="AK637" s="1189"/>
      <c r="AL637" s="1189"/>
      <c r="AN637" s="459"/>
    </row>
    <row r="638" spans="1:42" s="418" customFormat="1" ht="12.75" customHeight="1">
      <c r="B638" s="405"/>
      <c r="C638" s="756"/>
      <c r="D638" s="405"/>
      <c r="E638" s="476"/>
      <c r="F638" s="476"/>
      <c r="G638" s="476"/>
      <c r="H638" s="476"/>
      <c r="I638" s="476"/>
      <c r="J638" s="476"/>
      <c r="K638" s="476"/>
      <c r="L638" s="476"/>
      <c r="M638" s="476"/>
      <c r="N638" s="476"/>
      <c r="O638" s="476"/>
      <c r="P638" s="476"/>
      <c r="Q638" s="476"/>
      <c r="R638" s="476"/>
      <c r="S638" s="476"/>
      <c r="T638" s="476"/>
      <c r="U638" s="476"/>
      <c r="V638" s="476"/>
      <c r="W638" s="476"/>
      <c r="X638" s="476"/>
      <c r="Y638" s="476"/>
      <c r="Z638" s="476"/>
      <c r="AA638" s="476"/>
      <c r="AB638" s="476"/>
      <c r="AC638" s="405"/>
      <c r="AD638" s="405"/>
      <c r="AE638" s="405"/>
      <c r="AF638" s="405"/>
      <c r="AG638" s="405"/>
      <c r="AH638" s="405"/>
      <c r="AI638" s="405"/>
      <c r="AJ638" s="405"/>
      <c r="AK638" s="405"/>
      <c r="AL638" s="405"/>
      <c r="AN638" s="459"/>
      <c r="AP638" s="536"/>
    </row>
    <row r="639" spans="1:42" s="418" customFormat="1" ht="12.75" customHeight="1">
      <c r="B639" s="405"/>
      <c r="C639" s="756"/>
      <c r="D639" s="405" t="s">
        <v>2292</v>
      </c>
      <c r="E639" s="1207"/>
      <c r="F639" s="1207"/>
      <c r="G639" s="1207"/>
      <c r="H639" s="1940" t="s">
        <v>26</v>
      </c>
      <c r="I639" s="1940"/>
      <c r="J639" s="476"/>
      <c r="K639" s="476"/>
      <c r="L639" s="476"/>
      <c r="M639" s="476"/>
      <c r="N639" s="476"/>
      <c r="O639" s="476"/>
      <c r="P639" s="476"/>
      <c r="Q639" s="476"/>
      <c r="R639" s="476"/>
      <c r="S639" s="476"/>
      <c r="T639" s="476"/>
      <c r="U639" s="476"/>
      <c r="V639" s="476"/>
      <c r="W639" s="405"/>
      <c r="X639" s="405"/>
      <c r="Y639" s="405"/>
      <c r="Z639" s="405"/>
      <c r="AA639" s="405"/>
      <c r="AB639" s="405"/>
      <c r="AC639" s="405"/>
      <c r="AD639" s="405"/>
      <c r="AE639" s="405"/>
      <c r="AF639" s="405"/>
      <c r="AG639" s="405"/>
      <c r="AH639" s="405"/>
      <c r="AI639" s="405"/>
      <c r="AJ639" s="405"/>
      <c r="AK639" s="405"/>
      <c r="AL639" s="405"/>
      <c r="AN639" s="459"/>
    </row>
    <row r="640" spans="1:42" s="418" customFormat="1" ht="12.75" customHeight="1">
      <c r="B640" s="405"/>
      <c r="C640" s="756"/>
      <c r="D640" s="405"/>
      <c r="E640" s="1207"/>
      <c r="F640" s="1207"/>
      <c r="G640" s="476"/>
      <c r="H640" s="476"/>
      <c r="I640" s="476"/>
      <c r="J640" s="476"/>
      <c r="K640" s="476"/>
      <c r="L640" s="476"/>
      <c r="M640" s="476"/>
      <c r="N640" s="476"/>
      <c r="O640" s="476"/>
      <c r="P640" s="476"/>
      <c r="Q640" s="476"/>
      <c r="R640" s="476"/>
      <c r="S640" s="476"/>
      <c r="T640" s="476"/>
      <c r="U640" s="476"/>
      <c r="V640" s="476"/>
      <c r="W640" s="476"/>
      <c r="X640" s="476"/>
      <c r="Y640" s="476"/>
      <c r="Z640" s="1207"/>
      <c r="AA640" s="1207"/>
      <c r="AB640" s="1207"/>
      <c r="AC640" s="405"/>
      <c r="AD640" s="405"/>
      <c r="AE640" s="405"/>
      <c r="AF640" s="405"/>
      <c r="AG640" s="405"/>
      <c r="AH640" s="405"/>
      <c r="AI640" s="405"/>
      <c r="AJ640" s="476"/>
      <c r="AK640" s="476"/>
      <c r="AL640" s="476"/>
      <c r="AM640" s="419"/>
      <c r="AN640" s="459"/>
    </row>
    <row r="641" spans="1:42" s="418" customFormat="1" ht="12.75" customHeight="1">
      <c r="A641" s="467"/>
      <c r="B641" s="463"/>
      <c r="C641" s="768"/>
      <c r="D641" s="463"/>
      <c r="E641" s="763"/>
      <c r="F641" s="763"/>
      <c r="G641" s="522"/>
      <c r="H641" s="522"/>
      <c r="I641" s="522"/>
      <c r="J641" s="522"/>
      <c r="K641" s="522"/>
      <c r="L641" s="522"/>
      <c r="M641" s="522"/>
      <c r="N641" s="522"/>
      <c r="O641" s="522"/>
      <c r="P641" s="522"/>
      <c r="Q641" s="522"/>
      <c r="R641" s="522"/>
      <c r="S641" s="522"/>
      <c r="T641" s="522"/>
      <c r="U641" s="522"/>
      <c r="V641" s="522"/>
      <c r="W641" s="522"/>
      <c r="X641" s="522"/>
      <c r="Y641" s="763"/>
      <c r="Z641" s="763"/>
      <c r="AA641" s="763"/>
      <c r="AB641" s="463"/>
      <c r="AC641" s="463"/>
      <c r="AD641" s="463"/>
      <c r="AE641" s="463"/>
      <c r="AF641" s="463"/>
      <c r="AG641" s="463"/>
      <c r="AH641" s="463"/>
      <c r="AI641" s="431" t="s">
        <v>2314</v>
      </c>
      <c r="AJ641" s="1891">
        <f>VLOOKUP(H639,AT594:AU596,2,FALSE)</f>
        <v>2</v>
      </c>
      <c r="AK641" s="1893"/>
      <c r="AL641" s="457"/>
      <c r="AN641" s="459"/>
    </row>
    <row r="642" spans="1:42" s="418" customFormat="1" ht="12.75" customHeight="1">
      <c r="B642" s="405"/>
      <c r="C642" s="756"/>
      <c r="D642" s="405"/>
      <c r="E642" s="405"/>
      <c r="F642" s="405"/>
      <c r="G642" s="405"/>
      <c r="H642" s="405"/>
      <c r="I642" s="405"/>
      <c r="J642" s="405"/>
      <c r="K642" s="405"/>
      <c r="L642" s="405"/>
      <c r="M642" s="405"/>
      <c r="N642" s="405"/>
      <c r="O642" s="405"/>
      <c r="P642" s="405"/>
      <c r="Q642" s="405"/>
      <c r="R642" s="405"/>
      <c r="S642" s="405"/>
      <c r="T642" s="405"/>
      <c r="U642" s="405"/>
      <c r="V642" s="405"/>
      <c r="W642" s="405"/>
      <c r="X642" s="405"/>
      <c r="Y642" s="405"/>
      <c r="Z642" s="405"/>
      <c r="AA642" s="405"/>
      <c r="AB642" s="405"/>
      <c r="AC642" s="405"/>
      <c r="AD642" s="405"/>
      <c r="AE642" s="405"/>
      <c r="AF642" s="405"/>
      <c r="AG642" s="405"/>
      <c r="AH642" s="405"/>
      <c r="AI642" s="405"/>
      <c r="AJ642" s="405"/>
      <c r="AK642" s="405"/>
      <c r="AL642" s="405"/>
      <c r="AN642" s="459"/>
    </row>
    <row r="643" spans="1:42" s="418" customFormat="1" ht="12.75" customHeight="1">
      <c r="B643" s="405"/>
      <c r="C643" s="408" t="s">
        <v>2315</v>
      </c>
      <c r="D643" s="405"/>
      <c r="E643" s="405"/>
      <c r="F643" s="405"/>
      <c r="G643" s="405"/>
      <c r="H643" s="405"/>
      <c r="I643" s="405"/>
      <c r="J643" s="405"/>
      <c r="K643" s="405"/>
      <c r="L643" s="405"/>
      <c r="M643" s="405"/>
      <c r="N643" s="405"/>
      <c r="O643" s="405"/>
      <c r="P643" s="405"/>
      <c r="Q643" s="405"/>
      <c r="R643" s="405"/>
      <c r="S643" s="405"/>
      <c r="T643" s="405"/>
      <c r="U643" s="405"/>
      <c r="V643" s="405"/>
      <c r="W643" s="405"/>
      <c r="X643" s="405"/>
      <c r="Y643" s="405"/>
      <c r="Z643" s="405"/>
      <c r="AA643" s="405"/>
      <c r="AB643" s="405"/>
      <c r="AC643" s="405"/>
      <c r="AD643" s="405"/>
      <c r="AE643" s="405"/>
      <c r="AF643" s="405"/>
      <c r="AG643" s="405"/>
      <c r="AH643" s="405"/>
      <c r="AI643" s="405"/>
      <c r="AJ643" s="405"/>
      <c r="AK643" s="405"/>
      <c r="AL643" s="405"/>
      <c r="AN643" s="459"/>
    </row>
    <row r="644" spans="1:42" s="418" customFormat="1" ht="12.75" customHeight="1">
      <c r="B644" s="405"/>
      <c r="C644" s="408"/>
      <c r="D644" s="538" t="s">
        <v>2316</v>
      </c>
      <c r="E644" s="405"/>
      <c r="F644" s="405"/>
      <c r="G644" s="405"/>
      <c r="H644" s="405"/>
      <c r="I644" s="405"/>
      <c r="J644" s="405"/>
      <c r="K644" s="405"/>
      <c r="L644" s="405"/>
      <c r="M644" s="405"/>
      <c r="N644" s="405"/>
      <c r="O644" s="405"/>
      <c r="P644" s="405"/>
      <c r="Q644" s="405"/>
      <c r="R644" s="405"/>
      <c r="S644" s="405"/>
      <c r="T644" s="405"/>
      <c r="U644" s="405"/>
      <c r="V644" s="405"/>
      <c r="W644" s="405"/>
      <c r="X644" s="405"/>
      <c r="Y644" s="405"/>
      <c r="Z644" s="405"/>
      <c r="AA644" s="405"/>
      <c r="AB644" s="405"/>
      <c r="AC644" s="405"/>
      <c r="AD644" s="405"/>
      <c r="AE644" s="405"/>
      <c r="AF644" s="405"/>
      <c r="AG644" s="405"/>
      <c r="AH644" s="405"/>
      <c r="AI644" s="405"/>
      <c r="AJ644" s="405"/>
      <c r="AK644" s="405"/>
      <c r="AL644" s="405"/>
      <c r="AN644" s="459"/>
    </row>
    <row r="645" spans="1:42" s="418" customFormat="1" ht="12.75" customHeight="1">
      <c r="B645" s="405"/>
      <c r="C645" s="408"/>
      <c r="D645" s="405"/>
      <c r="E645" s="405"/>
      <c r="F645" s="405"/>
      <c r="G645" s="405"/>
      <c r="H645" s="405"/>
      <c r="I645" s="405"/>
      <c r="J645" s="405"/>
      <c r="K645" s="405"/>
      <c r="L645" s="405"/>
      <c r="M645" s="405"/>
      <c r="N645" s="405"/>
      <c r="O645" s="405"/>
      <c r="P645" s="405"/>
      <c r="Q645" s="405"/>
      <c r="R645" s="405"/>
      <c r="S645" s="405"/>
      <c r="T645" s="405"/>
      <c r="U645" s="405"/>
      <c r="V645" s="405"/>
      <c r="W645" s="405"/>
      <c r="X645" s="405"/>
      <c r="Y645" s="405"/>
      <c r="Z645" s="405"/>
      <c r="AA645" s="405"/>
      <c r="AB645" s="405"/>
      <c r="AC645" s="405"/>
      <c r="AD645" s="405"/>
      <c r="AE645" s="405"/>
      <c r="AF645" s="405"/>
      <c r="AG645" s="405"/>
      <c r="AH645" s="405"/>
      <c r="AI645" s="405"/>
      <c r="AJ645" s="405"/>
      <c r="AK645" s="405"/>
      <c r="AL645" s="405"/>
      <c r="AN645" s="459"/>
    </row>
    <row r="646" spans="1:42" s="418" customFormat="1" ht="12.75" customHeight="1">
      <c r="B646" s="405"/>
      <c r="C646" s="408"/>
      <c r="D646" s="520" t="s">
        <v>21</v>
      </c>
      <c r="E646" s="1911" t="s">
        <v>2317</v>
      </c>
      <c r="F646" s="1911"/>
      <c r="G646" s="1911"/>
      <c r="H646" s="1911"/>
      <c r="I646" s="1911"/>
      <c r="J646" s="1911"/>
      <c r="K646" s="1911"/>
      <c r="L646" s="1911"/>
      <c r="M646" s="1911"/>
      <c r="N646" s="1911"/>
      <c r="O646" s="1911"/>
      <c r="P646" s="1911"/>
      <c r="Q646" s="1911"/>
      <c r="R646" s="1911"/>
      <c r="S646" s="1911"/>
      <c r="T646" s="1911"/>
      <c r="U646" s="1911"/>
      <c r="V646" s="1911"/>
      <c r="W646" s="1911"/>
      <c r="X646" s="1911"/>
      <c r="Y646" s="1911"/>
      <c r="Z646" s="1911"/>
      <c r="AA646" s="1911"/>
      <c r="AB646" s="1911"/>
      <c r="AC646" s="1911"/>
      <c r="AD646" s="405"/>
      <c r="AE646" s="405"/>
      <c r="AF646" s="1857" t="s">
        <v>2278</v>
      </c>
      <c r="AG646" s="1857"/>
      <c r="AH646" s="1857"/>
      <c r="AI646" s="1857"/>
      <c r="AJ646" s="1857"/>
      <c r="AK646" s="1857"/>
      <c r="AL646" s="1857"/>
      <c r="AN646" s="459"/>
    </row>
    <row r="647" spans="1:42" s="418" customFormat="1" ht="12.75" customHeight="1">
      <c r="B647" s="405"/>
      <c r="C647" s="408"/>
      <c r="D647" s="405"/>
      <c r="E647" s="1911"/>
      <c r="F647" s="1911"/>
      <c r="G647" s="1911"/>
      <c r="H647" s="1911"/>
      <c r="I647" s="1911"/>
      <c r="J647" s="1911"/>
      <c r="K647" s="1911"/>
      <c r="L647" s="1911"/>
      <c r="M647" s="1911"/>
      <c r="N647" s="1911"/>
      <c r="O647" s="1911"/>
      <c r="P647" s="1911"/>
      <c r="Q647" s="1911"/>
      <c r="R647" s="1911"/>
      <c r="S647" s="1911"/>
      <c r="T647" s="1911"/>
      <c r="U647" s="1911"/>
      <c r="V647" s="1911"/>
      <c r="W647" s="1911"/>
      <c r="X647" s="1911"/>
      <c r="Y647" s="1911"/>
      <c r="Z647" s="1911"/>
      <c r="AA647" s="1911"/>
      <c r="AB647" s="1911"/>
      <c r="AC647" s="1911"/>
      <c r="AD647" s="405"/>
      <c r="AE647" s="405"/>
      <c r="AF647" s="405"/>
      <c r="AG647" s="405"/>
      <c r="AH647" s="405"/>
      <c r="AI647" s="405"/>
      <c r="AJ647" s="405"/>
      <c r="AK647" s="405"/>
      <c r="AL647" s="405"/>
      <c r="AN647" s="459"/>
    </row>
    <row r="648" spans="1:42" s="418" customFormat="1" ht="12.75" customHeight="1">
      <c r="B648" s="405"/>
      <c r="C648" s="408"/>
      <c r="D648" s="520"/>
      <c r="E648" s="1911"/>
      <c r="F648" s="1911"/>
      <c r="G648" s="1911"/>
      <c r="H648" s="1911"/>
      <c r="I648" s="1911"/>
      <c r="J648" s="1911"/>
      <c r="K648" s="1911"/>
      <c r="L648" s="1911"/>
      <c r="M648" s="1911"/>
      <c r="N648" s="1911"/>
      <c r="O648" s="1911"/>
      <c r="P648" s="1911"/>
      <c r="Q648" s="1911"/>
      <c r="R648" s="1911"/>
      <c r="S648" s="1911"/>
      <c r="T648" s="1911"/>
      <c r="U648" s="1911"/>
      <c r="V648" s="1911"/>
      <c r="W648" s="1911"/>
      <c r="X648" s="1911"/>
      <c r="Y648" s="1911"/>
      <c r="Z648" s="1911"/>
      <c r="AA648" s="1911"/>
      <c r="AB648" s="1911"/>
      <c r="AC648" s="1911"/>
      <c r="AD648" s="405"/>
      <c r="AE648" s="405"/>
      <c r="AF648" s="405"/>
      <c r="AG648" s="405"/>
      <c r="AH648" s="405"/>
      <c r="AI648" s="405"/>
      <c r="AJ648" s="405"/>
      <c r="AK648" s="405"/>
      <c r="AL648" s="405"/>
      <c r="AN648" s="459"/>
    </row>
    <row r="649" spans="1:42" s="418" customFormat="1" ht="15" customHeight="1">
      <c r="B649" s="405"/>
      <c r="C649" s="408"/>
      <c r="D649" s="405"/>
      <c r="E649" s="770"/>
      <c r="F649" s="770"/>
      <c r="G649" s="770"/>
      <c r="H649" s="770"/>
      <c r="I649" s="770"/>
      <c r="J649" s="770"/>
      <c r="K649" s="770"/>
      <c r="L649" s="770"/>
      <c r="M649" s="770"/>
      <c r="N649" s="770"/>
      <c r="O649" s="770"/>
      <c r="P649" s="770"/>
      <c r="Q649" s="770"/>
      <c r="R649" s="770"/>
      <c r="S649" s="770"/>
      <c r="T649" s="770"/>
      <c r="U649" s="770"/>
      <c r="V649" s="770"/>
      <c r="W649" s="770"/>
      <c r="X649" s="770"/>
      <c r="Y649" s="770"/>
      <c r="Z649" s="770"/>
      <c r="AA649" s="770"/>
      <c r="AB649" s="770"/>
      <c r="AC649" s="405"/>
      <c r="AD649" s="405"/>
      <c r="AE649" s="405"/>
      <c r="AF649" s="405"/>
      <c r="AG649" s="405"/>
      <c r="AH649" s="405"/>
      <c r="AI649" s="405"/>
      <c r="AJ649" s="405"/>
      <c r="AK649" s="405"/>
      <c r="AL649" s="405"/>
      <c r="AN649" s="459"/>
    </row>
    <row r="650" spans="1:42" s="418" customFormat="1" ht="12.75" customHeight="1">
      <c r="B650" s="405"/>
      <c r="C650" s="408"/>
      <c r="D650" s="520" t="s">
        <v>26</v>
      </c>
      <c r="E650" s="1911" t="s">
        <v>2318</v>
      </c>
      <c r="F650" s="1911"/>
      <c r="G650" s="1911"/>
      <c r="H650" s="1911"/>
      <c r="I650" s="1911"/>
      <c r="J650" s="1911"/>
      <c r="K650" s="1911"/>
      <c r="L650" s="1911"/>
      <c r="M650" s="1911"/>
      <c r="N650" s="1911"/>
      <c r="O650" s="1911"/>
      <c r="P650" s="1911"/>
      <c r="Q650" s="1911"/>
      <c r="R650" s="1911"/>
      <c r="S650" s="1911"/>
      <c r="T650" s="1911"/>
      <c r="U650" s="1911"/>
      <c r="V650" s="1911"/>
      <c r="W650" s="1911"/>
      <c r="X650" s="1911"/>
      <c r="Y650" s="1911"/>
      <c r="Z650" s="1911"/>
      <c r="AA650" s="1911"/>
      <c r="AB650" s="1911"/>
      <c r="AC650" s="1911"/>
      <c r="AD650" s="405"/>
      <c r="AE650" s="405"/>
      <c r="AF650" s="1857" t="s">
        <v>2284</v>
      </c>
      <c r="AG650" s="1857"/>
      <c r="AH650" s="1857"/>
      <c r="AI650" s="1857"/>
      <c r="AJ650" s="1857"/>
      <c r="AK650" s="1857"/>
      <c r="AL650" s="1857"/>
      <c r="AN650" s="459"/>
    </row>
    <row r="651" spans="1:42" s="418" customFormat="1" ht="12.75" customHeight="1">
      <c r="B651" s="405"/>
      <c r="C651" s="408"/>
      <c r="D651" s="405"/>
      <c r="E651" s="1911"/>
      <c r="F651" s="1911"/>
      <c r="G651" s="1911"/>
      <c r="H651" s="1911"/>
      <c r="I651" s="1911"/>
      <c r="J651" s="1911"/>
      <c r="K651" s="1911"/>
      <c r="L651" s="1911"/>
      <c r="M651" s="1911"/>
      <c r="N651" s="1911"/>
      <c r="O651" s="1911"/>
      <c r="P651" s="1911"/>
      <c r="Q651" s="1911"/>
      <c r="R651" s="1911"/>
      <c r="S651" s="1911"/>
      <c r="T651" s="1911"/>
      <c r="U651" s="1911"/>
      <c r="V651" s="1911"/>
      <c r="W651" s="1911"/>
      <c r="X651" s="1911"/>
      <c r="Y651" s="1911"/>
      <c r="Z651" s="1911"/>
      <c r="AA651" s="1911"/>
      <c r="AB651" s="1911"/>
      <c r="AC651" s="1911"/>
      <c r="AD651" s="405"/>
      <c r="AE651" s="405"/>
      <c r="AF651" s="405"/>
      <c r="AG651" s="405"/>
      <c r="AH651" s="405"/>
      <c r="AI651" s="405"/>
      <c r="AJ651" s="405"/>
      <c r="AK651" s="405"/>
      <c r="AL651" s="405"/>
      <c r="AN651" s="459"/>
    </row>
    <row r="652" spans="1:42" s="418" customFormat="1" ht="15" customHeight="1">
      <c r="B652" s="405"/>
      <c r="C652" s="408"/>
      <c r="D652" s="520"/>
      <c r="E652" s="1911"/>
      <c r="F652" s="1911"/>
      <c r="G652" s="1911"/>
      <c r="H652" s="1911"/>
      <c r="I652" s="1911"/>
      <c r="J652" s="1911"/>
      <c r="K652" s="1911"/>
      <c r="L652" s="1911"/>
      <c r="M652" s="1911"/>
      <c r="N652" s="1911"/>
      <c r="O652" s="1911"/>
      <c r="P652" s="1911"/>
      <c r="Q652" s="1911"/>
      <c r="R652" s="1911"/>
      <c r="S652" s="1911"/>
      <c r="T652" s="1911"/>
      <c r="U652" s="1911"/>
      <c r="V652" s="1911"/>
      <c r="W652" s="1911"/>
      <c r="X652" s="1911"/>
      <c r="Y652" s="1911"/>
      <c r="Z652" s="1911"/>
      <c r="AA652" s="1911"/>
      <c r="AB652" s="1911"/>
      <c r="AC652" s="1911"/>
      <c r="AD652" s="405"/>
      <c r="AE652" s="405"/>
      <c r="AF652" s="405"/>
      <c r="AG652" s="405"/>
      <c r="AH652" s="405"/>
      <c r="AI652" s="405"/>
      <c r="AJ652" s="405"/>
      <c r="AK652" s="405"/>
      <c r="AL652" s="405"/>
      <c r="AN652" s="459"/>
    </row>
    <row r="653" spans="1:42" s="418" customFormat="1" ht="12.75" customHeight="1">
      <c r="B653" s="405"/>
      <c r="C653" s="408"/>
      <c r="D653" s="405"/>
      <c r="E653" s="770"/>
      <c r="F653" s="770"/>
      <c r="G653" s="770"/>
      <c r="H653" s="770"/>
      <c r="I653" s="770"/>
      <c r="J653" s="770"/>
      <c r="K653" s="770"/>
      <c r="L653" s="770"/>
      <c r="M653" s="770"/>
      <c r="N653" s="770"/>
      <c r="O653" s="770"/>
      <c r="P653" s="770"/>
      <c r="Q653" s="770"/>
      <c r="R653" s="770"/>
      <c r="S653" s="770"/>
      <c r="T653" s="770"/>
      <c r="U653" s="770"/>
      <c r="V653" s="770"/>
      <c r="W653" s="770"/>
      <c r="X653" s="770"/>
      <c r="Y653" s="770"/>
      <c r="Z653" s="770"/>
      <c r="AA653" s="770"/>
      <c r="AB653" s="770"/>
      <c r="AC653" s="405"/>
      <c r="AD653" s="405"/>
      <c r="AE653" s="405"/>
      <c r="AF653" s="405"/>
      <c r="AG653" s="405"/>
      <c r="AH653" s="405"/>
      <c r="AI653" s="405"/>
      <c r="AJ653" s="405"/>
      <c r="AK653" s="405"/>
      <c r="AL653" s="405"/>
      <c r="AN653" s="459"/>
    </row>
    <row r="654" spans="1:42" s="418" customFormat="1" ht="12.75" customHeight="1">
      <c r="B654" s="405"/>
      <c r="C654" s="408"/>
      <c r="D654" s="520" t="s">
        <v>48</v>
      </c>
      <c r="E654" s="1911" t="s">
        <v>2319</v>
      </c>
      <c r="F654" s="1911"/>
      <c r="G654" s="1911"/>
      <c r="H654" s="1911"/>
      <c r="I654" s="1911"/>
      <c r="J654" s="1911"/>
      <c r="K654" s="1911"/>
      <c r="L654" s="1911"/>
      <c r="M654" s="1911"/>
      <c r="N654" s="1911"/>
      <c r="O654" s="1911"/>
      <c r="P654" s="1911"/>
      <c r="Q654" s="1911"/>
      <c r="R654" s="1911"/>
      <c r="S654" s="1911"/>
      <c r="T654" s="1911"/>
      <c r="U654" s="1911"/>
      <c r="V654" s="1911"/>
      <c r="W654" s="1911"/>
      <c r="X654" s="1911"/>
      <c r="Y654" s="1911"/>
      <c r="Z654" s="1911"/>
      <c r="AA654" s="1911"/>
      <c r="AB654" s="1911"/>
      <c r="AC654" s="1911"/>
      <c r="AD654" s="405"/>
      <c r="AE654" s="405"/>
      <c r="AF654" s="1857" t="s">
        <v>2016</v>
      </c>
      <c r="AG654" s="1857"/>
      <c r="AH654" s="1857"/>
      <c r="AI654" s="1857"/>
      <c r="AJ654" s="1857"/>
      <c r="AK654" s="1857"/>
      <c r="AL654" s="1857"/>
      <c r="AN654" s="459"/>
    </row>
    <row r="655" spans="1:42" s="418" customFormat="1" ht="12.75" customHeight="1">
      <c r="B655" s="405"/>
      <c r="C655" s="756"/>
      <c r="D655" s="405"/>
      <c r="E655" s="1911"/>
      <c r="F655" s="1911"/>
      <c r="G655" s="1911"/>
      <c r="H655" s="1911"/>
      <c r="I655" s="1911"/>
      <c r="J655" s="1911"/>
      <c r="K655" s="1911"/>
      <c r="L655" s="1911"/>
      <c r="M655" s="1911"/>
      <c r="N655" s="1911"/>
      <c r="O655" s="1911"/>
      <c r="P655" s="1911"/>
      <c r="Q655" s="1911"/>
      <c r="R655" s="1911"/>
      <c r="S655" s="1911"/>
      <c r="T655" s="1911"/>
      <c r="U655" s="1911"/>
      <c r="V655" s="1911"/>
      <c r="W655" s="1911"/>
      <c r="X655" s="1911"/>
      <c r="Y655" s="1911"/>
      <c r="Z655" s="1911"/>
      <c r="AA655" s="1911"/>
      <c r="AB655" s="1911"/>
      <c r="AC655" s="1911"/>
      <c r="AD655" s="405"/>
      <c r="AE655" s="1857"/>
      <c r="AF655" s="1857"/>
      <c r="AG655" s="1857"/>
      <c r="AH655" s="1857"/>
      <c r="AI655" s="1857"/>
      <c r="AJ655" s="1857"/>
      <c r="AK655" s="1857"/>
      <c r="AL655" s="1189"/>
      <c r="AN655" s="459"/>
      <c r="AO655" s="418" t="s">
        <v>299</v>
      </c>
      <c r="AP655" s="530">
        <v>0</v>
      </c>
    </row>
    <row r="656" spans="1:42" s="418" customFormat="1" ht="12.75" customHeight="1">
      <c r="A656" s="1206"/>
      <c r="B656" s="405"/>
      <c r="C656" s="405"/>
      <c r="D656" s="520"/>
      <c r="E656" s="1911"/>
      <c r="F656" s="1911"/>
      <c r="G656" s="1911"/>
      <c r="H656" s="1911"/>
      <c r="I656" s="1911"/>
      <c r="J656" s="1911"/>
      <c r="K656" s="1911"/>
      <c r="L656" s="1911"/>
      <c r="M656" s="1911"/>
      <c r="N656" s="1911"/>
      <c r="O656" s="1911"/>
      <c r="P656" s="1911"/>
      <c r="Q656" s="1911"/>
      <c r="R656" s="1911"/>
      <c r="S656" s="1911"/>
      <c r="T656" s="1911"/>
      <c r="U656" s="1911"/>
      <c r="V656" s="1911"/>
      <c r="W656" s="1911"/>
      <c r="X656" s="1911"/>
      <c r="Y656" s="1911"/>
      <c r="Z656" s="1911"/>
      <c r="AA656" s="1911"/>
      <c r="AB656" s="1911"/>
      <c r="AC656" s="1911"/>
      <c r="AD656" s="405"/>
      <c r="AE656" s="405"/>
      <c r="AF656" s="405"/>
      <c r="AG656" s="405"/>
      <c r="AH656" s="405"/>
      <c r="AI656" s="405"/>
      <c r="AJ656" s="405"/>
      <c r="AK656" s="405"/>
      <c r="AL656" s="405"/>
      <c r="AN656" s="459"/>
      <c r="AO656" s="472" t="s">
        <v>21</v>
      </c>
      <c r="AP656" s="418">
        <v>3</v>
      </c>
    </row>
    <row r="657" spans="1:42" s="418" customFormat="1" ht="12.75" customHeight="1">
      <c r="B657" s="405"/>
      <c r="C657" s="756"/>
      <c r="D657" s="520"/>
      <c r="E657" s="440"/>
      <c r="F657" s="440"/>
      <c r="G657" s="440"/>
      <c r="H657" s="440"/>
      <c r="I657" s="440"/>
      <c r="J657" s="440"/>
      <c r="K657" s="440"/>
      <c r="L657" s="440"/>
      <c r="M657" s="440"/>
      <c r="N657" s="440"/>
      <c r="O657" s="440"/>
      <c r="P657" s="440"/>
      <c r="Q657" s="440"/>
      <c r="R657" s="440"/>
      <c r="S657" s="440"/>
      <c r="T657" s="440"/>
      <c r="U657" s="440"/>
      <c r="V657" s="440"/>
      <c r="W657" s="440"/>
      <c r="X657" s="440"/>
      <c r="Y657" s="440"/>
      <c r="Z657" s="440"/>
      <c r="AA657" s="440"/>
      <c r="AB657" s="440"/>
      <c r="AC657" s="405"/>
      <c r="AD657" s="405"/>
      <c r="AE657" s="405"/>
      <c r="AF657" s="405"/>
      <c r="AG657" s="405"/>
      <c r="AH657" s="405"/>
      <c r="AI657" s="405"/>
      <c r="AJ657" s="405"/>
      <c r="AK657" s="405"/>
      <c r="AL657" s="405"/>
      <c r="AN657" s="459"/>
      <c r="AO657" s="472" t="s">
        <v>26</v>
      </c>
      <c r="AP657" s="418">
        <v>2</v>
      </c>
    </row>
    <row r="658" spans="1:42" s="418" customFormat="1" ht="12.75" customHeight="1">
      <c r="A658" s="527"/>
      <c r="B658" s="405"/>
      <c r="C658" s="771"/>
      <c r="D658" s="520" t="s">
        <v>2276</v>
      </c>
      <c r="E658" s="1911" t="s">
        <v>2320</v>
      </c>
      <c r="F658" s="1911"/>
      <c r="G658" s="1911"/>
      <c r="H658" s="1911"/>
      <c r="I658" s="1911"/>
      <c r="J658" s="1911"/>
      <c r="K658" s="1911"/>
      <c r="L658" s="1911"/>
      <c r="M658" s="1911"/>
      <c r="N658" s="1911"/>
      <c r="O658" s="1911"/>
      <c r="P658" s="1911"/>
      <c r="Q658" s="1911"/>
      <c r="R658" s="1911"/>
      <c r="S658" s="1911"/>
      <c r="T658" s="1911"/>
      <c r="U658" s="1911"/>
      <c r="V658" s="1911"/>
      <c r="W658" s="1911"/>
      <c r="X658" s="1911"/>
      <c r="Y658" s="1911"/>
      <c r="Z658" s="1911"/>
      <c r="AA658" s="1911"/>
      <c r="AB658" s="1911"/>
      <c r="AC658" s="1911"/>
      <c r="AD658" s="405"/>
      <c r="AE658" s="405"/>
      <c r="AF658" s="1857" t="s">
        <v>2284</v>
      </c>
      <c r="AG658" s="1857"/>
      <c r="AH658" s="1857"/>
      <c r="AI658" s="1857"/>
      <c r="AJ658" s="1857"/>
      <c r="AK658" s="1857"/>
      <c r="AL658" s="1857"/>
      <c r="AN658" s="459"/>
    </row>
    <row r="659" spans="1:42" s="418" customFormat="1" ht="12.75" customHeight="1">
      <c r="A659" s="527"/>
      <c r="B659" s="405"/>
      <c r="C659" s="771"/>
      <c r="D659" s="520"/>
      <c r="E659" s="1911"/>
      <c r="F659" s="1911"/>
      <c r="G659" s="1911"/>
      <c r="H659" s="1911"/>
      <c r="I659" s="1911"/>
      <c r="J659" s="1911"/>
      <c r="K659" s="1911"/>
      <c r="L659" s="1911"/>
      <c r="M659" s="1911"/>
      <c r="N659" s="1911"/>
      <c r="O659" s="1911"/>
      <c r="P659" s="1911"/>
      <c r="Q659" s="1911"/>
      <c r="R659" s="1911"/>
      <c r="S659" s="1911"/>
      <c r="T659" s="1911"/>
      <c r="U659" s="1911"/>
      <c r="V659" s="1911"/>
      <c r="W659" s="1911"/>
      <c r="X659" s="1911"/>
      <c r="Y659" s="1911"/>
      <c r="Z659" s="1911"/>
      <c r="AA659" s="1911"/>
      <c r="AB659" s="1911"/>
      <c r="AC659" s="1911"/>
      <c r="AD659" s="405"/>
      <c r="AE659" s="1189"/>
      <c r="AF659" s="1189"/>
      <c r="AG659" s="1189"/>
      <c r="AH659" s="1189"/>
      <c r="AI659" s="1189"/>
      <c r="AJ659" s="1189"/>
      <c r="AK659" s="1189"/>
      <c r="AL659" s="1189"/>
      <c r="AM659" s="458"/>
      <c r="AN659" s="459"/>
    </row>
    <row r="660" spans="1:42" s="418" customFormat="1" ht="12.75" customHeight="1">
      <c r="A660" s="527"/>
      <c r="B660" s="405"/>
      <c r="C660" s="771"/>
      <c r="D660" s="520"/>
      <c r="E660" s="1911"/>
      <c r="F660" s="1911"/>
      <c r="G660" s="1911"/>
      <c r="H660" s="1911"/>
      <c r="I660" s="1911"/>
      <c r="J660" s="1911"/>
      <c r="K660" s="1911"/>
      <c r="L660" s="1911"/>
      <c r="M660" s="1911"/>
      <c r="N660" s="1911"/>
      <c r="O660" s="1911"/>
      <c r="P660" s="1911"/>
      <c r="Q660" s="1911"/>
      <c r="R660" s="1911"/>
      <c r="S660" s="1911"/>
      <c r="T660" s="1911"/>
      <c r="U660" s="1911"/>
      <c r="V660" s="1911"/>
      <c r="W660" s="1911"/>
      <c r="X660" s="1911"/>
      <c r="Y660" s="1911"/>
      <c r="Z660" s="1911"/>
      <c r="AA660" s="1911"/>
      <c r="AB660" s="1911"/>
      <c r="AC660" s="1911"/>
      <c r="AD660" s="405"/>
      <c r="AE660" s="1189"/>
      <c r="AF660" s="1189"/>
      <c r="AG660" s="1189"/>
      <c r="AH660" s="1189"/>
      <c r="AI660" s="1189"/>
      <c r="AJ660" s="1189"/>
      <c r="AK660" s="1189"/>
      <c r="AL660" s="1189"/>
      <c r="AM660" s="458"/>
      <c r="AN660" s="459"/>
    </row>
    <row r="661" spans="1:42" s="418" customFormat="1" ht="12.75" customHeight="1">
      <c r="B661" s="405"/>
      <c r="C661" s="756"/>
      <c r="D661" s="520"/>
      <c r="E661" s="501"/>
      <c r="F661" s="501"/>
      <c r="G661" s="501"/>
      <c r="H661" s="501"/>
      <c r="I661" s="501"/>
      <c r="J661" s="501"/>
      <c r="K661" s="501"/>
      <c r="L661" s="501"/>
      <c r="M661" s="501"/>
      <c r="N661" s="501"/>
      <c r="O661" s="501"/>
      <c r="P661" s="501"/>
      <c r="Q661" s="501"/>
      <c r="R661" s="501"/>
      <c r="S661" s="501"/>
      <c r="T661" s="501"/>
      <c r="U661" s="501"/>
      <c r="V661" s="501"/>
      <c r="W661" s="501"/>
      <c r="X661" s="501"/>
      <c r="Y661" s="501"/>
      <c r="Z661" s="501"/>
      <c r="AA661" s="501"/>
      <c r="AB661" s="501"/>
      <c r="AC661" s="408"/>
      <c r="AD661" s="408"/>
      <c r="AE661" s="405"/>
      <c r="AF661" s="405"/>
      <c r="AG661" s="405"/>
      <c r="AH661" s="405"/>
      <c r="AI661" s="405"/>
      <c r="AJ661" s="405"/>
      <c r="AK661" s="405"/>
      <c r="AL661" s="1189"/>
      <c r="AM661" s="458"/>
      <c r="AN661" s="459"/>
    </row>
    <row r="662" spans="1:42" s="418" customFormat="1" ht="12.75" customHeight="1">
      <c r="B662" s="405"/>
      <c r="C662" s="756"/>
      <c r="D662" s="520" t="s">
        <v>2279</v>
      </c>
      <c r="E662" s="1911" t="s">
        <v>2321</v>
      </c>
      <c r="F662" s="1911"/>
      <c r="G662" s="1911"/>
      <c r="H662" s="1911"/>
      <c r="I662" s="1911"/>
      <c r="J662" s="1911"/>
      <c r="K662" s="1911"/>
      <c r="L662" s="1911"/>
      <c r="M662" s="1911"/>
      <c r="N662" s="1911"/>
      <c r="O662" s="1911"/>
      <c r="P662" s="1911"/>
      <c r="Q662" s="1911"/>
      <c r="R662" s="1911"/>
      <c r="S662" s="1911"/>
      <c r="T662" s="1911"/>
      <c r="U662" s="1911"/>
      <c r="V662" s="1911"/>
      <c r="W662" s="1911"/>
      <c r="X662" s="1911"/>
      <c r="Y662" s="1911"/>
      <c r="Z662" s="1911"/>
      <c r="AA662" s="1911"/>
      <c r="AB662" s="1911"/>
      <c r="AC662" s="1911"/>
      <c r="AD662" s="405"/>
      <c r="AE662" s="405"/>
      <c r="AF662" s="1857" t="s">
        <v>2016</v>
      </c>
      <c r="AG662" s="1857"/>
      <c r="AH662" s="1857"/>
      <c r="AI662" s="1857"/>
      <c r="AJ662" s="1857"/>
      <c r="AK662" s="1857"/>
      <c r="AL662" s="1857"/>
      <c r="AM662" s="458"/>
      <c r="AN662" s="459"/>
    </row>
    <row r="663" spans="1:42" s="418" customFormat="1" ht="12.75" customHeight="1">
      <c r="B663" s="405"/>
      <c r="C663" s="756"/>
      <c r="D663" s="520"/>
      <c r="E663" s="1911"/>
      <c r="F663" s="1911"/>
      <c r="G663" s="1911"/>
      <c r="H663" s="1911"/>
      <c r="I663" s="1911"/>
      <c r="J663" s="1911"/>
      <c r="K663" s="1911"/>
      <c r="L663" s="1911"/>
      <c r="M663" s="1911"/>
      <c r="N663" s="1911"/>
      <c r="O663" s="1911"/>
      <c r="P663" s="1911"/>
      <c r="Q663" s="1911"/>
      <c r="R663" s="1911"/>
      <c r="S663" s="1911"/>
      <c r="T663" s="1911"/>
      <c r="U663" s="1911"/>
      <c r="V663" s="1911"/>
      <c r="W663" s="1911"/>
      <c r="X663" s="1911"/>
      <c r="Y663" s="1911"/>
      <c r="Z663" s="1911"/>
      <c r="AA663" s="1911"/>
      <c r="AB663" s="1911"/>
      <c r="AC663" s="1911"/>
      <c r="AD663" s="405"/>
      <c r="AE663" s="405"/>
      <c r="AF663" s="405"/>
      <c r="AG663" s="405"/>
      <c r="AH663" s="405"/>
      <c r="AI663" s="405"/>
      <c r="AJ663" s="405"/>
      <c r="AK663" s="405"/>
      <c r="AL663" s="405"/>
      <c r="AM663" s="458"/>
      <c r="AN663" s="459"/>
    </row>
    <row r="664" spans="1:42" s="418" customFormat="1" ht="12.75" customHeight="1">
      <c r="B664" s="405"/>
      <c r="C664" s="756"/>
      <c r="D664" s="520"/>
      <c r="E664" s="1911"/>
      <c r="F664" s="1911"/>
      <c r="G664" s="1911"/>
      <c r="H664" s="1911"/>
      <c r="I664" s="1911"/>
      <c r="J664" s="1911"/>
      <c r="K664" s="1911"/>
      <c r="L664" s="1911"/>
      <c r="M664" s="1911"/>
      <c r="N664" s="1911"/>
      <c r="O664" s="1911"/>
      <c r="P664" s="1911"/>
      <c r="Q664" s="1911"/>
      <c r="R664" s="1911"/>
      <c r="S664" s="1911"/>
      <c r="T664" s="1911"/>
      <c r="U664" s="1911"/>
      <c r="V664" s="1911"/>
      <c r="W664" s="1911"/>
      <c r="X664" s="1911"/>
      <c r="Y664" s="1911"/>
      <c r="Z664" s="1911"/>
      <c r="AA664" s="1911"/>
      <c r="AB664" s="1911"/>
      <c r="AC664" s="1911"/>
      <c r="AD664" s="405"/>
      <c r="AE664" s="405"/>
      <c r="AF664" s="405"/>
      <c r="AG664" s="405"/>
      <c r="AH664" s="405"/>
      <c r="AI664" s="405"/>
      <c r="AJ664" s="405"/>
      <c r="AK664" s="405"/>
      <c r="AL664" s="405"/>
      <c r="AM664" s="458"/>
      <c r="AN664" s="459"/>
    </row>
    <row r="665" spans="1:42" s="418" customFormat="1" ht="12.75" customHeight="1">
      <c r="B665" s="405"/>
      <c r="C665" s="756"/>
      <c r="D665" s="520"/>
      <c r="E665" s="405"/>
      <c r="F665" s="405"/>
      <c r="G665" s="405"/>
      <c r="H665" s="405"/>
      <c r="I665" s="405"/>
      <c r="J665" s="405"/>
      <c r="K665" s="405"/>
      <c r="L665" s="405"/>
      <c r="M665" s="405"/>
      <c r="N665" s="405"/>
      <c r="O665" s="405"/>
      <c r="P665" s="405"/>
      <c r="Q665" s="405"/>
      <c r="R665" s="405"/>
      <c r="S665" s="405"/>
      <c r="T665" s="405"/>
      <c r="U665" s="405"/>
      <c r="V665" s="405"/>
      <c r="W665" s="405"/>
      <c r="X665" s="405"/>
      <c r="Y665" s="405"/>
      <c r="Z665" s="405"/>
      <c r="AA665" s="405"/>
      <c r="AB665" s="405"/>
      <c r="AC665" s="405"/>
      <c r="AD665" s="405"/>
      <c r="AE665" s="405"/>
      <c r="AF665" s="405"/>
      <c r="AG665" s="405"/>
      <c r="AH665" s="405"/>
      <c r="AI665" s="405"/>
      <c r="AJ665" s="405"/>
      <c r="AK665" s="405"/>
      <c r="AL665" s="405"/>
      <c r="AM665" s="458"/>
      <c r="AN665" s="459"/>
    </row>
    <row r="666" spans="1:42" s="418" customFormat="1" ht="12.75" customHeight="1">
      <c r="A666" s="1206"/>
      <c r="B666" s="405"/>
      <c r="C666" s="756"/>
      <c r="D666" s="520" t="s">
        <v>2307</v>
      </c>
      <c r="E666" s="1911" t="s">
        <v>2322</v>
      </c>
      <c r="F666" s="1911"/>
      <c r="G666" s="1911"/>
      <c r="H666" s="1911"/>
      <c r="I666" s="1911"/>
      <c r="J666" s="1911"/>
      <c r="K666" s="1911"/>
      <c r="L666" s="1911"/>
      <c r="M666" s="1911"/>
      <c r="N666" s="1911"/>
      <c r="O666" s="1911"/>
      <c r="P666" s="1911"/>
      <c r="Q666" s="1911"/>
      <c r="R666" s="1911"/>
      <c r="S666" s="1911"/>
      <c r="T666" s="1911"/>
      <c r="U666" s="1911"/>
      <c r="V666" s="1911"/>
      <c r="W666" s="1911"/>
      <c r="X666" s="1911"/>
      <c r="Y666" s="1911"/>
      <c r="Z666" s="1911"/>
      <c r="AA666" s="1911"/>
      <c r="AB666" s="1911"/>
      <c r="AC666" s="1911"/>
      <c r="AD666" s="405"/>
      <c r="AE666" s="405"/>
      <c r="AF666" s="1857" t="s">
        <v>2306</v>
      </c>
      <c r="AG666" s="1857"/>
      <c r="AH666" s="1857"/>
      <c r="AI666" s="1857"/>
      <c r="AJ666" s="1857"/>
      <c r="AK666" s="1857"/>
      <c r="AL666" s="1857"/>
      <c r="AM666" s="458"/>
      <c r="AN666" s="459"/>
    </row>
    <row r="667" spans="1:42" s="418" customFormat="1" ht="12.75" customHeight="1">
      <c r="A667" s="1206"/>
      <c r="B667" s="405"/>
      <c r="C667" s="756"/>
      <c r="D667" s="520"/>
      <c r="E667" s="1911"/>
      <c r="F667" s="1911"/>
      <c r="G667" s="1911"/>
      <c r="H667" s="1911"/>
      <c r="I667" s="1911"/>
      <c r="J667" s="1911"/>
      <c r="K667" s="1911"/>
      <c r="L667" s="1911"/>
      <c r="M667" s="1911"/>
      <c r="N667" s="1911"/>
      <c r="O667" s="1911"/>
      <c r="P667" s="1911"/>
      <c r="Q667" s="1911"/>
      <c r="R667" s="1911"/>
      <c r="S667" s="1911"/>
      <c r="T667" s="1911"/>
      <c r="U667" s="1911"/>
      <c r="V667" s="1911"/>
      <c r="W667" s="1911"/>
      <c r="X667" s="1911"/>
      <c r="Y667" s="1911"/>
      <c r="Z667" s="1911"/>
      <c r="AA667" s="1911"/>
      <c r="AB667" s="1911"/>
      <c r="AC667" s="1911"/>
      <c r="AD667" s="405"/>
      <c r="AE667" s="405"/>
      <c r="AF667" s="1189"/>
      <c r="AG667" s="1189"/>
      <c r="AH667" s="1189"/>
      <c r="AI667" s="1189"/>
      <c r="AJ667" s="1189"/>
      <c r="AK667" s="1189"/>
      <c r="AL667" s="1189"/>
      <c r="AM667" s="458"/>
      <c r="AN667" s="459"/>
    </row>
    <row r="668" spans="1:42" s="418" customFormat="1" ht="12.75" customHeight="1">
      <c r="A668" s="1206"/>
      <c r="B668" s="405"/>
      <c r="C668" s="756"/>
      <c r="D668" s="520"/>
      <c r="E668" s="1911"/>
      <c r="F668" s="1911"/>
      <c r="G668" s="1911"/>
      <c r="H668" s="1911"/>
      <c r="I668" s="1911"/>
      <c r="J668" s="1911"/>
      <c r="K668" s="1911"/>
      <c r="L668" s="1911"/>
      <c r="M668" s="1911"/>
      <c r="N668" s="1911"/>
      <c r="O668" s="1911"/>
      <c r="P668" s="1911"/>
      <c r="Q668" s="1911"/>
      <c r="R668" s="1911"/>
      <c r="S668" s="1911"/>
      <c r="T668" s="1911"/>
      <c r="U668" s="1911"/>
      <c r="V668" s="1911"/>
      <c r="W668" s="1911"/>
      <c r="X668" s="1911"/>
      <c r="Y668" s="1911"/>
      <c r="Z668" s="1911"/>
      <c r="AA668" s="1911"/>
      <c r="AB668" s="1911"/>
      <c r="AC668" s="1911"/>
      <c r="AD668" s="405"/>
      <c r="AE668" s="1189"/>
      <c r="AF668" s="1189"/>
      <c r="AG668" s="1189"/>
      <c r="AH668" s="1189"/>
      <c r="AI668" s="1189"/>
      <c r="AJ668" s="1189"/>
      <c r="AK668" s="1189"/>
      <c r="AL668" s="1189"/>
      <c r="AM668" s="458"/>
      <c r="AN668" s="459"/>
    </row>
    <row r="669" spans="1:42" s="418" customFormat="1" ht="12.75" customHeight="1">
      <c r="A669" s="1206"/>
      <c r="B669" s="405"/>
      <c r="C669" s="756"/>
      <c r="D669" s="520"/>
      <c r="E669" s="501"/>
      <c r="F669" s="501"/>
      <c r="G669" s="501"/>
      <c r="H669" s="501"/>
      <c r="I669" s="501"/>
      <c r="J669" s="501"/>
      <c r="K669" s="501"/>
      <c r="L669" s="501"/>
      <c r="M669" s="501"/>
      <c r="N669" s="501"/>
      <c r="O669" s="501"/>
      <c r="P669" s="501"/>
      <c r="Q669" s="501"/>
      <c r="R669" s="501"/>
      <c r="S669" s="501"/>
      <c r="T669" s="501"/>
      <c r="U669" s="501"/>
      <c r="V669" s="501"/>
      <c r="W669" s="501"/>
      <c r="X669" s="501"/>
      <c r="Y669" s="501"/>
      <c r="Z669" s="501"/>
      <c r="AA669" s="501"/>
      <c r="AB669" s="501"/>
      <c r="AC669" s="501"/>
      <c r="AD669" s="405"/>
      <c r="AE669" s="1189"/>
      <c r="AF669" s="405"/>
      <c r="AG669" s="405"/>
      <c r="AH669" s="405"/>
      <c r="AI669" s="405"/>
      <c r="AJ669" s="405"/>
      <c r="AK669" s="405"/>
      <c r="AL669" s="405"/>
      <c r="AM669" s="458"/>
      <c r="AN669" s="459"/>
      <c r="AO669" s="418" t="s">
        <v>299</v>
      </c>
      <c r="AP669" s="497">
        <v>0</v>
      </c>
    </row>
    <row r="670" spans="1:42" s="418" customFormat="1" ht="12.75" customHeight="1">
      <c r="A670" s="1206"/>
      <c r="B670" s="405"/>
      <c r="C670" s="756"/>
      <c r="D670" s="520" t="s">
        <v>2309</v>
      </c>
      <c r="E670" s="1911" t="s">
        <v>2323</v>
      </c>
      <c r="F670" s="1911"/>
      <c r="G670" s="1911"/>
      <c r="H670" s="1911"/>
      <c r="I670" s="1911"/>
      <c r="J670" s="1911"/>
      <c r="K670" s="1911"/>
      <c r="L670" s="1911"/>
      <c r="M670" s="1911"/>
      <c r="N670" s="1911"/>
      <c r="O670" s="1911"/>
      <c r="P670" s="1911"/>
      <c r="Q670" s="1911"/>
      <c r="R670" s="1911"/>
      <c r="S670" s="1911"/>
      <c r="T670" s="1911"/>
      <c r="U670" s="1911"/>
      <c r="V670" s="1911"/>
      <c r="W670" s="1911"/>
      <c r="X670" s="1911"/>
      <c r="Y670" s="1911"/>
      <c r="Z670" s="1911"/>
      <c r="AA670" s="1911"/>
      <c r="AB670" s="1911"/>
      <c r="AC670" s="1911"/>
      <c r="AD670" s="405"/>
      <c r="AE670" s="405"/>
      <c r="AF670" s="1857" t="s">
        <v>2324</v>
      </c>
      <c r="AG670" s="1857"/>
      <c r="AH670" s="1857"/>
      <c r="AI670" s="1857"/>
      <c r="AJ670" s="1857"/>
      <c r="AK670" s="1857"/>
      <c r="AL670" s="1857"/>
      <c r="AM670" s="458"/>
      <c r="AN670" s="459"/>
      <c r="AO670" s="472" t="s">
        <v>21</v>
      </c>
      <c r="AP670" s="418">
        <v>3</v>
      </c>
    </row>
    <row r="671" spans="1:42" s="418" customFormat="1" ht="12.75" customHeight="1">
      <c r="A671" s="1206"/>
      <c r="B671" s="405"/>
      <c r="C671" s="756"/>
      <c r="D671" s="520"/>
      <c r="E671" s="1911"/>
      <c r="F671" s="1911"/>
      <c r="G671" s="1911"/>
      <c r="H671" s="1911"/>
      <c r="I671" s="1911"/>
      <c r="J671" s="1911"/>
      <c r="K671" s="1911"/>
      <c r="L671" s="1911"/>
      <c r="M671" s="1911"/>
      <c r="N671" s="1911"/>
      <c r="O671" s="1911"/>
      <c r="P671" s="1911"/>
      <c r="Q671" s="1911"/>
      <c r="R671" s="1911"/>
      <c r="S671" s="1911"/>
      <c r="T671" s="1911"/>
      <c r="U671" s="1911"/>
      <c r="V671" s="1911"/>
      <c r="W671" s="1911"/>
      <c r="X671" s="1911"/>
      <c r="Y671" s="1911"/>
      <c r="Z671" s="1911"/>
      <c r="AA671" s="1911"/>
      <c r="AB671" s="1911"/>
      <c r="AC671" s="1911"/>
      <c r="AD671" s="405"/>
      <c r="AE671" s="405"/>
      <c r="AF671" s="1189"/>
      <c r="AG671" s="1189"/>
      <c r="AH671" s="1189"/>
      <c r="AI671" s="1189"/>
      <c r="AJ671" s="1189"/>
      <c r="AK671" s="1189"/>
      <c r="AL671" s="1189"/>
      <c r="AM671" s="458"/>
      <c r="AN671" s="459"/>
      <c r="AO671" s="472" t="s">
        <v>26</v>
      </c>
      <c r="AP671" s="418">
        <v>2</v>
      </c>
    </row>
    <row r="672" spans="1:42" s="418" customFormat="1" ht="12.75" customHeight="1">
      <c r="A672" s="1206"/>
      <c r="B672" s="405"/>
      <c r="C672" s="756"/>
      <c r="D672" s="520"/>
      <c r="E672" s="1911"/>
      <c r="F672" s="1911"/>
      <c r="G672" s="1911"/>
      <c r="H672" s="1911"/>
      <c r="I672" s="1911"/>
      <c r="J672" s="1911"/>
      <c r="K672" s="1911"/>
      <c r="L672" s="1911"/>
      <c r="M672" s="1911"/>
      <c r="N672" s="1911"/>
      <c r="O672" s="1911"/>
      <c r="P672" s="1911"/>
      <c r="Q672" s="1911"/>
      <c r="R672" s="1911"/>
      <c r="S672" s="1911"/>
      <c r="T672" s="1911"/>
      <c r="U672" s="1911"/>
      <c r="V672" s="1911"/>
      <c r="W672" s="1911"/>
      <c r="X672" s="1911"/>
      <c r="Y672" s="1911"/>
      <c r="Z672" s="1911"/>
      <c r="AA672" s="1911"/>
      <c r="AB672" s="1911"/>
      <c r="AC672" s="1911"/>
      <c r="AD672" s="405"/>
      <c r="AE672" s="1189"/>
      <c r="AF672" s="1189"/>
      <c r="AG672" s="1189"/>
      <c r="AH672" s="1189"/>
      <c r="AI672" s="1189"/>
      <c r="AJ672" s="1189"/>
      <c r="AK672" s="1189"/>
      <c r="AL672" s="1189"/>
      <c r="AM672" s="458"/>
      <c r="AN672" s="459"/>
    </row>
    <row r="673" spans="1:51" s="418" customFormat="1" ht="12.75" customHeight="1">
      <c r="A673" s="527"/>
      <c r="B673" s="405"/>
      <c r="C673" s="771"/>
      <c r="D673" s="520"/>
      <c r="E673" s="1196"/>
      <c r="F673" s="1196"/>
      <c r="G673" s="1196"/>
      <c r="H673" s="1196"/>
      <c r="I673" s="1196"/>
      <c r="J673" s="1196"/>
      <c r="K673" s="1196"/>
      <c r="L673" s="1196"/>
      <c r="M673" s="1196"/>
      <c r="N673" s="1196"/>
      <c r="O673" s="1196"/>
      <c r="P673" s="1196"/>
      <c r="Q673" s="1196"/>
      <c r="R673" s="1196"/>
      <c r="S673" s="1196"/>
      <c r="T673" s="1196"/>
      <c r="U673" s="1196"/>
      <c r="V673" s="1196"/>
      <c r="W673" s="1196"/>
      <c r="X673" s="1196"/>
      <c r="Y673" s="1196"/>
      <c r="Z673" s="1196"/>
      <c r="AA673" s="1196"/>
      <c r="AB673" s="1196"/>
      <c r="AC673" s="1196"/>
      <c r="AD673" s="405"/>
      <c r="AE673" s="1189"/>
      <c r="AF673" s="1189"/>
      <c r="AG673" s="1189"/>
      <c r="AH673" s="1189"/>
      <c r="AI673" s="1189"/>
      <c r="AJ673" s="1189"/>
      <c r="AK673" s="1189"/>
      <c r="AL673" s="1189"/>
      <c r="AM673" s="458"/>
      <c r="AN673" s="459"/>
    </row>
    <row r="674" spans="1:51" s="418" customFormat="1" ht="12.75" customHeight="1">
      <c r="A674" s="1206"/>
      <c r="B674" s="405"/>
      <c r="C674" s="756"/>
      <c r="D674" s="405" t="s">
        <v>2292</v>
      </c>
      <c r="E674" s="1207"/>
      <c r="F674" s="1207"/>
      <c r="G674" s="1207"/>
      <c r="H674" s="1940" t="s">
        <v>26</v>
      </c>
      <c r="I674" s="1940"/>
      <c r="J674" s="476"/>
      <c r="K674" s="476"/>
      <c r="L674" s="405"/>
      <c r="M674" s="405"/>
      <c r="N674" s="405"/>
      <c r="O674" s="405"/>
      <c r="P674" s="405"/>
      <c r="Q674" s="405"/>
      <c r="R674" s="405"/>
      <c r="S674" s="405"/>
      <c r="T674" s="405"/>
      <c r="U674" s="405"/>
      <c r="V674" s="405"/>
      <c r="W674" s="405"/>
      <c r="X674" s="405"/>
      <c r="Y674" s="405"/>
      <c r="Z674" s="405"/>
      <c r="AA674" s="405"/>
      <c r="AB674" s="405"/>
      <c r="AC674" s="405"/>
      <c r="AD674" s="405"/>
      <c r="AE674" s="405"/>
      <c r="AF674" s="405"/>
      <c r="AG674" s="405"/>
      <c r="AH674" s="405"/>
      <c r="AI674" s="405"/>
      <c r="AJ674" s="405"/>
      <c r="AK674" s="405"/>
      <c r="AL674" s="405"/>
      <c r="AN674" s="459"/>
    </row>
    <row r="675" spans="1:51" s="418" customFormat="1" ht="12.75" customHeight="1">
      <c r="A675" s="1206"/>
      <c r="B675" s="405"/>
      <c r="C675" s="756"/>
      <c r="D675" s="405"/>
      <c r="E675" s="1207"/>
      <c r="F675" s="1207"/>
      <c r="G675" s="476"/>
      <c r="H675" s="476"/>
      <c r="I675" s="476"/>
      <c r="J675" s="476"/>
      <c r="K675" s="476"/>
      <c r="L675" s="476"/>
      <c r="M675" s="476"/>
      <c r="N675" s="476"/>
      <c r="O675" s="476"/>
      <c r="P675" s="476"/>
      <c r="Q675" s="476"/>
      <c r="R675" s="476"/>
      <c r="S675" s="476"/>
      <c r="T675" s="476"/>
      <c r="U675" s="476"/>
      <c r="V675" s="476"/>
      <c r="W675" s="476"/>
      <c r="X675" s="476"/>
      <c r="Y675" s="476"/>
      <c r="Z675" s="1207"/>
      <c r="AA675" s="1207"/>
      <c r="AB675" s="1207"/>
      <c r="AC675" s="405"/>
      <c r="AD675" s="405"/>
      <c r="AE675" s="405"/>
      <c r="AF675" s="405"/>
      <c r="AG675" s="476"/>
      <c r="AH675" s="476"/>
      <c r="AI675" s="476"/>
      <c r="AJ675" s="476"/>
      <c r="AK675" s="476"/>
      <c r="AL675" s="476"/>
      <c r="AM675" s="419"/>
      <c r="AN675" s="459"/>
    </row>
    <row r="676" spans="1:51" s="418" customFormat="1" ht="12.75" customHeight="1">
      <c r="A676" s="539"/>
      <c r="B676" s="463"/>
      <c r="C676" s="768"/>
      <c r="D676" s="463"/>
      <c r="E676" s="763"/>
      <c r="F676" s="522"/>
      <c r="G676" s="522"/>
      <c r="H676" s="522"/>
      <c r="I676" s="522"/>
      <c r="J676" s="522"/>
      <c r="K676" s="522"/>
      <c r="L676" s="522"/>
      <c r="M676" s="522"/>
      <c r="N676" s="522"/>
      <c r="O676" s="522"/>
      <c r="P676" s="522"/>
      <c r="Q676" s="522"/>
      <c r="R676" s="522"/>
      <c r="S676" s="522"/>
      <c r="T676" s="522"/>
      <c r="U676" s="522"/>
      <c r="V676" s="522"/>
      <c r="W676" s="522"/>
      <c r="X676" s="522"/>
      <c r="Y676" s="763"/>
      <c r="Z676" s="763"/>
      <c r="AA676" s="763"/>
      <c r="AB676" s="463"/>
      <c r="AC676" s="463"/>
      <c r="AD676" s="463"/>
      <c r="AE676" s="463"/>
      <c r="AF676" s="463"/>
      <c r="AG676" s="463"/>
      <c r="AH676" s="463"/>
      <c r="AI676" s="431" t="s">
        <v>2325</v>
      </c>
      <c r="AJ676" s="1891">
        <f>VLOOKUP($H$674,$AO$622:$AP$629,2,FALSE)</f>
        <v>4</v>
      </c>
      <c r="AK676" s="1893"/>
      <c r="AL676" s="457"/>
      <c r="AN676" s="459"/>
    </row>
    <row r="677" spans="1:51" s="418" customFormat="1" ht="12.75" customHeight="1">
      <c r="A677" s="1206"/>
      <c r="B677" s="405"/>
      <c r="C677" s="756"/>
      <c r="D677" s="405"/>
      <c r="E677" s="476"/>
      <c r="F677" s="476"/>
      <c r="G677" s="476"/>
      <c r="H677" s="476"/>
      <c r="I677" s="476"/>
      <c r="J677" s="476"/>
      <c r="K677" s="476"/>
      <c r="L677" s="476"/>
      <c r="M677" s="476"/>
      <c r="N677" s="476"/>
      <c r="O677" s="476"/>
      <c r="P677" s="476"/>
      <c r="Q677" s="476"/>
      <c r="R677" s="476"/>
      <c r="S677" s="476"/>
      <c r="T677" s="476"/>
      <c r="U677" s="476"/>
      <c r="V677" s="476"/>
      <c r="W677" s="476"/>
      <c r="X677" s="476"/>
      <c r="Y677" s="476"/>
      <c r="Z677" s="476"/>
      <c r="AA677" s="476"/>
      <c r="AB677" s="476"/>
      <c r="AC677" s="476"/>
      <c r="AD677" s="1193"/>
      <c r="AE677" s="405"/>
      <c r="AF677" s="405"/>
      <c r="AG677" s="405"/>
      <c r="AH677" s="405"/>
      <c r="AI677" s="405"/>
      <c r="AJ677" s="405"/>
      <c r="AK677" s="405"/>
      <c r="AL677" s="405"/>
      <c r="AN677" s="459"/>
    </row>
    <row r="678" spans="1:51" s="418" customFormat="1" ht="12.75" customHeight="1">
      <c r="A678" s="1206"/>
      <c r="B678" s="405"/>
      <c r="C678" s="408" t="s">
        <v>2326</v>
      </c>
      <c r="D678" s="567"/>
      <c r="E678" s="476"/>
      <c r="F678" s="476"/>
      <c r="G678" s="476"/>
      <c r="H678" s="476"/>
      <c r="I678" s="476"/>
      <c r="J678" s="476"/>
      <c r="K678" s="476"/>
      <c r="L678" s="476"/>
      <c r="M678" s="476"/>
      <c r="N678" s="476"/>
      <c r="O678" s="476"/>
      <c r="P678" s="476"/>
      <c r="Q678" s="476"/>
      <c r="R678" s="476"/>
      <c r="S678" s="476"/>
      <c r="T678" s="476"/>
      <c r="U678" s="476"/>
      <c r="V678" s="476"/>
      <c r="W678" s="476"/>
      <c r="X678" s="476"/>
      <c r="Y678" s="476"/>
      <c r="Z678" s="476"/>
      <c r="AA678" s="476"/>
      <c r="AB678" s="476"/>
      <c r="AC678" s="476"/>
      <c r="AD678" s="1193"/>
      <c r="AE678" s="405"/>
      <c r="AF678" s="405"/>
      <c r="AG678" s="405"/>
      <c r="AH678" s="405"/>
      <c r="AI678" s="405"/>
      <c r="AJ678" s="405"/>
      <c r="AK678" s="405"/>
      <c r="AL678" s="405"/>
      <c r="AN678" s="459"/>
      <c r="AW678" s="18" t="s">
        <v>2327</v>
      </c>
      <c r="AX678" s="418">
        <f>Application!Y212</f>
        <v>0</v>
      </c>
    </row>
    <row r="679" spans="1:51" s="418" customFormat="1" ht="12.75" customHeight="1">
      <c r="A679" s="1206"/>
      <c r="B679" s="405"/>
      <c r="C679" s="772"/>
      <c r="D679" s="405"/>
      <c r="E679" s="405"/>
      <c r="F679" s="405"/>
      <c r="G679" s="405"/>
      <c r="H679" s="405"/>
      <c r="I679" s="405"/>
      <c r="J679" s="405"/>
      <c r="K679" s="405"/>
      <c r="L679" s="405"/>
      <c r="M679" s="405"/>
      <c r="N679" s="405"/>
      <c r="O679" s="405"/>
      <c r="P679" s="405"/>
      <c r="Q679" s="405"/>
      <c r="R679" s="405"/>
      <c r="S679" s="405"/>
      <c r="T679" s="405"/>
      <c r="U679" s="405"/>
      <c r="V679" s="405"/>
      <c r="W679" s="405"/>
      <c r="X679" s="405"/>
      <c r="Y679" s="405"/>
      <c r="Z679" s="405"/>
      <c r="AA679" s="405"/>
      <c r="AB679" s="405"/>
      <c r="AC679" s="405"/>
      <c r="AD679" s="405"/>
      <c r="AE679" s="405"/>
      <c r="AF679" s="405"/>
      <c r="AG679" s="405"/>
      <c r="AH679" s="405"/>
      <c r="AI679" s="405"/>
      <c r="AJ679" s="405"/>
      <c r="AK679" s="405"/>
      <c r="AL679" s="405"/>
      <c r="AN679" s="459"/>
      <c r="AW679" s="18" t="s">
        <v>2328</v>
      </c>
      <c r="AX679" s="964">
        <f>Application!G753</f>
        <v>52</v>
      </c>
    </row>
    <row r="680" spans="1:51" s="418" customFormat="1" ht="12.75" customHeight="1">
      <c r="A680" s="1206"/>
      <c r="B680" s="405"/>
      <c r="C680" s="772"/>
      <c r="D680" s="520" t="s">
        <v>21</v>
      </c>
      <c r="E680" s="1947" t="s">
        <v>2329</v>
      </c>
      <c r="F680" s="1947"/>
      <c r="G680" s="1947"/>
      <c r="H680" s="1947"/>
      <c r="I680" s="1947"/>
      <c r="J680" s="1947"/>
      <c r="K680" s="1947"/>
      <c r="L680" s="1947"/>
      <c r="M680" s="1947"/>
      <c r="N680" s="1947"/>
      <c r="O680" s="1947"/>
      <c r="P680" s="1947"/>
      <c r="Q680" s="1947"/>
      <c r="R680" s="1947"/>
      <c r="S680" s="1947"/>
      <c r="T680" s="1947"/>
      <c r="U680" s="1947"/>
      <c r="V680" s="1947"/>
      <c r="W680" s="1947"/>
      <c r="X680" s="1947"/>
      <c r="Y680" s="1947"/>
      <c r="Z680" s="1947"/>
      <c r="AA680" s="1947"/>
      <c r="AB680" s="1947"/>
      <c r="AC680" s="405"/>
      <c r="AD680" s="405"/>
      <c r="AE680" s="405"/>
      <c r="AF680" s="1857" t="s">
        <v>2016</v>
      </c>
      <c r="AG680" s="1857"/>
      <c r="AH680" s="1857"/>
      <c r="AI680" s="1857"/>
      <c r="AJ680" s="1857"/>
      <c r="AK680" s="1857"/>
      <c r="AL680" s="1857"/>
      <c r="AN680" s="459"/>
      <c r="AW680" s="18" t="s">
        <v>2330</v>
      </c>
      <c r="AX680" s="418">
        <f>Application!CC632</f>
        <v>22</v>
      </c>
    </row>
    <row r="681" spans="1:51" s="418" customFormat="1" ht="12.75" customHeight="1">
      <c r="A681" s="1206"/>
      <c r="B681" s="405"/>
      <c r="C681" s="772"/>
      <c r="D681" s="520"/>
      <c r="E681" s="1947"/>
      <c r="F681" s="1947"/>
      <c r="G681" s="1947"/>
      <c r="H681" s="1947"/>
      <c r="I681" s="1947"/>
      <c r="J681" s="1947"/>
      <c r="K681" s="1947"/>
      <c r="L681" s="1947"/>
      <c r="M681" s="1947"/>
      <c r="N681" s="1947"/>
      <c r="O681" s="1947"/>
      <c r="P681" s="1947"/>
      <c r="Q681" s="1947"/>
      <c r="R681" s="1947"/>
      <c r="S681" s="1947"/>
      <c r="T681" s="1947"/>
      <c r="U681" s="1947"/>
      <c r="V681" s="1947"/>
      <c r="W681" s="1947"/>
      <c r="X681" s="1947"/>
      <c r="Y681" s="1947"/>
      <c r="Z681" s="1947"/>
      <c r="AA681" s="1947"/>
      <c r="AB681" s="1947"/>
      <c r="AC681" s="405"/>
      <c r="AD681" s="405"/>
      <c r="AE681" s="405"/>
      <c r="AF681" s="405"/>
      <c r="AG681" s="405"/>
      <c r="AH681" s="405"/>
      <c r="AI681" s="405"/>
      <c r="AJ681" s="405"/>
      <c r="AK681" s="405"/>
      <c r="AL681" s="405"/>
      <c r="AN681" s="459"/>
      <c r="AW681" s="18" t="s">
        <v>2331</v>
      </c>
      <c r="AX681" s="418">
        <f>Application!CH632</f>
        <v>0</v>
      </c>
    </row>
    <row r="682" spans="1:51" s="418" customFormat="1" ht="12.75" customHeight="1">
      <c r="A682" s="1206"/>
      <c r="B682" s="405"/>
      <c r="C682" s="772"/>
      <c r="D682" s="520"/>
      <c r="E682" s="405"/>
      <c r="F682" s="405"/>
      <c r="G682" s="405"/>
      <c r="H682" s="405"/>
      <c r="I682" s="405"/>
      <c r="J682" s="405"/>
      <c r="K682" s="405"/>
      <c r="L682" s="405"/>
      <c r="M682" s="405"/>
      <c r="N682" s="405"/>
      <c r="O682" s="405"/>
      <c r="P682" s="405"/>
      <c r="Q682" s="405"/>
      <c r="R682" s="405"/>
      <c r="S682" s="405"/>
      <c r="T682" s="405"/>
      <c r="U682" s="405"/>
      <c r="V682" s="405"/>
      <c r="W682" s="405"/>
      <c r="X682" s="405"/>
      <c r="Y682" s="405"/>
      <c r="Z682" s="405"/>
      <c r="AA682" s="405"/>
      <c r="AB682" s="405"/>
      <c r="AC682" s="405"/>
      <c r="AD682" s="405"/>
      <c r="AE682" s="405"/>
      <c r="AF682" s="405"/>
      <c r="AG682" s="405"/>
      <c r="AH682" s="405"/>
      <c r="AI682" s="405"/>
      <c r="AJ682" s="405"/>
      <c r="AK682" s="405"/>
      <c r="AL682" s="405"/>
      <c r="AN682" s="459"/>
      <c r="AW682" s="18" t="s">
        <v>2332</v>
      </c>
      <c r="AX682" s="418">
        <f>Application!CM632</f>
        <v>0</v>
      </c>
    </row>
    <row r="683" spans="1:51" s="418" customFormat="1" ht="12.75" customHeight="1">
      <c r="B683" s="405"/>
      <c r="C683" s="756"/>
      <c r="D683" s="520" t="s">
        <v>26</v>
      </c>
      <c r="E683" s="1911" t="s">
        <v>2333</v>
      </c>
      <c r="F683" s="1911"/>
      <c r="G683" s="1911"/>
      <c r="H683" s="1911"/>
      <c r="I683" s="1911"/>
      <c r="J683" s="1911"/>
      <c r="K683" s="1911"/>
      <c r="L683" s="1911"/>
      <c r="M683" s="1911"/>
      <c r="N683" s="1911"/>
      <c r="O683" s="1911"/>
      <c r="P683" s="1911"/>
      <c r="Q683" s="1911"/>
      <c r="R683" s="1911"/>
      <c r="S683" s="1911"/>
      <c r="T683" s="1911"/>
      <c r="U683" s="1911"/>
      <c r="V683" s="1911"/>
      <c r="W683" s="1911"/>
      <c r="X683" s="1911"/>
      <c r="Y683" s="1911"/>
      <c r="Z683" s="1911"/>
      <c r="AA683" s="1911"/>
      <c r="AB683" s="1911"/>
      <c r="AC683" s="405"/>
      <c r="AD683" s="405"/>
      <c r="AE683" s="405"/>
      <c r="AF683" s="1857" t="s">
        <v>2016</v>
      </c>
      <c r="AG683" s="1857"/>
      <c r="AH683" s="1857"/>
      <c r="AI683" s="1857"/>
      <c r="AJ683" s="1857"/>
      <c r="AK683" s="1857"/>
      <c r="AL683" s="1857"/>
      <c r="AN683" s="459"/>
      <c r="AW683" s="18" t="s">
        <v>2334</v>
      </c>
      <c r="AX683" s="418">
        <f>AX680+AX681+AX682</f>
        <v>22</v>
      </c>
    </row>
    <row r="684" spans="1:51" s="418" customFormat="1" ht="12.75" customHeight="1">
      <c r="B684" s="405"/>
      <c r="C684" s="764"/>
      <c r="D684" s="520"/>
      <c r="E684" s="1911"/>
      <c r="F684" s="1911"/>
      <c r="G684" s="1911"/>
      <c r="H684" s="1911"/>
      <c r="I684" s="1911"/>
      <c r="J684" s="1911"/>
      <c r="K684" s="1911"/>
      <c r="L684" s="1911"/>
      <c r="M684" s="1911"/>
      <c r="N684" s="1911"/>
      <c r="O684" s="1911"/>
      <c r="P684" s="1911"/>
      <c r="Q684" s="1911"/>
      <c r="R684" s="1911"/>
      <c r="S684" s="1911"/>
      <c r="T684" s="1911"/>
      <c r="U684" s="1911"/>
      <c r="V684" s="1911"/>
      <c r="W684" s="1911"/>
      <c r="X684" s="1911"/>
      <c r="Y684" s="1911"/>
      <c r="Z684" s="1911"/>
      <c r="AA684" s="1911"/>
      <c r="AB684" s="1911"/>
      <c r="AC684" s="405"/>
      <c r="AD684" s="405"/>
      <c r="AE684" s="476"/>
      <c r="AF684" s="405"/>
      <c r="AG684" s="405"/>
      <c r="AH684" s="405"/>
      <c r="AI684" s="405"/>
      <c r="AJ684" s="405"/>
      <c r="AK684" s="405"/>
      <c r="AL684" s="405"/>
      <c r="AN684" s="459"/>
      <c r="AO684" s="1946" t="b">
        <f>IF(Application!D211="Special Needs",IF(AY684&gt;=0.25,TRUE,FALSE),IF(AX684&gt;=0.25,TRUE,FALSE))</f>
        <v>1</v>
      </c>
      <c r="AP684" s="1946"/>
      <c r="AW684" s="18" t="s">
        <v>2335</v>
      </c>
      <c r="AX684" s="418">
        <f>IFERROR(AX683/AX679,0)</f>
        <v>0.42307692307692307</v>
      </c>
      <c r="AY684" s="418">
        <f>IFERROR(AX683/(AX679-AX678),0)</f>
        <v>0.42307692307692307</v>
      </c>
    </row>
    <row r="685" spans="1:51" s="418" customFormat="1" ht="12.75" customHeight="1">
      <c r="B685" s="405"/>
      <c r="C685" s="764"/>
      <c r="E685" s="1911"/>
      <c r="F685" s="1911"/>
      <c r="G685" s="1911"/>
      <c r="H685" s="1911"/>
      <c r="I685" s="1911"/>
      <c r="J685" s="1911"/>
      <c r="K685" s="1911"/>
      <c r="L685" s="1911"/>
      <c r="M685" s="1911"/>
      <c r="N685" s="1911"/>
      <c r="O685" s="1911"/>
      <c r="P685" s="1911"/>
      <c r="Q685" s="1911"/>
      <c r="R685" s="1911"/>
      <c r="S685" s="1911"/>
      <c r="T685" s="1911"/>
      <c r="U685" s="1911"/>
      <c r="V685" s="1911"/>
      <c r="W685" s="1911"/>
      <c r="X685" s="1911"/>
      <c r="Y685" s="1911"/>
      <c r="Z685" s="1911"/>
      <c r="AA685" s="1911"/>
      <c r="AB685" s="1911"/>
      <c r="AC685" s="405"/>
      <c r="AD685" s="405"/>
      <c r="AE685" s="476"/>
      <c r="AF685" s="476"/>
      <c r="AG685" s="476"/>
      <c r="AH685" s="476"/>
      <c r="AI685" s="476"/>
      <c r="AJ685" s="476"/>
      <c r="AK685" s="476"/>
      <c r="AL685" s="476"/>
      <c r="AN685" s="459"/>
      <c r="AW685" s="12"/>
    </row>
    <row r="686" spans="1:51" s="418" customFormat="1" ht="28.5" customHeight="1">
      <c r="B686" s="405"/>
      <c r="C686" s="764"/>
      <c r="D686" s="405"/>
      <c r="E686" s="1911"/>
      <c r="F686" s="1911"/>
      <c r="G686" s="1911"/>
      <c r="H686" s="1911"/>
      <c r="I686" s="1911"/>
      <c r="J686" s="1911"/>
      <c r="K686" s="1911"/>
      <c r="L686" s="1911"/>
      <c r="M686" s="1911"/>
      <c r="N686" s="1911"/>
      <c r="O686" s="1911"/>
      <c r="P686" s="1911"/>
      <c r="Q686" s="1911"/>
      <c r="R686" s="1911"/>
      <c r="S686" s="1911"/>
      <c r="T686" s="1911"/>
      <c r="U686" s="1911"/>
      <c r="V686" s="1911"/>
      <c r="W686" s="1911"/>
      <c r="X686" s="1911"/>
      <c r="Y686" s="1911"/>
      <c r="Z686" s="1911"/>
      <c r="AA686" s="1911"/>
      <c r="AB686" s="1911"/>
      <c r="AC686" s="405"/>
      <c r="AD686" s="405"/>
      <c r="AE686" s="476"/>
      <c r="AF686" s="476"/>
      <c r="AG686" s="476"/>
      <c r="AH686" s="476"/>
      <c r="AI686" s="476"/>
      <c r="AJ686" s="476"/>
      <c r="AK686" s="476"/>
      <c r="AL686" s="476"/>
      <c r="AN686" s="459"/>
      <c r="AO686" s="418" t="s">
        <v>299</v>
      </c>
      <c r="AP686" s="530">
        <v>0</v>
      </c>
    </row>
    <row r="687" spans="1:51" s="418" customFormat="1" ht="12.75" customHeight="1">
      <c r="B687" s="405"/>
      <c r="C687" s="764"/>
      <c r="E687" s="440"/>
      <c r="F687" s="440"/>
      <c r="G687" s="440"/>
      <c r="H687" s="440"/>
      <c r="I687" s="440"/>
      <c r="J687" s="440"/>
      <c r="K687" s="440"/>
      <c r="L687" s="440"/>
      <c r="M687" s="440"/>
      <c r="N687" s="440"/>
      <c r="O687" s="440"/>
      <c r="P687" s="440"/>
      <c r="Q687" s="440"/>
      <c r="R687" s="440"/>
      <c r="S687" s="440"/>
      <c r="T687" s="440"/>
      <c r="U687" s="440"/>
      <c r="V687" s="440"/>
      <c r="W687" s="440"/>
      <c r="X687" s="440"/>
      <c r="Y687" s="440"/>
      <c r="Z687" s="440"/>
      <c r="AA687" s="440"/>
      <c r="AB687" s="440"/>
      <c r="AC687" s="405"/>
      <c r="AD687" s="405"/>
      <c r="AE687" s="476"/>
      <c r="AF687" s="476"/>
      <c r="AG687" s="476"/>
      <c r="AH687" s="476"/>
      <c r="AI687" s="476"/>
      <c r="AJ687" s="476"/>
      <c r="AK687" s="476"/>
      <c r="AL687" s="476"/>
      <c r="AN687" s="459"/>
      <c r="AO687" s="472" t="s">
        <v>21</v>
      </c>
      <c r="AP687" s="418">
        <v>2</v>
      </c>
    </row>
    <row r="688" spans="1:51" s="418" customFormat="1" ht="12.75" customHeight="1">
      <c r="B688" s="405"/>
      <c r="C688" s="756"/>
      <c r="D688" s="520" t="s">
        <v>48</v>
      </c>
      <c r="E688" s="1911" t="s">
        <v>2336</v>
      </c>
      <c r="F688" s="1911"/>
      <c r="G688" s="1911"/>
      <c r="H688" s="1911"/>
      <c r="I688" s="1911"/>
      <c r="J688" s="1911"/>
      <c r="K688" s="1911"/>
      <c r="L688" s="1911"/>
      <c r="M688" s="1911"/>
      <c r="N688" s="1911"/>
      <c r="O688" s="1911"/>
      <c r="P688" s="1911"/>
      <c r="Q688" s="1911"/>
      <c r="R688" s="1911"/>
      <c r="S688" s="1911"/>
      <c r="T688" s="1911"/>
      <c r="U688" s="1911"/>
      <c r="V688" s="1911"/>
      <c r="W688" s="1911"/>
      <c r="X688" s="1911"/>
      <c r="Y688" s="1911"/>
      <c r="Z688" s="1911"/>
      <c r="AA688" s="1911"/>
      <c r="AB688" s="1911"/>
      <c r="AC688" s="405"/>
      <c r="AD688" s="405"/>
      <c r="AE688" s="405"/>
      <c r="AF688" s="1857" t="s">
        <v>2306</v>
      </c>
      <c r="AG688" s="1857"/>
      <c r="AH688" s="1857"/>
      <c r="AI688" s="1857"/>
      <c r="AJ688" s="1857"/>
      <c r="AK688" s="1857"/>
      <c r="AL688" s="1857"/>
      <c r="AN688" s="459"/>
      <c r="AO688" s="472" t="s">
        <v>26</v>
      </c>
      <c r="AP688" s="418">
        <v>1</v>
      </c>
    </row>
    <row r="689" spans="1:42" s="418" customFormat="1" ht="12" customHeight="1">
      <c r="B689" s="405"/>
      <c r="C689" s="756"/>
      <c r="E689" s="1911"/>
      <c r="F689" s="1911"/>
      <c r="G689" s="1911"/>
      <c r="H689" s="1911"/>
      <c r="I689" s="1911"/>
      <c r="J689" s="1911"/>
      <c r="K689" s="1911"/>
      <c r="L689" s="1911"/>
      <c r="M689" s="1911"/>
      <c r="N689" s="1911"/>
      <c r="O689" s="1911"/>
      <c r="P689" s="1911"/>
      <c r="Q689" s="1911"/>
      <c r="R689" s="1911"/>
      <c r="S689" s="1911"/>
      <c r="T689" s="1911"/>
      <c r="U689" s="1911"/>
      <c r="V689" s="1911"/>
      <c r="W689" s="1911"/>
      <c r="X689" s="1911"/>
      <c r="Y689" s="1911"/>
      <c r="Z689" s="1911"/>
      <c r="AA689" s="1911"/>
      <c r="AB689" s="1911"/>
      <c r="AC689" s="405"/>
      <c r="AD689" s="405"/>
      <c r="AE689" s="476"/>
      <c r="AF689" s="405"/>
      <c r="AG689" s="405"/>
      <c r="AH689" s="405"/>
      <c r="AI689" s="405"/>
      <c r="AJ689" s="405"/>
      <c r="AK689" s="405"/>
      <c r="AL689" s="405"/>
      <c r="AN689" s="459"/>
    </row>
    <row r="690" spans="1:42" s="418" customFormat="1" ht="12" customHeight="1">
      <c r="B690" s="405"/>
      <c r="C690" s="756"/>
      <c r="D690" s="405"/>
      <c r="E690" s="1911"/>
      <c r="F690" s="1911"/>
      <c r="G690" s="1911"/>
      <c r="H690" s="1911"/>
      <c r="I690" s="1911"/>
      <c r="J690" s="1911"/>
      <c r="K690" s="1911"/>
      <c r="L690" s="1911"/>
      <c r="M690" s="1911"/>
      <c r="N690" s="1911"/>
      <c r="O690" s="1911"/>
      <c r="P690" s="1911"/>
      <c r="Q690" s="1911"/>
      <c r="R690" s="1911"/>
      <c r="S690" s="1911"/>
      <c r="T690" s="1911"/>
      <c r="U690" s="1911"/>
      <c r="V690" s="1911"/>
      <c r="W690" s="1911"/>
      <c r="X690" s="1911"/>
      <c r="Y690" s="1911"/>
      <c r="Z690" s="1911"/>
      <c r="AA690" s="1911"/>
      <c r="AB690" s="1911"/>
      <c r="AC690" s="405"/>
      <c r="AD690" s="405"/>
      <c r="AE690" s="476"/>
      <c r="AF690" s="405"/>
      <c r="AG690" s="405"/>
      <c r="AH690" s="405"/>
      <c r="AI690" s="405"/>
      <c r="AJ690" s="405"/>
      <c r="AK690" s="405"/>
      <c r="AL690" s="405"/>
      <c r="AN690" s="459"/>
    </row>
    <row r="691" spans="1:42" s="418" customFormat="1" ht="12" customHeight="1">
      <c r="B691" s="405"/>
      <c r="C691" s="756"/>
      <c r="D691" s="405"/>
      <c r="E691" s="1911"/>
      <c r="F691" s="1911"/>
      <c r="G691" s="1911"/>
      <c r="H691" s="1911"/>
      <c r="I691" s="1911"/>
      <c r="J691" s="1911"/>
      <c r="K691" s="1911"/>
      <c r="L691" s="1911"/>
      <c r="M691" s="1911"/>
      <c r="N691" s="1911"/>
      <c r="O691" s="1911"/>
      <c r="P691" s="1911"/>
      <c r="Q691" s="1911"/>
      <c r="R691" s="1911"/>
      <c r="S691" s="1911"/>
      <c r="T691" s="1911"/>
      <c r="U691" s="1911"/>
      <c r="V691" s="1911"/>
      <c r="W691" s="1911"/>
      <c r="X691" s="1911"/>
      <c r="Y691" s="1911"/>
      <c r="Z691" s="1911"/>
      <c r="AA691" s="1911"/>
      <c r="AB691" s="1911"/>
      <c r="AC691" s="405"/>
      <c r="AD691" s="405"/>
      <c r="AE691" s="476"/>
      <c r="AF691" s="405"/>
      <c r="AG691" s="405"/>
      <c r="AH691" s="405"/>
      <c r="AI691" s="405"/>
      <c r="AJ691" s="405"/>
      <c r="AK691" s="405"/>
      <c r="AL691" s="405"/>
      <c r="AN691" s="459"/>
    </row>
    <row r="692" spans="1:42" s="436" customFormat="1" ht="13" customHeight="1">
      <c r="A692" s="418"/>
      <c r="B692" s="405"/>
      <c r="C692" s="756"/>
      <c r="D692" s="405"/>
      <c r="E692" s="1911"/>
      <c r="F692" s="1911"/>
      <c r="G692" s="1911"/>
      <c r="H692" s="1911"/>
      <c r="I692" s="1911"/>
      <c r="J692" s="1911"/>
      <c r="K692" s="1911"/>
      <c r="L692" s="1911"/>
      <c r="M692" s="1911"/>
      <c r="N692" s="1911"/>
      <c r="O692" s="1911"/>
      <c r="P692" s="1911"/>
      <c r="Q692" s="1911"/>
      <c r="R692" s="1911"/>
      <c r="S692" s="1911"/>
      <c r="T692" s="1911"/>
      <c r="U692" s="1911"/>
      <c r="V692" s="1911"/>
      <c r="W692" s="1911"/>
      <c r="X692" s="1911"/>
      <c r="Y692" s="1911"/>
      <c r="Z692" s="1911"/>
      <c r="AA692" s="1911"/>
      <c r="AB692" s="1911"/>
      <c r="AC692" s="405"/>
      <c r="AD692" s="405"/>
      <c r="AE692" s="476"/>
      <c r="AF692" s="476"/>
      <c r="AG692" s="476"/>
      <c r="AH692" s="476"/>
      <c r="AI692" s="476"/>
      <c r="AJ692" s="405"/>
      <c r="AK692" s="405"/>
      <c r="AL692" s="405"/>
      <c r="AM692" s="418"/>
      <c r="AN692" s="540"/>
      <c r="AO692" s="418" t="s">
        <v>299</v>
      </c>
      <c r="AP692" s="530">
        <v>0</v>
      </c>
    </row>
    <row r="693" spans="1:42" s="436" customFormat="1" ht="12" customHeight="1">
      <c r="A693" s="418"/>
      <c r="B693" s="405"/>
      <c r="C693" s="756"/>
      <c r="D693" s="405"/>
      <c r="E693" s="1196"/>
      <c r="F693" s="1196"/>
      <c r="G693" s="1196"/>
      <c r="H693" s="1196"/>
      <c r="I693" s="1196"/>
      <c r="J693" s="1196"/>
      <c r="K693" s="1196"/>
      <c r="L693" s="1196"/>
      <c r="M693" s="1196"/>
      <c r="N693" s="1196"/>
      <c r="O693" s="1196"/>
      <c r="P693" s="1196"/>
      <c r="Q693" s="1196"/>
      <c r="R693" s="1196"/>
      <c r="S693" s="1196"/>
      <c r="T693" s="1196"/>
      <c r="U693" s="1196"/>
      <c r="V693" s="1196"/>
      <c r="W693" s="1196"/>
      <c r="X693" s="1196"/>
      <c r="Y693" s="1196"/>
      <c r="Z693" s="1196"/>
      <c r="AA693" s="1196"/>
      <c r="AB693" s="1196"/>
      <c r="AC693" s="405"/>
      <c r="AD693" s="405"/>
      <c r="AE693" s="476"/>
      <c r="AF693" s="476"/>
      <c r="AG693" s="476"/>
      <c r="AH693" s="476"/>
      <c r="AI693" s="476"/>
      <c r="AJ693" s="405"/>
      <c r="AK693" s="405"/>
      <c r="AL693" s="405"/>
      <c r="AM693" s="418"/>
      <c r="AN693" s="540"/>
      <c r="AO693" s="472" t="s">
        <v>21</v>
      </c>
      <c r="AP693" s="418">
        <v>3</v>
      </c>
    </row>
    <row r="694" spans="1:42" s="436" customFormat="1" ht="12.75" customHeight="1">
      <c r="A694" s="418"/>
      <c r="B694" s="405"/>
      <c r="C694" s="756"/>
      <c r="D694" s="405"/>
      <c r="E694" s="1911" t="s">
        <v>2337</v>
      </c>
      <c r="F694" s="1911"/>
      <c r="G694" s="1911"/>
      <c r="H694" s="1911"/>
      <c r="I694" s="1911"/>
      <c r="J694" s="1911"/>
      <c r="K694" s="1911"/>
      <c r="L694" s="1911"/>
      <c r="M694" s="1911"/>
      <c r="N694" s="1911"/>
      <c r="O694" s="1911"/>
      <c r="P694" s="1911"/>
      <c r="Q694" s="1911"/>
      <c r="R694" s="1911"/>
      <c r="S694" s="1911"/>
      <c r="T694" s="1911"/>
      <c r="U694" s="1911"/>
      <c r="V694" s="1911"/>
      <c r="W694" s="1911"/>
      <c r="X694" s="1911"/>
      <c r="Y694" s="1911"/>
      <c r="Z694" s="1911"/>
      <c r="AA694" s="1911"/>
      <c r="AB694" s="1911"/>
      <c r="AC694" s="405"/>
      <c r="AD694" s="405"/>
      <c r="AE694" s="476"/>
      <c r="AF694" s="476"/>
      <c r="AG694" s="476"/>
      <c r="AH694" s="476"/>
      <c r="AI694" s="476"/>
      <c r="AJ694" s="405"/>
      <c r="AK694" s="405"/>
      <c r="AL694" s="405"/>
      <c r="AM694" s="418"/>
      <c r="AN694" s="540"/>
      <c r="AO694" s="472" t="s">
        <v>26</v>
      </c>
      <c r="AP694" s="418">
        <f>3*$AO$684</f>
        <v>3</v>
      </c>
    </row>
    <row r="695" spans="1:42" s="436" customFormat="1" ht="12.75" customHeight="1">
      <c r="A695" s="418"/>
      <c r="B695" s="405"/>
      <c r="C695" s="756"/>
      <c r="D695" s="405"/>
      <c r="E695" s="1911"/>
      <c r="F695" s="1911"/>
      <c r="G695" s="1911"/>
      <c r="H695" s="1911"/>
      <c r="I695" s="1911"/>
      <c r="J695" s="1911"/>
      <c r="K695" s="1911"/>
      <c r="L695" s="1911"/>
      <c r="M695" s="1911"/>
      <c r="N695" s="1911"/>
      <c r="O695" s="1911"/>
      <c r="P695" s="1911"/>
      <c r="Q695" s="1911"/>
      <c r="R695" s="1911"/>
      <c r="S695" s="1911"/>
      <c r="T695" s="1911"/>
      <c r="U695" s="1911"/>
      <c r="V695" s="1911"/>
      <c r="W695" s="1911"/>
      <c r="X695" s="1911"/>
      <c r="Y695" s="1911"/>
      <c r="Z695" s="1911"/>
      <c r="AA695" s="1911"/>
      <c r="AB695" s="1911"/>
      <c r="AC695" s="405"/>
      <c r="AD695" s="405"/>
      <c r="AE695" s="476"/>
      <c r="AF695" s="476"/>
      <c r="AG695" s="476"/>
      <c r="AH695" s="476"/>
      <c r="AI695" s="476"/>
      <c r="AJ695" s="405"/>
      <c r="AK695" s="405"/>
      <c r="AL695" s="405"/>
      <c r="AM695" s="418"/>
      <c r="AN695" s="540"/>
      <c r="AO695" s="472" t="s">
        <v>48</v>
      </c>
      <c r="AP695" s="418">
        <f>2*$AO$684</f>
        <v>2</v>
      </c>
    </row>
    <row r="696" spans="1:42" s="436" customFormat="1" ht="12.75" customHeight="1">
      <c r="A696" s="418"/>
      <c r="B696" s="405"/>
      <c r="C696" s="756"/>
      <c r="D696" s="405"/>
      <c r="E696" s="1911"/>
      <c r="F696" s="1911"/>
      <c r="G696" s="1911"/>
      <c r="H696" s="1911"/>
      <c r="I696" s="1911"/>
      <c r="J696" s="1911"/>
      <c r="K696" s="1911"/>
      <c r="L696" s="1911"/>
      <c r="M696" s="1911"/>
      <c r="N696" s="1911"/>
      <c r="O696" s="1911"/>
      <c r="P696" s="1911"/>
      <c r="Q696" s="1911"/>
      <c r="R696" s="1911"/>
      <c r="S696" s="1911"/>
      <c r="T696" s="1911"/>
      <c r="U696" s="1911"/>
      <c r="V696" s="1911"/>
      <c r="W696" s="1911"/>
      <c r="X696" s="1911"/>
      <c r="Y696" s="1911"/>
      <c r="Z696" s="1911"/>
      <c r="AA696" s="1911"/>
      <c r="AB696" s="1911"/>
      <c r="AC696" s="405"/>
      <c r="AD696" s="405"/>
      <c r="AE696" s="476"/>
      <c r="AF696" s="476"/>
      <c r="AG696" s="476"/>
      <c r="AH696" s="476"/>
      <c r="AI696" s="476"/>
      <c r="AJ696" s="405"/>
      <c r="AK696" s="405"/>
      <c r="AL696" s="405"/>
      <c r="AM696" s="418"/>
      <c r="AN696" s="540"/>
    </row>
    <row r="697" spans="1:42" s="436" customFormat="1" ht="12.75" customHeight="1">
      <c r="A697" s="418"/>
      <c r="B697" s="405"/>
      <c r="C697" s="756"/>
      <c r="D697" s="405"/>
      <c r="E697" s="1196"/>
      <c r="F697" s="1196"/>
      <c r="G697" s="1196"/>
      <c r="H697" s="1196"/>
      <c r="I697" s="1196"/>
      <c r="J697" s="1196"/>
      <c r="K697" s="1196"/>
      <c r="L697" s="1196"/>
      <c r="M697" s="1196"/>
      <c r="N697" s="1196"/>
      <c r="O697" s="1196"/>
      <c r="P697" s="1196"/>
      <c r="Q697" s="1196"/>
      <c r="R697" s="1196"/>
      <c r="S697" s="1196"/>
      <c r="T697" s="1196"/>
      <c r="U697" s="1196"/>
      <c r="V697" s="1196"/>
      <c r="W697" s="1196"/>
      <c r="X697" s="1196"/>
      <c r="Y697" s="1196"/>
      <c r="Z697" s="1196"/>
      <c r="AA697" s="1196"/>
      <c r="AB697" s="1196"/>
      <c r="AC697" s="405"/>
      <c r="AD697" s="405"/>
      <c r="AE697" s="476"/>
      <c r="AF697" s="476"/>
      <c r="AG697" s="476"/>
      <c r="AH697" s="476"/>
      <c r="AI697" s="476"/>
      <c r="AJ697" s="405"/>
      <c r="AK697" s="405"/>
      <c r="AL697" s="405"/>
      <c r="AM697" s="418"/>
      <c r="AN697" s="540"/>
    </row>
    <row r="698" spans="1:42" s="436" customFormat="1" ht="12.75" customHeight="1">
      <c r="A698" s="418"/>
      <c r="B698" s="405"/>
      <c r="C698" s="756"/>
      <c r="D698" s="405" t="s">
        <v>2292</v>
      </c>
      <c r="E698" s="1207"/>
      <c r="F698" s="1207"/>
      <c r="G698" s="1207"/>
      <c r="H698" s="1940" t="s">
        <v>26</v>
      </c>
      <c r="I698" s="1940"/>
      <c r="J698" s="1196"/>
      <c r="K698" s="1196"/>
      <c r="L698" s="1196"/>
      <c r="M698" s="1196"/>
      <c r="N698" s="1196"/>
      <c r="O698" s="1196"/>
      <c r="P698" s="1196"/>
      <c r="Q698" s="1196"/>
      <c r="R698" s="1196"/>
      <c r="S698" s="1196"/>
      <c r="T698" s="1196"/>
      <c r="U698" s="1196"/>
      <c r="V698" s="1196"/>
      <c r="W698" s="1196"/>
      <c r="X698" s="1196"/>
      <c r="Y698" s="1196"/>
      <c r="Z698" s="1196"/>
      <c r="AA698" s="1196"/>
      <c r="AB698" s="1196"/>
      <c r="AC698" s="405"/>
      <c r="AD698" s="405"/>
      <c r="AE698" s="476"/>
      <c r="AF698" s="476"/>
      <c r="AG698" s="476"/>
      <c r="AH698" s="476"/>
      <c r="AI698" s="476"/>
      <c r="AJ698" s="405"/>
      <c r="AK698" s="405"/>
      <c r="AL698" s="405"/>
      <c r="AM698" s="418"/>
      <c r="AN698" s="540"/>
      <c r="AP698" s="436" t="s">
        <v>2338</v>
      </c>
    </row>
    <row r="699" spans="1:42" s="436" customFormat="1">
      <c r="A699" s="418"/>
      <c r="B699" s="405"/>
      <c r="C699" s="756"/>
      <c r="D699" s="405"/>
      <c r="E699" s="1196"/>
      <c r="F699" s="1196"/>
      <c r="G699" s="1196"/>
      <c r="H699" s="1196"/>
      <c r="I699" s="1196"/>
      <c r="J699" s="1196"/>
      <c r="K699" s="1196"/>
      <c r="L699" s="1196"/>
      <c r="M699" s="1196"/>
      <c r="N699" s="1196"/>
      <c r="O699" s="1196"/>
      <c r="P699" s="1196"/>
      <c r="Q699" s="1196"/>
      <c r="R699" s="1196"/>
      <c r="S699" s="1196"/>
      <c r="T699" s="1196"/>
      <c r="U699" s="1196"/>
      <c r="V699" s="1196"/>
      <c r="W699" s="1196"/>
      <c r="X699" s="1196"/>
      <c r="Y699" s="1196"/>
      <c r="Z699" s="1196"/>
      <c r="AA699" s="1196"/>
      <c r="AB699" s="1196"/>
      <c r="AC699" s="405"/>
      <c r="AD699" s="405"/>
      <c r="AE699" s="476"/>
      <c r="AF699" s="476"/>
      <c r="AG699" s="476"/>
      <c r="AH699" s="476"/>
      <c r="AI699" s="476"/>
      <c r="AJ699" s="405"/>
      <c r="AK699" s="405"/>
      <c r="AL699" s="405"/>
      <c r="AM699" s="418"/>
      <c r="AN699" s="540"/>
      <c r="AP699" s="436" t="s">
        <v>2302</v>
      </c>
    </row>
    <row r="700" spans="1:42" s="436" customFormat="1" ht="12.75" customHeight="1">
      <c r="A700" s="467"/>
      <c r="B700" s="463"/>
      <c r="C700" s="768"/>
      <c r="D700" s="463"/>
      <c r="E700" s="463"/>
      <c r="F700" s="463"/>
      <c r="G700" s="463"/>
      <c r="H700" s="463"/>
      <c r="I700" s="463"/>
      <c r="J700" s="773"/>
      <c r="K700" s="773"/>
      <c r="L700" s="522"/>
      <c r="M700" s="522"/>
      <c r="N700" s="522"/>
      <c r="O700" s="522"/>
      <c r="P700" s="522"/>
      <c r="Q700" s="522"/>
      <c r="R700" s="522"/>
      <c r="S700" s="522"/>
      <c r="T700" s="522"/>
      <c r="U700" s="522"/>
      <c r="V700" s="522"/>
      <c r="W700" s="522"/>
      <c r="X700" s="522"/>
      <c r="Y700" s="763"/>
      <c r="Z700" s="763"/>
      <c r="AA700" s="763"/>
      <c r="AB700" s="463"/>
      <c r="AC700" s="463"/>
      <c r="AD700" s="463"/>
      <c r="AE700" s="463"/>
      <c r="AF700" s="463"/>
      <c r="AG700" s="463"/>
      <c r="AH700" s="463"/>
      <c r="AI700" s="431" t="s">
        <v>2339</v>
      </c>
      <c r="AJ700" s="1891">
        <f>VLOOKUP($H$698,$AO$692:$AP$695,2,FALSE)</f>
        <v>3</v>
      </c>
      <c r="AK700" s="1893"/>
      <c r="AL700" s="457"/>
      <c r="AM700" s="418"/>
      <c r="AN700" s="540"/>
      <c r="AP700" s="436" t="s">
        <v>2310</v>
      </c>
    </row>
    <row r="701" spans="1:42" s="436" customFormat="1">
      <c r="A701" s="418"/>
      <c r="B701" s="405"/>
      <c r="C701" s="405"/>
      <c r="D701" s="405"/>
      <c r="E701" s="405"/>
      <c r="F701" s="405"/>
      <c r="G701" s="405"/>
      <c r="H701" s="405"/>
      <c r="I701" s="405"/>
      <c r="J701" s="405"/>
      <c r="K701" s="405"/>
      <c r="L701" s="405"/>
      <c r="M701" s="405"/>
      <c r="N701" s="405"/>
      <c r="O701" s="405"/>
      <c r="P701" s="405"/>
      <c r="Q701" s="405"/>
      <c r="R701" s="405"/>
      <c r="S701" s="405"/>
      <c r="T701" s="405"/>
      <c r="U701" s="405"/>
      <c r="V701" s="405"/>
      <c r="W701" s="405"/>
      <c r="X701" s="405"/>
      <c r="Y701" s="405"/>
      <c r="Z701" s="405"/>
      <c r="AA701" s="405"/>
      <c r="AB701" s="405"/>
      <c r="AC701" s="405"/>
      <c r="AD701" s="405"/>
      <c r="AE701" s="476"/>
      <c r="AF701" s="476"/>
      <c r="AG701" s="476"/>
      <c r="AH701" s="476"/>
      <c r="AI701" s="476"/>
      <c r="AJ701" s="405"/>
      <c r="AK701" s="405"/>
      <c r="AL701" s="405"/>
      <c r="AM701" s="418"/>
      <c r="AN701" s="540"/>
      <c r="AP701" s="436" t="s">
        <v>2340</v>
      </c>
    </row>
    <row r="702" spans="1:42" s="436" customFormat="1" ht="12.75" customHeight="1">
      <c r="A702" s="418"/>
      <c r="B702" s="405"/>
      <c r="C702" s="408" t="s">
        <v>2341</v>
      </c>
      <c r="D702" s="567"/>
      <c r="E702" s="405"/>
      <c r="F702" s="405"/>
      <c r="G702" s="405"/>
      <c r="H702" s="405"/>
      <c r="I702" s="405"/>
      <c r="J702" s="405"/>
      <c r="K702" s="405"/>
      <c r="L702" s="405"/>
      <c r="M702" s="405"/>
      <c r="N702" s="405"/>
      <c r="O702" s="405"/>
      <c r="P702" s="405"/>
      <c r="Q702" s="405"/>
      <c r="R702" s="405"/>
      <c r="S702" s="405"/>
      <c r="T702" s="405"/>
      <c r="U702" s="405"/>
      <c r="V702" s="405"/>
      <c r="W702" s="405"/>
      <c r="X702" s="405"/>
      <c r="Y702" s="405"/>
      <c r="Z702" s="405"/>
      <c r="AA702" s="405"/>
      <c r="AB702" s="405"/>
      <c r="AC702" s="405"/>
      <c r="AD702" s="405"/>
      <c r="AE702" s="476"/>
      <c r="AF702" s="476"/>
      <c r="AG702" s="476"/>
      <c r="AH702" s="476"/>
      <c r="AI702" s="476"/>
      <c r="AJ702" s="405"/>
      <c r="AK702" s="405"/>
      <c r="AL702" s="405"/>
      <c r="AM702" s="418"/>
      <c r="AN702" s="540"/>
      <c r="AP702" s="436" t="s">
        <v>2342</v>
      </c>
    </row>
    <row r="703" spans="1:42" s="436" customFormat="1" ht="12.75" customHeight="1">
      <c r="A703" s="418"/>
      <c r="B703" s="405"/>
      <c r="C703" s="756"/>
      <c r="D703" s="405"/>
      <c r="E703" s="405"/>
      <c r="F703" s="405"/>
      <c r="G703" s="405"/>
      <c r="H703" s="405"/>
      <c r="I703" s="405"/>
      <c r="J703" s="405"/>
      <c r="K703" s="405"/>
      <c r="L703" s="405"/>
      <c r="M703" s="405"/>
      <c r="N703" s="405"/>
      <c r="O703" s="405"/>
      <c r="P703" s="405"/>
      <c r="Q703" s="405"/>
      <c r="R703" s="405"/>
      <c r="S703" s="405"/>
      <c r="T703" s="405"/>
      <c r="U703" s="405"/>
      <c r="V703" s="405"/>
      <c r="W703" s="405"/>
      <c r="X703" s="405"/>
      <c r="Y703" s="405"/>
      <c r="Z703" s="405"/>
      <c r="AA703" s="405"/>
      <c r="AB703" s="405"/>
      <c r="AC703" s="405"/>
      <c r="AD703" s="405"/>
      <c r="AE703" s="476"/>
      <c r="AF703" s="476"/>
      <c r="AG703" s="476"/>
      <c r="AH703" s="476"/>
      <c r="AI703" s="476"/>
      <c r="AJ703" s="405"/>
      <c r="AK703" s="405"/>
      <c r="AL703" s="405"/>
      <c r="AM703" s="418"/>
      <c r="AN703" s="540"/>
      <c r="AP703" s="436" t="s">
        <v>2343</v>
      </c>
    </row>
    <row r="704" spans="1:42" s="436" customFormat="1" ht="12.75" customHeight="1">
      <c r="A704" s="497"/>
      <c r="B704" s="405"/>
      <c r="C704" s="756"/>
      <c r="D704" s="520" t="s">
        <v>21</v>
      </c>
      <c r="E704" s="1948" t="s">
        <v>2344</v>
      </c>
      <c r="F704" s="1948"/>
      <c r="G704" s="1948"/>
      <c r="H704" s="1948"/>
      <c r="I704" s="1948"/>
      <c r="J704" s="1948"/>
      <c r="K704" s="1948"/>
      <c r="L704" s="1948"/>
      <c r="M704" s="1948"/>
      <c r="N704" s="1948"/>
      <c r="O704" s="1948"/>
      <c r="P704" s="1948"/>
      <c r="Q704" s="1948"/>
      <c r="R704" s="1948"/>
      <c r="S704" s="1948"/>
      <c r="T704" s="1948"/>
      <c r="U704" s="1948"/>
      <c r="V704" s="1948"/>
      <c r="W704" s="1948"/>
      <c r="X704" s="1948"/>
      <c r="Y704" s="1948"/>
      <c r="Z704" s="1948"/>
      <c r="AA704" s="1948"/>
      <c r="AB704" s="1948"/>
      <c r="AC704" s="405"/>
      <c r="AD704" s="405"/>
      <c r="AE704" s="405"/>
      <c r="AF704" s="1857" t="s">
        <v>2016</v>
      </c>
      <c r="AG704" s="1857"/>
      <c r="AH704" s="1857"/>
      <c r="AI704" s="1857"/>
      <c r="AJ704" s="1857"/>
      <c r="AK704" s="1857"/>
      <c r="AL704" s="1857"/>
      <c r="AM704" s="418"/>
      <c r="AN704" s="540"/>
      <c r="AP704" s="436" t="s">
        <v>2345</v>
      </c>
    </row>
    <row r="705" spans="1:52" s="436" customFormat="1" ht="12" customHeight="1">
      <c r="A705" s="418"/>
      <c r="B705" s="405"/>
      <c r="C705" s="758"/>
      <c r="D705" s="520"/>
      <c r="E705" s="1948"/>
      <c r="F705" s="1948"/>
      <c r="G705" s="1948"/>
      <c r="H705" s="1948"/>
      <c r="I705" s="1948"/>
      <c r="J705" s="1948"/>
      <c r="K705" s="1948"/>
      <c r="L705" s="1948"/>
      <c r="M705" s="1948"/>
      <c r="N705" s="1948"/>
      <c r="O705" s="1948"/>
      <c r="P705" s="1948"/>
      <c r="Q705" s="1948"/>
      <c r="R705" s="1948"/>
      <c r="S705" s="1948"/>
      <c r="T705" s="1948"/>
      <c r="U705" s="1948"/>
      <c r="V705" s="1948"/>
      <c r="W705" s="1948"/>
      <c r="X705" s="1948"/>
      <c r="Y705" s="1948"/>
      <c r="Z705" s="1948"/>
      <c r="AA705" s="1948"/>
      <c r="AB705" s="1948"/>
      <c r="AC705" s="405"/>
      <c r="AD705" s="405"/>
      <c r="AE705" s="405"/>
      <c r="AF705" s="405"/>
      <c r="AG705" s="405"/>
      <c r="AH705" s="405"/>
      <c r="AI705" s="405"/>
      <c r="AJ705" s="405"/>
      <c r="AK705" s="405"/>
      <c r="AL705" s="405"/>
      <c r="AM705" s="418"/>
      <c r="AN705" s="540"/>
      <c r="AP705" s="436" t="s">
        <v>2346</v>
      </c>
    </row>
    <row r="706" spans="1:52" s="436" customFormat="1" ht="14.15" customHeight="1">
      <c r="A706" s="418"/>
      <c r="B706" s="471"/>
      <c r="C706" s="756"/>
      <c r="D706" s="520"/>
      <c r="E706" s="1948"/>
      <c r="F706" s="1948"/>
      <c r="G706" s="1948"/>
      <c r="H706" s="1948"/>
      <c r="I706" s="1948"/>
      <c r="J706" s="1948"/>
      <c r="K706" s="1948"/>
      <c r="L706" s="1948"/>
      <c r="M706" s="1948"/>
      <c r="N706" s="1948"/>
      <c r="O706" s="1948"/>
      <c r="P706" s="1948"/>
      <c r="Q706" s="1948"/>
      <c r="R706" s="1948"/>
      <c r="S706" s="1948"/>
      <c r="T706" s="1948"/>
      <c r="U706" s="1948"/>
      <c r="V706" s="1948"/>
      <c r="W706" s="1948"/>
      <c r="X706" s="1948"/>
      <c r="Y706" s="1948"/>
      <c r="Z706" s="1948"/>
      <c r="AA706" s="1948"/>
      <c r="AB706" s="1948"/>
      <c r="AC706" s="405"/>
      <c r="AD706" s="405"/>
      <c r="AE706" s="476"/>
      <c r="AF706" s="405"/>
      <c r="AG706" s="405"/>
      <c r="AH706" s="405"/>
      <c r="AI706" s="405"/>
      <c r="AJ706" s="405"/>
      <c r="AK706" s="405"/>
      <c r="AL706" s="405"/>
      <c r="AM706" s="418"/>
      <c r="AN706" s="540"/>
      <c r="AP706" s="436" t="s">
        <v>2347</v>
      </c>
    </row>
    <row r="707" spans="1:52" s="436" customFormat="1" ht="14.15" customHeight="1">
      <c r="A707" s="418"/>
      <c r="B707" s="471"/>
      <c r="C707" s="756"/>
      <c r="D707" s="520"/>
      <c r="E707" s="1207"/>
      <c r="F707" s="1207"/>
      <c r="G707" s="1207"/>
      <c r="H707" s="1207"/>
      <c r="I707" s="1207"/>
      <c r="J707" s="1207"/>
      <c r="K707" s="1207"/>
      <c r="L707" s="1207"/>
      <c r="M707" s="1207"/>
      <c r="N707" s="1207"/>
      <c r="O707" s="1207"/>
      <c r="P707" s="1207"/>
      <c r="Q707" s="1207"/>
      <c r="R707" s="1207"/>
      <c r="S707" s="1207"/>
      <c r="T707" s="1207"/>
      <c r="U707" s="1207"/>
      <c r="V707" s="1207"/>
      <c r="W707" s="1207"/>
      <c r="X707" s="1207"/>
      <c r="Y707" s="1207"/>
      <c r="Z707" s="1207"/>
      <c r="AA707" s="1207"/>
      <c r="AB707" s="1207"/>
      <c r="AC707" s="405"/>
      <c r="AD707" s="405"/>
      <c r="AE707" s="476"/>
      <c r="AF707" s="405"/>
      <c r="AG707" s="405"/>
      <c r="AH707" s="405"/>
      <c r="AI707" s="405"/>
      <c r="AJ707" s="405"/>
      <c r="AK707" s="405"/>
      <c r="AL707" s="405"/>
      <c r="AM707" s="418"/>
      <c r="AN707" s="540"/>
      <c r="AP707" s="542" t="s">
        <v>2348</v>
      </c>
    </row>
    <row r="708" spans="1:52" s="436" customFormat="1" ht="14.15" customHeight="1">
      <c r="A708" s="418"/>
      <c r="B708" s="405"/>
      <c r="C708" s="756"/>
      <c r="D708" s="520" t="s">
        <v>26</v>
      </c>
      <c r="E708" s="1949" t="s">
        <v>2349</v>
      </c>
      <c r="F708" s="1949"/>
      <c r="G708" s="1949"/>
      <c r="H708" s="1949"/>
      <c r="I708" s="1949"/>
      <c r="J708" s="1949"/>
      <c r="K708" s="1949"/>
      <c r="L708" s="1949"/>
      <c r="M708" s="1949"/>
      <c r="N708" s="1949"/>
      <c r="O708" s="1949"/>
      <c r="P708" s="1949"/>
      <c r="Q708" s="1949"/>
      <c r="R708" s="1949"/>
      <c r="S708" s="1949"/>
      <c r="T708" s="1949"/>
      <c r="U708" s="1949"/>
      <c r="V708" s="1949"/>
      <c r="W708" s="1949"/>
      <c r="X708" s="1949"/>
      <c r="Y708" s="1949"/>
      <c r="Z708" s="1949"/>
      <c r="AA708" s="1949"/>
      <c r="AB708" s="1949"/>
      <c r="AC708" s="405"/>
      <c r="AD708" s="405"/>
      <c r="AE708" s="405"/>
      <c r="AF708" s="1857" t="s">
        <v>2306</v>
      </c>
      <c r="AG708" s="1857"/>
      <c r="AH708" s="1857"/>
      <c r="AI708" s="1857"/>
      <c r="AJ708" s="1857"/>
      <c r="AK708" s="1857"/>
      <c r="AL708" s="1857"/>
      <c r="AM708" s="418"/>
      <c r="AN708" s="541"/>
    </row>
    <row r="709" spans="1:52" s="436" customFormat="1" ht="12.75" customHeight="1">
      <c r="A709" s="418"/>
      <c r="B709" s="405"/>
      <c r="C709" s="758"/>
      <c r="D709" s="405"/>
      <c r="E709" s="1949"/>
      <c r="F709" s="1949"/>
      <c r="G709" s="1949"/>
      <c r="H709" s="1949"/>
      <c r="I709" s="1949"/>
      <c r="J709" s="1949"/>
      <c r="K709" s="1949"/>
      <c r="L709" s="1949"/>
      <c r="M709" s="1949"/>
      <c r="N709" s="1949"/>
      <c r="O709" s="1949"/>
      <c r="P709" s="1949"/>
      <c r="Q709" s="1949"/>
      <c r="R709" s="1949"/>
      <c r="S709" s="1949"/>
      <c r="T709" s="1949"/>
      <c r="U709" s="1949"/>
      <c r="V709" s="1949"/>
      <c r="W709" s="1949"/>
      <c r="X709" s="1949"/>
      <c r="Y709" s="1949"/>
      <c r="Z709" s="1949"/>
      <c r="AA709" s="1949"/>
      <c r="AB709" s="1949"/>
      <c r="AC709" s="405"/>
      <c r="AD709" s="405"/>
      <c r="AE709" s="405"/>
      <c r="AF709" s="405"/>
      <c r="AG709" s="405"/>
      <c r="AH709" s="405"/>
      <c r="AI709" s="405"/>
      <c r="AJ709" s="405"/>
      <c r="AK709" s="405"/>
      <c r="AL709" s="405"/>
      <c r="AM709" s="418"/>
      <c r="AN709" s="540"/>
      <c r="AP709" s="418" t="s">
        <v>299</v>
      </c>
      <c r="AQ709" s="530">
        <v>0</v>
      </c>
    </row>
    <row r="710" spans="1:52" s="436" customFormat="1" ht="14.15" customHeight="1">
      <c r="A710" s="418"/>
      <c r="B710" s="405"/>
      <c r="C710" s="758"/>
      <c r="D710" s="405"/>
      <c r="E710" s="1949"/>
      <c r="F710" s="1949"/>
      <c r="G710" s="1949"/>
      <c r="H710" s="1949"/>
      <c r="I710" s="1949"/>
      <c r="J710" s="1949"/>
      <c r="K710" s="1949"/>
      <c r="L710" s="1949"/>
      <c r="M710" s="1949"/>
      <c r="N710" s="1949"/>
      <c r="O710" s="1949"/>
      <c r="P710" s="1949"/>
      <c r="Q710" s="1949"/>
      <c r="R710" s="1949"/>
      <c r="S710" s="1949"/>
      <c r="T710" s="1949"/>
      <c r="U710" s="1949"/>
      <c r="V710" s="1949"/>
      <c r="W710" s="1949"/>
      <c r="X710" s="1949"/>
      <c r="Y710" s="1949"/>
      <c r="Z710" s="1949"/>
      <c r="AA710" s="1949"/>
      <c r="AB710" s="1949"/>
      <c r="AC710" s="405"/>
      <c r="AD710" s="405"/>
      <c r="AE710" s="405"/>
      <c r="AF710" s="405"/>
      <c r="AG710" s="405"/>
      <c r="AH710" s="405"/>
      <c r="AI710" s="405"/>
      <c r="AJ710" s="405"/>
      <c r="AK710" s="405"/>
      <c r="AL710" s="405"/>
      <c r="AM710" s="418"/>
      <c r="AN710" s="540"/>
      <c r="AP710" s="472" t="s">
        <v>21</v>
      </c>
      <c r="AQ710" s="418">
        <v>3</v>
      </c>
    </row>
    <row r="711" spans="1:52" s="436" customFormat="1" ht="14.15" customHeight="1">
      <c r="A711" s="418"/>
      <c r="B711" s="405"/>
      <c r="C711" s="758"/>
      <c r="D711" s="405"/>
      <c r="E711" s="1208"/>
      <c r="F711" s="1208"/>
      <c r="G711" s="1208"/>
      <c r="H711" s="1208"/>
      <c r="I711" s="1208"/>
      <c r="J711" s="1208"/>
      <c r="K711" s="1208"/>
      <c r="L711" s="1208"/>
      <c r="M711" s="1208"/>
      <c r="N711" s="1208"/>
      <c r="O711" s="1208"/>
      <c r="P711" s="1208"/>
      <c r="Q711" s="1208"/>
      <c r="R711" s="1208"/>
      <c r="S711" s="1208"/>
      <c r="T711" s="1208"/>
      <c r="U711" s="1208"/>
      <c r="V711" s="1208"/>
      <c r="W711" s="1208"/>
      <c r="X711" s="1208"/>
      <c r="Y711" s="1208"/>
      <c r="Z711" s="1208"/>
      <c r="AA711" s="1208"/>
      <c r="AB711" s="1208"/>
      <c r="AC711" s="405"/>
      <c r="AD711" s="405"/>
      <c r="AE711" s="405"/>
      <c r="AF711" s="405"/>
      <c r="AG711" s="405"/>
      <c r="AH711" s="405"/>
      <c r="AI711" s="405"/>
      <c r="AJ711" s="405"/>
      <c r="AK711" s="405"/>
      <c r="AL711" s="405"/>
      <c r="AM711" s="418"/>
      <c r="AN711" s="540"/>
      <c r="AP711" s="472" t="s">
        <v>26</v>
      </c>
      <c r="AQ711" s="418">
        <v>2</v>
      </c>
    </row>
    <row r="712" spans="1:52" s="436" customFormat="1" ht="14.15" customHeight="1">
      <c r="A712" s="418"/>
      <c r="B712" s="405"/>
      <c r="C712" s="758"/>
      <c r="D712" s="405" t="s">
        <v>2292</v>
      </c>
      <c r="E712" s="1207"/>
      <c r="F712" s="1207"/>
      <c r="G712" s="1207"/>
      <c r="H712" s="1940" t="s">
        <v>299</v>
      </c>
      <c r="I712" s="1940"/>
      <c r="J712" s="1208"/>
      <c r="K712" s="1208"/>
      <c r="L712" s="1208"/>
      <c r="M712" s="1208"/>
      <c r="N712" s="1208"/>
      <c r="O712" s="1208"/>
      <c r="P712" s="1208"/>
      <c r="Q712" s="1208"/>
      <c r="R712" s="1208"/>
      <c r="S712" s="1208"/>
      <c r="T712" s="1208"/>
      <c r="U712" s="1208"/>
      <c r="V712" s="1208"/>
      <c r="W712" s="1208"/>
      <c r="X712" s="1208"/>
      <c r="Y712" s="1208"/>
      <c r="Z712" s="1208"/>
      <c r="AA712" s="1208"/>
      <c r="AB712" s="1208"/>
      <c r="AC712" s="405"/>
      <c r="AD712" s="405"/>
      <c r="AE712" s="405"/>
      <c r="AF712" s="405"/>
      <c r="AG712" s="405"/>
      <c r="AH712" s="405"/>
      <c r="AI712" s="405"/>
      <c r="AJ712" s="405"/>
      <c r="AK712" s="405"/>
      <c r="AL712" s="405"/>
      <c r="AM712" s="418"/>
      <c r="AN712" s="540"/>
    </row>
    <row r="713" spans="1:52" s="436" customFormat="1" ht="14.25" customHeight="1">
      <c r="A713" s="418"/>
      <c r="B713" s="405"/>
      <c r="C713" s="758"/>
      <c r="D713" s="405"/>
      <c r="E713" s="1208"/>
      <c r="F713" s="1208"/>
      <c r="G713" s="1208"/>
      <c r="H713" s="1208"/>
      <c r="I713" s="1208"/>
      <c r="J713" s="1208"/>
      <c r="K713" s="1208"/>
      <c r="L713" s="1208"/>
      <c r="M713" s="1208"/>
      <c r="N713" s="1208"/>
      <c r="O713" s="1208"/>
      <c r="P713" s="1208"/>
      <c r="Q713" s="1208"/>
      <c r="R713" s="1208"/>
      <c r="S713" s="1208"/>
      <c r="T713" s="1208"/>
      <c r="U713" s="1208"/>
      <c r="V713" s="1208"/>
      <c r="W713" s="1208"/>
      <c r="X713" s="1208"/>
      <c r="Y713" s="1208"/>
      <c r="Z713" s="1208"/>
      <c r="AA713" s="1208"/>
      <c r="AB713" s="1208"/>
      <c r="AC713" s="405"/>
      <c r="AD713" s="405"/>
      <c r="AE713" s="405"/>
      <c r="AF713" s="405"/>
      <c r="AG713" s="405"/>
      <c r="AH713" s="405"/>
      <c r="AI713" s="405"/>
      <c r="AJ713" s="405"/>
      <c r="AK713" s="405"/>
      <c r="AL713" s="405"/>
      <c r="AM713" s="418"/>
      <c r="AN713" s="540"/>
    </row>
    <row r="714" spans="1:52" s="436" customFormat="1" ht="12.75" customHeight="1">
      <c r="A714" s="467"/>
      <c r="B714" s="463"/>
      <c r="C714" s="762"/>
      <c r="D714" s="463"/>
      <c r="E714" s="463"/>
      <c r="F714" s="463"/>
      <c r="G714" s="463"/>
      <c r="H714" s="463"/>
      <c r="I714" s="463"/>
      <c r="J714" s="774"/>
      <c r="K714" s="774"/>
      <c r="L714" s="774"/>
      <c r="M714" s="774"/>
      <c r="N714" s="774"/>
      <c r="O714" s="774"/>
      <c r="P714" s="774"/>
      <c r="Q714" s="774"/>
      <c r="R714" s="774"/>
      <c r="S714" s="774"/>
      <c r="T714" s="774"/>
      <c r="U714" s="522"/>
      <c r="V714" s="522"/>
      <c r="W714" s="522"/>
      <c r="X714" s="522"/>
      <c r="Y714" s="763"/>
      <c r="Z714" s="763"/>
      <c r="AA714" s="763"/>
      <c r="AB714" s="463"/>
      <c r="AC714" s="463"/>
      <c r="AD714" s="463"/>
      <c r="AE714" s="463"/>
      <c r="AF714" s="463"/>
      <c r="AG714" s="463"/>
      <c r="AH714" s="463"/>
      <c r="AI714" s="431" t="s">
        <v>2350</v>
      </c>
      <c r="AJ714" s="1891">
        <f>VLOOKUP($H$712,$AP$709:$AQ$711,2,FALSE)</f>
        <v>0</v>
      </c>
      <c r="AK714" s="1893"/>
      <c r="AL714" s="457"/>
      <c r="AM714" s="418"/>
      <c r="AN714" s="540"/>
      <c r="AP714" s="1891"/>
      <c r="AQ714" s="1893"/>
    </row>
    <row r="715" spans="1:52" s="436" customFormat="1">
      <c r="A715" s="418"/>
      <c r="B715" s="471"/>
      <c r="C715" s="756"/>
      <c r="D715" s="760"/>
      <c r="E715" s="476"/>
      <c r="F715" s="476"/>
      <c r="G715" s="476"/>
      <c r="H715" s="476"/>
      <c r="I715" s="476"/>
      <c r="J715" s="476"/>
      <c r="K715" s="476"/>
      <c r="L715" s="476"/>
      <c r="M715" s="476"/>
      <c r="N715" s="476"/>
      <c r="O715" s="476"/>
      <c r="P715" s="476"/>
      <c r="Q715" s="476"/>
      <c r="R715" s="476"/>
      <c r="S715" s="476"/>
      <c r="T715" s="476"/>
      <c r="U715" s="476"/>
      <c r="V715" s="476"/>
      <c r="W715" s="476"/>
      <c r="X715" s="476"/>
      <c r="Y715" s="476"/>
      <c r="Z715" s="476"/>
      <c r="AA715" s="476"/>
      <c r="AB715" s="476"/>
      <c r="AC715" s="405"/>
      <c r="AD715" s="405"/>
      <c r="AE715" s="405"/>
      <c r="AF715" s="405"/>
      <c r="AG715" s="405"/>
      <c r="AH715" s="405"/>
      <c r="AI715" s="405"/>
      <c r="AJ715" s="405"/>
      <c r="AK715" s="405"/>
      <c r="AL715" s="405"/>
      <c r="AM715" s="418"/>
      <c r="AN715" s="540"/>
      <c r="AT715" s="12"/>
      <c r="AU715" s="12"/>
      <c r="AV715" s="12"/>
      <c r="AW715" s="12"/>
      <c r="AX715" s="12"/>
      <c r="AY715" s="12"/>
      <c r="AZ715" s="12"/>
    </row>
    <row r="716" spans="1:52" s="436" customFormat="1" ht="13">
      <c r="A716" s="418"/>
      <c r="B716" s="405"/>
      <c r="C716" s="408" t="s">
        <v>2351</v>
      </c>
      <c r="D716" s="775"/>
      <c r="E716" s="476"/>
      <c r="F716" s="476"/>
      <c r="G716" s="476"/>
      <c r="H716" s="476"/>
      <c r="I716" s="476"/>
      <c r="J716" s="476"/>
      <c r="K716" s="476"/>
      <c r="L716" s="476"/>
      <c r="M716" s="476"/>
      <c r="N716" s="476"/>
      <c r="O716" s="476"/>
      <c r="P716" s="476"/>
      <c r="Q716" s="476"/>
      <c r="R716" s="476"/>
      <c r="S716" s="476"/>
      <c r="T716" s="476"/>
      <c r="U716" s="476"/>
      <c r="V716" s="476"/>
      <c r="W716" s="476"/>
      <c r="X716" s="476"/>
      <c r="Y716" s="476"/>
      <c r="Z716" s="476"/>
      <c r="AA716" s="476"/>
      <c r="AB716" s="476"/>
      <c r="AC716" s="405"/>
      <c r="AD716" s="405"/>
      <c r="AE716" s="405"/>
      <c r="AF716" s="405"/>
      <c r="AG716" s="405"/>
      <c r="AH716" s="405"/>
      <c r="AI716" s="405"/>
      <c r="AJ716" s="405"/>
      <c r="AK716" s="405"/>
      <c r="AL716" s="405"/>
      <c r="AM716" s="418"/>
      <c r="AN716" s="540"/>
      <c r="AT716" s="12"/>
      <c r="AU716" s="12"/>
      <c r="AV716" s="12"/>
      <c r="AW716" s="12"/>
      <c r="AX716" s="12"/>
      <c r="AY716" s="12"/>
      <c r="AZ716" s="12"/>
    </row>
    <row r="717" spans="1:52" s="436" customFormat="1">
      <c r="A717" s="418"/>
      <c r="B717" s="471"/>
      <c r="C717" s="756"/>
      <c r="D717" s="760"/>
      <c r="E717" s="476"/>
      <c r="F717" s="476"/>
      <c r="G717" s="476"/>
      <c r="H717" s="476"/>
      <c r="I717" s="476"/>
      <c r="J717" s="476"/>
      <c r="K717" s="476"/>
      <c r="L717" s="476"/>
      <c r="M717" s="476"/>
      <c r="N717" s="476"/>
      <c r="O717" s="476"/>
      <c r="P717" s="476"/>
      <c r="Q717" s="476"/>
      <c r="R717" s="476"/>
      <c r="S717" s="476"/>
      <c r="T717" s="476"/>
      <c r="U717" s="476"/>
      <c r="V717" s="476"/>
      <c r="W717" s="476"/>
      <c r="X717" s="476"/>
      <c r="Y717" s="476"/>
      <c r="Z717" s="476"/>
      <c r="AA717" s="476"/>
      <c r="AB717" s="476"/>
      <c r="AC717" s="405"/>
      <c r="AD717" s="405"/>
      <c r="AE717" s="405"/>
      <c r="AF717" s="405"/>
      <c r="AG717" s="405"/>
      <c r="AH717" s="405"/>
      <c r="AI717" s="405"/>
      <c r="AJ717" s="405"/>
      <c r="AK717" s="405"/>
      <c r="AL717" s="405"/>
      <c r="AM717" s="418"/>
      <c r="AN717" s="540"/>
      <c r="AT717" s="12"/>
      <c r="AU717" s="12"/>
      <c r="AV717" s="12"/>
      <c r="AW717" s="12"/>
      <c r="AX717" s="12"/>
      <c r="AY717" s="12"/>
      <c r="AZ717" s="12"/>
    </row>
    <row r="718" spans="1:52" s="436" customFormat="1" ht="13">
      <c r="A718" s="418"/>
      <c r="B718" s="405"/>
      <c r="C718" s="756"/>
      <c r="D718" s="520" t="s">
        <v>21</v>
      </c>
      <c r="E718" s="1911" t="s">
        <v>2352</v>
      </c>
      <c r="F718" s="1911"/>
      <c r="G718" s="1911"/>
      <c r="H718" s="1911"/>
      <c r="I718" s="1911"/>
      <c r="J718" s="1911"/>
      <c r="K718" s="1911"/>
      <c r="L718" s="1911"/>
      <c r="M718" s="1911"/>
      <c r="N718" s="1911"/>
      <c r="O718" s="1911"/>
      <c r="P718" s="1911"/>
      <c r="Q718" s="1911"/>
      <c r="R718" s="1911"/>
      <c r="S718" s="1911"/>
      <c r="T718" s="1911"/>
      <c r="U718" s="1911"/>
      <c r="V718" s="1911"/>
      <c r="W718" s="1911"/>
      <c r="X718" s="1911"/>
      <c r="Y718" s="1911"/>
      <c r="Z718" s="1911"/>
      <c r="AA718" s="1911"/>
      <c r="AB718" s="1911"/>
      <c r="AC718" s="405"/>
      <c r="AD718" s="405"/>
      <c r="AE718" s="405"/>
      <c r="AF718" s="1857" t="s">
        <v>2016</v>
      </c>
      <c r="AG718" s="1857"/>
      <c r="AH718" s="1857"/>
      <c r="AI718" s="1857"/>
      <c r="AJ718" s="1857"/>
      <c r="AK718" s="1857"/>
      <c r="AL718" s="1857"/>
      <c r="AM718" s="418"/>
      <c r="AN718" s="540"/>
      <c r="AT718" s="12"/>
      <c r="AU718" s="12"/>
      <c r="AV718" s="12"/>
      <c r="AW718" s="12"/>
      <c r="AX718" s="12"/>
      <c r="AY718" s="12"/>
      <c r="AZ718" s="12"/>
    </row>
    <row r="719" spans="1:52" s="436" customFormat="1" ht="13">
      <c r="A719" s="418"/>
      <c r="B719" s="405"/>
      <c r="C719" s="758"/>
      <c r="D719" s="520"/>
      <c r="E719" s="1911"/>
      <c r="F719" s="1911"/>
      <c r="G719" s="1911"/>
      <c r="H719" s="1911"/>
      <c r="I719" s="1911"/>
      <c r="J719" s="1911"/>
      <c r="K719" s="1911"/>
      <c r="L719" s="1911"/>
      <c r="M719" s="1911"/>
      <c r="N719" s="1911"/>
      <c r="O719" s="1911"/>
      <c r="P719" s="1911"/>
      <c r="Q719" s="1911"/>
      <c r="R719" s="1911"/>
      <c r="S719" s="1911"/>
      <c r="T719" s="1911"/>
      <c r="U719" s="1911"/>
      <c r="V719" s="1911"/>
      <c r="W719" s="1911"/>
      <c r="X719" s="1911"/>
      <c r="Y719" s="1911"/>
      <c r="Z719" s="1911"/>
      <c r="AA719" s="1911"/>
      <c r="AB719" s="1911"/>
      <c r="AC719" s="405"/>
      <c r="AD719" s="405"/>
      <c r="AE719" s="405"/>
      <c r="AF719" s="405"/>
      <c r="AG719" s="405"/>
      <c r="AH719" s="405"/>
      <c r="AI719" s="405"/>
      <c r="AJ719" s="405"/>
      <c r="AK719" s="405"/>
      <c r="AL719" s="405"/>
      <c r="AM719" s="418"/>
      <c r="AN719" s="540"/>
      <c r="AT719" s="12"/>
      <c r="AU719" s="12"/>
      <c r="AV719" s="12"/>
      <c r="AW719" s="12"/>
      <c r="AX719" s="12"/>
      <c r="AY719" s="12"/>
      <c r="AZ719" s="12"/>
    </row>
    <row r="720" spans="1:52" s="436" customFormat="1">
      <c r="A720" s="418"/>
      <c r="B720" s="471"/>
      <c r="C720" s="756"/>
      <c r="D720" s="520"/>
      <c r="E720" s="476"/>
      <c r="F720" s="476"/>
      <c r="G720" s="476"/>
      <c r="H720" s="476"/>
      <c r="I720" s="476"/>
      <c r="J720" s="476"/>
      <c r="K720" s="476"/>
      <c r="L720" s="476"/>
      <c r="M720" s="476"/>
      <c r="N720" s="476"/>
      <c r="O720" s="476"/>
      <c r="P720" s="476"/>
      <c r="Q720" s="476"/>
      <c r="R720" s="476"/>
      <c r="S720" s="476"/>
      <c r="T720" s="476"/>
      <c r="U720" s="476"/>
      <c r="V720" s="476"/>
      <c r="W720" s="476"/>
      <c r="X720" s="476"/>
      <c r="Y720" s="476"/>
      <c r="Z720" s="476"/>
      <c r="AA720" s="476"/>
      <c r="AB720" s="476"/>
      <c r="AC720" s="405"/>
      <c r="AD720" s="405"/>
      <c r="AE720" s="405"/>
      <c r="AF720" s="405"/>
      <c r="AG720" s="405"/>
      <c r="AH720" s="405"/>
      <c r="AI720" s="405"/>
      <c r="AJ720" s="405"/>
      <c r="AK720" s="405"/>
      <c r="AL720" s="405"/>
      <c r="AM720" s="418"/>
      <c r="AN720" s="540"/>
      <c r="AT720" s="12"/>
      <c r="AU720" s="12"/>
      <c r="AV720" s="12"/>
      <c r="AW720" s="12"/>
      <c r="AX720" s="12"/>
      <c r="AY720" s="12"/>
      <c r="AZ720" s="12"/>
    </row>
    <row r="721" spans="1:81" s="436" customFormat="1" ht="12.75" customHeight="1">
      <c r="A721" s="418"/>
      <c r="B721" s="405"/>
      <c r="C721" s="756"/>
      <c r="D721" s="520" t="s">
        <v>26</v>
      </c>
      <c r="E721" s="1911" t="s">
        <v>2353</v>
      </c>
      <c r="F721" s="1911"/>
      <c r="G721" s="1911"/>
      <c r="H721" s="1911"/>
      <c r="I721" s="1911"/>
      <c r="J721" s="1911"/>
      <c r="K721" s="1911"/>
      <c r="L721" s="1911"/>
      <c r="M721" s="1911"/>
      <c r="N721" s="1911"/>
      <c r="O721" s="1911"/>
      <c r="P721" s="1911"/>
      <c r="Q721" s="1911"/>
      <c r="R721" s="1911"/>
      <c r="S721" s="1911"/>
      <c r="T721" s="1911"/>
      <c r="U721" s="1911"/>
      <c r="V721" s="1911"/>
      <c r="W721" s="1911"/>
      <c r="X721" s="1911"/>
      <c r="Y721" s="1911"/>
      <c r="Z721" s="1911"/>
      <c r="AA721" s="1911"/>
      <c r="AB721" s="1911"/>
      <c r="AC721" s="405"/>
      <c r="AD721" s="405"/>
      <c r="AE721" s="405"/>
      <c r="AF721" s="1857" t="s">
        <v>2306</v>
      </c>
      <c r="AG721" s="1857"/>
      <c r="AH721" s="1857"/>
      <c r="AI721" s="1857"/>
      <c r="AJ721" s="1857"/>
      <c r="AK721" s="1857"/>
      <c r="AL721" s="1857"/>
      <c r="AM721" s="418"/>
      <c r="AN721" s="540"/>
      <c r="AT721" s="12"/>
      <c r="AU721" s="12"/>
      <c r="AV721" s="12"/>
      <c r="AW721" s="12"/>
      <c r="AX721" s="12"/>
      <c r="AY721" s="12"/>
      <c r="AZ721" s="12"/>
    </row>
    <row r="722" spans="1:81" s="436" customFormat="1" ht="13">
      <c r="A722" s="418"/>
      <c r="B722" s="405"/>
      <c r="C722" s="758"/>
      <c r="D722" s="405"/>
      <c r="E722" s="1911"/>
      <c r="F722" s="1911"/>
      <c r="G722" s="1911"/>
      <c r="H722" s="1911"/>
      <c r="I722" s="1911"/>
      <c r="J722" s="1911"/>
      <c r="K722" s="1911"/>
      <c r="L722" s="1911"/>
      <c r="M722" s="1911"/>
      <c r="N722" s="1911"/>
      <c r="O722" s="1911"/>
      <c r="P722" s="1911"/>
      <c r="Q722" s="1911"/>
      <c r="R722" s="1911"/>
      <c r="S722" s="1911"/>
      <c r="T722" s="1911"/>
      <c r="U722" s="1911"/>
      <c r="V722" s="1911"/>
      <c r="W722" s="1911"/>
      <c r="X722" s="1911"/>
      <c r="Y722" s="1911"/>
      <c r="Z722" s="1911"/>
      <c r="AA722" s="1911"/>
      <c r="AB722" s="1911"/>
      <c r="AC722" s="405"/>
      <c r="AD722" s="405"/>
      <c r="AE722" s="405"/>
      <c r="AF722" s="405"/>
      <c r="AG722" s="405"/>
      <c r="AH722" s="405"/>
      <c r="AI722" s="405"/>
      <c r="AJ722" s="405"/>
      <c r="AK722" s="405"/>
      <c r="AL722" s="405"/>
      <c r="AM722" s="418"/>
      <c r="AN722" s="540"/>
      <c r="AT722" s="12"/>
      <c r="AU722" s="12"/>
      <c r="AV722" s="12"/>
      <c r="AW722" s="12"/>
      <c r="AX722" s="12"/>
      <c r="AY722" s="12"/>
      <c r="AZ722" s="12"/>
    </row>
    <row r="723" spans="1:81" s="436" customFormat="1" ht="13">
      <c r="A723" s="418"/>
      <c r="B723" s="405"/>
      <c r="C723" s="758"/>
      <c r="D723" s="405"/>
      <c r="E723" s="1196"/>
      <c r="F723" s="1196"/>
      <c r="G723" s="1196"/>
      <c r="H723" s="1196"/>
      <c r="I723" s="1196"/>
      <c r="J723" s="1196"/>
      <c r="K723" s="1196"/>
      <c r="L723" s="1196"/>
      <c r="M723" s="1196"/>
      <c r="N723" s="1196"/>
      <c r="O723" s="1196"/>
      <c r="P723" s="1196"/>
      <c r="Q723" s="1196"/>
      <c r="R723" s="1196"/>
      <c r="S723" s="1196"/>
      <c r="T723" s="1196"/>
      <c r="U723" s="1196"/>
      <c r="V723" s="1196"/>
      <c r="W723" s="1196"/>
      <c r="X723" s="1196"/>
      <c r="Y723" s="1196"/>
      <c r="Z723" s="1196"/>
      <c r="AA723" s="1196"/>
      <c r="AB723" s="1196"/>
      <c r="AC723" s="405"/>
      <c r="AD723" s="405"/>
      <c r="AE723" s="405"/>
      <c r="AF723" s="405"/>
      <c r="AG723" s="405"/>
      <c r="AH723" s="405"/>
      <c r="AI723" s="405"/>
      <c r="AJ723" s="405"/>
      <c r="AK723" s="405"/>
      <c r="AL723" s="405"/>
      <c r="AM723" s="418"/>
      <c r="AN723" s="540"/>
      <c r="AT723" s="12"/>
      <c r="AU723" s="12"/>
      <c r="AV723" s="12"/>
      <c r="AW723" s="12"/>
      <c r="AX723" s="12"/>
      <c r="AY723" s="12"/>
      <c r="AZ723" s="12"/>
    </row>
    <row r="724" spans="1:81" s="436" customFormat="1" ht="12.75" customHeight="1">
      <c r="A724" s="418"/>
      <c r="B724" s="405"/>
      <c r="C724" s="758"/>
      <c r="D724" s="405" t="s">
        <v>2292</v>
      </c>
      <c r="E724" s="1207"/>
      <c r="F724" s="1207"/>
      <c r="G724" s="1207"/>
      <c r="H724" s="1940" t="s">
        <v>299</v>
      </c>
      <c r="I724" s="1940"/>
      <c r="J724" s="1196"/>
      <c r="K724" s="1196"/>
      <c r="L724" s="1196"/>
      <c r="M724" s="1196"/>
      <c r="N724" s="1196"/>
      <c r="O724" s="1196"/>
      <c r="P724" s="1196"/>
      <c r="Q724" s="1196"/>
      <c r="R724" s="1196"/>
      <c r="S724" s="1196"/>
      <c r="T724" s="1196"/>
      <c r="U724" s="1196"/>
      <c r="V724" s="1196"/>
      <c r="W724" s="1196"/>
      <c r="X724" s="1196"/>
      <c r="Y724" s="1196"/>
      <c r="Z724" s="1196"/>
      <c r="AA724" s="1196"/>
      <c r="AB724" s="1196"/>
      <c r="AC724" s="405"/>
      <c r="AD724" s="405"/>
      <c r="AE724" s="405"/>
      <c r="AF724" s="405"/>
      <c r="AG724" s="405"/>
      <c r="AH724" s="405"/>
      <c r="AI724" s="405"/>
      <c r="AJ724" s="405"/>
      <c r="AK724" s="405"/>
      <c r="AL724" s="405"/>
      <c r="AM724" s="418"/>
      <c r="AN724" s="540"/>
      <c r="AT724" s="12"/>
      <c r="AU724" s="12"/>
      <c r="AV724" s="12"/>
      <c r="AW724" s="12"/>
      <c r="AX724" s="12"/>
      <c r="AY724" s="12"/>
      <c r="AZ724" s="12"/>
    </row>
    <row r="725" spans="1:81" s="436" customFormat="1" ht="13">
      <c r="A725" s="418"/>
      <c r="B725" s="405"/>
      <c r="C725" s="758"/>
      <c r="D725" s="405"/>
      <c r="E725" s="1196"/>
      <c r="F725" s="1196"/>
      <c r="G725" s="1196"/>
      <c r="H725" s="1196"/>
      <c r="I725" s="1196"/>
      <c r="J725" s="1196"/>
      <c r="K725" s="1196"/>
      <c r="L725" s="1196"/>
      <c r="M725" s="1196"/>
      <c r="N725" s="1196"/>
      <c r="O725" s="1196"/>
      <c r="P725" s="1196"/>
      <c r="Q725" s="1196"/>
      <c r="R725" s="1196"/>
      <c r="S725" s="1196"/>
      <c r="T725" s="1196"/>
      <c r="U725" s="1196"/>
      <c r="V725" s="1196"/>
      <c r="W725" s="1196"/>
      <c r="X725" s="1196"/>
      <c r="Y725" s="1196"/>
      <c r="Z725" s="1196"/>
      <c r="AA725" s="1196"/>
      <c r="AB725" s="1196"/>
      <c r="AC725" s="405"/>
      <c r="AD725" s="405"/>
      <c r="AE725" s="405"/>
      <c r="AF725" s="405"/>
      <c r="AG725" s="405"/>
      <c r="AH725" s="405"/>
      <c r="AI725" s="405"/>
      <c r="AJ725" s="405"/>
      <c r="AK725" s="405"/>
      <c r="AL725" s="405"/>
      <c r="AM725" s="418"/>
      <c r="AN725" s="540"/>
      <c r="AS725" s="12"/>
      <c r="AT725" s="12"/>
      <c r="AU725" s="12"/>
      <c r="AV725" s="12"/>
      <c r="AW725" s="12"/>
      <c r="AX725" s="12"/>
      <c r="AY725" s="12"/>
      <c r="AZ725" s="12"/>
      <c r="BA725" s="12"/>
      <c r="BB725" s="12"/>
      <c r="BC725" s="12"/>
      <c r="BD725" s="26"/>
      <c r="BE725" s="26"/>
      <c r="BF725" s="26"/>
      <c r="BG725" s="26"/>
      <c r="BH725" s="26"/>
      <c r="BI725" s="12"/>
      <c r="BJ725" s="12"/>
      <c r="BK725" s="12"/>
      <c r="BL725" s="12"/>
      <c r="BM725" s="12"/>
      <c r="BN725" s="12"/>
      <c r="BO725" s="12"/>
      <c r="BP725" s="12"/>
      <c r="BQ725" s="12"/>
      <c r="BR725" s="12"/>
      <c r="BS725" s="12"/>
      <c r="BT725" s="12"/>
      <c r="BU725" s="12"/>
      <c r="BV725" s="12"/>
      <c r="BW725" s="12"/>
      <c r="BX725" s="12"/>
      <c r="BY725" s="12"/>
      <c r="BZ725" s="12"/>
      <c r="CA725" s="12"/>
      <c r="CB725" s="12"/>
      <c r="CC725" s="12"/>
    </row>
    <row r="726" spans="1:81" s="436" customFormat="1" ht="13">
      <c r="A726" s="467"/>
      <c r="B726" s="463"/>
      <c r="C726" s="762"/>
      <c r="D726" s="463"/>
      <c r="E726" s="773"/>
      <c r="F726" s="773"/>
      <c r="G726" s="773"/>
      <c r="H726" s="773"/>
      <c r="I726" s="773"/>
      <c r="J726" s="773"/>
      <c r="K726" s="773"/>
      <c r="L726" s="773"/>
      <c r="M726" s="773"/>
      <c r="N726" s="773"/>
      <c r="O726" s="773"/>
      <c r="P726" s="773"/>
      <c r="Q726" s="773"/>
      <c r="R726" s="773"/>
      <c r="S726" s="773"/>
      <c r="T726" s="773"/>
      <c r="U726" s="773"/>
      <c r="V726" s="522"/>
      <c r="W726" s="522"/>
      <c r="X726" s="522"/>
      <c r="Y726" s="763"/>
      <c r="Z726" s="763"/>
      <c r="AA726" s="763"/>
      <c r="AB726" s="463"/>
      <c r="AC726" s="463"/>
      <c r="AD726" s="463"/>
      <c r="AE726" s="463"/>
      <c r="AF726" s="463"/>
      <c r="AG726" s="463"/>
      <c r="AH726" s="463"/>
      <c r="AI726" s="431" t="s">
        <v>2354</v>
      </c>
      <c r="AJ726" s="1891">
        <f>VLOOKUP($H$724,$AO$655:$AP$657,2,FALSE)</f>
        <v>0</v>
      </c>
      <c r="AK726" s="1893"/>
      <c r="AL726" s="457"/>
      <c r="AM726" s="418"/>
      <c r="AN726" s="540"/>
      <c r="AS726" s="12"/>
      <c r="AT726" s="12"/>
      <c r="AU726" s="12"/>
      <c r="AV726" s="12"/>
      <c r="AW726" s="12"/>
      <c r="AX726" s="12"/>
      <c r="AY726" s="12"/>
      <c r="AZ726" s="12"/>
      <c r="BA726" s="12"/>
      <c r="BB726" s="12"/>
      <c r="BC726" s="12"/>
      <c r="BD726" s="26"/>
      <c r="BE726" s="26"/>
      <c r="BF726" s="26"/>
      <c r="BG726" s="26"/>
      <c r="BH726" s="26"/>
      <c r="BI726" s="12"/>
      <c r="BJ726" s="12"/>
      <c r="BK726" s="12"/>
      <c r="BL726" s="12"/>
      <c r="BM726" s="12"/>
      <c r="BN726" s="12"/>
      <c r="BO726" s="12"/>
      <c r="BP726" s="12"/>
      <c r="BQ726" s="12"/>
      <c r="BR726" s="12"/>
      <c r="BS726" s="12"/>
      <c r="BT726" s="12"/>
      <c r="BU726" s="12"/>
      <c r="BV726" s="12"/>
      <c r="BW726" s="12"/>
      <c r="BX726" s="12"/>
      <c r="BY726" s="12"/>
      <c r="BZ726" s="12"/>
      <c r="CA726" s="12"/>
      <c r="CB726" s="12"/>
      <c r="CC726" s="12"/>
    </row>
    <row r="727" spans="1:81" s="436" customFormat="1" ht="12.75" customHeight="1">
      <c r="A727" s="418"/>
      <c r="B727" s="405"/>
      <c r="C727" s="758"/>
      <c r="D727" s="405"/>
      <c r="E727" s="405"/>
      <c r="F727" s="405"/>
      <c r="G727" s="405"/>
      <c r="H727" s="405"/>
      <c r="I727" s="405"/>
      <c r="J727" s="1196"/>
      <c r="K727" s="1196"/>
      <c r="L727" s="1196"/>
      <c r="M727" s="1196"/>
      <c r="N727" s="405"/>
      <c r="O727" s="405"/>
      <c r="P727" s="405"/>
      <c r="Q727" s="405"/>
      <c r="R727" s="405"/>
      <c r="S727" s="405"/>
      <c r="T727" s="405"/>
      <c r="U727" s="405"/>
      <c r="V727" s="405"/>
      <c r="W727" s="405"/>
      <c r="X727" s="405"/>
      <c r="Y727" s="405"/>
      <c r="Z727" s="405"/>
      <c r="AA727" s="405"/>
      <c r="AB727" s="405"/>
      <c r="AC727" s="405"/>
      <c r="AD727" s="405"/>
      <c r="AE727" s="405"/>
      <c r="AF727" s="405"/>
      <c r="AG727" s="405"/>
      <c r="AH727" s="405"/>
      <c r="AI727" s="405"/>
      <c r="AJ727" s="405"/>
      <c r="AK727" s="405"/>
      <c r="AL727" s="405"/>
      <c r="AM727" s="418"/>
      <c r="AN727" s="540"/>
      <c r="AS727" s="12"/>
      <c r="AT727" s="12"/>
      <c r="AU727" s="12"/>
      <c r="AV727" s="12"/>
      <c r="AW727" s="12"/>
      <c r="AX727" s="12"/>
      <c r="AY727" s="12"/>
      <c r="AZ727" s="12"/>
      <c r="BA727" s="12"/>
      <c r="BB727" s="12"/>
      <c r="BC727" s="12"/>
      <c r="BD727" s="26"/>
      <c r="BE727" s="26"/>
      <c r="BF727" s="26"/>
      <c r="BG727" s="26"/>
      <c r="BH727" s="26"/>
      <c r="BI727" s="12"/>
      <c r="BJ727" s="12"/>
      <c r="BK727" s="12"/>
      <c r="BL727" s="12"/>
      <c r="BM727" s="12"/>
      <c r="BN727" s="12"/>
      <c r="BO727" s="12"/>
      <c r="BP727" s="12"/>
      <c r="BQ727" s="12"/>
      <c r="BR727" s="12"/>
      <c r="BS727" s="12"/>
      <c r="BT727" s="12"/>
      <c r="BU727" s="12"/>
      <c r="BV727" s="12"/>
      <c r="BW727" s="12"/>
      <c r="BX727" s="12"/>
      <c r="BY727" s="12"/>
      <c r="BZ727" s="12"/>
      <c r="CA727" s="12"/>
      <c r="CB727" s="12"/>
      <c r="CC727" s="12"/>
    </row>
    <row r="728" spans="1:81" s="436" customFormat="1" ht="12.75" customHeight="1">
      <c r="A728" s="418"/>
      <c r="B728" s="405"/>
      <c r="C728" s="408" t="s">
        <v>2355</v>
      </c>
      <c r="D728" s="405"/>
      <c r="E728" s="405"/>
      <c r="F728" s="405"/>
      <c r="G728" s="405"/>
      <c r="H728" s="405"/>
      <c r="I728" s="405"/>
      <c r="J728" s="405"/>
      <c r="K728" s="405"/>
      <c r="L728" s="405"/>
      <c r="M728" s="405"/>
      <c r="N728" s="405"/>
      <c r="O728" s="405"/>
      <c r="P728" s="405"/>
      <c r="Q728" s="405"/>
      <c r="R728" s="405"/>
      <c r="S728" s="405"/>
      <c r="T728" s="405"/>
      <c r="U728" s="405"/>
      <c r="V728" s="405"/>
      <c r="W728" s="405"/>
      <c r="X728" s="405"/>
      <c r="Y728" s="405"/>
      <c r="Z728" s="405"/>
      <c r="AA728" s="405"/>
      <c r="AB728" s="405"/>
      <c r="AC728" s="405"/>
      <c r="AD728" s="405"/>
      <c r="AE728" s="405"/>
      <c r="AF728" s="405"/>
      <c r="AG728" s="405"/>
      <c r="AH728" s="405"/>
      <c r="AI728" s="405"/>
      <c r="AJ728" s="405"/>
      <c r="AK728" s="405"/>
      <c r="AL728" s="405"/>
      <c r="AM728" s="418"/>
      <c r="AN728" s="540"/>
      <c r="AS728" s="12"/>
      <c r="AT728" s="12"/>
      <c r="AU728" s="12"/>
      <c r="AV728" s="12"/>
      <c r="AW728" s="12"/>
      <c r="AX728" s="12"/>
      <c r="AY728" s="12"/>
      <c r="AZ728" s="12"/>
      <c r="BA728" s="12"/>
      <c r="BB728" s="12"/>
      <c r="BC728" s="12"/>
      <c r="BD728" s="26"/>
      <c r="BE728" s="26"/>
      <c r="BF728" s="26"/>
      <c r="BG728" s="26"/>
      <c r="BH728" s="26"/>
      <c r="BI728" s="12"/>
      <c r="BJ728" s="12"/>
      <c r="BK728" s="12"/>
      <c r="BL728" s="12"/>
      <c r="BM728" s="12"/>
      <c r="BN728" s="12"/>
      <c r="BO728" s="12"/>
      <c r="BP728" s="12"/>
      <c r="BQ728" s="12"/>
      <c r="BR728" s="12"/>
      <c r="BS728" s="12"/>
      <c r="BT728" s="12"/>
      <c r="BU728" s="12"/>
      <c r="BV728" s="12"/>
      <c r="BW728" s="12"/>
      <c r="BX728" s="12"/>
      <c r="BY728" s="12"/>
      <c r="BZ728" s="12"/>
      <c r="CA728" s="12"/>
      <c r="CB728" s="12"/>
      <c r="CC728" s="12"/>
    </row>
    <row r="729" spans="1:81" s="436" customFormat="1">
      <c r="A729" s="418"/>
      <c r="B729" s="471"/>
      <c r="C729" s="776"/>
      <c r="D729" s="471"/>
      <c r="E729" s="471"/>
      <c r="F729" s="405"/>
      <c r="G729" s="405"/>
      <c r="H729" s="471"/>
      <c r="I729" s="471"/>
      <c r="J729" s="471"/>
      <c r="K729" s="471"/>
      <c r="L729" s="471"/>
      <c r="M729" s="471"/>
      <c r="N729" s="471"/>
      <c r="O729" s="471"/>
      <c r="P729" s="471"/>
      <c r="Q729" s="471"/>
      <c r="R729" s="471"/>
      <c r="S729" s="471"/>
      <c r="T729" s="405"/>
      <c r="U729" s="405"/>
      <c r="V729" s="405"/>
      <c r="W729" s="405"/>
      <c r="X729" s="457"/>
      <c r="Y729" s="457"/>
      <c r="Z729" s="457"/>
      <c r="AA729" s="457"/>
      <c r="AB729" s="457"/>
      <c r="AC729" s="405"/>
      <c r="AD729" s="405"/>
      <c r="AE729" s="405"/>
      <c r="AF729" s="405"/>
      <c r="AG729" s="405"/>
      <c r="AH729" s="405"/>
      <c r="AI729" s="405"/>
      <c r="AJ729" s="405"/>
      <c r="AK729" s="405"/>
      <c r="AL729" s="405"/>
      <c r="AM729" s="418"/>
      <c r="AN729" s="540"/>
      <c r="AS729" s="12"/>
      <c r="AT729" s="12"/>
      <c r="AU729" s="12"/>
      <c r="AV729" s="12"/>
      <c r="AW729" s="12"/>
      <c r="AX729" s="12"/>
      <c r="AY729" s="12"/>
      <c r="AZ729" s="12"/>
      <c r="BA729" s="12"/>
      <c r="BB729" s="12"/>
      <c r="BC729" s="12"/>
      <c r="BD729" s="26"/>
      <c r="BE729" s="26"/>
      <c r="BF729" s="26"/>
      <c r="BG729" s="26"/>
      <c r="BH729" s="26"/>
      <c r="BI729" s="12"/>
      <c r="BJ729" s="12"/>
      <c r="BK729" s="12"/>
      <c r="BL729" s="12"/>
      <c r="BM729" s="12"/>
      <c r="BN729" s="12"/>
      <c r="BO729" s="12"/>
      <c r="BP729" s="12"/>
      <c r="BQ729" s="12"/>
      <c r="BR729" s="12"/>
      <c r="BS729" s="12"/>
      <c r="BT729" s="12"/>
      <c r="BU729" s="12"/>
      <c r="BV729" s="12"/>
      <c r="BW729" s="12"/>
      <c r="BX729" s="12"/>
      <c r="BY729" s="12"/>
      <c r="BZ729" s="12"/>
      <c r="CA729" s="12"/>
      <c r="CB729" s="12"/>
      <c r="CC729" s="12"/>
    </row>
    <row r="730" spans="1:81" s="436" customFormat="1" ht="13">
      <c r="A730" s="418"/>
      <c r="B730" s="405"/>
      <c r="C730" s="756"/>
      <c r="D730" s="520" t="s">
        <v>21</v>
      </c>
      <c r="E730" s="1911" t="s">
        <v>2356</v>
      </c>
      <c r="F730" s="1911"/>
      <c r="G730" s="1911"/>
      <c r="H730" s="1911"/>
      <c r="I730" s="1911"/>
      <c r="J730" s="1911"/>
      <c r="K730" s="1911"/>
      <c r="L730" s="1911"/>
      <c r="M730" s="1911"/>
      <c r="N730" s="1911"/>
      <c r="O730" s="1911"/>
      <c r="P730" s="1911"/>
      <c r="Q730" s="1911"/>
      <c r="R730" s="1911"/>
      <c r="S730" s="1911"/>
      <c r="T730" s="1911"/>
      <c r="U730" s="1911"/>
      <c r="V730" s="1911"/>
      <c r="W730" s="1911"/>
      <c r="X730" s="1911"/>
      <c r="Y730" s="1911"/>
      <c r="Z730" s="1911"/>
      <c r="AA730" s="1911"/>
      <c r="AB730" s="1911"/>
      <c r="AC730" s="405"/>
      <c r="AD730" s="405"/>
      <c r="AE730" s="405"/>
      <c r="AF730" s="1857" t="s">
        <v>2016</v>
      </c>
      <c r="AG730" s="1857"/>
      <c r="AH730" s="1857"/>
      <c r="AI730" s="1857"/>
      <c r="AJ730" s="1857"/>
      <c r="AK730" s="1857"/>
      <c r="AL730" s="1857"/>
      <c r="AM730" s="418"/>
      <c r="AN730" s="540"/>
      <c r="AT730" s="12"/>
      <c r="AU730" s="12"/>
      <c r="AV730" s="12"/>
      <c r="AW730" s="12"/>
      <c r="AX730" s="12"/>
      <c r="AY730" s="12"/>
      <c r="AZ730" s="12"/>
    </row>
    <row r="731" spans="1:81" s="436" customFormat="1" ht="13">
      <c r="A731" s="418"/>
      <c r="B731" s="405"/>
      <c r="C731" s="756"/>
      <c r="D731" s="520"/>
      <c r="E731" s="1911"/>
      <c r="F731" s="1911"/>
      <c r="G731" s="1911"/>
      <c r="H731" s="1911"/>
      <c r="I731" s="1911"/>
      <c r="J731" s="1911"/>
      <c r="K731" s="1911"/>
      <c r="L731" s="1911"/>
      <c r="M731" s="1911"/>
      <c r="N731" s="1911"/>
      <c r="O731" s="1911"/>
      <c r="P731" s="1911"/>
      <c r="Q731" s="1911"/>
      <c r="R731" s="1911"/>
      <c r="S731" s="1911"/>
      <c r="T731" s="1911"/>
      <c r="U731" s="1911"/>
      <c r="V731" s="1911"/>
      <c r="W731" s="1911"/>
      <c r="X731" s="1911"/>
      <c r="Y731" s="1911"/>
      <c r="Z731" s="1911"/>
      <c r="AA731" s="1911"/>
      <c r="AB731" s="1911"/>
      <c r="AC731" s="405"/>
      <c r="AD731" s="405"/>
      <c r="AE731" s="405"/>
      <c r="AF731" s="1189"/>
      <c r="AG731" s="1189"/>
      <c r="AH731" s="1189"/>
      <c r="AI731" s="1189"/>
      <c r="AJ731" s="1189"/>
      <c r="AK731" s="1189"/>
      <c r="AL731" s="1189"/>
      <c r="AM731" s="418"/>
      <c r="AN731" s="540"/>
      <c r="AT731" s="12"/>
      <c r="AU731" s="12"/>
      <c r="AV731" s="12"/>
      <c r="AW731" s="12"/>
      <c r="AX731" s="12"/>
      <c r="AY731" s="12"/>
      <c r="AZ731" s="12"/>
    </row>
    <row r="732" spans="1:81" s="436" customFormat="1" ht="13">
      <c r="A732" s="418"/>
      <c r="B732" s="405"/>
      <c r="C732" s="758"/>
      <c r="D732" s="520"/>
      <c r="E732" s="1911"/>
      <c r="F732" s="1911"/>
      <c r="G732" s="1911"/>
      <c r="H732" s="1911"/>
      <c r="I732" s="1911"/>
      <c r="J732" s="1911"/>
      <c r="K732" s="1911"/>
      <c r="L732" s="1911"/>
      <c r="M732" s="1911"/>
      <c r="N732" s="1911"/>
      <c r="O732" s="1911"/>
      <c r="P732" s="1911"/>
      <c r="Q732" s="1911"/>
      <c r="R732" s="1911"/>
      <c r="S732" s="1911"/>
      <c r="T732" s="1911"/>
      <c r="U732" s="1911"/>
      <c r="V732" s="1911"/>
      <c r="W732" s="1911"/>
      <c r="X732" s="1911"/>
      <c r="Y732" s="1911"/>
      <c r="Z732" s="1911"/>
      <c r="AA732" s="1911"/>
      <c r="AB732" s="1911"/>
      <c r="AC732" s="405"/>
      <c r="AD732" s="405"/>
      <c r="AE732" s="405"/>
      <c r="AF732" s="405"/>
      <c r="AG732" s="405"/>
      <c r="AH732" s="405"/>
      <c r="AI732" s="405"/>
      <c r="AJ732" s="405"/>
      <c r="AK732" s="405"/>
      <c r="AL732" s="405"/>
      <c r="AM732" s="418"/>
      <c r="AN732" s="540"/>
    </row>
    <row r="733" spans="1:81" s="436" customFormat="1" ht="12.75" customHeight="1">
      <c r="A733" s="418"/>
      <c r="B733" s="405"/>
      <c r="C733" s="758"/>
      <c r="D733" s="520"/>
      <c r="E733" s="1911"/>
      <c r="F733" s="1911"/>
      <c r="G733" s="1911"/>
      <c r="H733" s="1911"/>
      <c r="I733" s="1911"/>
      <c r="J733" s="1911"/>
      <c r="K733" s="1911"/>
      <c r="L733" s="1911"/>
      <c r="M733" s="1911"/>
      <c r="N733" s="1911"/>
      <c r="O733" s="1911"/>
      <c r="P733" s="1911"/>
      <c r="Q733" s="1911"/>
      <c r="R733" s="1911"/>
      <c r="S733" s="1911"/>
      <c r="T733" s="1911"/>
      <c r="U733" s="1911"/>
      <c r="V733" s="1911"/>
      <c r="W733" s="1911"/>
      <c r="X733" s="1911"/>
      <c r="Y733" s="1911"/>
      <c r="Z733" s="1911"/>
      <c r="AA733" s="1911"/>
      <c r="AB733" s="1911"/>
      <c r="AC733" s="405"/>
      <c r="AD733" s="405"/>
      <c r="AE733" s="405"/>
      <c r="AF733" s="405"/>
      <c r="AG733" s="405"/>
      <c r="AH733" s="405"/>
      <c r="AI733" s="405"/>
      <c r="AJ733" s="405"/>
      <c r="AK733" s="405"/>
      <c r="AL733" s="405"/>
      <c r="AM733" s="418"/>
      <c r="AN733" s="403"/>
      <c r="AO733" s="12"/>
    </row>
    <row r="734" spans="1:81" s="436" customFormat="1">
      <c r="A734" s="1206"/>
      <c r="B734" s="457"/>
      <c r="C734" s="756"/>
      <c r="D734" s="520"/>
      <c r="E734" s="770"/>
      <c r="F734" s="770"/>
      <c r="G734" s="770"/>
      <c r="H734" s="770"/>
      <c r="I734" s="770"/>
      <c r="J734" s="770"/>
      <c r="K734" s="770"/>
      <c r="L734" s="770"/>
      <c r="M734" s="770"/>
      <c r="N734" s="770"/>
      <c r="O734" s="770"/>
      <c r="P734" s="770"/>
      <c r="Q734" s="770"/>
      <c r="R734" s="770"/>
      <c r="S734" s="770"/>
      <c r="T734" s="770"/>
      <c r="U734" s="770"/>
      <c r="V734" s="770"/>
      <c r="W734" s="770"/>
      <c r="X734" s="770"/>
      <c r="Y734" s="770"/>
      <c r="Z734" s="770"/>
      <c r="AA734" s="770"/>
      <c r="AB734" s="770"/>
      <c r="AC734" s="405"/>
      <c r="AD734" s="405"/>
      <c r="AE734" s="405"/>
      <c r="AF734" s="405"/>
      <c r="AG734" s="405"/>
      <c r="AH734" s="405"/>
      <c r="AI734" s="405"/>
      <c r="AJ734" s="405"/>
      <c r="AK734" s="405"/>
      <c r="AL734" s="405"/>
      <c r="AM734" s="418"/>
      <c r="AN734" s="540"/>
      <c r="AO734" s="24"/>
      <c r="AP734" s="12"/>
    </row>
    <row r="735" spans="1:81" s="436" customFormat="1" ht="13">
      <c r="A735" s="418"/>
      <c r="B735" s="405"/>
      <c r="C735" s="756"/>
      <c r="D735" s="520" t="s">
        <v>26</v>
      </c>
      <c r="E735" s="1911" t="s">
        <v>2357</v>
      </c>
      <c r="F735" s="1911"/>
      <c r="G735" s="1911"/>
      <c r="H735" s="1911"/>
      <c r="I735" s="1911"/>
      <c r="J735" s="1911"/>
      <c r="K735" s="1911"/>
      <c r="L735" s="1911"/>
      <c r="M735" s="1911"/>
      <c r="N735" s="1911"/>
      <c r="O735" s="1911"/>
      <c r="P735" s="1911"/>
      <c r="Q735" s="1911"/>
      <c r="R735" s="1911"/>
      <c r="S735" s="1911"/>
      <c r="T735" s="1911"/>
      <c r="U735" s="1911"/>
      <c r="V735" s="1911"/>
      <c r="W735" s="1911"/>
      <c r="X735" s="1911"/>
      <c r="Y735" s="1911"/>
      <c r="Z735" s="1911"/>
      <c r="AA735" s="1911"/>
      <c r="AB735" s="440"/>
      <c r="AC735" s="405"/>
      <c r="AD735" s="405"/>
      <c r="AE735" s="405"/>
      <c r="AF735" s="1857" t="s">
        <v>2306</v>
      </c>
      <c r="AG735" s="1857"/>
      <c r="AH735" s="1857"/>
      <c r="AI735" s="1857"/>
      <c r="AJ735" s="1857"/>
      <c r="AK735" s="1857"/>
      <c r="AL735" s="1857"/>
      <c r="AM735" s="418"/>
      <c r="AN735" s="540"/>
      <c r="AO735" s="24"/>
      <c r="AP735" s="12"/>
    </row>
    <row r="736" spans="1:81" s="436" customFormat="1" ht="13">
      <c r="A736" s="418"/>
      <c r="B736" s="405"/>
      <c r="C736" s="756"/>
      <c r="D736" s="520"/>
      <c r="E736" s="1911"/>
      <c r="F736" s="1911"/>
      <c r="G736" s="1911"/>
      <c r="H736" s="1911"/>
      <c r="I736" s="1911"/>
      <c r="J736" s="1911"/>
      <c r="K736" s="1911"/>
      <c r="L736" s="1911"/>
      <c r="M736" s="1911"/>
      <c r="N736" s="1911"/>
      <c r="O736" s="1911"/>
      <c r="P736" s="1911"/>
      <c r="Q736" s="1911"/>
      <c r="R736" s="1911"/>
      <c r="S736" s="1911"/>
      <c r="T736" s="1911"/>
      <c r="U736" s="1911"/>
      <c r="V736" s="1911"/>
      <c r="W736" s="1911"/>
      <c r="X736" s="1911"/>
      <c r="Y736" s="1911"/>
      <c r="Z736" s="1911"/>
      <c r="AA736" s="1911"/>
      <c r="AB736" s="440"/>
      <c r="AC736" s="405"/>
      <c r="AD736" s="405"/>
      <c r="AE736" s="405"/>
      <c r="AF736" s="1189"/>
      <c r="AG736" s="1189"/>
      <c r="AH736" s="1189"/>
      <c r="AI736" s="1189"/>
      <c r="AJ736" s="1189"/>
      <c r="AK736" s="1189"/>
      <c r="AL736" s="1189"/>
      <c r="AM736" s="418"/>
      <c r="AN736" s="540"/>
      <c r="AO736" s="24"/>
      <c r="AP736" s="12"/>
    </row>
    <row r="737" spans="1:74" s="436" customFormat="1" ht="13">
      <c r="A737" s="418"/>
      <c r="B737" s="405"/>
      <c r="C737" s="756"/>
      <c r="D737" s="405"/>
      <c r="E737" s="1911"/>
      <c r="F737" s="1911"/>
      <c r="G737" s="1911"/>
      <c r="H737" s="1911"/>
      <c r="I737" s="1911"/>
      <c r="J737" s="1911"/>
      <c r="K737" s="1911"/>
      <c r="L737" s="1911"/>
      <c r="M737" s="1911"/>
      <c r="N737" s="1911"/>
      <c r="O737" s="1911"/>
      <c r="P737" s="1911"/>
      <c r="Q737" s="1911"/>
      <c r="R737" s="1911"/>
      <c r="S737" s="1911"/>
      <c r="T737" s="1911"/>
      <c r="U737" s="1911"/>
      <c r="V737" s="1911"/>
      <c r="W737" s="1911"/>
      <c r="X737" s="1911"/>
      <c r="Y737" s="1911"/>
      <c r="Z737" s="1911"/>
      <c r="AA737" s="1911"/>
      <c r="AB737" s="440"/>
      <c r="AC737" s="1189"/>
      <c r="AD737" s="1189"/>
      <c r="AE737" s="1189"/>
      <c r="AF737" s="1189"/>
      <c r="AG737" s="1189"/>
      <c r="AH737" s="1189"/>
      <c r="AI737" s="1189"/>
      <c r="AJ737" s="405"/>
      <c r="AK737" s="405"/>
      <c r="AL737" s="405"/>
      <c r="AM737" s="418"/>
      <c r="AN737" s="540"/>
      <c r="AO737" s="24"/>
      <c r="AP737" s="12"/>
    </row>
    <row r="738" spans="1:74" s="436" customFormat="1" ht="13">
      <c r="A738" s="418"/>
      <c r="B738" s="405"/>
      <c r="C738" s="756"/>
      <c r="D738" s="405"/>
      <c r="E738" s="1911"/>
      <c r="F738" s="1911"/>
      <c r="G738" s="1911"/>
      <c r="H738" s="1911"/>
      <c r="I738" s="1911"/>
      <c r="J738" s="1911"/>
      <c r="K738" s="1911"/>
      <c r="L738" s="1911"/>
      <c r="M738" s="1911"/>
      <c r="N738" s="1911"/>
      <c r="O738" s="1911"/>
      <c r="P738" s="1911"/>
      <c r="Q738" s="1911"/>
      <c r="R738" s="1911"/>
      <c r="S738" s="1911"/>
      <c r="T738" s="1911"/>
      <c r="U738" s="1911"/>
      <c r="V738" s="1911"/>
      <c r="W738" s="1911"/>
      <c r="X738" s="1911"/>
      <c r="Y738" s="1911"/>
      <c r="Z738" s="1911"/>
      <c r="AA738" s="1911"/>
      <c r="AB738" s="440"/>
      <c r="AC738" s="1189"/>
      <c r="AD738" s="1189"/>
      <c r="AE738" s="1189"/>
      <c r="AF738" s="1189"/>
      <c r="AG738" s="1189"/>
      <c r="AH738" s="1189"/>
      <c r="AI738" s="1189"/>
      <c r="AJ738" s="405"/>
      <c r="AK738" s="405"/>
      <c r="AL738" s="405"/>
      <c r="AM738" s="418"/>
      <c r="AN738" s="540"/>
      <c r="AO738" s="24"/>
      <c r="AP738" s="12"/>
    </row>
    <row r="739" spans="1:74" s="436" customFormat="1" ht="13">
      <c r="A739" s="418"/>
      <c r="B739" s="405"/>
      <c r="C739" s="756"/>
      <c r="D739" s="405"/>
      <c r="E739" s="501"/>
      <c r="F739" s="501"/>
      <c r="G739" s="501"/>
      <c r="H739" s="501"/>
      <c r="I739" s="501"/>
      <c r="J739" s="501"/>
      <c r="K739" s="501"/>
      <c r="L739" s="501"/>
      <c r="M739" s="501"/>
      <c r="N739" s="501"/>
      <c r="O739" s="501"/>
      <c r="P739" s="501"/>
      <c r="Q739" s="501"/>
      <c r="R739" s="501"/>
      <c r="S739" s="501"/>
      <c r="T739" s="501"/>
      <c r="U739" s="501"/>
      <c r="V739" s="501"/>
      <c r="W739" s="501"/>
      <c r="X739" s="501"/>
      <c r="Y739" s="501"/>
      <c r="Z739" s="501"/>
      <c r="AA739" s="501"/>
      <c r="AB739" s="501"/>
      <c r="AC739" s="1189"/>
      <c r="AD739" s="1189"/>
      <c r="AE739" s="1189"/>
      <c r="AF739" s="1189"/>
      <c r="AG739" s="1189"/>
      <c r="AH739" s="1189"/>
      <c r="AI739" s="1189"/>
      <c r="AJ739" s="405"/>
      <c r="AK739" s="405"/>
      <c r="AL739" s="405"/>
      <c r="AM739" s="418"/>
      <c r="AN739" s="540"/>
    </row>
    <row r="740" spans="1:74" s="436" customFormat="1" ht="12.75" customHeight="1">
      <c r="A740" s="418"/>
      <c r="B740" s="405"/>
      <c r="C740" s="756"/>
      <c r="D740" s="405" t="s">
        <v>2292</v>
      </c>
      <c r="E740" s="1207"/>
      <c r="F740" s="1207"/>
      <c r="G740" s="1207"/>
      <c r="H740" s="1940" t="s">
        <v>21</v>
      </c>
      <c r="I740" s="1940"/>
      <c r="J740" s="501"/>
      <c r="K740" s="501"/>
      <c r="L740" s="501"/>
      <c r="M740" s="501"/>
      <c r="N740" s="501"/>
      <c r="O740" s="501"/>
      <c r="P740" s="501"/>
      <c r="Q740" s="501"/>
      <c r="R740" s="501"/>
      <c r="S740" s="501"/>
      <c r="T740" s="501"/>
      <c r="U740" s="501"/>
      <c r="V740" s="501"/>
      <c r="W740" s="501"/>
      <c r="X740" s="501"/>
      <c r="Y740" s="501"/>
      <c r="Z740" s="501"/>
      <c r="AA740" s="501"/>
      <c r="AB740" s="501"/>
      <c r="AC740" s="1189"/>
      <c r="AD740" s="1189"/>
      <c r="AE740" s="1189"/>
      <c r="AF740" s="1189"/>
      <c r="AG740" s="1189"/>
      <c r="AH740" s="1189"/>
      <c r="AI740" s="1189"/>
      <c r="AJ740" s="405"/>
      <c r="AK740" s="405"/>
      <c r="AL740" s="405"/>
      <c r="AM740" s="418"/>
      <c r="AN740" s="540"/>
    </row>
    <row r="741" spans="1:74" s="436" customFormat="1" ht="12.75" customHeight="1">
      <c r="A741" s="418"/>
      <c r="B741" s="405"/>
      <c r="C741" s="756"/>
      <c r="D741" s="405"/>
      <c r="E741" s="501"/>
      <c r="F741" s="501"/>
      <c r="G741" s="501"/>
      <c r="H741" s="501"/>
      <c r="I741" s="501"/>
      <c r="J741" s="501"/>
      <c r="K741" s="501"/>
      <c r="L741" s="501"/>
      <c r="M741" s="501"/>
      <c r="N741" s="501"/>
      <c r="O741" s="501"/>
      <c r="P741" s="501"/>
      <c r="Q741" s="501"/>
      <c r="R741" s="501"/>
      <c r="S741" s="501"/>
      <c r="T741" s="501"/>
      <c r="U741" s="501"/>
      <c r="V741" s="501"/>
      <c r="W741" s="501"/>
      <c r="X741" s="501"/>
      <c r="Y741" s="501"/>
      <c r="Z741" s="501"/>
      <c r="AA741" s="501"/>
      <c r="AB741" s="501"/>
      <c r="AC741" s="1189"/>
      <c r="AD741" s="1189"/>
      <c r="AE741" s="1189"/>
      <c r="AF741" s="1189"/>
      <c r="AG741" s="1189"/>
      <c r="AH741" s="1189"/>
      <c r="AI741" s="1189"/>
      <c r="AJ741" s="405"/>
      <c r="AK741" s="405"/>
      <c r="AL741" s="405"/>
      <c r="AM741" s="418"/>
      <c r="AN741" s="403"/>
      <c r="AO741" s="24"/>
      <c r="AP741" s="12"/>
      <c r="AQ741" s="12"/>
      <c r="AR741" s="12"/>
      <c r="AS741" s="12"/>
      <c r="AT741" s="12"/>
      <c r="AU741" s="12"/>
      <c r="AV741" s="12"/>
      <c r="AW741" s="12"/>
      <c r="AX741" s="12"/>
      <c r="AY741" s="12"/>
      <c r="AZ741" s="12"/>
      <c r="BA741" s="12"/>
      <c r="BB741" s="12"/>
      <c r="BC741" s="12"/>
      <c r="BD741" s="26"/>
      <c r="BE741" s="26"/>
      <c r="BF741" s="26"/>
      <c r="BG741" s="26"/>
      <c r="BH741" s="26"/>
      <c r="BI741" s="12"/>
      <c r="BJ741" s="12"/>
      <c r="BK741" s="12"/>
      <c r="BL741" s="12"/>
      <c r="BM741" s="12"/>
      <c r="BN741" s="12"/>
      <c r="BO741" s="12"/>
      <c r="BP741" s="12"/>
      <c r="BQ741" s="12"/>
      <c r="BR741" s="12"/>
      <c r="BS741" s="12"/>
      <c r="BT741" s="12"/>
      <c r="BU741" s="12"/>
      <c r="BV741" s="12"/>
    </row>
    <row r="742" spans="1:74" s="436" customFormat="1" ht="13">
      <c r="A742" s="467"/>
      <c r="B742" s="463"/>
      <c r="C742" s="768"/>
      <c r="D742" s="463"/>
      <c r="E742" s="777"/>
      <c r="F742" s="777"/>
      <c r="G742" s="777"/>
      <c r="H742" s="777"/>
      <c r="I742" s="777"/>
      <c r="J742" s="777"/>
      <c r="K742" s="777"/>
      <c r="L742" s="777"/>
      <c r="M742" s="777"/>
      <c r="N742" s="777"/>
      <c r="O742" s="777"/>
      <c r="P742" s="777"/>
      <c r="Q742" s="777"/>
      <c r="R742" s="777"/>
      <c r="S742" s="777"/>
      <c r="T742" s="777"/>
      <c r="U742" s="777"/>
      <c r="V742" s="777"/>
      <c r="W742" s="777"/>
      <c r="X742" s="777"/>
      <c r="Y742" s="777"/>
      <c r="Z742" s="777"/>
      <c r="AA742" s="777"/>
      <c r="AB742" s="543"/>
      <c r="AC742" s="543"/>
      <c r="AD742" s="543"/>
      <c r="AE742" s="543"/>
      <c r="AF742" s="543"/>
      <c r="AG742" s="543"/>
      <c r="AH742" s="463"/>
      <c r="AI742" s="431" t="s">
        <v>2358</v>
      </c>
      <c r="AJ742" s="1891">
        <f>VLOOKUP($H$740,$AO$669:$AP$671,2,FALSE)</f>
        <v>3</v>
      </c>
      <c r="AK742" s="1893"/>
      <c r="AL742" s="457"/>
      <c r="AM742" s="418"/>
      <c r="AN742" s="403"/>
      <c r="AO742" s="24"/>
      <c r="AP742" s="12"/>
      <c r="AQ742" s="12"/>
      <c r="AR742" s="12"/>
      <c r="AS742" s="12"/>
      <c r="AT742" s="12"/>
      <c r="AU742" s="12"/>
      <c r="AV742" s="12"/>
      <c r="AW742" s="12"/>
      <c r="AX742" s="12"/>
      <c r="AY742" s="12"/>
      <c r="AZ742" s="12"/>
      <c r="BA742" s="12"/>
      <c r="BB742" s="12"/>
      <c r="BC742" s="12"/>
      <c r="BD742" s="26"/>
      <c r="BE742" s="26"/>
      <c r="BF742" s="26"/>
      <c r="BG742" s="26"/>
      <c r="BH742" s="26"/>
      <c r="BI742" s="12"/>
      <c r="BJ742" s="12"/>
      <c r="BK742" s="12"/>
      <c r="BL742" s="12"/>
      <c r="BM742" s="12"/>
      <c r="BN742" s="12"/>
      <c r="BO742" s="12"/>
      <c r="BP742" s="12"/>
      <c r="BQ742" s="12"/>
      <c r="BR742" s="12"/>
      <c r="BS742" s="12"/>
      <c r="BT742" s="12"/>
      <c r="BU742" s="12"/>
      <c r="BV742" s="12"/>
    </row>
    <row r="743" spans="1:74" s="436" customFormat="1" ht="12.75" customHeight="1">
      <c r="A743" s="497"/>
      <c r="B743" s="405"/>
      <c r="C743" s="758"/>
      <c r="D743" s="405"/>
      <c r="E743" s="405"/>
      <c r="F743" s="405"/>
      <c r="G743" s="405"/>
      <c r="H743" s="405"/>
      <c r="I743" s="405"/>
      <c r="J743" s="501"/>
      <c r="K743" s="501"/>
      <c r="L743" s="1196"/>
      <c r="M743" s="1196"/>
      <c r="N743" s="1196"/>
      <c r="O743" s="1196"/>
      <c r="P743" s="1196"/>
      <c r="Q743" s="1196"/>
      <c r="R743" s="1196"/>
      <c r="S743" s="1196"/>
      <c r="T743" s="1196"/>
      <c r="U743" s="1196"/>
      <c r="V743" s="476"/>
      <c r="W743" s="476"/>
      <c r="X743" s="476"/>
      <c r="Y743" s="476"/>
      <c r="Z743" s="1207"/>
      <c r="AA743" s="1207"/>
      <c r="AB743" s="1207"/>
      <c r="AC743" s="405"/>
      <c r="AD743" s="405"/>
      <c r="AE743" s="405"/>
      <c r="AF743" s="405"/>
      <c r="AG743" s="405"/>
      <c r="AH743" s="405"/>
      <c r="AI743" s="405"/>
      <c r="AJ743" s="405"/>
      <c r="AK743" s="405"/>
      <c r="AL743" s="405"/>
      <c r="AM743" s="418"/>
      <c r="AN743" s="403"/>
      <c r="AO743" s="24"/>
      <c r="AP743" s="12"/>
      <c r="AQ743" s="12"/>
      <c r="AR743" s="12"/>
      <c r="AS743" s="12"/>
      <c r="AT743" s="12"/>
      <c r="AU743" s="12"/>
      <c r="AV743" s="12"/>
      <c r="AW743" s="12"/>
      <c r="AX743" s="12"/>
      <c r="AY743" s="12"/>
      <c r="AZ743" s="12"/>
      <c r="BA743" s="12"/>
      <c r="BB743" s="12"/>
      <c r="BC743" s="12"/>
      <c r="BD743" s="26"/>
      <c r="BE743" s="26"/>
      <c r="BF743" s="26"/>
      <c r="BG743" s="26"/>
      <c r="BH743" s="26"/>
      <c r="BI743" s="12"/>
      <c r="BJ743" s="12"/>
      <c r="BK743" s="12"/>
      <c r="BL743" s="12"/>
      <c r="BM743" s="12"/>
      <c r="BN743" s="12"/>
      <c r="BO743" s="12"/>
      <c r="BP743" s="12"/>
      <c r="BQ743" s="12"/>
      <c r="BR743" s="12"/>
      <c r="BS743" s="12"/>
      <c r="BT743" s="12"/>
      <c r="BU743" s="12"/>
      <c r="BV743" s="12"/>
    </row>
    <row r="744" spans="1:74" s="436" customFormat="1" ht="13">
      <c r="A744" s="418"/>
      <c r="B744" s="405"/>
      <c r="C744" s="408" t="s">
        <v>2347</v>
      </c>
      <c r="D744" s="476"/>
      <c r="E744" s="405"/>
      <c r="F744" s="405"/>
      <c r="G744" s="405"/>
      <c r="H744" s="405"/>
      <c r="I744" s="405"/>
      <c r="J744" s="405"/>
      <c r="K744" s="405"/>
      <c r="L744" s="405"/>
      <c r="M744" s="405"/>
      <c r="N744" s="405"/>
      <c r="O744" s="405"/>
      <c r="P744" s="405"/>
      <c r="Q744" s="405"/>
      <c r="R744" s="405"/>
      <c r="S744" s="405"/>
      <c r="T744" s="405"/>
      <c r="U744" s="405"/>
      <c r="V744" s="405"/>
      <c r="W744" s="405"/>
      <c r="X744" s="405"/>
      <c r="Y744" s="405"/>
      <c r="Z744" s="405"/>
      <c r="AA744" s="405"/>
      <c r="AB744" s="405"/>
      <c r="AC744" s="405"/>
      <c r="AD744" s="405"/>
      <c r="AE744" s="405"/>
      <c r="AF744" s="405"/>
      <c r="AG744" s="405"/>
      <c r="AH744" s="405"/>
      <c r="AI744" s="405"/>
      <c r="AJ744" s="405"/>
      <c r="AK744" s="405"/>
      <c r="AL744" s="405"/>
      <c r="AM744" s="418"/>
      <c r="AN744" s="403"/>
      <c r="AO744" s="24"/>
      <c r="AP744" s="12"/>
      <c r="AQ744" s="12"/>
      <c r="AR744" s="12"/>
      <c r="AS744" s="12"/>
      <c r="AT744" s="12"/>
      <c r="AU744" s="12"/>
      <c r="AV744" s="12"/>
      <c r="AW744" s="12"/>
      <c r="AX744" s="12"/>
      <c r="AY744" s="12"/>
      <c r="AZ744" s="12"/>
      <c r="BA744" s="12"/>
      <c r="BB744" s="12"/>
      <c r="BC744" s="12"/>
      <c r="BD744" s="26"/>
      <c r="BE744" s="26"/>
      <c r="BF744" s="26"/>
      <c r="BG744" s="26"/>
      <c r="BH744" s="26"/>
      <c r="BI744" s="12"/>
      <c r="BJ744" s="12"/>
      <c r="BK744" s="12"/>
      <c r="BL744" s="12"/>
      <c r="BM744" s="12"/>
      <c r="BN744" s="12"/>
      <c r="BO744" s="12"/>
      <c r="BP744" s="12"/>
      <c r="BQ744" s="12"/>
      <c r="BR744" s="12"/>
      <c r="BS744" s="12"/>
      <c r="BT744" s="12"/>
      <c r="BU744" s="12"/>
      <c r="BV744" s="12"/>
    </row>
    <row r="745" spans="1:74" s="436" customFormat="1">
      <c r="A745" s="418"/>
      <c r="B745" s="476"/>
      <c r="C745" s="405"/>
      <c r="D745" s="405"/>
      <c r="E745" s="476"/>
      <c r="F745" s="476"/>
      <c r="G745" s="476"/>
      <c r="H745" s="476"/>
      <c r="I745" s="476"/>
      <c r="J745" s="476"/>
      <c r="K745" s="476"/>
      <c r="L745" s="476"/>
      <c r="M745" s="476"/>
      <c r="N745" s="476"/>
      <c r="O745" s="476"/>
      <c r="P745" s="476"/>
      <c r="Q745" s="476"/>
      <c r="R745" s="476"/>
      <c r="S745" s="476"/>
      <c r="T745" s="476"/>
      <c r="U745" s="476"/>
      <c r="V745" s="476"/>
      <c r="W745" s="476"/>
      <c r="X745" s="476"/>
      <c r="Y745" s="476"/>
      <c r="Z745" s="476"/>
      <c r="AA745" s="476"/>
      <c r="AB745" s="476"/>
      <c r="AC745" s="476"/>
      <c r="AD745" s="476"/>
      <c r="AE745" s="476"/>
      <c r="AF745" s="476"/>
      <c r="AG745" s="476"/>
      <c r="AH745" s="476"/>
      <c r="AI745" s="405"/>
      <c r="AJ745" s="405"/>
      <c r="AK745" s="405"/>
      <c r="AL745" s="405"/>
      <c r="AM745" s="418"/>
      <c r="AN745" s="403"/>
      <c r="AO745" s="24"/>
      <c r="AP745" s="12"/>
      <c r="AQ745" s="12"/>
      <c r="AR745" s="12"/>
      <c r="AS745" s="12"/>
      <c r="AT745" s="12"/>
      <c r="AU745" s="12"/>
      <c r="AV745" s="12"/>
      <c r="AW745" s="12"/>
      <c r="AX745" s="12"/>
      <c r="AY745" s="12"/>
      <c r="AZ745" s="12"/>
      <c r="BA745" s="12"/>
      <c r="BB745" s="12"/>
      <c r="BC745" s="12"/>
      <c r="BD745" s="26"/>
      <c r="BE745" s="26"/>
      <c r="BF745" s="26"/>
      <c r="BG745" s="26"/>
      <c r="BH745" s="26"/>
      <c r="BI745" s="12"/>
      <c r="BJ745" s="12"/>
      <c r="BK745" s="12"/>
      <c r="BL745" s="12"/>
      <c r="BM745" s="12"/>
      <c r="BN745" s="12"/>
      <c r="BO745" s="12"/>
      <c r="BP745" s="12"/>
      <c r="BQ745" s="12"/>
      <c r="BR745" s="12"/>
      <c r="BS745" s="12"/>
      <c r="BT745" s="12"/>
      <c r="BU745" s="12"/>
      <c r="BV745" s="12"/>
    </row>
    <row r="746" spans="1:74" s="436" customFormat="1" ht="13">
      <c r="A746" s="418"/>
      <c r="B746" s="405"/>
      <c r="C746" s="756"/>
      <c r="D746" s="520" t="s">
        <v>21</v>
      </c>
      <c r="E746" s="1911" t="s">
        <v>2359</v>
      </c>
      <c r="F746" s="1911"/>
      <c r="G746" s="1911"/>
      <c r="H746" s="1911"/>
      <c r="I746" s="1911"/>
      <c r="J746" s="1911"/>
      <c r="K746" s="1911"/>
      <c r="L746" s="1911"/>
      <c r="M746" s="1911"/>
      <c r="N746" s="1911"/>
      <c r="O746" s="1911"/>
      <c r="P746" s="1911"/>
      <c r="Q746" s="1911"/>
      <c r="R746" s="1911"/>
      <c r="S746" s="1911"/>
      <c r="T746" s="1911"/>
      <c r="U746" s="1911"/>
      <c r="V746" s="1911"/>
      <c r="W746" s="1911"/>
      <c r="X746" s="1911"/>
      <c r="Y746" s="1911"/>
      <c r="Z746" s="1911"/>
      <c r="AA746" s="1911"/>
      <c r="AB746" s="1911"/>
      <c r="AC746" s="405"/>
      <c r="AD746" s="405"/>
      <c r="AE746" s="405"/>
      <c r="AF746" s="1857" t="s">
        <v>2306</v>
      </c>
      <c r="AG746" s="1857"/>
      <c r="AH746" s="1857"/>
      <c r="AI746" s="1857"/>
      <c r="AJ746" s="1857"/>
      <c r="AK746" s="1857"/>
      <c r="AL746" s="1857"/>
      <c r="AM746" s="418"/>
      <c r="AN746" s="403"/>
      <c r="AO746" s="24"/>
      <c r="AP746" s="12"/>
      <c r="AQ746" s="12"/>
      <c r="AR746" s="12"/>
      <c r="AS746" s="12"/>
      <c r="AT746" s="12"/>
      <c r="AU746" s="12"/>
      <c r="AV746" s="12"/>
      <c r="AW746" s="12"/>
      <c r="AX746" s="12"/>
      <c r="AY746" s="12"/>
      <c r="AZ746" s="12"/>
      <c r="BA746" s="12"/>
      <c r="BB746" s="12"/>
      <c r="BC746" s="12"/>
      <c r="BD746" s="26"/>
      <c r="BE746" s="26"/>
      <c r="BF746" s="26"/>
      <c r="BG746" s="26"/>
      <c r="BH746" s="26"/>
      <c r="BI746" s="12"/>
      <c r="BJ746" s="12"/>
      <c r="BK746" s="12"/>
      <c r="BL746" s="12"/>
      <c r="BM746" s="12"/>
      <c r="BN746" s="12"/>
      <c r="BO746" s="12"/>
      <c r="BP746" s="12"/>
      <c r="BQ746" s="12"/>
      <c r="BR746" s="12"/>
      <c r="BS746" s="12"/>
      <c r="BT746" s="12"/>
      <c r="BU746" s="12"/>
      <c r="BV746" s="12"/>
    </row>
    <row r="747" spans="1:74" s="436" customFormat="1" ht="13">
      <c r="A747" s="418"/>
      <c r="B747" s="405"/>
      <c r="C747" s="758"/>
      <c r="D747" s="520"/>
      <c r="E747" s="1911"/>
      <c r="F747" s="1911"/>
      <c r="G747" s="1911"/>
      <c r="H747" s="1911"/>
      <c r="I747" s="1911"/>
      <c r="J747" s="1911"/>
      <c r="K747" s="1911"/>
      <c r="L747" s="1911"/>
      <c r="M747" s="1911"/>
      <c r="N747" s="1911"/>
      <c r="O747" s="1911"/>
      <c r="P747" s="1911"/>
      <c r="Q747" s="1911"/>
      <c r="R747" s="1911"/>
      <c r="S747" s="1911"/>
      <c r="T747" s="1911"/>
      <c r="U747" s="1911"/>
      <c r="V747" s="1911"/>
      <c r="W747" s="1911"/>
      <c r="X747" s="1911"/>
      <c r="Y747" s="1911"/>
      <c r="Z747" s="1911"/>
      <c r="AA747" s="1911"/>
      <c r="AB747" s="1911"/>
      <c r="AC747" s="405"/>
      <c r="AD747" s="405"/>
      <c r="AE747" s="405"/>
      <c r="AF747" s="405"/>
      <c r="AG747" s="405"/>
      <c r="AH747" s="405"/>
      <c r="AI747" s="405"/>
      <c r="AJ747" s="405"/>
      <c r="AK747" s="405"/>
      <c r="AL747" s="405"/>
      <c r="AM747" s="418"/>
      <c r="AN747" s="403"/>
      <c r="AO747" s="24"/>
      <c r="AP747" s="12"/>
      <c r="AQ747" s="12"/>
      <c r="AR747" s="12"/>
      <c r="AS747" s="12"/>
      <c r="AT747" s="12"/>
      <c r="AU747" s="12"/>
      <c r="AV747" s="12"/>
      <c r="AW747" s="12"/>
      <c r="AX747" s="12"/>
      <c r="AY747" s="12"/>
      <c r="AZ747" s="12"/>
      <c r="BA747" s="12"/>
      <c r="BB747" s="12"/>
      <c r="BC747" s="12"/>
      <c r="BD747" s="26"/>
      <c r="BE747" s="26"/>
      <c r="BF747" s="26"/>
      <c r="BG747" s="26"/>
      <c r="BH747" s="26"/>
      <c r="BI747" s="12"/>
      <c r="BJ747" s="12"/>
      <c r="BK747" s="12"/>
      <c r="BL747" s="12"/>
      <c r="BM747" s="12"/>
      <c r="BN747" s="12"/>
      <c r="BO747" s="12"/>
      <c r="BP747" s="12"/>
      <c r="BQ747" s="12"/>
      <c r="BR747" s="12"/>
      <c r="BS747" s="12"/>
      <c r="BT747" s="12"/>
      <c r="BU747" s="12"/>
      <c r="BV747" s="12"/>
    </row>
    <row r="748" spans="1:74" s="436" customFormat="1">
      <c r="A748" s="418"/>
      <c r="B748" s="476"/>
      <c r="C748" s="764"/>
      <c r="D748" s="520"/>
      <c r="E748" s="476"/>
      <c r="F748" s="476"/>
      <c r="G748" s="476"/>
      <c r="H748" s="476"/>
      <c r="I748" s="476"/>
      <c r="J748" s="476"/>
      <c r="K748" s="476"/>
      <c r="L748" s="476"/>
      <c r="M748" s="476"/>
      <c r="N748" s="476"/>
      <c r="O748" s="476"/>
      <c r="P748" s="476"/>
      <c r="Q748" s="476"/>
      <c r="R748" s="476"/>
      <c r="S748" s="476"/>
      <c r="T748" s="476"/>
      <c r="U748" s="476"/>
      <c r="V748" s="476"/>
      <c r="W748" s="476"/>
      <c r="X748" s="476"/>
      <c r="Y748" s="476"/>
      <c r="Z748" s="476"/>
      <c r="AA748" s="476"/>
      <c r="AB748" s="476"/>
      <c r="AC748" s="405"/>
      <c r="AD748" s="405"/>
      <c r="AE748" s="476"/>
      <c r="AF748" s="476"/>
      <c r="AG748" s="476"/>
      <c r="AH748" s="476"/>
      <c r="AI748" s="476"/>
      <c r="AJ748" s="476"/>
      <c r="AK748" s="405"/>
      <c r="AL748" s="405"/>
      <c r="AM748" s="418"/>
      <c r="AN748" s="403"/>
      <c r="AO748" s="24"/>
      <c r="AP748" s="12"/>
      <c r="AQ748" s="12"/>
      <c r="AR748" s="12"/>
      <c r="AS748" s="12"/>
      <c r="AT748" s="12"/>
      <c r="AU748" s="12"/>
      <c r="AV748" s="12"/>
      <c r="AW748" s="12"/>
      <c r="AX748" s="12"/>
      <c r="AY748" s="12"/>
      <c r="AZ748" s="12"/>
      <c r="BA748" s="12"/>
      <c r="BB748" s="12"/>
      <c r="BC748" s="12"/>
      <c r="BD748" s="26"/>
      <c r="BE748" s="26"/>
      <c r="BF748" s="26"/>
      <c r="BG748" s="26"/>
      <c r="BH748" s="26"/>
      <c r="BI748" s="12"/>
      <c r="BJ748" s="12"/>
      <c r="BK748" s="12"/>
      <c r="BL748" s="12"/>
      <c r="BM748" s="12"/>
      <c r="BN748" s="12"/>
      <c r="BO748" s="12"/>
      <c r="BP748" s="12"/>
      <c r="BQ748" s="12"/>
      <c r="BR748" s="12"/>
      <c r="BS748" s="12"/>
      <c r="BT748" s="12"/>
      <c r="BU748" s="12"/>
      <c r="BV748" s="12"/>
    </row>
    <row r="749" spans="1:74" s="436" customFormat="1" ht="13">
      <c r="A749" s="497"/>
      <c r="B749" s="405"/>
      <c r="C749" s="756"/>
      <c r="D749" s="520" t="s">
        <v>26</v>
      </c>
      <c r="E749" s="1911" t="s">
        <v>2360</v>
      </c>
      <c r="F749" s="1911"/>
      <c r="G749" s="1911"/>
      <c r="H749" s="1911"/>
      <c r="I749" s="1911"/>
      <c r="J749" s="1911"/>
      <c r="K749" s="1911"/>
      <c r="L749" s="1911"/>
      <c r="M749" s="1911"/>
      <c r="N749" s="1911"/>
      <c r="O749" s="1911"/>
      <c r="P749" s="1911"/>
      <c r="Q749" s="1911"/>
      <c r="R749" s="1911"/>
      <c r="S749" s="1911"/>
      <c r="T749" s="1911"/>
      <c r="U749" s="1911"/>
      <c r="V749" s="1911"/>
      <c r="W749" s="1911"/>
      <c r="X749" s="1911"/>
      <c r="Y749" s="1911"/>
      <c r="Z749" s="1911"/>
      <c r="AA749" s="1911"/>
      <c r="AB749" s="1911"/>
      <c r="AC749" s="405"/>
      <c r="AD749" s="405"/>
      <c r="AE749" s="405"/>
      <c r="AF749" s="1857" t="s">
        <v>2324</v>
      </c>
      <c r="AG749" s="1857"/>
      <c r="AH749" s="1857"/>
      <c r="AI749" s="1857"/>
      <c r="AJ749" s="1857"/>
      <c r="AK749" s="1857"/>
      <c r="AL749" s="1857"/>
      <c r="AM749" s="418"/>
      <c r="AN749" s="403"/>
      <c r="AO749" s="24"/>
      <c r="AP749" s="12"/>
      <c r="AQ749" s="12"/>
      <c r="AR749" s="12"/>
      <c r="AS749" s="12"/>
      <c r="AT749" s="12"/>
      <c r="AU749" s="12"/>
      <c r="AV749" s="12"/>
      <c r="AW749" s="12"/>
      <c r="AX749" s="12"/>
      <c r="AY749" s="12"/>
      <c r="AZ749" s="12"/>
      <c r="BA749" s="12"/>
      <c r="BB749" s="12"/>
      <c r="BC749" s="12"/>
      <c r="BD749" s="26"/>
      <c r="BE749" s="26"/>
      <c r="BF749" s="26"/>
      <c r="BG749" s="26"/>
      <c r="BH749" s="26"/>
      <c r="BI749" s="12"/>
      <c r="BJ749" s="12"/>
      <c r="BK749" s="12"/>
      <c r="BL749" s="12"/>
      <c r="BM749" s="12"/>
      <c r="BN749" s="12"/>
      <c r="BO749" s="12"/>
      <c r="BP749" s="12"/>
      <c r="BQ749" s="12"/>
      <c r="BR749" s="12"/>
      <c r="BS749" s="12"/>
      <c r="BT749" s="12"/>
      <c r="BU749" s="12"/>
      <c r="BV749" s="12"/>
    </row>
    <row r="750" spans="1:74" s="436" customFormat="1" ht="12.75" customHeight="1">
      <c r="A750" s="497"/>
      <c r="B750" s="405"/>
      <c r="C750" s="756"/>
      <c r="D750" s="520"/>
      <c r="E750" s="1911"/>
      <c r="F750" s="1911"/>
      <c r="G750" s="1911"/>
      <c r="H750" s="1911"/>
      <c r="I750" s="1911"/>
      <c r="J750" s="1911"/>
      <c r="K750" s="1911"/>
      <c r="L750" s="1911"/>
      <c r="M750" s="1911"/>
      <c r="N750" s="1911"/>
      <c r="O750" s="1911"/>
      <c r="P750" s="1911"/>
      <c r="Q750" s="1911"/>
      <c r="R750" s="1911"/>
      <c r="S750" s="1911"/>
      <c r="T750" s="1911"/>
      <c r="U750" s="1911"/>
      <c r="V750" s="1911"/>
      <c r="W750" s="1911"/>
      <c r="X750" s="1911"/>
      <c r="Y750" s="1911"/>
      <c r="Z750" s="1911"/>
      <c r="AA750" s="1911"/>
      <c r="AB750" s="1911"/>
      <c r="AC750" s="405"/>
      <c r="AD750" s="405"/>
      <c r="AE750" s="1189"/>
      <c r="AF750" s="405"/>
      <c r="AG750" s="405"/>
      <c r="AH750" s="405"/>
      <c r="AI750" s="405"/>
      <c r="AJ750" s="405"/>
      <c r="AK750" s="405"/>
      <c r="AL750" s="405"/>
      <c r="AM750" s="418"/>
      <c r="AN750" s="403"/>
      <c r="AO750" s="24"/>
      <c r="AP750" s="12"/>
      <c r="AQ750" s="12"/>
      <c r="AR750" s="12"/>
      <c r="AS750" s="12"/>
      <c r="AT750" s="12"/>
      <c r="AU750" s="12"/>
      <c r="AV750" s="12"/>
      <c r="AW750" s="12"/>
      <c r="AX750" s="12"/>
      <c r="AY750" s="12"/>
      <c r="AZ750" s="12"/>
      <c r="BA750" s="12"/>
      <c r="BB750" s="12"/>
      <c r="BC750" s="12"/>
      <c r="BD750" s="26"/>
      <c r="BE750" s="26"/>
      <c r="BF750" s="26"/>
      <c r="BG750" s="26"/>
      <c r="BH750" s="26"/>
      <c r="BI750" s="12"/>
      <c r="BJ750" s="12"/>
      <c r="BK750" s="12"/>
      <c r="BL750" s="12"/>
      <c r="BM750" s="12"/>
      <c r="BN750" s="12"/>
      <c r="BO750" s="12"/>
      <c r="BP750" s="12"/>
      <c r="BQ750" s="12"/>
      <c r="BR750" s="12"/>
      <c r="BS750" s="12"/>
      <c r="BT750" s="12"/>
      <c r="BU750" s="12"/>
      <c r="BV750" s="12"/>
    </row>
    <row r="751" spans="1:74" s="436" customFormat="1" ht="13">
      <c r="A751" s="418"/>
      <c r="B751" s="405"/>
      <c r="C751" s="758"/>
      <c r="D751" s="405"/>
      <c r="E751" s="1196"/>
      <c r="F751" s="1196"/>
      <c r="G751" s="1196"/>
      <c r="H751" s="1196"/>
      <c r="I751" s="1196"/>
      <c r="J751" s="1196"/>
      <c r="K751" s="1196"/>
      <c r="L751" s="1196"/>
      <c r="M751" s="1196"/>
      <c r="N751" s="1196"/>
      <c r="O751" s="1196"/>
      <c r="P751" s="1196"/>
      <c r="Q751" s="1196"/>
      <c r="R751" s="1196"/>
      <c r="S751" s="1196"/>
      <c r="T751" s="1196"/>
      <c r="U751" s="1196"/>
      <c r="V751" s="1196"/>
      <c r="W751" s="1196"/>
      <c r="X751" s="1196"/>
      <c r="Y751" s="1196"/>
      <c r="Z751" s="1196"/>
      <c r="AA751" s="1196"/>
      <c r="AB751" s="1196"/>
      <c r="AC751" s="405"/>
      <c r="AD751" s="405"/>
      <c r="AE751" s="476"/>
      <c r="AF751" s="476"/>
      <c r="AG751" s="476"/>
      <c r="AH751" s="476"/>
      <c r="AI751" s="405"/>
      <c r="AJ751" s="405"/>
      <c r="AK751" s="405"/>
      <c r="AL751" s="405"/>
      <c r="AM751" s="418"/>
      <c r="AN751" s="403"/>
      <c r="AO751" s="24"/>
      <c r="AP751" s="12"/>
      <c r="AQ751" s="12"/>
      <c r="AR751" s="12"/>
      <c r="AS751" s="12"/>
      <c r="AT751" s="12"/>
      <c r="AU751" s="12"/>
      <c r="AV751" s="12"/>
      <c r="AW751" s="12"/>
      <c r="AX751" s="12"/>
      <c r="AY751" s="12"/>
      <c r="AZ751" s="12"/>
      <c r="BA751" s="12"/>
      <c r="BB751" s="12"/>
      <c r="BC751" s="12"/>
      <c r="BD751" s="26"/>
      <c r="BE751" s="26"/>
      <c r="BF751" s="26"/>
      <c r="BG751" s="26"/>
      <c r="BH751" s="26"/>
      <c r="BI751" s="12"/>
      <c r="BJ751" s="12"/>
      <c r="BK751" s="12"/>
      <c r="BL751" s="12"/>
      <c r="BM751" s="12"/>
      <c r="BN751" s="12"/>
      <c r="BO751" s="12"/>
      <c r="BP751" s="12"/>
      <c r="BQ751" s="12"/>
      <c r="BR751" s="12"/>
      <c r="BS751" s="12"/>
      <c r="BT751" s="12"/>
      <c r="BU751" s="12"/>
      <c r="BV751" s="12"/>
    </row>
    <row r="752" spans="1:74" s="436" customFormat="1" ht="12.75" customHeight="1">
      <c r="A752" s="418"/>
      <c r="B752" s="405"/>
      <c r="C752" s="405"/>
      <c r="D752" s="405" t="s">
        <v>2292</v>
      </c>
      <c r="E752" s="1207"/>
      <c r="F752" s="1207"/>
      <c r="G752" s="1207"/>
      <c r="H752" s="1940" t="s">
        <v>26</v>
      </c>
      <c r="I752" s="1940"/>
      <c r="J752" s="1196"/>
      <c r="K752" s="1196"/>
      <c r="L752" s="1196"/>
      <c r="M752" s="1196"/>
      <c r="N752" s="1196"/>
      <c r="O752" s="1196"/>
      <c r="P752" s="1196"/>
      <c r="Q752" s="405"/>
      <c r="R752" s="405"/>
      <c r="S752" s="405"/>
      <c r="T752" s="405"/>
      <c r="U752" s="405"/>
      <c r="V752" s="405"/>
      <c r="W752" s="1196"/>
      <c r="X752" s="1196"/>
      <c r="Y752" s="1196"/>
      <c r="Z752" s="1196"/>
      <c r="AA752" s="1196"/>
      <c r="AB752" s="1196"/>
      <c r="AC752" s="405"/>
      <c r="AD752" s="405"/>
      <c r="AE752" s="476"/>
      <c r="AF752" s="476"/>
      <c r="AG752" s="476"/>
      <c r="AH752" s="476"/>
      <c r="AI752" s="405"/>
      <c r="AJ752" s="405"/>
      <c r="AK752" s="405"/>
      <c r="AL752" s="405"/>
      <c r="AM752" s="418"/>
      <c r="AN752" s="403"/>
      <c r="AO752" s="24"/>
      <c r="AP752" s="12"/>
      <c r="AQ752" s="12"/>
      <c r="AR752" s="12"/>
      <c r="AS752" s="12"/>
      <c r="AT752" s="12"/>
      <c r="AU752" s="12"/>
      <c r="AV752" s="12"/>
      <c r="AW752" s="12"/>
      <c r="AX752" s="12"/>
      <c r="AY752" s="12"/>
      <c r="AZ752" s="12"/>
      <c r="BA752" s="12"/>
      <c r="BB752" s="12"/>
      <c r="BC752" s="12"/>
      <c r="BD752" s="26"/>
      <c r="BE752" s="26"/>
      <c r="BF752" s="26"/>
      <c r="BG752" s="26"/>
      <c r="BH752" s="26"/>
      <c r="BI752" s="12"/>
      <c r="BJ752" s="12"/>
      <c r="BK752" s="12"/>
      <c r="BL752" s="12"/>
      <c r="BM752" s="12"/>
      <c r="BN752" s="12"/>
      <c r="BO752" s="12"/>
      <c r="BP752" s="12"/>
      <c r="BQ752" s="12"/>
      <c r="BR752" s="12"/>
      <c r="BS752" s="12"/>
      <c r="BT752" s="12"/>
      <c r="BU752" s="12"/>
      <c r="BV752" s="12"/>
    </row>
    <row r="753" spans="1:74" s="436" customFormat="1" ht="12.75" customHeight="1">
      <c r="A753" s="418"/>
      <c r="B753" s="476"/>
      <c r="C753" s="764"/>
      <c r="D753" s="476"/>
      <c r="E753" s="476"/>
      <c r="F753" s="476"/>
      <c r="G753" s="476"/>
      <c r="H753" s="476"/>
      <c r="I753" s="476"/>
      <c r="J753" s="476"/>
      <c r="K753" s="476"/>
      <c r="L753" s="476"/>
      <c r="M753" s="476"/>
      <c r="N753" s="476"/>
      <c r="O753" s="476"/>
      <c r="P753" s="476"/>
      <c r="Q753" s="476"/>
      <c r="R753" s="476"/>
      <c r="S753" s="476"/>
      <c r="T753" s="476"/>
      <c r="U753" s="476"/>
      <c r="V753" s="476"/>
      <c r="W753" s="476"/>
      <c r="X753" s="476"/>
      <c r="Y753" s="476"/>
      <c r="Z753" s="476"/>
      <c r="AA753" s="476"/>
      <c r="AB753" s="476"/>
      <c r="AC753" s="476"/>
      <c r="AD753" s="476"/>
      <c r="AE753" s="476"/>
      <c r="AF753" s="476"/>
      <c r="AG753" s="476"/>
      <c r="AH753" s="476"/>
      <c r="AI753" s="405"/>
      <c r="AJ753" s="405"/>
      <c r="AK753" s="405"/>
      <c r="AL753" s="405"/>
      <c r="AM753" s="418"/>
      <c r="AN753" s="403"/>
      <c r="AO753" s="24"/>
      <c r="AP753" s="12"/>
      <c r="AQ753" s="12"/>
      <c r="AR753" s="12"/>
      <c r="AS753" s="12"/>
      <c r="AT753" s="12"/>
      <c r="AU753" s="12"/>
      <c r="AV753" s="12"/>
      <c r="AW753" s="12"/>
      <c r="AX753" s="12"/>
      <c r="AY753" s="12"/>
      <c r="AZ753" s="12"/>
      <c r="BA753" s="12"/>
      <c r="BB753" s="12"/>
      <c r="BC753" s="12"/>
      <c r="BD753" s="26"/>
      <c r="BE753" s="26"/>
      <c r="BF753" s="26"/>
      <c r="BG753" s="26"/>
      <c r="BH753" s="26"/>
      <c r="BI753" s="12"/>
      <c r="BJ753" s="12"/>
      <c r="BK753" s="12"/>
      <c r="BL753" s="12"/>
      <c r="BM753" s="12"/>
      <c r="BN753" s="12"/>
      <c r="BO753" s="12"/>
      <c r="BP753" s="12"/>
      <c r="BQ753" s="12"/>
      <c r="BR753" s="12"/>
      <c r="BS753" s="12"/>
      <c r="BT753" s="12"/>
      <c r="BU753" s="12"/>
      <c r="BV753" s="12"/>
    </row>
    <row r="754" spans="1:74" s="436" customFormat="1" ht="14.15" customHeight="1">
      <c r="A754" s="467"/>
      <c r="B754" s="522"/>
      <c r="C754" s="778"/>
      <c r="D754" s="522"/>
      <c r="E754" s="522"/>
      <c r="F754" s="522"/>
      <c r="G754" s="522"/>
      <c r="H754" s="522"/>
      <c r="I754" s="522"/>
      <c r="J754" s="522"/>
      <c r="K754" s="522"/>
      <c r="L754" s="522"/>
      <c r="M754" s="522"/>
      <c r="N754" s="522"/>
      <c r="O754" s="522"/>
      <c r="P754" s="522"/>
      <c r="Q754" s="522"/>
      <c r="R754" s="522"/>
      <c r="S754" s="522"/>
      <c r="T754" s="522"/>
      <c r="U754" s="522"/>
      <c r="V754" s="522"/>
      <c r="W754" s="522"/>
      <c r="X754" s="522"/>
      <c r="Y754" s="522"/>
      <c r="Z754" s="522"/>
      <c r="AA754" s="522"/>
      <c r="AB754" s="522"/>
      <c r="AC754" s="522"/>
      <c r="AD754" s="522"/>
      <c r="AE754" s="522"/>
      <c r="AF754" s="522"/>
      <c r="AG754" s="522"/>
      <c r="AH754" s="463"/>
      <c r="AI754" s="431" t="s">
        <v>2361</v>
      </c>
      <c r="AJ754" s="1891">
        <f>VLOOKUP($H$752,$AO$686:$AP$688,2,FALSE)</f>
        <v>1</v>
      </c>
      <c r="AK754" s="1893"/>
      <c r="AL754" s="457"/>
      <c r="AM754" s="418"/>
      <c r="AN754" s="403"/>
      <c r="AO754" s="24"/>
      <c r="AP754" s="12"/>
      <c r="AQ754" s="12"/>
      <c r="AR754" s="12"/>
      <c r="AS754" s="12"/>
      <c r="AT754" s="12"/>
      <c r="AU754" s="12"/>
      <c r="AV754" s="12"/>
      <c r="AW754" s="12"/>
      <c r="AX754" s="12"/>
      <c r="AY754" s="12"/>
      <c r="AZ754" s="12"/>
      <c r="BA754" s="12"/>
      <c r="BB754" s="12"/>
      <c r="BC754" s="12"/>
      <c r="BD754" s="26"/>
      <c r="BE754" s="26"/>
      <c r="BF754" s="26"/>
      <c r="BG754" s="26"/>
      <c r="BH754" s="26"/>
      <c r="BI754" s="12"/>
      <c r="BJ754" s="12"/>
      <c r="BK754" s="12"/>
      <c r="BL754" s="12"/>
      <c r="BM754" s="12"/>
      <c r="BN754" s="12"/>
      <c r="BO754" s="12"/>
      <c r="BP754" s="12"/>
      <c r="BQ754" s="12"/>
      <c r="BR754" s="12"/>
      <c r="BS754" s="12"/>
      <c r="BT754" s="12"/>
      <c r="BU754" s="12"/>
      <c r="BV754" s="12"/>
    </row>
    <row r="755" spans="1:74" s="436" customFormat="1" ht="13">
      <c r="A755" s="418"/>
      <c r="B755" s="476"/>
      <c r="C755" s="764"/>
      <c r="D755" s="476"/>
      <c r="E755" s="476"/>
      <c r="F755" s="476"/>
      <c r="G755" s="476"/>
      <c r="H755" s="476"/>
      <c r="I755" s="476"/>
      <c r="J755" s="476"/>
      <c r="K755" s="476"/>
      <c r="L755" s="476"/>
      <c r="M755" s="476"/>
      <c r="N755" s="476"/>
      <c r="O755" s="476"/>
      <c r="P755" s="476"/>
      <c r="Q755" s="476"/>
      <c r="R755" s="476"/>
      <c r="S755" s="476"/>
      <c r="T755" s="476"/>
      <c r="U755" s="476"/>
      <c r="V755" s="476"/>
      <c r="W755" s="476"/>
      <c r="X755" s="476"/>
      <c r="Y755" s="476"/>
      <c r="Z755" s="476"/>
      <c r="AA755" s="476"/>
      <c r="AB755" s="476"/>
      <c r="AC755" s="476"/>
      <c r="AD755" s="476"/>
      <c r="AE755" s="476"/>
      <c r="AF755" s="476"/>
      <c r="AG755" s="476"/>
      <c r="AH755" s="405"/>
      <c r="AI755" s="1183"/>
      <c r="AJ755" s="457"/>
      <c r="AK755" s="457"/>
      <c r="AL755" s="457"/>
      <c r="AM755" s="418"/>
      <c r="AN755" s="403"/>
      <c r="AO755" s="24"/>
      <c r="AP755" s="12"/>
      <c r="AQ755" s="12"/>
      <c r="AR755" s="12"/>
      <c r="AS755" s="12"/>
      <c r="AT755" s="12"/>
      <c r="AU755" s="12"/>
      <c r="AV755" s="12"/>
      <c r="AW755" s="12"/>
      <c r="AX755" s="12"/>
      <c r="AY755" s="12"/>
      <c r="AZ755" s="12"/>
      <c r="BA755" s="12"/>
      <c r="BB755" s="12"/>
      <c r="BC755" s="12"/>
      <c r="BD755" s="26"/>
      <c r="BE755" s="26"/>
      <c r="BF755" s="26"/>
      <c r="BG755" s="26"/>
      <c r="BH755" s="26"/>
      <c r="BI755" s="12"/>
      <c r="BJ755" s="12"/>
      <c r="BK755" s="12"/>
      <c r="BL755" s="12"/>
      <c r="BM755" s="12"/>
      <c r="BN755" s="12"/>
      <c r="BO755" s="12"/>
      <c r="BP755" s="12"/>
      <c r="BQ755" s="12"/>
      <c r="BR755" s="12"/>
      <c r="BS755" s="12"/>
      <c r="BT755" s="12"/>
      <c r="BU755" s="12"/>
      <c r="BV755" s="12"/>
    </row>
    <row r="756" spans="1:74" s="436" customFormat="1" ht="13">
      <c r="A756" s="418"/>
      <c r="B756" s="476"/>
      <c r="C756" s="408" t="s">
        <v>2348</v>
      </c>
      <c r="D756" s="476"/>
      <c r="E756" s="476"/>
      <c r="F756" s="476"/>
      <c r="G756" s="476"/>
      <c r="H756" s="476"/>
      <c r="I756" s="476"/>
      <c r="J756" s="476"/>
      <c r="K756" s="476"/>
      <c r="L756" s="476"/>
      <c r="M756" s="476"/>
      <c r="N756" s="476"/>
      <c r="O756" s="476"/>
      <c r="P756" s="476"/>
      <c r="Q756" s="476"/>
      <c r="R756" s="476"/>
      <c r="S756" s="476"/>
      <c r="T756" s="476"/>
      <c r="U756" s="476"/>
      <c r="V756" s="476"/>
      <c r="W756" s="476"/>
      <c r="X756" s="476"/>
      <c r="Y756" s="476"/>
      <c r="Z756" s="476"/>
      <c r="AA756" s="476"/>
      <c r="AB756" s="476"/>
      <c r="AC756" s="476"/>
      <c r="AD756" s="476"/>
      <c r="AE756" s="476"/>
      <c r="AF756" s="476"/>
      <c r="AG756" s="476"/>
      <c r="AH756" s="405"/>
      <c r="AI756" s="1183"/>
      <c r="AJ756" s="457"/>
      <c r="AK756" s="457"/>
      <c r="AL756" s="457"/>
      <c r="AM756" s="418"/>
      <c r="AN756" s="403"/>
      <c r="AO756" s="24"/>
      <c r="AP756" s="12"/>
      <c r="AQ756" s="12"/>
      <c r="AR756" s="12"/>
      <c r="AS756" s="12"/>
      <c r="AT756" s="12"/>
      <c r="AU756" s="12"/>
      <c r="AV756" s="12"/>
      <c r="AW756" s="12"/>
      <c r="AX756" s="12"/>
      <c r="AY756" s="12"/>
      <c r="AZ756" s="12"/>
      <c r="BA756" s="12"/>
      <c r="BB756" s="12"/>
      <c r="BC756" s="12"/>
      <c r="BD756" s="26"/>
      <c r="BE756" s="26"/>
      <c r="BF756" s="26"/>
      <c r="BG756" s="26"/>
      <c r="BH756" s="26"/>
      <c r="BI756" s="12"/>
      <c r="BJ756" s="12"/>
      <c r="BK756" s="12"/>
      <c r="BL756" s="12"/>
      <c r="BM756" s="12"/>
      <c r="BN756" s="12"/>
      <c r="BO756" s="12"/>
      <c r="BP756" s="12"/>
      <c r="BQ756" s="12"/>
      <c r="BR756" s="12"/>
      <c r="BS756" s="12"/>
      <c r="BT756" s="12"/>
      <c r="BU756" s="12"/>
      <c r="BV756" s="12"/>
    </row>
    <row r="757" spans="1:74" s="436" customFormat="1" ht="13">
      <c r="A757" s="418"/>
      <c r="B757" s="476"/>
      <c r="C757" s="764"/>
      <c r="D757" s="476"/>
      <c r="E757" s="476"/>
      <c r="F757" s="476"/>
      <c r="G757" s="476"/>
      <c r="H757" s="476"/>
      <c r="I757" s="476"/>
      <c r="J757" s="476"/>
      <c r="K757" s="476"/>
      <c r="L757" s="476"/>
      <c r="M757" s="476"/>
      <c r="N757" s="476"/>
      <c r="O757" s="476"/>
      <c r="P757" s="476"/>
      <c r="Q757" s="476"/>
      <c r="R757" s="476"/>
      <c r="S757" s="476"/>
      <c r="T757" s="476"/>
      <c r="U757" s="476"/>
      <c r="V757" s="476"/>
      <c r="W757" s="476"/>
      <c r="X757" s="476"/>
      <c r="Y757" s="476"/>
      <c r="Z757" s="476"/>
      <c r="AA757" s="476"/>
      <c r="AB757" s="476"/>
      <c r="AC757" s="476"/>
      <c r="AD757" s="476"/>
      <c r="AE757" s="476"/>
      <c r="AF757" s="476"/>
      <c r="AG757" s="476"/>
      <c r="AH757" s="405"/>
      <c r="AI757" s="1183"/>
      <c r="AJ757" s="457"/>
      <c r="AK757" s="457"/>
      <c r="AL757" s="457"/>
      <c r="AM757" s="418"/>
      <c r="AN757" s="540"/>
    </row>
    <row r="758" spans="1:74" s="436" customFormat="1" ht="13.75" customHeight="1">
      <c r="A758" s="418"/>
      <c r="B758" s="476"/>
      <c r="C758" s="764"/>
      <c r="D758" s="520" t="s">
        <v>21</v>
      </c>
      <c r="E758" s="1911" t="s">
        <v>2362</v>
      </c>
      <c r="F758" s="1911"/>
      <c r="G758" s="1911"/>
      <c r="H758" s="1911"/>
      <c r="I758" s="1911"/>
      <c r="J758" s="1911"/>
      <c r="K758" s="1911"/>
      <c r="L758" s="1911"/>
      <c r="M758" s="1911"/>
      <c r="N758" s="1911"/>
      <c r="O758" s="1911"/>
      <c r="P758" s="1911"/>
      <c r="Q758" s="1911"/>
      <c r="R758" s="1911"/>
      <c r="S758" s="1911"/>
      <c r="T758" s="1911"/>
      <c r="U758" s="1911"/>
      <c r="V758" s="1911"/>
      <c r="W758" s="1911"/>
      <c r="X758" s="1911"/>
      <c r="Y758" s="1911"/>
      <c r="Z758" s="1911"/>
      <c r="AA758" s="1911"/>
      <c r="AB758" s="1911"/>
      <c r="AC758" s="1911"/>
      <c r="AD758" s="1911"/>
      <c r="AE758" s="405"/>
      <c r="AF758" s="1857" t="s">
        <v>2306</v>
      </c>
      <c r="AG758" s="1857"/>
      <c r="AH758" s="1857"/>
      <c r="AI758" s="1857"/>
      <c r="AJ758" s="1857"/>
      <c r="AK758" s="1857"/>
      <c r="AL758" s="1857"/>
      <c r="AM758" s="474"/>
      <c r="AN758" s="540"/>
      <c r="AO758" s="418" t="s">
        <v>299</v>
      </c>
      <c r="AP758" s="530">
        <v>0</v>
      </c>
    </row>
    <row r="759" spans="1:74" s="436" customFormat="1" ht="13.75" customHeight="1">
      <c r="A759" s="418"/>
      <c r="B759" s="476"/>
      <c r="C759" s="764"/>
      <c r="D759" s="520"/>
      <c r="E759" s="1911"/>
      <c r="F759" s="1911"/>
      <c r="G759" s="1911"/>
      <c r="H759" s="1911"/>
      <c r="I759" s="1911"/>
      <c r="J759" s="1911"/>
      <c r="K759" s="1911"/>
      <c r="L759" s="1911"/>
      <c r="M759" s="1911"/>
      <c r="N759" s="1911"/>
      <c r="O759" s="1911"/>
      <c r="P759" s="1911"/>
      <c r="Q759" s="1911"/>
      <c r="R759" s="1911"/>
      <c r="S759" s="1911"/>
      <c r="T759" s="1911"/>
      <c r="U759" s="1911"/>
      <c r="V759" s="1911"/>
      <c r="W759" s="1911"/>
      <c r="X759" s="1911"/>
      <c r="Y759" s="1911"/>
      <c r="Z759" s="1911"/>
      <c r="AA759" s="1911"/>
      <c r="AB759" s="1911"/>
      <c r="AC759" s="1911"/>
      <c r="AD759" s="1911"/>
      <c r="AE759" s="405"/>
      <c r="AF759" s="1189"/>
      <c r="AG759" s="1189"/>
      <c r="AH759" s="1189"/>
      <c r="AI759" s="1189"/>
      <c r="AJ759" s="1189"/>
      <c r="AK759" s="1189"/>
      <c r="AL759" s="1189"/>
      <c r="AM759" s="474"/>
      <c r="AN759" s="540"/>
      <c r="AO759" s="472" t="s">
        <v>21</v>
      </c>
      <c r="AP759" s="418">
        <v>2</v>
      </c>
    </row>
    <row r="760" spans="1:74" s="436" customFormat="1" ht="13">
      <c r="A760" s="418"/>
      <c r="B760" s="476"/>
      <c r="C760" s="764"/>
      <c r="D760" s="520"/>
      <c r="E760" s="1911"/>
      <c r="F760" s="1911"/>
      <c r="G760" s="1911"/>
      <c r="H760" s="1911"/>
      <c r="I760" s="1911"/>
      <c r="J760" s="1911"/>
      <c r="K760" s="1911"/>
      <c r="L760" s="1911"/>
      <c r="M760" s="1911"/>
      <c r="N760" s="1911"/>
      <c r="O760" s="1911"/>
      <c r="P760" s="1911"/>
      <c r="Q760" s="1911"/>
      <c r="R760" s="1911"/>
      <c r="S760" s="1911"/>
      <c r="T760" s="1911"/>
      <c r="U760" s="1911"/>
      <c r="V760" s="1911"/>
      <c r="W760" s="1911"/>
      <c r="X760" s="1911"/>
      <c r="Y760" s="1911"/>
      <c r="Z760" s="1911"/>
      <c r="AA760" s="1911"/>
      <c r="AB760" s="1911"/>
      <c r="AC760" s="1911"/>
      <c r="AD760" s="1911"/>
      <c r="AE760" s="405"/>
      <c r="AF760" s="405"/>
      <c r="AG760" s="405"/>
      <c r="AH760" s="405"/>
      <c r="AI760" s="405"/>
      <c r="AJ760" s="405"/>
      <c r="AK760" s="405"/>
      <c r="AL760" s="1189"/>
      <c r="AM760" s="474"/>
      <c r="AN760" s="403"/>
      <c r="AO760" s="472" t="s">
        <v>26</v>
      </c>
      <c r="AP760" s="418">
        <v>3</v>
      </c>
      <c r="AQ760" s="12"/>
      <c r="AR760" s="12"/>
      <c r="AS760" s="12"/>
      <c r="AT760" s="12"/>
      <c r="AU760" s="12"/>
      <c r="AV760" s="12"/>
      <c r="AW760" s="12"/>
      <c r="AX760" s="12"/>
      <c r="AY760" s="12"/>
      <c r="AZ760" s="12"/>
      <c r="BA760" s="12"/>
      <c r="BB760" s="12"/>
      <c r="BC760" s="12"/>
      <c r="BD760" s="26"/>
      <c r="BE760" s="26"/>
      <c r="BF760" s="26"/>
      <c r="BG760" s="26"/>
      <c r="BH760" s="26"/>
      <c r="BI760" s="12"/>
      <c r="BJ760" s="12"/>
      <c r="BK760" s="12"/>
      <c r="BL760" s="12"/>
      <c r="BM760" s="12"/>
      <c r="BN760" s="12"/>
      <c r="BO760" s="12"/>
      <c r="BP760" s="12"/>
      <c r="BQ760" s="12"/>
      <c r="BR760" s="12"/>
      <c r="BS760" s="12"/>
      <c r="BT760" s="12"/>
      <c r="BU760" s="12"/>
    </row>
    <row r="761" spans="1:74" s="436" customFormat="1" ht="18.75" customHeight="1">
      <c r="A761" s="418"/>
      <c r="B761" s="476"/>
      <c r="C761" s="764"/>
      <c r="D761" s="520"/>
      <c r="E761" s="1911"/>
      <c r="F761" s="1911"/>
      <c r="G761" s="1911"/>
      <c r="H761" s="1911"/>
      <c r="I761" s="1911"/>
      <c r="J761" s="1911"/>
      <c r="K761" s="1911"/>
      <c r="L761" s="1911"/>
      <c r="M761" s="1911"/>
      <c r="N761" s="1911"/>
      <c r="O761" s="1911"/>
      <c r="P761" s="1911"/>
      <c r="Q761" s="1911"/>
      <c r="R761" s="1911"/>
      <c r="S761" s="1911"/>
      <c r="T761" s="1911"/>
      <c r="U761" s="1911"/>
      <c r="V761" s="1911"/>
      <c r="W761" s="1911"/>
      <c r="X761" s="1911"/>
      <c r="Y761" s="1911"/>
      <c r="Z761" s="1911"/>
      <c r="AA761" s="1911"/>
      <c r="AB761" s="1911"/>
      <c r="AC761" s="1911"/>
      <c r="AD761" s="1911"/>
      <c r="AE761" s="1189"/>
      <c r="AF761" s="1189"/>
      <c r="AG761" s="1189"/>
      <c r="AH761" s="1189"/>
      <c r="AI761" s="1189"/>
      <c r="AJ761" s="1189"/>
      <c r="AK761" s="1189"/>
      <c r="AL761" s="1189"/>
      <c r="AM761" s="474"/>
      <c r="AN761" s="403"/>
      <c r="AO761" s="24"/>
      <c r="AP761" s="12"/>
      <c r="AQ761" s="12"/>
      <c r="AR761" s="12"/>
      <c r="AS761" s="12"/>
      <c r="AT761" s="12"/>
      <c r="AU761" s="12"/>
      <c r="AV761" s="12"/>
      <c r="AW761" s="12"/>
      <c r="AX761" s="12"/>
      <c r="AY761" s="12"/>
      <c r="AZ761" s="12"/>
      <c r="BA761" s="12"/>
      <c r="BB761" s="12"/>
      <c r="BC761" s="12"/>
      <c r="BD761" s="26"/>
      <c r="BE761" s="26"/>
      <c r="BF761" s="26"/>
      <c r="BG761" s="26"/>
      <c r="BH761" s="26"/>
      <c r="BI761" s="12"/>
      <c r="BJ761" s="12"/>
      <c r="BK761" s="12"/>
      <c r="BL761" s="12"/>
      <c r="BM761" s="12"/>
      <c r="BN761" s="12"/>
      <c r="BO761" s="12"/>
      <c r="BP761" s="12"/>
      <c r="BQ761" s="12"/>
      <c r="BR761" s="12"/>
      <c r="BS761" s="12"/>
      <c r="BT761" s="12"/>
      <c r="BU761" s="12"/>
    </row>
    <row r="762" spans="1:74" s="418" customFormat="1" ht="12.75" customHeight="1">
      <c r="B762" s="476"/>
      <c r="C762" s="764"/>
      <c r="D762" s="520"/>
      <c r="E762" s="1182"/>
      <c r="F762" s="1182"/>
      <c r="G762" s="1182"/>
      <c r="H762" s="1182"/>
      <c r="I762" s="1182"/>
      <c r="J762" s="1182"/>
      <c r="K762" s="1182"/>
      <c r="L762" s="1182"/>
      <c r="M762" s="1182"/>
      <c r="N762" s="1182"/>
      <c r="O762" s="1182"/>
      <c r="P762" s="1182"/>
      <c r="Q762" s="1182"/>
      <c r="R762" s="1182"/>
      <c r="S762" s="1182"/>
      <c r="T762" s="1182"/>
      <c r="U762" s="1182"/>
      <c r="V762" s="1182"/>
      <c r="W762" s="1182"/>
      <c r="X762" s="1182"/>
      <c r="Y762" s="1182"/>
      <c r="Z762" s="1182"/>
      <c r="AA762" s="1182"/>
      <c r="AB762" s="1182"/>
      <c r="AC762" s="1182"/>
      <c r="AD762" s="1182"/>
      <c r="AE762" s="1189"/>
      <c r="AF762" s="405"/>
      <c r="AG762" s="405"/>
      <c r="AH762" s="405"/>
      <c r="AI762" s="405"/>
      <c r="AJ762" s="405"/>
      <c r="AK762" s="405"/>
      <c r="AL762" s="405"/>
      <c r="AM762" s="474"/>
      <c r="AN762" s="459"/>
    </row>
    <row r="763" spans="1:74" s="418" customFormat="1" ht="12.75" customHeight="1">
      <c r="B763" s="476"/>
      <c r="C763" s="764"/>
      <c r="D763" s="520" t="s">
        <v>26</v>
      </c>
      <c r="E763" s="1950" t="s">
        <v>2363</v>
      </c>
      <c r="F763" s="1950"/>
      <c r="G763" s="1950"/>
      <c r="H763" s="1950"/>
      <c r="I763" s="1950"/>
      <c r="J763" s="1950"/>
      <c r="K763" s="1950"/>
      <c r="L763" s="1950"/>
      <c r="M763" s="1950"/>
      <c r="N763" s="1950"/>
      <c r="O763" s="1950"/>
      <c r="P763" s="1950"/>
      <c r="Q763" s="1950"/>
      <c r="R763" s="1950"/>
      <c r="S763" s="1950"/>
      <c r="T763" s="1950"/>
      <c r="U763" s="1950"/>
      <c r="V763" s="1950"/>
      <c r="W763" s="1950"/>
      <c r="X763" s="1950"/>
      <c r="Y763" s="1950"/>
      <c r="Z763" s="1950"/>
      <c r="AA763" s="1950"/>
      <c r="AB763" s="1950"/>
      <c r="AC763" s="1950"/>
      <c r="AD763" s="1950"/>
      <c r="AE763" s="405"/>
      <c r="AF763" s="1857" t="s">
        <v>2016</v>
      </c>
      <c r="AG763" s="1857"/>
      <c r="AH763" s="1857"/>
      <c r="AI763" s="1857"/>
      <c r="AJ763" s="1857"/>
      <c r="AK763" s="1857"/>
      <c r="AL763" s="1857"/>
      <c r="AM763" s="474"/>
      <c r="AN763" s="459"/>
    </row>
    <row r="764" spans="1:74" s="418" customFormat="1" ht="12.75" customHeight="1">
      <c r="B764" s="476"/>
      <c r="C764" s="764"/>
      <c r="D764" s="520"/>
      <c r="E764" s="1950"/>
      <c r="F764" s="1950"/>
      <c r="G764" s="1950"/>
      <c r="H764" s="1950"/>
      <c r="I764" s="1950"/>
      <c r="J764" s="1950"/>
      <c r="K764" s="1950"/>
      <c r="L764" s="1950"/>
      <c r="M764" s="1950"/>
      <c r="N764" s="1950"/>
      <c r="O764" s="1950"/>
      <c r="P764" s="1950"/>
      <c r="Q764" s="1950"/>
      <c r="R764" s="1950"/>
      <c r="S764" s="1950"/>
      <c r="T764" s="1950"/>
      <c r="U764" s="1950"/>
      <c r="V764" s="1950"/>
      <c r="W764" s="1950"/>
      <c r="X764" s="1950"/>
      <c r="Y764" s="1950"/>
      <c r="Z764" s="1950"/>
      <c r="AA764" s="1950"/>
      <c r="AB764" s="1950"/>
      <c r="AC764" s="1950"/>
      <c r="AD764" s="1950"/>
      <c r="AE764" s="1189"/>
      <c r="AF764" s="1189"/>
      <c r="AG764" s="1189"/>
      <c r="AH764" s="1189"/>
      <c r="AI764" s="1189"/>
      <c r="AJ764" s="1189"/>
      <c r="AK764" s="1189"/>
      <c r="AL764" s="1189"/>
      <c r="AM764" s="474"/>
      <c r="AN764" s="459"/>
    </row>
    <row r="765" spans="1:74" s="418" customFormat="1" ht="12.75" customHeight="1">
      <c r="B765" s="476"/>
      <c r="C765" s="764"/>
      <c r="D765" s="520"/>
      <c r="E765" s="1950"/>
      <c r="F765" s="1950"/>
      <c r="G765" s="1950"/>
      <c r="H765" s="1950"/>
      <c r="I765" s="1950"/>
      <c r="J765" s="1950"/>
      <c r="K765" s="1950"/>
      <c r="L765" s="1950"/>
      <c r="M765" s="1950"/>
      <c r="N765" s="1950"/>
      <c r="O765" s="1950"/>
      <c r="P765" s="1950"/>
      <c r="Q765" s="1950"/>
      <c r="R765" s="1950"/>
      <c r="S765" s="1950"/>
      <c r="T765" s="1950"/>
      <c r="U765" s="1950"/>
      <c r="V765" s="1950"/>
      <c r="W765" s="1950"/>
      <c r="X765" s="1950"/>
      <c r="Y765" s="1950"/>
      <c r="Z765" s="1950"/>
      <c r="AA765" s="1950"/>
      <c r="AB765" s="1950"/>
      <c r="AC765" s="1950"/>
      <c r="AD765" s="1950"/>
      <c r="AE765" s="1189"/>
      <c r="AF765" s="1189"/>
      <c r="AG765" s="1189"/>
      <c r="AH765" s="1189"/>
      <c r="AI765" s="1189"/>
      <c r="AJ765" s="1189"/>
      <c r="AK765" s="1189"/>
      <c r="AL765" s="1189"/>
      <c r="AM765" s="474"/>
      <c r="AN765" s="459"/>
    </row>
    <row r="766" spans="1:74" s="418" customFormat="1" ht="12.75" customHeight="1">
      <c r="B766" s="476"/>
      <c r="C766" s="764"/>
      <c r="D766" s="520"/>
      <c r="E766" s="1950"/>
      <c r="F766" s="1950"/>
      <c r="G766" s="1950"/>
      <c r="H766" s="1950"/>
      <c r="I766" s="1950"/>
      <c r="J766" s="1950"/>
      <c r="K766" s="1950"/>
      <c r="L766" s="1950"/>
      <c r="M766" s="1950"/>
      <c r="N766" s="1950"/>
      <c r="O766" s="1950"/>
      <c r="P766" s="1950"/>
      <c r="Q766" s="1950"/>
      <c r="R766" s="1950"/>
      <c r="S766" s="1950"/>
      <c r="T766" s="1950"/>
      <c r="U766" s="1950"/>
      <c r="V766" s="1950"/>
      <c r="W766" s="1950"/>
      <c r="X766" s="1950"/>
      <c r="Y766" s="1950"/>
      <c r="Z766" s="1950"/>
      <c r="AA766" s="1950"/>
      <c r="AB766" s="1950"/>
      <c r="AC766" s="1950"/>
      <c r="AD766" s="1950"/>
      <c r="AE766" s="1189"/>
      <c r="AF766" s="1189"/>
      <c r="AG766" s="1189"/>
      <c r="AH766" s="1189"/>
      <c r="AI766" s="1189"/>
      <c r="AJ766" s="1189"/>
      <c r="AK766" s="1189"/>
      <c r="AL766" s="1189"/>
      <c r="AM766" s="474"/>
      <c r="AN766" s="459"/>
    </row>
    <row r="767" spans="1:74" s="418" customFormat="1" ht="12.75" customHeight="1">
      <c r="A767" s="436"/>
      <c r="B767" s="405"/>
      <c r="C767" s="405"/>
      <c r="D767" s="405"/>
      <c r="E767" s="405"/>
      <c r="F767" s="405"/>
      <c r="G767" s="405"/>
      <c r="H767" s="405"/>
      <c r="I767" s="405"/>
      <c r="J767" s="405"/>
      <c r="K767" s="405"/>
      <c r="L767" s="405"/>
      <c r="M767" s="405"/>
      <c r="N767" s="405"/>
      <c r="O767" s="405"/>
      <c r="P767" s="405"/>
      <c r="Q767" s="405"/>
      <c r="R767" s="405"/>
      <c r="S767" s="405"/>
      <c r="T767" s="405"/>
      <c r="U767" s="405"/>
      <c r="V767" s="405"/>
      <c r="W767" s="405"/>
      <c r="X767" s="405"/>
      <c r="Y767" s="405"/>
      <c r="Z767" s="405"/>
      <c r="AA767" s="405"/>
      <c r="AB767" s="405"/>
      <c r="AC767" s="405"/>
      <c r="AD767" s="405"/>
      <c r="AE767" s="405"/>
      <c r="AF767" s="405"/>
      <c r="AG767" s="405"/>
      <c r="AH767" s="405"/>
      <c r="AI767" s="405"/>
      <c r="AJ767" s="405"/>
      <c r="AK767" s="405"/>
      <c r="AL767" s="405"/>
      <c r="AM767" s="436"/>
      <c r="AN767" s="459"/>
    </row>
    <row r="768" spans="1:74" s="418" customFormat="1" ht="12.75" customHeight="1">
      <c r="B768" s="476"/>
      <c r="C768" s="764"/>
      <c r="D768" s="405" t="s">
        <v>2292</v>
      </c>
      <c r="E768" s="1207"/>
      <c r="F768" s="1207"/>
      <c r="G768" s="1207"/>
      <c r="H768" s="1940" t="s">
        <v>299</v>
      </c>
      <c r="I768" s="1940"/>
      <c r="J768" s="1196"/>
      <c r="K768" s="1196"/>
      <c r="L768" s="1196"/>
      <c r="M768" s="1196"/>
      <c r="N768" s="1196"/>
      <c r="O768" s="1196"/>
      <c r="P768" s="1196"/>
      <c r="Q768" s="1196"/>
      <c r="R768" s="1196"/>
      <c r="S768" s="1196"/>
      <c r="T768" s="1196"/>
      <c r="U768" s="1196"/>
      <c r="V768" s="1196"/>
      <c r="W768" s="1196"/>
      <c r="X768" s="1196"/>
      <c r="Y768" s="1196"/>
      <c r="Z768" s="1196"/>
      <c r="AA768" s="1196"/>
      <c r="AB768" s="1196"/>
      <c r="AC768" s="1196"/>
      <c r="AD768" s="1196"/>
      <c r="AE768" s="1196"/>
      <c r="AF768" s="1196"/>
      <c r="AG768" s="476"/>
      <c r="AH768" s="405"/>
      <c r="AI768" s="1183"/>
      <c r="AJ768" s="457"/>
      <c r="AK768" s="457"/>
      <c r="AL768" s="457"/>
      <c r="AN768" s="459"/>
    </row>
    <row r="769" spans="1:81" s="418" customFormat="1" ht="12.75" customHeight="1">
      <c r="B769" s="476"/>
      <c r="C769" s="764"/>
      <c r="D769" s="476"/>
      <c r="E769" s="476"/>
      <c r="F769" s="476"/>
      <c r="G769" s="476"/>
      <c r="H769" s="476"/>
      <c r="I769" s="476"/>
      <c r="J769" s="476"/>
      <c r="K769" s="476"/>
      <c r="L769" s="476"/>
      <c r="M769" s="476"/>
      <c r="N769" s="476"/>
      <c r="O769" s="476"/>
      <c r="P769" s="476"/>
      <c r="Q769" s="476"/>
      <c r="R769" s="476"/>
      <c r="S769" s="476"/>
      <c r="T769" s="476"/>
      <c r="U769" s="476"/>
      <c r="V769" s="476"/>
      <c r="W769" s="476"/>
      <c r="X769" s="476"/>
      <c r="Y769" s="476"/>
      <c r="Z769" s="476"/>
      <c r="AA769" s="476"/>
      <c r="AB769" s="476"/>
      <c r="AC769" s="476"/>
      <c r="AD769" s="476"/>
      <c r="AE769" s="476"/>
      <c r="AF769" s="476"/>
      <c r="AG769" s="476"/>
      <c r="AH769" s="405"/>
      <c r="AI769" s="1183"/>
      <c r="AJ769" s="457"/>
      <c r="AK769" s="457"/>
      <c r="AL769" s="457"/>
      <c r="AN769" s="459"/>
    </row>
    <row r="770" spans="1:81" s="418" customFormat="1" ht="12.75" customHeight="1">
      <c r="A770" s="467"/>
      <c r="B770" s="522"/>
      <c r="C770" s="778"/>
      <c r="D770" s="522"/>
      <c r="E770" s="522"/>
      <c r="F770" s="522"/>
      <c r="G770" s="522"/>
      <c r="H770" s="522"/>
      <c r="I770" s="522"/>
      <c r="J770" s="522"/>
      <c r="K770" s="522"/>
      <c r="L770" s="522"/>
      <c r="M770" s="522"/>
      <c r="N770" s="522"/>
      <c r="O770" s="522"/>
      <c r="P770" s="522"/>
      <c r="Q770" s="522"/>
      <c r="R770" s="522"/>
      <c r="S770" s="522"/>
      <c r="T770" s="522"/>
      <c r="U770" s="522"/>
      <c r="V770" s="522"/>
      <c r="W770" s="522"/>
      <c r="X770" s="522"/>
      <c r="Y770" s="522"/>
      <c r="Z770" s="522"/>
      <c r="AA770" s="522"/>
      <c r="AB770" s="522"/>
      <c r="AC770" s="522"/>
      <c r="AD770" s="522"/>
      <c r="AE770" s="522"/>
      <c r="AF770" s="522"/>
      <c r="AG770" s="522"/>
      <c r="AH770" s="463"/>
      <c r="AI770" s="431" t="s">
        <v>2364</v>
      </c>
      <c r="AJ770" s="1891">
        <f>VLOOKUP($H$768,$AO$758:$AP$760,2,FALSE)</f>
        <v>0</v>
      </c>
      <c r="AK770" s="1893"/>
      <c r="AL770" s="457"/>
      <c r="AN770" s="459"/>
    </row>
    <row r="771" spans="1:81" s="436" customFormat="1" ht="13">
      <c r="A771" s="418"/>
      <c r="B771" s="476"/>
      <c r="C771" s="764"/>
      <c r="D771" s="476"/>
      <c r="E771" s="476"/>
      <c r="F771" s="476"/>
      <c r="G771" s="476"/>
      <c r="H771" s="476"/>
      <c r="I771" s="476"/>
      <c r="J771" s="476"/>
      <c r="K771" s="476"/>
      <c r="L771" s="476"/>
      <c r="M771" s="476"/>
      <c r="N771" s="476"/>
      <c r="O771" s="476"/>
      <c r="P771" s="476"/>
      <c r="Q771" s="476"/>
      <c r="R771" s="476"/>
      <c r="S771" s="476"/>
      <c r="T771" s="476"/>
      <c r="U771" s="476"/>
      <c r="V771" s="476"/>
      <c r="W771" s="476"/>
      <c r="X771" s="476"/>
      <c r="Y771" s="476"/>
      <c r="Z771" s="476"/>
      <c r="AA771" s="476"/>
      <c r="AB771" s="476"/>
      <c r="AC771" s="476"/>
      <c r="AD771" s="476"/>
      <c r="AE771" s="476"/>
      <c r="AF771" s="476"/>
      <c r="AG771" s="476"/>
      <c r="AH771" s="405"/>
      <c r="AI771" s="1183"/>
      <c r="AJ771" s="457"/>
      <c r="AK771" s="457"/>
      <c r="AL771" s="457"/>
      <c r="AM771" s="418"/>
      <c r="AN771" s="540"/>
      <c r="AS771" s="531"/>
      <c r="AT771" s="531"/>
      <c r="AU771" s="531"/>
      <c r="AV771" s="531"/>
      <c r="AW771" s="531"/>
      <c r="AX771" s="531"/>
      <c r="AY771" s="531"/>
      <c r="AZ771" s="531"/>
      <c r="BA771" s="531"/>
      <c r="BB771" s="531"/>
      <c r="BC771" s="531"/>
      <c r="BD771" s="546"/>
      <c r="BE771" s="546"/>
      <c r="BF771" s="546"/>
      <c r="BG771" s="546"/>
      <c r="BH771" s="546"/>
      <c r="BI771" s="531"/>
      <c r="BJ771" s="531"/>
      <c r="BK771" s="531"/>
      <c r="BL771" s="531"/>
      <c r="BM771" s="531"/>
      <c r="BN771" s="531"/>
      <c r="BO771" s="531"/>
      <c r="BP771" s="531"/>
      <c r="BQ771" s="531"/>
      <c r="BR771" s="531"/>
      <c r="BS771" s="531"/>
      <c r="BT771" s="531"/>
      <c r="BU771" s="531"/>
      <c r="BV771" s="531"/>
      <c r="BW771" s="531"/>
      <c r="BX771" s="531"/>
      <c r="BY771" s="531"/>
      <c r="BZ771" s="531"/>
      <c r="CA771" s="531"/>
      <c r="CB771" s="531"/>
      <c r="CC771" s="531"/>
    </row>
    <row r="772" spans="1:81" s="436" customFormat="1" ht="13">
      <c r="A772" s="418"/>
      <c r="B772" s="476"/>
      <c r="C772" s="408" t="s">
        <v>2365</v>
      </c>
      <c r="D772" s="476"/>
      <c r="E772" s="476"/>
      <c r="F772" s="476"/>
      <c r="G772" s="476"/>
      <c r="H772" s="476"/>
      <c r="I772" s="476"/>
      <c r="J772" s="476"/>
      <c r="K772" s="476"/>
      <c r="L772" s="476"/>
      <c r="M772" s="476"/>
      <c r="N772" s="476"/>
      <c r="O772" s="476"/>
      <c r="P772" s="476"/>
      <c r="Q772" s="476"/>
      <c r="R772" s="476"/>
      <c r="S772" s="476"/>
      <c r="T772" s="476"/>
      <c r="U772" s="476"/>
      <c r="V772" s="476"/>
      <c r="W772" s="476"/>
      <c r="X772" s="476"/>
      <c r="Y772" s="476"/>
      <c r="Z772" s="476"/>
      <c r="AA772" s="476"/>
      <c r="AB772" s="476"/>
      <c r="AC772" s="476"/>
      <c r="AD772" s="476"/>
      <c r="AE772" s="476"/>
      <c r="AF772" s="476"/>
      <c r="AG772" s="476"/>
      <c r="AH772" s="405"/>
      <c r="AI772" s="1183"/>
      <c r="AJ772" s="457"/>
      <c r="AK772" s="457"/>
      <c r="AL772" s="457"/>
      <c r="AM772" s="418"/>
      <c r="AN772" s="540"/>
      <c r="AT772" s="531"/>
      <c r="AU772" s="531"/>
      <c r="AV772" s="531"/>
      <c r="AW772" s="531"/>
      <c r="AX772" s="531"/>
      <c r="AY772" s="531"/>
      <c r="AZ772" s="531"/>
    </row>
    <row r="773" spans="1:81" s="436" customFormat="1">
      <c r="A773" s="418"/>
      <c r="B773" s="476"/>
      <c r="C773" s="764"/>
      <c r="D773" s="476"/>
      <c r="E773" s="476"/>
      <c r="F773" s="476"/>
      <c r="G773" s="476"/>
      <c r="H773" s="476"/>
      <c r="I773" s="476"/>
      <c r="J773" s="476"/>
      <c r="K773" s="476"/>
      <c r="L773" s="476"/>
      <c r="M773" s="476"/>
      <c r="N773" s="476"/>
      <c r="O773" s="476"/>
      <c r="P773" s="476"/>
      <c r="Q773" s="476"/>
      <c r="R773" s="476"/>
      <c r="S773" s="476"/>
      <c r="T773" s="476"/>
      <c r="U773" s="476"/>
      <c r="V773" s="476"/>
      <c r="W773" s="476"/>
      <c r="X773" s="476"/>
      <c r="Y773" s="476"/>
      <c r="Z773" s="476"/>
      <c r="AA773" s="476"/>
      <c r="AB773" s="476"/>
      <c r="AC773" s="476"/>
      <c r="AD773" s="476"/>
      <c r="AE773" s="405"/>
      <c r="AF773" s="405"/>
      <c r="AG773" s="405"/>
      <c r="AH773" s="405"/>
      <c r="AI773" s="405"/>
      <c r="AJ773" s="405"/>
      <c r="AK773" s="405"/>
      <c r="AL773" s="457"/>
      <c r="AM773" s="418"/>
      <c r="AN773" s="540"/>
      <c r="AO773" s="418" t="s">
        <v>299</v>
      </c>
      <c r="AP773" s="536">
        <v>0</v>
      </c>
      <c r="AS773" s="531"/>
      <c r="AT773" s="531"/>
      <c r="AU773" s="531"/>
      <c r="AV773" s="531"/>
      <c r="AW773" s="531"/>
      <c r="AX773" s="531"/>
      <c r="AY773" s="531"/>
      <c r="AZ773" s="531"/>
      <c r="BA773" s="531"/>
      <c r="BB773" s="531"/>
      <c r="BC773" s="531"/>
      <c r="BD773" s="546"/>
      <c r="BE773" s="546"/>
      <c r="BF773" s="546"/>
      <c r="BG773" s="546"/>
      <c r="BH773" s="546"/>
      <c r="BI773" s="531"/>
      <c r="BJ773" s="531"/>
      <c r="BK773" s="531"/>
      <c r="BL773" s="531"/>
      <c r="BM773" s="531"/>
      <c r="BN773" s="531"/>
      <c r="BO773" s="531"/>
      <c r="BP773" s="531"/>
      <c r="BQ773" s="531"/>
      <c r="BR773" s="531"/>
      <c r="BS773" s="531"/>
      <c r="BT773" s="531"/>
      <c r="BU773" s="531"/>
      <c r="BV773" s="531"/>
      <c r="BW773" s="531"/>
      <c r="BX773" s="531"/>
      <c r="BY773" s="531"/>
      <c r="BZ773" s="531"/>
      <c r="CA773" s="531"/>
      <c r="CB773" s="531"/>
      <c r="CC773" s="531"/>
    </row>
    <row r="774" spans="1:81" s="436" customFormat="1" ht="13.75" customHeight="1">
      <c r="A774" s="418"/>
      <c r="B774" s="476"/>
      <c r="C774" s="764"/>
      <c r="D774" s="520" t="s">
        <v>21</v>
      </c>
      <c r="E774" s="1911" t="s">
        <v>2366</v>
      </c>
      <c r="F774" s="1911"/>
      <c r="G774" s="1911"/>
      <c r="H774" s="1911"/>
      <c r="I774" s="1911"/>
      <c r="J774" s="1911"/>
      <c r="K774" s="1911"/>
      <c r="L774" s="1911"/>
      <c r="M774" s="1911"/>
      <c r="N774" s="1911"/>
      <c r="O774" s="1911"/>
      <c r="P774" s="1911"/>
      <c r="Q774" s="1911"/>
      <c r="R774" s="1911"/>
      <c r="S774" s="1911"/>
      <c r="T774" s="1911"/>
      <c r="U774" s="1911"/>
      <c r="V774" s="1911"/>
      <c r="W774" s="1911"/>
      <c r="X774" s="1911"/>
      <c r="Y774" s="1911"/>
      <c r="Z774" s="1911"/>
      <c r="AA774" s="1911"/>
      <c r="AB774" s="1911"/>
      <c r="AC774" s="1911"/>
      <c r="AD774" s="1911"/>
      <c r="AE774" s="405"/>
      <c r="AF774" s="1857" t="s">
        <v>2016</v>
      </c>
      <c r="AG774" s="1857"/>
      <c r="AH774" s="1857"/>
      <c r="AI774" s="1857"/>
      <c r="AJ774" s="1857"/>
      <c r="AK774" s="1857"/>
      <c r="AL774" s="1857"/>
      <c r="AM774" s="474"/>
      <c r="AN774" s="540"/>
      <c r="AO774" s="472" t="s">
        <v>837</v>
      </c>
      <c r="AP774" s="418">
        <v>3</v>
      </c>
      <c r="AT774" s="531"/>
      <c r="AU774" s="531"/>
      <c r="AV774" s="531"/>
      <c r="AW774" s="531"/>
      <c r="AX774" s="531"/>
      <c r="AY774" s="531"/>
      <c r="AZ774" s="531"/>
    </row>
    <row r="775" spans="1:81" s="436" customFormat="1" ht="13.75" customHeight="1">
      <c r="A775" s="418"/>
      <c r="B775" s="476"/>
      <c r="C775" s="764"/>
      <c r="D775" s="520"/>
      <c r="E775" s="1911"/>
      <c r="F775" s="1911"/>
      <c r="G775" s="1911"/>
      <c r="H775" s="1911"/>
      <c r="I775" s="1911"/>
      <c r="J775" s="1911"/>
      <c r="K775" s="1911"/>
      <c r="L775" s="1911"/>
      <c r="M775" s="1911"/>
      <c r="N775" s="1911"/>
      <c r="O775" s="1911"/>
      <c r="P775" s="1911"/>
      <c r="Q775" s="1911"/>
      <c r="R775" s="1911"/>
      <c r="S775" s="1911"/>
      <c r="T775" s="1911"/>
      <c r="U775" s="1911"/>
      <c r="V775" s="1911"/>
      <c r="W775" s="1911"/>
      <c r="X775" s="1911"/>
      <c r="Y775" s="1911"/>
      <c r="Z775" s="1911"/>
      <c r="AA775" s="1911"/>
      <c r="AB775" s="1911"/>
      <c r="AC775" s="1911"/>
      <c r="AD775" s="1911"/>
      <c r="AE775" s="405"/>
      <c r="AF775" s="1189"/>
      <c r="AG775" s="1189"/>
      <c r="AH775" s="1189"/>
      <c r="AI775" s="1189"/>
      <c r="AJ775" s="1189"/>
      <c r="AK775" s="1189"/>
      <c r="AL775" s="1189"/>
      <c r="AM775" s="474"/>
      <c r="AN775" s="540"/>
      <c r="AO775" s="472"/>
      <c r="AP775" s="418"/>
      <c r="AT775" s="531"/>
      <c r="AU775" s="531"/>
      <c r="AV775" s="531"/>
      <c r="AW775" s="531"/>
      <c r="AX775" s="531"/>
      <c r="AY775" s="531"/>
      <c r="AZ775" s="531"/>
    </row>
    <row r="776" spans="1:81" s="436" customFormat="1" ht="13">
      <c r="A776" s="418"/>
      <c r="B776" s="476"/>
      <c r="C776" s="764"/>
      <c r="D776" s="520"/>
      <c r="E776" s="1911"/>
      <c r="F776" s="1911"/>
      <c r="G776" s="1911"/>
      <c r="H776" s="1911"/>
      <c r="I776" s="1911"/>
      <c r="J776" s="1911"/>
      <c r="K776" s="1911"/>
      <c r="L776" s="1911"/>
      <c r="M776" s="1911"/>
      <c r="N776" s="1911"/>
      <c r="O776" s="1911"/>
      <c r="P776" s="1911"/>
      <c r="Q776" s="1911"/>
      <c r="R776" s="1911"/>
      <c r="S776" s="1911"/>
      <c r="T776" s="1911"/>
      <c r="U776" s="1911"/>
      <c r="V776" s="1911"/>
      <c r="W776" s="1911"/>
      <c r="X776" s="1911"/>
      <c r="Y776" s="1911"/>
      <c r="Z776" s="1911"/>
      <c r="AA776" s="1911"/>
      <c r="AB776" s="1911"/>
      <c r="AC776" s="1911"/>
      <c r="AD776" s="1911"/>
      <c r="AE776" s="1189"/>
      <c r="AF776" s="1189"/>
      <c r="AG776" s="1189"/>
      <c r="AH776" s="1189"/>
      <c r="AI776" s="1189"/>
      <c r="AJ776" s="1189"/>
      <c r="AK776" s="1189"/>
      <c r="AL776" s="1189"/>
      <c r="AM776" s="474"/>
      <c r="AN776" s="540"/>
      <c r="AO776" s="472"/>
      <c r="AP776" s="418"/>
      <c r="AT776" s="531"/>
      <c r="AU776" s="531"/>
      <c r="AV776" s="531"/>
      <c r="AW776" s="531"/>
      <c r="AX776" s="531"/>
      <c r="AY776" s="531"/>
      <c r="AZ776" s="531"/>
    </row>
    <row r="777" spans="1:81" s="436" customFormat="1" ht="13">
      <c r="A777" s="418"/>
      <c r="B777" s="476"/>
      <c r="C777" s="764"/>
      <c r="D777" s="520"/>
      <c r="E777" s="1911"/>
      <c r="F777" s="1911"/>
      <c r="G777" s="1911"/>
      <c r="H777" s="1911"/>
      <c r="I777" s="1911"/>
      <c r="J777" s="1911"/>
      <c r="K777" s="1911"/>
      <c r="L777" s="1911"/>
      <c r="M777" s="1911"/>
      <c r="N777" s="1911"/>
      <c r="O777" s="1911"/>
      <c r="P777" s="1911"/>
      <c r="Q777" s="1911"/>
      <c r="R777" s="1911"/>
      <c r="S777" s="1911"/>
      <c r="T777" s="1911"/>
      <c r="U777" s="1911"/>
      <c r="V777" s="1911"/>
      <c r="W777" s="1911"/>
      <c r="X777" s="1911"/>
      <c r="Y777" s="1911"/>
      <c r="Z777" s="1911"/>
      <c r="AA777" s="1911"/>
      <c r="AB777" s="1911"/>
      <c r="AC777" s="1911"/>
      <c r="AD777" s="1911"/>
      <c r="AE777" s="1189"/>
      <c r="AF777" s="1189"/>
      <c r="AG777" s="1189"/>
      <c r="AH777" s="1189"/>
      <c r="AI777" s="1189"/>
      <c r="AJ777" s="1189"/>
      <c r="AK777" s="1189"/>
      <c r="AL777" s="1189"/>
      <c r="AM777" s="474"/>
      <c r="AN777" s="540"/>
      <c r="AO777" s="547"/>
      <c r="AT777" s="531"/>
      <c r="AU777" s="531"/>
      <c r="AV777" s="531"/>
      <c r="AW777" s="531"/>
      <c r="AX777" s="531"/>
      <c r="AY777" s="531"/>
      <c r="AZ777" s="531"/>
    </row>
    <row r="778" spans="1:81" s="436" customFormat="1" ht="13">
      <c r="A778" s="418"/>
      <c r="B778" s="476"/>
      <c r="C778" s="764"/>
      <c r="D778" s="520"/>
      <c r="E778" s="1196"/>
      <c r="F778" s="1196"/>
      <c r="G778" s="1196"/>
      <c r="H778" s="1196"/>
      <c r="I778" s="1196"/>
      <c r="J778" s="1196"/>
      <c r="K778" s="1196"/>
      <c r="L778" s="1196"/>
      <c r="M778" s="1196"/>
      <c r="N778" s="1196"/>
      <c r="O778" s="1196"/>
      <c r="P778" s="1196"/>
      <c r="Q778" s="1196"/>
      <c r="R778" s="1196"/>
      <c r="S778" s="1196"/>
      <c r="T778" s="1196"/>
      <c r="U778" s="1196"/>
      <c r="V778" s="1196"/>
      <c r="W778" s="1196"/>
      <c r="X778" s="1196"/>
      <c r="Y778" s="1196"/>
      <c r="Z778" s="1196"/>
      <c r="AA778" s="1196"/>
      <c r="AB778" s="1196"/>
      <c r="AC778" s="1196"/>
      <c r="AD778" s="1196"/>
      <c r="AE778" s="1189"/>
      <c r="AF778" s="1189"/>
      <c r="AG778" s="1189"/>
      <c r="AH778" s="1189"/>
      <c r="AI778" s="1189"/>
      <c r="AJ778" s="1189"/>
      <c r="AK778" s="1189"/>
      <c r="AL778" s="1189"/>
      <c r="AM778" s="474"/>
      <c r="AN778" s="540"/>
      <c r="AO778" s="547"/>
      <c r="AT778" s="531"/>
      <c r="AU778" s="531"/>
      <c r="AV778" s="531"/>
      <c r="AW778" s="531"/>
      <c r="AX778" s="531"/>
      <c r="AY778" s="531"/>
      <c r="AZ778" s="531"/>
    </row>
    <row r="779" spans="1:81" s="436" customFormat="1" ht="13">
      <c r="A779" s="418"/>
      <c r="B779" s="476"/>
      <c r="C779" s="764"/>
      <c r="D779" s="405" t="s">
        <v>2292</v>
      </c>
      <c r="E779" s="1207"/>
      <c r="F779" s="1207"/>
      <c r="G779" s="1207"/>
      <c r="H779" s="1940" t="s">
        <v>299</v>
      </c>
      <c r="I779" s="1940"/>
      <c r="J779" s="476"/>
      <c r="K779" s="476"/>
      <c r="L779" s="476"/>
      <c r="M779" s="476"/>
      <c r="N779" s="476"/>
      <c r="O779" s="476"/>
      <c r="P779" s="476"/>
      <c r="Q779" s="476"/>
      <c r="R779" s="476"/>
      <c r="S779" s="476"/>
      <c r="T779" s="476"/>
      <c r="U779" s="476"/>
      <c r="V779" s="476"/>
      <c r="W779" s="476"/>
      <c r="X779" s="476"/>
      <c r="Y779" s="476"/>
      <c r="Z779" s="476"/>
      <c r="AA779" s="476"/>
      <c r="AB779" s="476"/>
      <c r="AC779" s="476"/>
      <c r="AD779" s="476"/>
      <c r="AE779" s="476"/>
      <c r="AF779" s="476"/>
      <c r="AG779" s="476"/>
      <c r="AH779" s="405"/>
      <c r="AI779" s="1183"/>
      <c r="AJ779" s="457"/>
      <c r="AK779" s="457"/>
      <c r="AL779" s="457"/>
      <c r="AM779" s="418"/>
      <c r="AN779" s="540"/>
      <c r="AS779" s="531"/>
      <c r="AT779" s="531"/>
      <c r="AU779" s="531"/>
      <c r="AV779" s="531"/>
      <c r="AW779" s="531"/>
      <c r="AX779" s="531"/>
      <c r="AY779" s="531"/>
      <c r="AZ779" s="531"/>
      <c r="BA779" s="531"/>
      <c r="BB779" s="531"/>
      <c r="BC779" s="531"/>
      <c r="BD779" s="546"/>
      <c r="BE779" s="546"/>
      <c r="BF779" s="546"/>
      <c r="BG779" s="546"/>
      <c r="BH779" s="546"/>
      <c r="BI779" s="531"/>
      <c r="BJ779" s="531"/>
      <c r="BK779" s="531"/>
      <c r="BL779" s="531"/>
      <c r="BM779" s="531"/>
      <c r="BN779" s="531"/>
      <c r="BO779" s="531"/>
      <c r="BP779" s="531"/>
      <c r="BQ779" s="531"/>
      <c r="BR779" s="531"/>
      <c r="BS779" s="531"/>
      <c r="BT779" s="531"/>
      <c r="BU779" s="531"/>
      <c r="BV779" s="531"/>
      <c r="BW779" s="531"/>
      <c r="BX779" s="531"/>
      <c r="BY779" s="531"/>
      <c r="BZ779" s="531"/>
      <c r="CA779" s="531"/>
      <c r="CB779" s="531"/>
      <c r="CC779" s="531"/>
    </row>
    <row r="780" spans="1:81" s="436" customFormat="1">
      <c r="A780" s="418"/>
      <c r="B780" s="476"/>
      <c r="C780" s="544"/>
      <c r="D780" s="419"/>
      <c r="E780" s="419"/>
      <c r="F780" s="419"/>
      <c r="G780" s="419"/>
      <c r="H780" s="419"/>
      <c r="I780" s="419"/>
      <c r="J780" s="419"/>
      <c r="K780" s="419"/>
      <c r="L780" s="419"/>
      <c r="M780" s="419"/>
      <c r="N780" s="419"/>
      <c r="O780" s="419"/>
      <c r="P780" s="419"/>
      <c r="Q780" s="419"/>
      <c r="R780" s="419"/>
      <c r="S780" s="419"/>
      <c r="T780" s="419"/>
      <c r="U780" s="419"/>
      <c r="V780" s="419"/>
      <c r="W780" s="419"/>
      <c r="X780" s="419"/>
      <c r="Y780" s="419"/>
      <c r="Z780" s="419"/>
      <c r="AA780" s="419"/>
      <c r="AB780" s="419"/>
      <c r="AC780" s="419"/>
      <c r="AD780" s="476"/>
      <c r="AE780" s="419"/>
      <c r="AF780" s="419"/>
      <c r="AG780" s="419"/>
      <c r="AH780" s="419"/>
      <c r="AI780" s="418"/>
      <c r="AJ780" s="418"/>
      <c r="AK780" s="418"/>
      <c r="AL780" s="418"/>
      <c r="AM780" s="418"/>
      <c r="AN780" s="540"/>
      <c r="AT780" s="531"/>
      <c r="AU780" s="531"/>
      <c r="AV780" s="531"/>
      <c r="AW780" s="531"/>
      <c r="AX780" s="531"/>
      <c r="AY780" s="531"/>
      <c r="AZ780" s="531"/>
    </row>
    <row r="781" spans="1:81" s="436" customFormat="1" ht="13">
      <c r="A781" s="467"/>
      <c r="B781" s="522"/>
      <c r="C781" s="545"/>
      <c r="D781" s="521"/>
      <c r="E781" s="521"/>
      <c r="F781" s="521"/>
      <c r="G781" s="521"/>
      <c r="H781" s="521"/>
      <c r="I781" s="521"/>
      <c r="J781" s="521"/>
      <c r="K781" s="521"/>
      <c r="L781" s="521"/>
      <c r="M781" s="521"/>
      <c r="N781" s="521"/>
      <c r="O781" s="521"/>
      <c r="P781" s="521"/>
      <c r="Q781" s="521"/>
      <c r="R781" s="521"/>
      <c r="S781" s="521"/>
      <c r="T781" s="521"/>
      <c r="U781" s="521"/>
      <c r="V781" s="521"/>
      <c r="W781" s="521"/>
      <c r="X781" s="521"/>
      <c r="Y781" s="521"/>
      <c r="Z781" s="521"/>
      <c r="AA781" s="521"/>
      <c r="AB781" s="521"/>
      <c r="AC781" s="522"/>
      <c r="AD781" s="521"/>
      <c r="AE781" s="521"/>
      <c r="AF781" s="521"/>
      <c r="AG781" s="521"/>
      <c r="AH781" s="430"/>
      <c r="AI781" s="431" t="s">
        <v>2367</v>
      </c>
      <c r="AJ781" s="1891">
        <f>VLOOKUP($H$779,$AO$773:$AP$774,2,FALSE)</f>
        <v>0</v>
      </c>
      <c r="AK781" s="1893"/>
      <c r="AL781" s="457"/>
      <c r="AM781" s="418"/>
      <c r="AN781" s="540"/>
      <c r="AS781" s="531"/>
      <c r="AT781" s="531"/>
      <c r="AU781" s="531"/>
      <c r="AV781" s="531"/>
      <c r="AW781" s="531"/>
      <c r="AX781" s="531"/>
      <c r="AY781" s="531"/>
      <c r="AZ781" s="531"/>
      <c r="BA781" s="531"/>
      <c r="BB781" s="531"/>
      <c r="BC781" s="531"/>
      <c r="BD781" s="546"/>
      <c r="BE781" s="546"/>
      <c r="BF781" s="546"/>
      <c r="BG781" s="546"/>
      <c r="BH781" s="546"/>
      <c r="BI781" s="531"/>
      <c r="BJ781" s="531"/>
      <c r="BK781" s="531"/>
      <c r="BL781" s="531"/>
      <c r="BM781" s="531"/>
      <c r="BN781" s="531"/>
      <c r="BO781" s="531"/>
      <c r="BP781" s="531"/>
      <c r="BQ781" s="531"/>
      <c r="BR781" s="531"/>
      <c r="BS781" s="531"/>
      <c r="BT781" s="531"/>
      <c r="BU781" s="531"/>
      <c r="BV781" s="531"/>
      <c r="BW781" s="531"/>
      <c r="BX781" s="531"/>
      <c r="BY781" s="531"/>
      <c r="BZ781" s="531"/>
      <c r="CA781" s="531"/>
      <c r="CB781" s="531"/>
      <c r="CC781" s="531"/>
    </row>
    <row r="782" spans="1:81" s="418" customFormat="1" ht="12.75" customHeight="1">
      <c r="B782" s="476"/>
      <c r="C782" s="544"/>
      <c r="D782" s="419"/>
      <c r="E782" s="419"/>
      <c r="F782" s="419"/>
      <c r="G782" s="419"/>
      <c r="H782" s="419"/>
      <c r="I782" s="419"/>
      <c r="J782" s="419"/>
      <c r="K782" s="419"/>
      <c r="L782" s="419"/>
      <c r="M782" s="419"/>
      <c r="N782" s="419"/>
      <c r="O782" s="419"/>
      <c r="P782" s="419"/>
      <c r="Q782" s="419"/>
      <c r="R782" s="419"/>
      <c r="S782" s="419"/>
      <c r="T782" s="419"/>
      <c r="U782" s="419"/>
      <c r="V782" s="419"/>
      <c r="W782" s="419"/>
      <c r="X782" s="419"/>
      <c r="Y782" s="419"/>
      <c r="Z782" s="419"/>
      <c r="AA782" s="419"/>
      <c r="AB782" s="419"/>
      <c r="AC782" s="419"/>
      <c r="AD782" s="476"/>
      <c r="AE782" s="419"/>
      <c r="AF782" s="419"/>
      <c r="AG782" s="419"/>
      <c r="AH782" s="419"/>
      <c r="AN782" s="459"/>
    </row>
    <row r="783" spans="1:81" s="418" customFormat="1" ht="12.75" customHeight="1">
      <c r="A783" s="467"/>
      <c r="B783" s="521"/>
      <c r="C783" s="521"/>
      <c r="D783" s="521"/>
      <c r="E783" s="521"/>
      <c r="F783" s="521"/>
      <c r="G783" s="521"/>
      <c r="H783" s="521"/>
      <c r="I783" s="521"/>
      <c r="J783" s="521"/>
      <c r="K783" s="521"/>
      <c r="L783" s="521"/>
      <c r="M783" s="521"/>
      <c r="N783" s="521"/>
      <c r="O783" s="521"/>
      <c r="P783" s="521"/>
      <c r="Q783" s="521"/>
      <c r="R783" s="521"/>
      <c r="S783" s="521"/>
      <c r="T783" s="521"/>
      <c r="U783" s="521"/>
      <c r="V783" s="521"/>
      <c r="W783" s="521"/>
      <c r="X783" s="521"/>
      <c r="Y783" s="521"/>
      <c r="Z783" s="521"/>
      <c r="AA783" s="521"/>
      <c r="AB783" s="521"/>
      <c r="AC783" s="522"/>
      <c r="AD783" s="521"/>
      <c r="AE783" s="430"/>
      <c r="AF783" s="430"/>
      <c r="AG783" s="430"/>
      <c r="AH783" s="430"/>
      <c r="AI783" s="431"/>
      <c r="AJ783" s="431" t="s">
        <v>2368</v>
      </c>
      <c r="AK783" s="1891">
        <f>IF(($AJ$610+$AJ$629+$AJ$641+$AJ$676+$AJ$700+$AJ$714+$AJ$726+$AJ$742+$AJ$754+$AJ$770+AJ781)&gt;10,10,($AJ$610+$AJ$629+$AJ$641+$AJ$676+$AJ$700+$AJ$714+$AJ$726+$AJ$742+$AJ$754+$AJ$770+AJ781))</f>
        <v>10</v>
      </c>
      <c r="AL783" s="1892"/>
      <c r="AM783" s="1893"/>
      <c r="AN783" s="459"/>
    </row>
    <row r="784" spans="1:81" s="418" customFormat="1" ht="12.75" customHeight="1">
      <c r="B784" s="419"/>
      <c r="C784" s="419"/>
      <c r="D784" s="419"/>
      <c r="E784" s="419"/>
      <c r="F784" s="419"/>
      <c r="G784" s="419"/>
      <c r="H784" s="419"/>
      <c r="I784" s="419"/>
      <c r="J784" s="419"/>
      <c r="K784" s="419"/>
      <c r="L784" s="419"/>
      <c r="M784" s="419"/>
      <c r="N784" s="419"/>
      <c r="O784" s="419"/>
      <c r="P784" s="419"/>
      <c r="Q784" s="419"/>
      <c r="R784" s="419"/>
      <c r="S784" s="419"/>
      <c r="T784" s="419"/>
      <c r="U784" s="419"/>
      <c r="V784" s="419"/>
      <c r="W784" s="419"/>
      <c r="X784" s="419"/>
      <c r="Y784" s="419"/>
      <c r="Z784" s="419"/>
      <c r="AA784" s="419"/>
      <c r="AB784" s="419"/>
      <c r="AC784" s="476"/>
      <c r="AD784" s="419"/>
      <c r="AI784" s="1183"/>
      <c r="AJ784" s="1183"/>
      <c r="AK784" s="457"/>
      <c r="AL784" s="457"/>
      <c r="AM784" s="457"/>
      <c r="AN784" s="459"/>
    </row>
    <row r="785" spans="1:43">
      <c r="B785" s="418"/>
      <c r="C785" s="418"/>
      <c r="D785" s="418"/>
      <c r="E785" s="418"/>
      <c r="F785" s="418"/>
      <c r="G785" s="418"/>
      <c r="H785" s="418"/>
      <c r="I785" s="418"/>
      <c r="J785" s="418"/>
      <c r="K785" s="418"/>
      <c r="L785" s="418"/>
      <c r="M785" s="418"/>
      <c r="N785" s="418"/>
      <c r="O785" s="418"/>
      <c r="P785" s="418"/>
      <c r="Q785" s="418"/>
      <c r="R785" s="418"/>
      <c r="S785" s="418"/>
      <c r="T785" s="418"/>
      <c r="U785" s="418"/>
      <c r="V785" s="418"/>
      <c r="W785" s="418"/>
      <c r="X785" s="418"/>
      <c r="Y785" s="418"/>
      <c r="Z785" s="418"/>
      <c r="AA785" s="418"/>
      <c r="AB785" s="418"/>
      <c r="AC785" s="418"/>
      <c r="AD785" s="418"/>
      <c r="AE785" s="418"/>
      <c r="AF785" s="418"/>
      <c r="AG785" s="418"/>
      <c r="AH785" s="418"/>
      <c r="AI785" s="418"/>
      <c r="AJ785" s="418"/>
      <c r="AK785" s="418"/>
      <c r="AL785" s="418"/>
      <c r="AM785" s="418"/>
    </row>
    <row r="786" spans="1:43">
      <c r="A786" s="2001" t="s">
        <v>2369</v>
      </c>
      <c r="B786" s="2002"/>
      <c r="C786" s="2002"/>
      <c r="D786" s="2002"/>
      <c r="E786" s="2002"/>
      <c r="F786" s="2002"/>
      <c r="G786" s="2002"/>
      <c r="H786" s="2002"/>
      <c r="I786" s="2002"/>
      <c r="J786" s="2002"/>
      <c r="K786" s="2002"/>
      <c r="L786" s="2002"/>
      <c r="M786" s="2002"/>
      <c r="N786" s="2002"/>
      <c r="O786" s="2002"/>
      <c r="P786" s="2002"/>
      <c r="Q786" s="2002"/>
      <c r="R786" s="2002"/>
      <c r="S786" s="2002"/>
      <c r="T786" s="2002"/>
      <c r="U786" s="2002"/>
      <c r="V786" s="2002"/>
      <c r="W786" s="2002"/>
      <c r="X786" s="2002"/>
      <c r="Y786" s="2002"/>
      <c r="Z786" s="2002"/>
      <c r="AA786" s="2002"/>
      <c r="AB786" s="2002"/>
      <c r="AC786" s="2002"/>
      <c r="AD786" s="2002"/>
      <c r="AE786" s="2002"/>
      <c r="AF786" s="2002"/>
      <c r="AG786" s="2002"/>
      <c r="AH786" s="2002"/>
      <c r="AI786" s="2002"/>
      <c r="AJ786" s="2002"/>
      <c r="AK786" s="2002"/>
      <c r="AL786" s="2002"/>
      <c r="AM786" s="2002"/>
    </row>
    <row r="787" spans="1:43">
      <c r="A787" s="2003"/>
      <c r="B787" s="2003"/>
      <c r="C787" s="2003"/>
      <c r="D787" s="2003"/>
      <c r="E787" s="2003"/>
      <c r="F787" s="2003"/>
      <c r="G787" s="2003"/>
      <c r="H787" s="2003"/>
      <c r="I787" s="2003"/>
      <c r="J787" s="2003"/>
      <c r="K787" s="2003"/>
      <c r="L787" s="2003"/>
      <c r="M787" s="2003"/>
      <c r="N787" s="2003"/>
      <c r="O787" s="2003"/>
      <c r="P787" s="2003"/>
      <c r="Q787" s="2003"/>
      <c r="R787" s="2003"/>
      <c r="S787" s="2003"/>
      <c r="T787" s="2003"/>
      <c r="U787" s="2003"/>
      <c r="V787" s="2003"/>
      <c r="W787" s="2003"/>
      <c r="X787" s="2003"/>
      <c r="Y787" s="2003"/>
      <c r="Z787" s="2003"/>
      <c r="AA787" s="2003"/>
      <c r="AB787" s="2003"/>
      <c r="AC787" s="2003"/>
      <c r="AD787" s="2003"/>
      <c r="AE787" s="2003"/>
      <c r="AF787" s="2003"/>
      <c r="AG787" s="2003"/>
      <c r="AH787" s="2003"/>
      <c r="AI787" s="2003"/>
      <c r="AJ787" s="2003"/>
      <c r="AK787" s="2003"/>
      <c r="AL787" s="2003"/>
      <c r="AM787" s="2003"/>
      <c r="AO787" s="666"/>
      <c r="AP787" s="666"/>
      <c r="AQ787" s="666"/>
    </row>
    <row r="788" spans="1:43" ht="13">
      <c r="A788" s="418"/>
      <c r="B788" s="437"/>
      <c r="C788" s="438"/>
      <c r="D788" s="438"/>
      <c r="E788" s="438"/>
      <c r="F788" s="438"/>
      <c r="G788" s="438"/>
      <c r="H788" s="438"/>
      <c r="I788" s="1203"/>
      <c r="J788" s="1203"/>
      <c r="K788" s="1203"/>
      <c r="L788" s="1203"/>
      <c r="M788" s="1203"/>
      <c r="N788" s="1203"/>
      <c r="O788" s="1203"/>
      <c r="P788" s="1203"/>
      <c r="Q788" s="1203"/>
      <c r="S788" s="408"/>
      <c r="T788" s="408"/>
      <c r="U788" s="408"/>
      <c r="V788" s="408"/>
      <c r="W788" s="408"/>
      <c r="X788" s="408"/>
      <c r="Y788" s="408"/>
      <c r="Z788" s="408"/>
      <c r="AA788" s="408"/>
      <c r="AB788" s="408"/>
      <c r="AC788" s="408"/>
      <c r="AD788" s="408"/>
      <c r="AE788" s="408"/>
      <c r="AG788" s="408"/>
      <c r="AH788" s="408"/>
      <c r="AI788" s="408"/>
      <c r="AJ788" s="408"/>
      <c r="AK788" s="418"/>
      <c r="AL788" s="418"/>
      <c r="AM788" s="406"/>
      <c r="AO788" s="666"/>
      <c r="AP788" s="666"/>
      <c r="AQ788" s="666"/>
    </row>
    <row r="789" spans="1:43" ht="13">
      <c r="A789" s="1932"/>
      <c r="B789" s="1932"/>
      <c r="C789" s="1932"/>
      <c r="D789" s="1932"/>
      <c r="E789" s="1932"/>
      <c r="F789" s="1932"/>
      <c r="G789" s="1932"/>
      <c r="H789" s="1932"/>
      <c r="I789" s="1932"/>
      <c r="J789" s="1932"/>
      <c r="K789" s="1932"/>
      <c r="L789" s="1932"/>
      <c r="M789" s="1932"/>
      <c r="N789" s="1932"/>
      <c r="O789" s="1932"/>
      <c r="P789" s="1932"/>
      <c r="Q789" s="1932"/>
      <c r="R789" s="1932"/>
      <c r="S789" s="1932"/>
      <c r="T789" s="1932"/>
      <c r="U789" s="1932"/>
      <c r="V789" s="1932"/>
      <c r="W789" s="1932"/>
      <c r="X789" s="1932"/>
      <c r="Y789" s="1932"/>
      <c r="Z789" s="1932"/>
      <c r="AA789" s="1932"/>
      <c r="AB789" s="1932"/>
      <c r="AC789" s="1932"/>
      <c r="AD789" s="1932"/>
      <c r="AE789" s="1932"/>
      <c r="AF789" s="1932"/>
      <c r="AG789" s="1932"/>
      <c r="AH789" s="1932"/>
      <c r="AI789" s="1932"/>
      <c r="AJ789" s="1932"/>
      <c r="AK789" s="1932"/>
      <c r="AL789" s="1932"/>
      <c r="AM789" s="1932"/>
      <c r="AP789" s="666"/>
      <c r="AQ789" s="666"/>
    </row>
    <row r="790" spans="1:43" ht="13">
      <c r="A790" s="1932"/>
      <c r="B790" s="1932"/>
      <c r="C790" s="1932"/>
      <c r="D790" s="1932"/>
      <c r="E790" s="1932"/>
      <c r="F790" s="1932"/>
      <c r="G790" s="1932"/>
      <c r="H790" s="1932"/>
      <c r="I790" s="1932"/>
      <c r="J790" s="1932"/>
      <c r="K790" s="1932"/>
      <c r="L790" s="1932"/>
      <c r="M790" s="1932"/>
      <c r="N790" s="1932"/>
      <c r="O790" s="1932"/>
      <c r="P790" s="1932"/>
      <c r="Q790" s="1932"/>
      <c r="R790" s="1932"/>
      <c r="S790" s="1932"/>
      <c r="T790" s="1932"/>
      <c r="U790" s="1932"/>
      <c r="V790" s="1932"/>
      <c r="W790" s="1932"/>
      <c r="X790" s="1932"/>
      <c r="Y790" s="1932"/>
      <c r="Z790" s="1932"/>
      <c r="AA790" s="1932"/>
      <c r="AB790" s="1932"/>
      <c r="AC790" s="1932"/>
      <c r="AD790" s="1932"/>
      <c r="AE790" s="1932"/>
      <c r="AF790" s="1932"/>
      <c r="AG790" s="1932"/>
      <c r="AH790" s="1932"/>
      <c r="AI790" s="1932"/>
      <c r="AJ790" s="1932"/>
      <c r="AK790" s="1932"/>
      <c r="AL790" s="1932"/>
      <c r="AM790" s="1932"/>
      <c r="AO790" s="666"/>
      <c r="AQ790" s="666"/>
    </row>
    <row r="791" spans="1:43" ht="13">
      <c r="A791" s="667"/>
      <c r="B791" s="524"/>
      <c r="C791" s="524"/>
      <c r="D791" s="524"/>
      <c r="E791" s="524"/>
      <c r="F791" s="524"/>
      <c r="G791" s="524"/>
      <c r="H791" s="524"/>
      <c r="I791" s="524"/>
      <c r="J791" s="524"/>
      <c r="K791" s="524"/>
      <c r="L791" s="524"/>
      <c r="M791" s="524"/>
      <c r="N791" s="524"/>
      <c r="O791" s="524"/>
      <c r="P791" s="524"/>
      <c r="Q791" s="524"/>
      <c r="R791" s="524"/>
      <c r="S791" s="526"/>
      <c r="T791" s="2004" t="s">
        <v>2370</v>
      </c>
      <c r="U791" s="2005"/>
      <c r="V791" s="2005"/>
      <c r="W791" s="2005"/>
      <c r="X791" s="2005"/>
      <c r="Y791" s="2006"/>
      <c r="Z791" s="2004" t="s">
        <v>2371</v>
      </c>
      <c r="AA791" s="2005"/>
      <c r="AB791" s="2005"/>
      <c r="AC791" s="2005"/>
      <c r="AD791" s="2005"/>
      <c r="AE791" s="2006"/>
      <c r="AF791" s="2004" t="s">
        <v>2372</v>
      </c>
      <c r="AG791" s="2005"/>
      <c r="AH791" s="2005"/>
      <c r="AI791" s="2005"/>
      <c r="AJ791" s="2005"/>
      <c r="AK791" s="2006"/>
      <c r="AL791" s="668"/>
      <c r="AM791" s="458"/>
      <c r="AO791" s="666"/>
      <c r="AP791" s="666"/>
      <c r="AQ791" s="666"/>
    </row>
    <row r="792" spans="1:43" ht="13">
      <c r="A792" s="669"/>
      <c r="B792" s="549"/>
      <c r="C792" s="549"/>
      <c r="D792" s="549"/>
      <c r="E792" s="549"/>
      <c r="F792" s="549"/>
      <c r="G792" s="549"/>
      <c r="H792" s="549"/>
      <c r="I792" s="549"/>
      <c r="J792" s="549"/>
      <c r="K792" s="549"/>
      <c r="L792" s="549"/>
      <c r="M792" s="549"/>
      <c r="N792" s="549"/>
      <c r="O792" s="549"/>
      <c r="P792" s="549"/>
      <c r="Q792" s="549"/>
      <c r="R792" s="549"/>
      <c r="S792" s="563"/>
      <c r="T792" s="2007"/>
      <c r="U792" s="2008"/>
      <c r="V792" s="2008"/>
      <c r="W792" s="2008"/>
      <c r="X792" s="2008"/>
      <c r="Y792" s="2009"/>
      <c r="Z792" s="2007"/>
      <c r="AA792" s="2008"/>
      <c r="AB792" s="2008"/>
      <c r="AC792" s="2008"/>
      <c r="AD792" s="2008"/>
      <c r="AE792" s="2009"/>
      <c r="AF792" s="2007"/>
      <c r="AG792" s="2008"/>
      <c r="AH792" s="2008"/>
      <c r="AI792" s="2008"/>
      <c r="AJ792" s="2008"/>
      <c r="AK792" s="2009"/>
      <c r="AL792" s="668"/>
      <c r="AM792" s="458"/>
      <c r="AO792" s="666"/>
      <c r="AP792" s="666"/>
      <c r="AQ792" s="666"/>
    </row>
    <row r="793" spans="1:43" ht="13">
      <c r="A793" s="669" t="s">
        <v>52</v>
      </c>
      <c r="B793" s="1984" t="s">
        <v>1935</v>
      </c>
      <c r="C793" s="1984"/>
      <c r="D793" s="1984"/>
      <c r="E793" s="1984"/>
      <c r="F793" s="1984"/>
      <c r="G793" s="1984"/>
      <c r="H793" s="1984"/>
      <c r="I793" s="1984"/>
      <c r="J793" s="1984"/>
      <c r="K793" s="1984"/>
      <c r="L793" s="1984"/>
      <c r="M793" s="1984"/>
      <c r="N793" s="1984"/>
      <c r="O793" s="1984"/>
      <c r="P793" s="1984"/>
      <c r="Q793" s="1984"/>
      <c r="R793" s="1984"/>
      <c r="S793" s="1985"/>
      <c r="T793" s="1986">
        <f>AK56</f>
        <v>0</v>
      </c>
      <c r="U793" s="1987"/>
      <c r="V793" s="1987"/>
      <c r="W793" s="1987"/>
      <c r="X793" s="1987"/>
      <c r="Y793" s="1988"/>
      <c r="Z793" s="1989">
        <v>20</v>
      </c>
      <c r="AA793" s="1987"/>
      <c r="AB793" s="1987"/>
      <c r="AC793" s="1987"/>
      <c r="AD793" s="1987"/>
      <c r="AE793" s="1988"/>
      <c r="AF793" s="1953">
        <f>IF(T793&gt;Z793,Z793,T793)</f>
        <v>0</v>
      </c>
      <c r="AG793" s="1953"/>
      <c r="AH793" s="1953"/>
      <c r="AI793" s="1953"/>
      <c r="AJ793" s="1953"/>
      <c r="AK793" s="1953"/>
      <c r="AL793" s="668"/>
      <c r="AM793" s="458"/>
      <c r="AO793" s="666"/>
      <c r="AP793" s="666"/>
      <c r="AQ793" s="666"/>
    </row>
    <row r="794" spans="1:43" ht="13">
      <c r="A794" s="669" t="s">
        <v>2223</v>
      </c>
      <c r="B794" s="1984" t="s">
        <v>785</v>
      </c>
      <c r="C794" s="1984"/>
      <c r="D794" s="1984"/>
      <c r="E794" s="1984"/>
      <c r="F794" s="1984"/>
      <c r="G794" s="1984"/>
      <c r="H794" s="1984"/>
      <c r="I794" s="1984"/>
      <c r="J794" s="1984"/>
      <c r="K794" s="1984"/>
      <c r="L794" s="1984"/>
      <c r="M794" s="1984"/>
      <c r="N794" s="1984"/>
      <c r="O794" s="1984"/>
      <c r="P794" s="1984"/>
      <c r="Q794" s="1984"/>
      <c r="R794" s="1984"/>
      <c r="S794" s="1985"/>
      <c r="T794" s="1986">
        <f>AK78</f>
        <v>10</v>
      </c>
      <c r="U794" s="1987"/>
      <c r="V794" s="1987"/>
      <c r="W794" s="1987"/>
      <c r="X794" s="1987"/>
      <c r="Y794" s="1988"/>
      <c r="Z794" s="1989">
        <v>10</v>
      </c>
      <c r="AA794" s="1987"/>
      <c r="AB794" s="1987"/>
      <c r="AC794" s="1987"/>
      <c r="AD794" s="1987"/>
      <c r="AE794" s="1988"/>
      <c r="AF794" s="1953">
        <f>IF(T794&gt;Z794,Z794,T794)</f>
        <v>10</v>
      </c>
      <c r="AG794" s="1953"/>
      <c r="AH794" s="1953"/>
      <c r="AI794" s="1953"/>
      <c r="AJ794" s="1953"/>
      <c r="AK794" s="1953"/>
      <c r="AL794" s="668"/>
      <c r="AM794" s="458"/>
      <c r="AO794" s="666"/>
      <c r="AP794" s="666"/>
      <c r="AQ794" s="666"/>
    </row>
    <row r="795" spans="1:43" ht="13">
      <c r="A795" s="669" t="s">
        <v>2232</v>
      </c>
      <c r="B795" s="1984" t="s">
        <v>1973</v>
      </c>
      <c r="C795" s="1984"/>
      <c r="D795" s="1984"/>
      <c r="E795" s="1984"/>
      <c r="F795" s="1984"/>
      <c r="G795" s="1984"/>
      <c r="H795" s="1984"/>
      <c r="I795" s="1984"/>
      <c r="J795" s="1984"/>
      <c r="K795" s="1984"/>
      <c r="L795" s="1984"/>
      <c r="M795" s="1984"/>
      <c r="N795" s="1984"/>
      <c r="O795" s="1984"/>
      <c r="P795" s="1984"/>
      <c r="Q795" s="1984"/>
      <c r="R795" s="1984"/>
      <c r="S795" s="1985"/>
      <c r="T795" s="1986">
        <f>AK103</f>
        <v>20</v>
      </c>
      <c r="U795" s="1987"/>
      <c r="V795" s="1987"/>
      <c r="W795" s="1987"/>
      <c r="X795" s="1987"/>
      <c r="Y795" s="1988"/>
      <c r="Z795" s="1989">
        <v>20</v>
      </c>
      <c r="AA795" s="1987"/>
      <c r="AB795" s="1987"/>
      <c r="AC795" s="1987"/>
      <c r="AD795" s="1987"/>
      <c r="AE795" s="1988"/>
      <c r="AF795" s="1953">
        <f>IF(T795&gt;Z795,Z795,T795)</f>
        <v>20</v>
      </c>
      <c r="AG795" s="1953"/>
      <c r="AH795" s="1953"/>
      <c r="AI795" s="1953"/>
      <c r="AJ795" s="1953"/>
      <c r="AK795" s="1953"/>
      <c r="AL795" s="668"/>
      <c r="AM795" s="458"/>
      <c r="AO795" s="666"/>
      <c r="AP795" s="666"/>
      <c r="AQ795" s="666"/>
    </row>
    <row r="796" spans="1:43" ht="13">
      <c r="A796" s="669" t="s">
        <v>2373</v>
      </c>
      <c r="B796" s="1984" t="s">
        <v>1984</v>
      </c>
      <c r="C796" s="1984"/>
      <c r="D796" s="1984"/>
      <c r="E796" s="1984"/>
      <c r="F796" s="1984"/>
      <c r="G796" s="1984"/>
      <c r="H796" s="1984"/>
      <c r="I796" s="1984"/>
      <c r="J796" s="1984"/>
      <c r="K796" s="1984"/>
      <c r="L796" s="1984"/>
      <c r="M796" s="1984"/>
      <c r="N796" s="1984"/>
      <c r="O796" s="1984"/>
      <c r="P796" s="1984"/>
      <c r="Q796" s="1984"/>
      <c r="R796" s="1984"/>
      <c r="S796" s="1985"/>
      <c r="T796" s="1986">
        <f>AK137</f>
        <v>10</v>
      </c>
      <c r="U796" s="1987"/>
      <c r="V796" s="1987"/>
      <c r="W796" s="1987"/>
      <c r="X796" s="1987"/>
      <c r="Y796" s="1988"/>
      <c r="Z796" s="1989">
        <v>10</v>
      </c>
      <c r="AA796" s="1987"/>
      <c r="AB796" s="1987"/>
      <c r="AC796" s="1987"/>
      <c r="AD796" s="1987"/>
      <c r="AE796" s="1988"/>
      <c r="AF796" s="1953">
        <f>IF(T796&gt;Z796,Z796,T796)</f>
        <v>10</v>
      </c>
      <c r="AG796" s="1953"/>
      <c r="AH796" s="1953"/>
      <c r="AI796" s="1953"/>
      <c r="AJ796" s="1953"/>
      <c r="AK796" s="1953"/>
      <c r="AL796" s="668"/>
      <c r="AM796" s="458"/>
      <c r="AO796" s="666"/>
      <c r="AP796" s="666"/>
      <c r="AQ796" s="666"/>
    </row>
    <row r="797" spans="1:43" ht="13">
      <c r="A797" s="1214" t="s">
        <v>2374</v>
      </c>
      <c r="B797" s="1984" t="s">
        <v>2375</v>
      </c>
      <c r="C797" s="1984"/>
      <c r="D797" s="1984"/>
      <c r="E797" s="1984"/>
      <c r="F797" s="1984"/>
      <c r="G797" s="1984"/>
      <c r="H797" s="1984"/>
      <c r="I797" s="1984"/>
      <c r="J797" s="1984"/>
      <c r="K797" s="1984"/>
      <c r="L797" s="1984"/>
      <c r="M797" s="1984"/>
      <c r="N797" s="1984"/>
      <c r="O797" s="1984"/>
      <c r="P797" s="1984"/>
      <c r="Q797" s="1984"/>
      <c r="R797" s="1984"/>
      <c r="S797" s="1985"/>
      <c r="T797" s="2010">
        <f>SUM(T798:Y799)</f>
        <v>10</v>
      </c>
      <c r="U797" s="2010"/>
      <c r="V797" s="2010"/>
      <c r="W797" s="2010"/>
      <c r="X797" s="2010"/>
      <c r="Y797" s="2010"/>
      <c r="Z797" s="1953">
        <v>10</v>
      </c>
      <c r="AA797" s="1953"/>
      <c r="AB797" s="1953"/>
      <c r="AC797" s="1953"/>
      <c r="AD797" s="1953"/>
      <c r="AE797" s="1953"/>
      <c r="AF797" s="1953">
        <f>IF(T797&gt;Z797,Z797,T797)</f>
        <v>10</v>
      </c>
      <c r="AG797" s="1953"/>
      <c r="AH797" s="1953"/>
      <c r="AI797" s="1953"/>
      <c r="AJ797" s="1953"/>
      <c r="AK797" s="1953"/>
      <c r="AL797" s="668"/>
      <c r="AM797" s="458"/>
    </row>
    <row r="798" spans="1:43" ht="13">
      <c r="A798" s="404"/>
      <c r="B798" s="463"/>
      <c r="C798" s="2011" t="s">
        <v>2376</v>
      </c>
      <c r="D798" s="2011"/>
      <c r="E798" s="2011"/>
      <c r="F798" s="2011"/>
      <c r="G798" s="2011"/>
      <c r="H798" s="2011"/>
      <c r="I798" s="2011"/>
      <c r="J798" s="2011"/>
      <c r="K798" s="2011"/>
      <c r="L798" s="2011"/>
      <c r="M798" s="2011"/>
      <c r="N798" s="2011"/>
      <c r="O798" s="2011"/>
      <c r="P798" s="2011"/>
      <c r="Q798" s="2011"/>
      <c r="R798" s="2011"/>
      <c r="S798" s="2012"/>
      <c r="T798" s="1886">
        <f>AJ155</f>
        <v>7</v>
      </c>
      <c r="U798" s="1886"/>
      <c r="V798" s="1886"/>
      <c r="W798" s="1886"/>
      <c r="X798" s="1886"/>
      <c r="Y798" s="1886"/>
      <c r="Z798" s="1887">
        <v>7</v>
      </c>
      <c r="AA798" s="1887"/>
      <c r="AB798" s="1887"/>
      <c r="AC798" s="1887"/>
      <c r="AD798" s="1887"/>
      <c r="AE798" s="1887"/>
      <c r="AF798" s="2013"/>
      <c r="AG798" s="2013"/>
      <c r="AH798" s="2013"/>
      <c r="AI798" s="2013"/>
      <c r="AJ798" s="2013"/>
      <c r="AK798" s="2013"/>
      <c r="AL798" s="668"/>
      <c r="AM798" s="458"/>
    </row>
    <row r="799" spans="1:43" ht="13">
      <c r="A799" s="462"/>
      <c r="B799" s="463"/>
      <c r="C799" s="2011" t="s">
        <v>2377</v>
      </c>
      <c r="D799" s="2011"/>
      <c r="E799" s="2011"/>
      <c r="F799" s="2011"/>
      <c r="G799" s="2011"/>
      <c r="H799" s="2011"/>
      <c r="I799" s="2011"/>
      <c r="J799" s="2011"/>
      <c r="K799" s="2011"/>
      <c r="L799" s="2011"/>
      <c r="M799" s="2011"/>
      <c r="N799" s="2011"/>
      <c r="O799" s="2011"/>
      <c r="P799" s="2011"/>
      <c r="Q799" s="2011"/>
      <c r="R799" s="2011"/>
      <c r="S799" s="2012"/>
      <c r="T799" s="1886">
        <f>AJ169</f>
        <v>3</v>
      </c>
      <c r="U799" s="1886"/>
      <c r="V799" s="1886"/>
      <c r="W799" s="1886"/>
      <c r="X799" s="1886"/>
      <c r="Y799" s="1886"/>
      <c r="Z799" s="1887">
        <v>3</v>
      </c>
      <c r="AA799" s="1887"/>
      <c r="AB799" s="1887"/>
      <c r="AC799" s="1887"/>
      <c r="AD799" s="1887"/>
      <c r="AE799" s="1887"/>
      <c r="AF799" s="2013"/>
      <c r="AG799" s="2013"/>
      <c r="AH799" s="2013"/>
      <c r="AI799" s="2013"/>
      <c r="AJ799" s="2013"/>
      <c r="AK799" s="2013"/>
      <c r="AL799" s="668"/>
      <c r="AM799" s="458"/>
      <c r="AO799" s="418"/>
    </row>
    <row r="800" spans="1:43" ht="13">
      <c r="A800" s="1214" t="s">
        <v>2028</v>
      </c>
      <c r="B800" s="1984" t="s">
        <v>2378</v>
      </c>
      <c r="C800" s="1984"/>
      <c r="D800" s="1984"/>
      <c r="E800" s="1984"/>
      <c r="F800" s="1984"/>
      <c r="G800" s="1984"/>
      <c r="H800" s="1984"/>
      <c r="I800" s="1984"/>
      <c r="J800" s="1984"/>
      <c r="K800" s="1984"/>
      <c r="L800" s="1984"/>
      <c r="M800" s="1984"/>
      <c r="N800" s="1984"/>
      <c r="O800" s="1984"/>
      <c r="P800" s="1984"/>
      <c r="Q800" s="1984"/>
      <c r="R800" s="1984"/>
      <c r="S800" s="1985"/>
      <c r="T800" s="2010">
        <f>AK180</f>
        <v>10</v>
      </c>
      <c r="U800" s="2010"/>
      <c r="V800" s="2010"/>
      <c r="W800" s="2010"/>
      <c r="X800" s="2010"/>
      <c r="Y800" s="2010"/>
      <c r="Z800" s="1953">
        <v>10</v>
      </c>
      <c r="AA800" s="1953"/>
      <c r="AB800" s="1953"/>
      <c r="AC800" s="1953"/>
      <c r="AD800" s="1953"/>
      <c r="AE800" s="1953"/>
      <c r="AF800" s="1953">
        <f>IF(T800&gt;Z800,Z800,T800)</f>
        <v>10</v>
      </c>
      <c r="AG800" s="1953"/>
      <c r="AH800" s="1953"/>
      <c r="AI800" s="1953"/>
      <c r="AJ800" s="1953"/>
      <c r="AK800" s="1953"/>
      <c r="AL800" s="668"/>
      <c r="AM800" s="458"/>
    </row>
    <row r="801" spans="1:81" ht="13">
      <c r="A801" s="669" t="s">
        <v>2038</v>
      </c>
      <c r="B801" s="1984" t="s">
        <v>2039</v>
      </c>
      <c r="C801" s="1984"/>
      <c r="D801" s="1984"/>
      <c r="E801" s="1984"/>
      <c r="F801" s="1984"/>
      <c r="G801" s="1984"/>
      <c r="H801" s="1984"/>
      <c r="I801" s="1984"/>
      <c r="J801" s="1984"/>
      <c r="K801" s="1984"/>
      <c r="L801" s="1984"/>
      <c r="M801" s="1984"/>
      <c r="N801" s="1984"/>
      <c r="O801" s="1984"/>
      <c r="P801" s="1984"/>
      <c r="Q801" s="1984"/>
      <c r="R801" s="1984"/>
      <c r="S801" s="1985"/>
      <c r="T801" s="2010">
        <f>AK262</f>
        <v>8</v>
      </c>
      <c r="U801" s="2010"/>
      <c r="V801" s="2010"/>
      <c r="W801" s="2010"/>
      <c r="X801" s="2010"/>
      <c r="Y801" s="2010"/>
      <c r="Z801" s="1989">
        <v>8</v>
      </c>
      <c r="AA801" s="1987"/>
      <c r="AB801" s="1987"/>
      <c r="AC801" s="1987"/>
      <c r="AD801" s="1987"/>
      <c r="AE801" s="1988"/>
      <c r="AF801" s="1953">
        <f>IF(T801&gt;Z801,Z801,T801)</f>
        <v>8</v>
      </c>
      <c r="AG801" s="1953"/>
      <c r="AH801" s="1953"/>
      <c r="AI801" s="1953"/>
      <c r="AJ801" s="1953"/>
      <c r="AK801" s="1953"/>
      <c r="AL801" s="668"/>
      <c r="AM801" s="458"/>
    </row>
    <row r="802" spans="1:81" s="403" customFormat="1" ht="13" hidden="1">
      <c r="A802" s="1214" t="s">
        <v>1060</v>
      </c>
      <c r="B802" s="1984" t="s">
        <v>2379</v>
      </c>
      <c r="C802" s="1984"/>
      <c r="D802" s="1984"/>
      <c r="E802" s="1984"/>
      <c r="F802" s="1984"/>
      <c r="G802" s="1984"/>
      <c r="H802" s="1984"/>
      <c r="I802" s="1984"/>
      <c r="J802" s="1984"/>
      <c r="K802" s="1984"/>
      <c r="L802" s="1984"/>
      <c r="M802" s="1984"/>
      <c r="N802" s="1984"/>
      <c r="O802" s="1984"/>
      <c r="P802" s="1984"/>
      <c r="Q802" s="1984"/>
      <c r="R802" s="1984"/>
      <c r="S802" s="1985"/>
      <c r="T802" s="2010">
        <f>IF(AK524&gt;5,5,AK524)</f>
        <v>0</v>
      </c>
      <c r="U802" s="2010"/>
      <c r="V802" s="2010"/>
      <c r="W802" s="2010"/>
      <c r="X802" s="2010"/>
      <c r="Y802" s="2010"/>
      <c r="Z802" s="1953">
        <v>5</v>
      </c>
      <c r="AA802" s="1953"/>
      <c r="AB802" s="1953"/>
      <c r="AC802" s="1953"/>
      <c r="AD802" s="1953"/>
      <c r="AE802" s="1953"/>
      <c r="AF802" s="1953">
        <f>IF(T802&gt;Z802,5,T802)</f>
        <v>0</v>
      </c>
      <c r="AG802" s="1953"/>
      <c r="AH802" s="1953"/>
      <c r="AI802" s="1953"/>
      <c r="AJ802" s="1953"/>
      <c r="AK802" s="1953"/>
      <c r="AL802" s="668"/>
      <c r="AM802" s="458"/>
      <c r="AO802" s="24"/>
      <c r="AP802" s="12"/>
      <c r="AQ802" s="12"/>
      <c r="AR802" s="12"/>
      <c r="AS802" s="12"/>
      <c r="AT802" s="12"/>
      <c r="AU802" s="12"/>
      <c r="AV802" s="12"/>
      <c r="AW802" s="12"/>
      <c r="AX802" s="12"/>
      <c r="AY802" s="12"/>
      <c r="AZ802" s="12"/>
      <c r="BA802" s="12"/>
      <c r="BB802" s="12"/>
      <c r="BC802" s="12"/>
      <c r="BD802" s="26"/>
      <c r="BE802" s="26"/>
      <c r="BF802" s="26"/>
      <c r="BG802" s="26"/>
      <c r="BH802" s="26"/>
      <c r="BI802" s="12"/>
      <c r="BJ802" s="12"/>
      <c r="BK802" s="12"/>
      <c r="BL802" s="12"/>
      <c r="BM802" s="12"/>
      <c r="BN802" s="12"/>
      <c r="BO802" s="12"/>
      <c r="BP802" s="12"/>
      <c r="BQ802" s="12"/>
      <c r="BR802" s="12"/>
      <c r="BS802" s="12"/>
      <c r="BT802" s="12"/>
      <c r="BU802" s="12"/>
      <c r="BV802" s="12"/>
      <c r="BW802" s="12"/>
      <c r="BX802" s="12"/>
      <c r="BY802" s="12"/>
      <c r="BZ802" s="12"/>
      <c r="CA802" s="12"/>
      <c r="CB802" s="12"/>
      <c r="CC802" s="12"/>
    </row>
    <row r="803" spans="1:81" s="403" customFormat="1" ht="13">
      <c r="A803" s="669" t="s">
        <v>2091</v>
      </c>
      <c r="B803" s="1984" t="s">
        <v>2380</v>
      </c>
      <c r="C803" s="1984"/>
      <c r="D803" s="1984"/>
      <c r="E803" s="1984"/>
      <c r="F803" s="1984"/>
      <c r="G803" s="1984"/>
      <c r="H803" s="1984"/>
      <c r="I803" s="1984"/>
      <c r="J803" s="1984"/>
      <c r="K803" s="1984"/>
      <c r="L803" s="1984"/>
      <c r="M803" s="1984"/>
      <c r="N803" s="1984"/>
      <c r="O803" s="1984"/>
      <c r="P803" s="1984"/>
      <c r="Q803" s="1984"/>
      <c r="R803" s="1984"/>
      <c r="S803" s="1985"/>
      <c r="T803" s="2010">
        <f>AK274</f>
        <v>10</v>
      </c>
      <c r="U803" s="2010"/>
      <c r="V803" s="2010"/>
      <c r="W803" s="2010"/>
      <c r="X803" s="2010"/>
      <c r="Y803" s="2010"/>
      <c r="Z803" s="1953">
        <v>10</v>
      </c>
      <c r="AA803" s="1953"/>
      <c r="AB803" s="1953"/>
      <c r="AC803" s="1953"/>
      <c r="AD803" s="1953"/>
      <c r="AE803" s="1953"/>
      <c r="AF803" s="2016">
        <f>IF(T803&gt;Z803,Z803,T803)</f>
        <v>10</v>
      </c>
      <c r="AG803" s="2017"/>
      <c r="AH803" s="2017"/>
      <c r="AI803" s="2017"/>
      <c r="AJ803" s="2017"/>
      <c r="AK803" s="2018"/>
      <c r="AL803" s="668"/>
      <c r="AM803" s="458"/>
      <c r="AO803" s="24"/>
      <c r="AP803" s="12"/>
      <c r="AQ803" s="12"/>
      <c r="AR803" s="12"/>
      <c r="AS803" s="12"/>
      <c r="AT803" s="12"/>
      <c r="AU803" s="12"/>
      <c r="AV803" s="12"/>
      <c r="AW803" s="12"/>
      <c r="AX803" s="12"/>
      <c r="AY803" s="12"/>
      <c r="AZ803" s="12"/>
      <c r="BA803" s="12"/>
      <c r="BB803" s="12"/>
      <c r="BC803" s="12"/>
      <c r="BD803" s="26"/>
      <c r="BE803" s="26"/>
      <c r="BF803" s="26"/>
      <c r="BG803" s="26"/>
      <c r="BH803" s="26"/>
      <c r="BI803" s="12"/>
      <c r="BJ803" s="12"/>
      <c r="BK803" s="12"/>
      <c r="BL803" s="12"/>
      <c r="BM803" s="12"/>
      <c r="BN803" s="12"/>
      <c r="BO803" s="12"/>
      <c r="BP803" s="12"/>
      <c r="BQ803" s="12"/>
      <c r="BR803" s="12"/>
      <c r="BS803" s="12"/>
      <c r="BT803" s="12"/>
      <c r="BU803" s="12"/>
      <c r="BV803" s="12"/>
      <c r="BW803" s="12"/>
      <c r="BX803" s="12"/>
      <c r="BY803" s="12"/>
      <c r="BZ803" s="12"/>
      <c r="CA803" s="12"/>
      <c r="CB803" s="12"/>
      <c r="CC803" s="12"/>
    </row>
    <row r="804" spans="1:81" s="403" customFormat="1" ht="13">
      <c r="A804" s="1214" t="s">
        <v>2095</v>
      </c>
      <c r="B804" s="1984" t="s">
        <v>2381</v>
      </c>
      <c r="C804" s="1984"/>
      <c r="D804" s="1984"/>
      <c r="E804" s="1984"/>
      <c r="F804" s="1984"/>
      <c r="G804" s="1984"/>
      <c r="H804" s="1984"/>
      <c r="I804" s="1984"/>
      <c r="J804" s="1984"/>
      <c r="K804" s="1984"/>
      <c r="L804" s="1984"/>
      <c r="M804" s="1984"/>
      <c r="N804" s="1984"/>
      <c r="O804" s="1984"/>
      <c r="P804" s="1984"/>
      <c r="Q804" s="1984"/>
      <c r="R804" s="1984"/>
      <c r="S804" s="1985"/>
      <c r="T804" s="2010">
        <f>AK327</f>
        <v>9</v>
      </c>
      <c r="U804" s="2010"/>
      <c r="V804" s="2010"/>
      <c r="W804" s="2010"/>
      <c r="X804" s="2010"/>
      <c r="Y804" s="2010"/>
      <c r="Z804" s="2016">
        <v>10</v>
      </c>
      <c r="AA804" s="2017"/>
      <c r="AB804" s="2017"/>
      <c r="AC804" s="2017"/>
      <c r="AD804" s="2017"/>
      <c r="AE804" s="2018"/>
      <c r="AF804" s="2016">
        <f>IF(T804&gt;Z804,Z804,T804)</f>
        <v>9</v>
      </c>
      <c r="AG804" s="2017"/>
      <c r="AH804" s="2017"/>
      <c r="AI804" s="2017"/>
      <c r="AJ804" s="2017"/>
      <c r="AK804" s="2018"/>
      <c r="AL804" s="408"/>
      <c r="AM804" s="458"/>
      <c r="AO804" s="24"/>
      <c r="AP804" s="12"/>
      <c r="AQ804" s="12"/>
      <c r="AR804" s="12"/>
      <c r="AS804" s="12"/>
      <c r="AT804" s="12"/>
      <c r="AU804" s="12"/>
      <c r="AV804" s="12"/>
      <c r="AW804" s="12"/>
      <c r="AX804" s="12"/>
      <c r="AY804" s="12"/>
      <c r="AZ804" s="12"/>
      <c r="BA804" s="12"/>
      <c r="BB804" s="12"/>
      <c r="BC804" s="12"/>
      <c r="BD804" s="26"/>
      <c r="BE804" s="26"/>
      <c r="BF804" s="26"/>
      <c r="BG804" s="26"/>
      <c r="BH804" s="26"/>
      <c r="BI804" s="12"/>
      <c r="BJ804" s="12"/>
      <c r="BK804" s="12"/>
      <c r="BL804" s="12"/>
      <c r="BM804" s="12"/>
      <c r="BN804" s="12"/>
      <c r="BO804" s="12"/>
      <c r="BP804" s="12"/>
      <c r="BQ804" s="12"/>
      <c r="BR804" s="12"/>
      <c r="BS804" s="12"/>
      <c r="BT804" s="12"/>
      <c r="BU804" s="12"/>
      <c r="BV804" s="12"/>
      <c r="BW804" s="12"/>
      <c r="BX804" s="12"/>
      <c r="BY804" s="12"/>
      <c r="BZ804" s="12"/>
      <c r="CA804" s="12"/>
      <c r="CB804" s="12"/>
      <c r="CC804" s="12"/>
    </row>
    <row r="805" spans="1:81" s="403" customFormat="1" ht="13" hidden="1">
      <c r="A805" s="1214"/>
      <c r="B805" s="1212"/>
      <c r="C805" s="670" t="s">
        <v>2382</v>
      </c>
      <c r="D805" s="671"/>
      <c r="E805" s="671"/>
      <c r="F805" s="671"/>
      <c r="G805" s="671"/>
      <c r="H805" s="671"/>
      <c r="I805" s="671"/>
      <c r="J805" s="671"/>
      <c r="K805" s="671"/>
      <c r="L805" s="671"/>
      <c r="M805" s="671"/>
      <c r="N805" s="671"/>
      <c r="O805" s="671"/>
      <c r="P805" s="671"/>
      <c r="Q805" s="671"/>
      <c r="R805" s="1212"/>
      <c r="S805" s="1213"/>
      <c r="T805" s="1886">
        <f>AK327</f>
        <v>9</v>
      </c>
      <c r="U805" s="1886"/>
      <c r="V805" s="1886"/>
      <c r="W805" s="1886"/>
      <c r="X805" s="1886"/>
      <c r="Y805" s="1886"/>
      <c r="Z805" s="1891">
        <v>20</v>
      </c>
      <c r="AA805" s="1892"/>
      <c r="AB805" s="1892"/>
      <c r="AC805" s="1892"/>
      <c r="AD805" s="1892"/>
      <c r="AE805" s="1893"/>
      <c r="AF805" s="2013"/>
      <c r="AG805" s="2013"/>
      <c r="AH805" s="2013"/>
      <c r="AI805" s="2013"/>
      <c r="AJ805" s="2013"/>
      <c r="AK805" s="2013"/>
      <c r="AL805" s="408"/>
      <c r="AM805" s="458"/>
      <c r="AO805" s="24"/>
      <c r="AP805" s="12"/>
      <c r="AQ805" s="12"/>
      <c r="AR805" s="12"/>
      <c r="AS805" s="12"/>
      <c r="AT805" s="12"/>
      <c r="AU805" s="12"/>
      <c r="AV805" s="12"/>
      <c r="AW805" s="12"/>
      <c r="AX805" s="12"/>
      <c r="AY805" s="12"/>
      <c r="AZ805" s="12"/>
      <c r="BA805" s="12"/>
      <c r="BB805" s="12"/>
      <c r="BC805" s="12"/>
      <c r="BD805" s="26"/>
      <c r="BE805" s="26"/>
      <c r="BF805" s="26"/>
      <c r="BG805" s="26"/>
      <c r="BH805" s="26"/>
      <c r="BI805" s="12"/>
      <c r="BJ805" s="12"/>
      <c r="BK805" s="12"/>
      <c r="BL805" s="12"/>
      <c r="BM805" s="12"/>
      <c r="BN805" s="12"/>
      <c r="BO805" s="12"/>
      <c r="BP805" s="12"/>
      <c r="BQ805" s="12"/>
      <c r="BR805" s="12"/>
      <c r="BS805" s="12"/>
      <c r="BT805" s="12"/>
      <c r="BU805" s="12"/>
      <c r="BV805" s="12"/>
      <c r="BW805" s="12"/>
      <c r="BX805" s="12"/>
      <c r="BY805" s="12"/>
      <c r="BZ805" s="12"/>
      <c r="CA805" s="12"/>
      <c r="CB805" s="12"/>
      <c r="CC805" s="12"/>
    </row>
    <row r="806" spans="1:81" s="403" customFormat="1" ht="13">
      <c r="A806" s="1214" t="s">
        <v>2125</v>
      </c>
      <c r="B806" s="1984" t="s">
        <v>2126</v>
      </c>
      <c r="C806" s="1984"/>
      <c r="D806" s="1984"/>
      <c r="E806" s="1984"/>
      <c r="F806" s="1984"/>
      <c r="G806" s="1984"/>
      <c r="H806" s="1984"/>
      <c r="I806" s="1984"/>
      <c r="J806" s="1984"/>
      <c r="K806" s="1984"/>
      <c r="L806" s="1984"/>
      <c r="M806" s="1984"/>
      <c r="N806" s="1984"/>
      <c r="O806" s="1984"/>
      <c r="P806" s="1984"/>
      <c r="Q806" s="1984"/>
      <c r="R806" s="1984"/>
      <c r="S806" s="1985"/>
      <c r="T806" s="2010">
        <f>AK458</f>
        <v>10</v>
      </c>
      <c r="U806" s="2010"/>
      <c r="V806" s="2010"/>
      <c r="W806" s="2010"/>
      <c r="X806" s="2010"/>
      <c r="Y806" s="2010"/>
      <c r="Z806" s="2016">
        <v>10</v>
      </c>
      <c r="AA806" s="2017"/>
      <c r="AB806" s="2017"/>
      <c r="AC806" s="2017"/>
      <c r="AD806" s="2017"/>
      <c r="AE806" s="2018"/>
      <c r="AF806" s="1953">
        <f>IF(T806&gt;Z806,Z806,T806)</f>
        <v>10</v>
      </c>
      <c r="AG806" s="1953"/>
      <c r="AH806" s="1953"/>
      <c r="AI806" s="1953"/>
      <c r="AJ806" s="1953"/>
      <c r="AK806" s="1953"/>
      <c r="AL806" s="408"/>
      <c r="AM806" s="458"/>
      <c r="AO806" s="24"/>
      <c r="AP806" s="12"/>
      <c r="AQ806" s="12"/>
      <c r="AR806" s="12"/>
      <c r="AS806" s="12"/>
      <c r="AT806" s="12"/>
      <c r="AU806" s="12"/>
      <c r="AV806" s="12"/>
      <c r="AW806" s="12"/>
      <c r="AX806" s="12"/>
      <c r="AY806" s="12"/>
      <c r="AZ806" s="12"/>
      <c r="BA806" s="12"/>
      <c r="BB806" s="12"/>
      <c r="BC806" s="12"/>
      <c r="BD806" s="26"/>
      <c r="BE806" s="26"/>
      <c r="BF806" s="26"/>
      <c r="BG806" s="26"/>
      <c r="BH806" s="26"/>
      <c r="BI806" s="12"/>
      <c r="BJ806" s="12"/>
      <c r="BK806" s="12"/>
      <c r="BL806" s="12"/>
      <c r="BM806" s="12"/>
      <c r="BN806" s="12"/>
      <c r="BO806" s="12"/>
      <c r="BP806" s="12"/>
      <c r="BQ806" s="12"/>
      <c r="BR806" s="12"/>
      <c r="BS806" s="12"/>
      <c r="BT806" s="12"/>
      <c r="BU806" s="12"/>
      <c r="BV806" s="12"/>
      <c r="BW806" s="12"/>
      <c r="BX806" s="12"/>
      <c r="BY806" s="12"/>
      <c r="BZ806" s="12"/>
      <c r="CA806" s="12"/>
      <c r="CB806" s="12"/>
      <c r="CC806" s="12"/>
    </row>
    <row r="807" spans="1:81" s="403" customFormat="1" ht="13">
      <c r="A807" s="1214" t="s">
        <v>2242</v>
      </c>
      <c r="B807" s="1984" t="s">
        <v>2243</v>
      </c>
      <c r="C807" s="1984"/>
      <c r="D807" s="1984"/>
      <c r="E807" s="1984"/>
      <c r="F807" s="1984"/>
      <c r="G807" s="1984"/>
      <c r="H807" s="1984"/>
      <c r="I807" s="1984"/>
      <c r="J807" s="1984"/>
      <c r="K807" s="1984"/>
      <c r="L807" s="1984"/>
      <c r="M807" s="1984"/>
      <c r="N807" s="1984"/>
      <c r="O807" s="1984"/>
      <c r="P807" s="1984"/>
      <c r="Q807" s="1984"/>
      <c r="R807" s="1984"/>
      <c r="S807" s="1985"/>
      <c r="T807" s="2010">
        <f>AK548</f>
        <v>12</v>
      </c>
      <c r="U807" s="2010"/>
      <c r="V807" s="2010"/>
      <c r="W807" s="2010"/>
      <c r="X807" s="2010"/>
      <c r="Y807" s="2010"/>
      <c r="Z807" s="2016">
        <v>12</v>
      </c>
      <c r="AA807" s="2017"/>
      <c r="AB807" s="2017"/>
      <c r="AC807" s="2017"/>
      <c r="AD807" s="2017"/>
      <c r="AE807" s="2018"/>
      <c r="AF807" s="1953">
        <f>IF(T807&gt;Z807,Z807,T807)</f>
        <v>12</v>
      </c>
      <c r="AG807" s="1953"/>
      <c r="AH807" s="1953"/>
      <c r="AI807" s="1953"/>
      <c r="AJ807" s="1953"/>
      <c r="AK807" s="1953"/>
      <c r="AL807" s="408"/>
      <c r="AM807" s="458"/>
      <c r="AO807" s="24"/>
      <c r="AP807" s="12"/>
      <c r="AQ807" s="12"/>
      <c r="AR807" s="12"/>
      <c r="AS807" s="12"/>
      <c r="AT807" s="12"/>
      <c r="AU807" s="12"/>
      <c r="AV807" s="12"/>
      <c r="AW807" s="12"/>
      <c r="AX807" s="12"/>
      <c r="AY807" s="12"/>
      <c r="AZ807" s="12"/>
      <c r="BA807" s="12"/>
      <c r="BB807" s="12"/>
      <c r="BC807" s="12"/>
      <c r="BD807" s="26"/>
      <c r="BE807" s="26"/>
      <c r="BF807" s="26"/>
      <c r="BG807" s="26"/>
      <c r="BH807" s="26"/>
      <c r="BI807" s="12"/>
      <c r="BJ807" s="12"/>
      <c r="BK807" s="12"/>
      <c r="BL807" s="12"/>
      <c r="BM807" s="12"/>
      <c r="BN807" s="12"/>
      <c r="BO807" s="12"/>
      <c r="BP807" s="12"/>
      <c r="BQ807" s="12"/>
      <c r="BR807" s="12"/>
      <c r="BS807" s="12"/>
      <c r="BT807" s="12"/>
      <c r="BU807" s="12"/>
      <c r="BV807" s="12"/>
      <c r="BW807" s="12"/>
      <c r="BX807" s="12"/>
      <c r="BY807" s="12"/>
      <c r="BZ807" s="12"/>
      <c r="CA807" s="12"/>
      <c r="CB807" s="12"/>
      <c r="CC807" s="12"/>
    </row>
    <row r="808" spans="1:81" s="403" customFormat="1" ht="13">
      <c r="A808" s="1214" t="s">
        <v>2383</v>
      </c>
      <c r="B808" s="1984" t="s">
        <v>2384</v>
      </c>
      <c r="C808" s="1984"/>
      <c r="D808" s="1984"/>
      <c r="E808" s="1984"/>
      <c r="F808" s="1984"/>
      <c r="G808" s="1984"/>
      <c r="H808" s="1984"/>
      <c r="I808" s="1984"/>
      <c r="J808" s="1984"/>
      <c r="K808" s="1984"/>
      <c r="L808" s="1984"/>
      <c r="M808" s="1984"/>
      <c r="N808" s="1984"/>
      <c r="O808" s="1984"/>
      <c r="P808" s="1984"/>
      <c r="Q808" s="1984"/>
      <c r="R808" s="1984"/>
      <c r="S808" s="1985"/>
      <c r="T808" s="2010">
        <f>AK783</f>
        <v>10</v>
      </c>
      <c r="U808" s="2010"/>
      <c r="V808" s="2010"/>
      <c r="W808" s="2010"/>
      <c r="X808" s="2010"/>
      <c r="Y808" s="2010"/>
      <c r="Z808" s="2016">
        <v>10</v>
      </c>
      <c r="AA808" s="2017"/>
      <c r="AB808" s="2017"/>
      <c r="AC808" s="2017"/>
      <c r="AD808" s="2017"/>
      <c r="AE808" s="2018"/>
      <c r="AF808" s="1953">
        <f>IF(T808&gt;Z808,Z808,T808)</f>
        <v>10</v>
      </c>
      <c r="AG808" s="1953"/>
      <c r="AH808" s="1953"/>
      <c r="AI808" s="1953"/>
      <c r="AJ808" s="1953"/>
      <c r="AK808" s="1953"/>
      <c r="AL808" s="408"/>
      <c r="AM808" s="458"/>
      <c r="AO808" s="24"/>
      <c r="AP808" s="12"/>
      <c r="AQ808" s="12"/>
      <c r="AR808" s="12"/>
      <c r="AS808" s="12"/>
      <c r="AT808" s="12"/>
      <c r="AU808" s="12"/>
      <c r="AV808" s="12"/>
      <c r="AW808" s="12"/>
      <c r="AX808" s="12"/>
      <c r="AY808" s="12"/>
      <c r="AZ808" s="12"/>
      <c r="BA808" s="12"/>
      <c r="BB808" s="12"/>
      <c r="BC808" s="12"/>
      <c r="BD808" s="26"/>
      <c r="BE808" s="26"/>
      <c r="BF808" s="26"/>
      <c r="BG808" s="26"/>
      <c r="BH808" s="26"/>
      <c r="BI808" s="12"/>
      <c r="BJ808" s="12"/>
      <c r="BK808" s="12"/>
      <c r="BL808" s="12"/>
      <c r="BM808" s="12"/>
      <c r="BN808" s="12"/>
      <c r="BO808" s="12"/>
      <c r="BP808" s="12"/>
      <c r="BQ808" s="12"/>
      <c r="BR808" s="12"/>
      <c r="BS808" s="12"/>
      <c r="BT808" s="12"/>
      <c r="BU808" s="12"/>
      <c r="BV808" s="12"/>
      <c r="BW808" s="12"/>
      <c r="BX808" s="12"/>
      <c r="BY808" s="12"/>
      <c r="BZ808" s="12"/>
      <c r="CA808" s="12"/>
      <c r="CB808" s="12"/>
      <c r="CC808" s="12"/>
    </row>
    <row r="809" spans="1:81" s="403" customFormat="1" ht="13">
      <c r="A809" s="2014" t="s">
        <v>2385</v>
      </c>
      <c r="B809" s="1984"/>
      <c r="C809" s="1984"/>
      <c r="D809" s="1984"/>
      <c r="E809" s="1984"/>
      <c r="F809" s="1984"/>
      <c r="G809" s="1984"/>
      <c r="H809" s="1984"/>
      <c r="I809" s="1984"/>
      <c r="J809" s="1984"/>
      <c r="K809" s="1984"/>
      <c r="L809" s="1984"/>
      <c r="M809" s="1984"/>
      <c r="N809" s="1984"/>
      <c r="O809" s="1984"/>
      <c r="P809" s="1984"/>
      <c r="Q809" s="1984"/>
      <c r="R809" s="1984"/>
      <c r="S809" s="1985"/>
      <c r="T809" s="2015"/>
      <c r="U809" s="2015"/>
      <c r="V809" s="2015"/>
      <c r="W809" s="2015"/>
      <c r="X809" s="2015"/>
      <c r="Y809" s="2015"/>
      <c r="Z809" s="1887" t="s">
        <v>2386</v>
      </c>
      <c r="AA809" s="1887"/>
      <c r="AB809" s="1887"/>
      <c r="AC809" s="1887"/>
      <c r="AD809" s="1887"/>
      <c r="AE809" s="1887"/>
      <c r="AF809" s="2016">
        <f>IF(T809&gt;0,T809,0)</f>
        <v>0</v>
      </c>
      <c r="AG809" s="2017"/>
      <c r="AH809" s="2017"/>
      <c r="AI809" s="2017"/>
      <c r="AJ809" s="2017"/>
      <c r="AK809" s="2018"/>
      <c r="AL809" s="1200"/>
      <c r="AM809" s="458"/>
      <c r="AO809" s="24"/>
      <c r="AP809" s="12"/>
      <c r="AQ809" s="12"/>
      <c r="AR809" s="12"/>
      <c r="AS809" s="12"/>
      <c r="AT809" s="12"/>
      <c r="AU809" s="12"/>
      <c r="AV809" s="12"/>
      <c r="AW809" s="12"/>
      <c r="AX809" s="12"/>
      <c r="AY809" s="12"/>
      <c r="AZ809" s="12"/>
      <c r="BA809" s="12"/>
      <c r="BB809" s="12"/>
      <c r="BC809" s="12"/>
      <c r="BD809" s="26"/>
      <c r="BE809" s="26"/>
      <c r="BF809" s="26"/>
      <c r="BG809" s="26"/>
      <c r="BH809" s="26"/>
      <c r="BI809" s="12"/>
      <c r="BJ809" s="12"/>
      <c r="BK809" s="12"/>
      <c r="BL809" s="12"/>
      <c r="BM809" s="12"/>
      <c r="BN809" s="12"/>
      <c r="BO809" s="12"/>
      <c r="BP809" s="12"/>
      <c r="BQ809" s="12"/>
      <c r="BR809" s="12"/>
      <c r="BS809" s="12"/>
      <c r="BT809" s="12"/>
      <c r="BU809" s="12"/>
      <c r="BV809" s="12"/>
      <c r="BW809" s="12"/>
      <c r="BX809" s="12"/>
      <c r="BY809" s="12"/>
      <c r="BZ809" s="12"/>
      <c r="CA809" s="12"/>
      <c r="CB809" s="12"/>
      <c r="CC809" s="12"/>
    </row>
    <row r="810" spans="1:81" s="403" customFormat="1" ht="15.5">
      <c r="A810" s="2019" t="s">
        <v>2387</v>
      </c>
      <c r="B810" s="2020"/>
      <c r="C810" s="2020"/>
      <c r="D810" s="2020"/>
      <c r="E810" s="2020"/>
      <c r="F810" s="2020"/>
      <c r="G810" s="2020"/>
      <c r="H810" s="2020"/>
      <c r="I810" s="2020"/>
      <c r="J810" s="2020"/>
      <c r="K810" s="2020"/>
      <c r="L810" s="2020"/>
      <c r="M810" s="2020"/>
      <c r="N810" s="2020"/>
      <c r="O810" s="2020"/>
      <c r="P810" s="2020"/>
      <c r="Q810" s="2020"/>
      <c r="R810" s="2020"/>
      <c r="S810" s="2020"/>
      <c r="T810" s="2020"/>
      <c r="U810" s="2020"/>
      <c r="V810" s="2020"/>
      <c r="W810" s="2020"/>
      <c r="X810" s="2020"/>
      <c r="Y810" s="2020"/>
      <c r="Z810" s="2020"/>
      <c r="AA810" s="2020"/>
      <c r="AB810" s="2020"/>
      <c r="AC810" s="2020"/>
      <c r="AD810" s="2020"/>
      <c r="AE810" s="2021"/>
      <c r="AF810" s="2025">
        <f>SUM(AF793:AK808)-AF809</f>
        <v>119</v>
      </c>
      <c r="AG810" s="2026"/>
      <c r="AH810" s="2026"/>
      <c r="AI810" s="2026"/>
      <c r="AJ810" s="2026"/>
      <c r="AK810" s="2027"/>
      <c r="AL810" s="672"/>
      <c r="AM810" s="418"/>
      <c r="AO810" s="24"/>
      <c r="AP810" s="12"/>
      <c r="AQ810" s="12"/>
      <c r="AR810" s="12"/>
      <c r="AS810" s="12"/>
      <c r="AT810" s="12"/>
      <c r="AU810" s="12"/>
      <c r="AV810" s="12"/>
      <c r="AW810" s="12"/>
      <c r="AX810" s="12"/>
      <c r="AY810" s="12"/>
      <c r="AZ810" s="12"/>
      <c r="BA810" s="12"/>
      <c r="BB810" s="12"/>
      <c r="BC810" s="12"/>
      <c r="BD810" s="26"/>
      <c r="BE810" s="26"/>
      <c r="BF810" s="26"/>
      <c r="BG810" s="26"/>
      <c r="BH810" s="26"/>
      <c r="BI810" s="12"/>
      <c r="BJ810" s="12"/>
      <c r="BK810" s="12"/>
      <c r="BL810" s="12"/>
      <c r="BM810" s="12"/>
      <c r="BN810" s="12"/>
      <c r="BO810" s="12"/>
      <c r="BP810" s="12"/>
      <c r="BQ810" s="12"/>
      <c r="BR810" s="12"/>
      <c r="BS810" s="12"/>
      <c r="BT810" s="12"/>
      <c r="BU810" s="12"/>
      <c r="BV810" s="12"/>
      <c r="BW810" s="12"/>
      <c r="BX810" s="12"/>
      <c r="BY810" s="12"/>
      <c r="BZ810" s="12"/>
      <c r="CA810" s="12"/>
      <c r="CB810" s="12"/>
      <c r="CC810" s="12"/>
    </row>
    <row r="811" spans="1:81" s="403" customFormat="1" ht="15.5">
      <c r="A811" s="2022"/>
      <c r="B811" s="2023"/>
      <c r="C811" s="2023"/>
      <c r="D811" s="2023"/>
      <c r="E811" s="2023"/>
      <c r="F811" s="2023"/>
      <c r="G811" s="2023"/>
      <c r="H811" s="2023"/>
      <c r="I811" s="2023"/>
      <c r="J811" s="2023"/>
      <c r="K811" s="2023"/>
      <c r="L811" s="2023"/>
      <c r="M811" s="2023"/>
      <c r="N811" s="2023"/>
      <c r="O811" s="2023"/>
      <c r="P811" s="2023"/>
      <c r="Q811" s="2023"/>
      <c r="R811" s="2023"/>
      <c r="S811" s="2023"/>
      <c r="T811" s="2023"/>
      <c r="U811" s="2023"/>
      <c r="V811" s="2023"/>
      <c r="W811" s="2023"/>
      <c r="X811" s="2023"/>
      <c r="Y811" s="2023"/>
      <c r="Z811" s="2023"/>
      <c r="AA811" s="2023"/>
      <c r="AB811" s="2023"/>
      <c r="AC811" s="2023"/>
      <c r="AD811" s="2023"/>
      <c r="AE811" s="2024"/>
      <c r="AF811" s="2028"/>
      <c r="AG811" s="2029"/>
      <c r="AH811" s="2029"/>
      <c r="AI811" s="2029"/>
      <c r="AJ811" s="2029"/>
      <c r="AK811" s="2030"/>
      <c r="AL811" s="672"/>
      <c r="AM811" s="418"/>
      <c r="AO811" s="24"/>
      <c r="AP811" s="12"/>
      <c r="AQ811" s="12"/>
      <c r="AR811" s="12"/>
      <c r="AS811" s="12"/>
      <c r="AT811" s="12"/>
      <c r="AU811" s="12"/>
      <c r="AV811" s="12"/>
      <c r="AW811" s="12"/>
      <c r="AX811" s="12"/>
      <c r="AY811" s="12"/>
      <c r="AZ811" s="12"/>
      <c r="BA811" s="12"/>
      <c r="BB811" s="12"/>
      <c r="BC811" s="12"/>
      <c r="BD811" s="26"/>
      <c r="BE811" s="26"/>
      <c r="BF811" s="26"/>
      <c r="BG811" s="26"/>
      <c r="BH811" s="26"/>
      <c r="BI811" s="12"/>
      <c r="BJ811" s="12"/>
      <c r="BK811" s="12"/>
      <c r="BL811" s="12"/>
      <c r="BM811" s="12"/>
      <c r="BN811" s="12"/>
      <c r="BO811" s="12"/>
      <c r="BP811" s="12"/>
      <c r="BQ811" s="12"/>
      <c r="BR811" s="12"/>
      <c r="BS811" s="12"/>
      <c r="BT811" s="12"/>
      <c r="BU811" s="12"/>
      <c r="BV811" s="12"/>
      <c r="BW811" s="12"/>
      <c r="BX811" s="12"/>
      <c r="BY811" s="12"/>
      <c r="BZ811" s="12"/>
      <c r="CA811" s="12"/>
      <c r="CB811" s="12"/>
      <c r="CC811" s="12"/>
    </row>
    <row r="812" spans="1:81" s="403" customFormat="1">
      <c r="A812" s="520"/>
      <c r="B812" s="520"/>
      <c r="C812" s="520"/>
      <c r="D812" s="520"/>
      <c r="E812" s="520"/>
      <c r="F812" s="520"/>
      <c r="G812" s="520"/>
      <c r="H812" s="520"/>
      <c r="I812" s="520"/>
      <c r="J812" s="520"/>
      <c r="K812" s="520"/>
      <c r="L812" s="520"/>
      <c r="M812" s="520"/>
      <c r="N812" s="520"/>
      <c r="O812" s="520"/>
      <c r="P812" s="520"/>
      <c r="Q812" s="520"/>
      <c r="R812" s="520"/>
      <c r="S812" s="520"/>
      <c r="T812" s="520"/>
      <c r="U812" s="520"/>
      <c r="V812" s="520"/>
      <c r="W812" s="520"/>
      <c r="X812" s="520"/>
      <c r="Y812" s="520"/>
      <c r="Z812" s="520"/>
      <c r="AA812" s="520"/>
      <c r="AB812" s="520"/>
      <c r="AC812" s="520"/>
      <c r="AD812" s="520"/>
      <c r="AE812" s="520"/>
      <c r="AF812" s="520"/>
      <c r="AG812" s="520"/>
      <c r="AH812" s="520"/>
      <c r="AI812" s="520"/>
      <c r="AJ812" s="520"/>
      <c r="AK812" s="520"/>
      <c r="AL812" s="520"/>
      <c r="AM812" s="673"/>
      <c r="AO812" s="24"/>
      <c r="AP812" s="12"/>
      <c r="AQ812" s="12"/>
      <c r="AR812" s="12"/>
      <c r="AS812" s="12"/>
      <c r="AT812" s="12"/>
      <c r="AU812" s="12"/>
      <c r="AV812" s="12"/>
      <c r="AW812" s="12"/>
      <c r="AX812" s="12"/>
      <c r="AY812" s="12"/>
      <c r="AZ812" s="12"/>
      <c r="BA812" s="12"/>
      <c r="BB812" s="12"/>
      <c r="BC812" s="12"/>
      <c r="BD812" s="26"/>
      <c r="BE812" s="26"/>
      <c r="BF812" s="26"/>
      <c r="BG812" s="26"/>
      <c r="BH812" s="26"/>
      <c r="BI812" s="12"/>
      <c r="BJ812" s="12"/>
      <c r="BK812" s="12"/>
      <c r="BL812" s="12"/>
      <c r="BM812" s="12"/>
      <c r="BN812" s="12"/>
      <c r="BO812" s="12"/>
      <c r="BP812" s="12"/>
      <c r="BQ812" s="12"/>
      <c r="BR812" s="12"/>
      <c r="BS812" s="12"/>
      <c r="BT812" s="12"/>
      <c r="BU812" s="12"/>
      <c r="BV812" s="12"/>
      <c r="BW812" s="12"/>
      <c r="BX812" s="12"/>
      <c r="BY812" s="12"/>
      <c r="BZ812" s="12"/>
      <c r="CA812" s="12"/>
      <c r="CB812" s="12"/>
      <c r="CC812" s="12"/>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91" workbookViewId="0">
      <selection activeCell="G116" sqref="G116"/>
    </sheetView>
  </sheetViews>
  <sheetFormatPr defaultColWidth="9.1796875" defaultRowHeight="14"/>
  <cols>
    <col min="1" max="1" width="2.453125" style="849" customWidth="1"/>
    <col min="2" max="9" width="14.7265625" style="849" customWidth="1"/>
    <col min="10" max="10" width="2.26953125" style="849" customWidth="1"/>
    <col min="11" max="11" width="11.81640625" style="850" customWidth="1"/>
    <col min="12" max="12" width="10.7265625" style="849" customWidth="1"/>
    <col min="13" max="13" width="10.453125" style="849" customWidth="1"/>
    <col min="14" max="14" width="10.81640625" style="849" customWidth="1"/>
    <col min="15" max="16384" width="9.1796875" style="849"/>
  </cols>
  <sheetData>
    <row r="1" spans="1:13" ht="30" customHeight="1">
      <c r="A1" s="2078" t="s">
        <v>2388</v>
      </c>
      <c r="B1" s="2078"/>
      <c r="C1" s="2078"/>
      <c r="D1" s="2078"/>
      <c r="E1" s="2078"/>
      <c r="F1" s="2078"/>
      <c r="G1" s="2078"/>
      <c r="H1" s="2078"/>
      <c r="I1" s="2078"/>
      <c r="J1" s="2078"/>
    </row>
    <row r="2" spans="1:13" ht="15" customHeight="1" thickBot="1">
      <c r="A2" s="851"/>
      <c r="B2" s="851"/>
      <c r="I2" s="852"/>
      <c r="K2" s="853"/>
    </row>
    <row r="3" spans="1:13" s="856" customFormat="1" ht="20.25" customHeight="1">
      <c r="A3" s="909"/>
      <c r="B3" s="910"/>
      <c r="C3" s="911"/>
      <c r="D3" s="916"/>
      <c r="E3" s="911"/>
      <c r="F3" s="912" t="s">
        <v>2389</v>
      </c>
      <c r="G3" s="911"/>
      <c r="H3" s="913">
        <f>E16</f>
        <v>20364912</v>
      </c>
      <c r="I3" s="914"/>
    </row>
    <row r="4" spans="1:13" s="856" customFormat="1" ht="20.25" customHeight="1">
      <c r="B4" s="903"/>
      <c r="D4" s="917"/>
      <c r="F4" s="901" t="s">
        <v>2390</v>
      </c>
      <c r="G4" s="900" t="s">
        <v>2391</v>
      </c>
      <c r="H4" s="902">
        <f>I16</f>
        <v>23418018.5</v>
      </c>
      <c r="I4" s="904"/>
      <c r="K4" s="860"/>
    </row>
    <row r="5" spans="1:13" s="856" customFormat="1" ht="20.25" customHeight="1" thickBot="1">
      <c r="B5" s="905"/>
      <c r="C5" s="906"/>
      <c r="D5" s="918"/>
      <c r="E5" s="907"/>
      <c r="F5" s="918" t="s">
        <v>2392</v>
      </c>
      <c r="G5" s="919"/>
      <c r="H5" s="915">
        <f>H3/H4</f>
        <v>0.86962575420290145</v>
      </c>
      <c r="I5" s="908"/>
      <c r="K5" s="860"/>
    </row>
    <row r="6" spans="1:13" s="856" customFormat="1" ht="15" customHeight="1">
      <c r="B6" s="857"/>
      <c r="C6" s="858"/>
      <c r="F6" s="859"/>
      <c r="K6" s="860"/>
    </row>
    <row r="7" spans="1:13" s="856" customFormat="1" ht="15" customHeight="1">
      <c r="E7" s="861"/>
      <c r="F7" s="859"/>
      <c r="K7" s="862"/>
    </row>
    <row r="8" spans="1:13" s="856" customFormat="1" ht="15" customHeight="1">
      <c r="A8" s="863"/>
      <c r="B8" s="2080" t="s">
        <v>2393</v>
      </c>
      <c r="C8" s="2081"/>
      <c r="D8" s="2081"/>
      <c r="E8" s="2082"/>
      <c r="G8" s="2083" t="s">
        <v>2394</v>
      </c>
      <c r="H8" s="2084"/>
      <c r="I8" s="2085"/>
      <c r="K8" s="862"/>
    </row>
    <row r="9" spans="1:13" ht="15" customHeight="1">
      <c r="A9" s="851"/>
      <c r="B9" s="2079" t="s">
        <v>2395</v>
      </c>
      <c r="C9" s="2079"/>
      <c r="D9" s="2079"/>
      <c r="E9" s="864">
        <f>G31</f>
        <v>3362500</v>
      </c>
      <c r="G9" s="2088" t="s">
        <v>2396</v>
      </c>
      <c r="H9" s="2088"/>
      <c r="I9" s="865">
        <f>Application!AM554</f>
        <v>22460019</v>
      </c>
      <c r="K9" s="866"/>
      <c r="M9" s="867"/>
    </row>
    <row r="10" spans="1:13" ht="15" customHeight="1" thickBot="1">
      <c r="A10" s="851"/>
      <c r="B10" s="2079" t="s">
        <v>2397</v>
      </c>
      <c r="C10" s="2079"/>
      <c r="D10" s="2079"/>
      <c r="E10" s="865">
        <f>G40</f>
        <v>14888412.000000002</v>
      </c>
      <c r="G10" s="2088" t="s">
        <v>2398</v>
      </c>
      <c r="H10" s="2088"/>
      <c r="I10" s="950">
        <f>'Basis &amp; Credits'!AB78</f>
        <v>5090591</v>
      </c>
      <c r="M10" s="867"/>
    </row>
    <row r="11" spans="1:13" ht="15" customHeight="1">
      <c r="A11" s="868"/>
      <c r="B11" s="2079" t="s">
        <v>2399</v>
      </c>
      <c r="C11" s="2079"/>
      <c r="D11" s="2079"/>
      <c r="E11" s="865">
        <f>G49</f>
        <v>0</v>
      </c>
      <c r="G11" s="2088" t="s">
        <v>2400</v>
      </c>
      <c r="H11" s="2088"/>
      <c r="I11" s="949">
        <f>I9+I10</f>
        <v>27550610</v>
      </c>
      <c r="M11" s="867"/>
    </row>
    <row r="12" spans="1:13" ht="15" customHeight="1">
      <c r="A12" s="854"/>
      <c r="B12" s="2079" t="s">
        <v>2401</v>
      </c>
      <c r="C12" s="2079"/>
      <c r="D12" s="2079"/>
      <c r="E12" s="865">
        <f>G58</f>
        <v>500000</v>
      </c>
      <c r="G12" s="951" t="s">
        <v>2402</v>
      </c>
      <c r="H12" s="952"/>
      <c r="M12" s="867"/>
    </row>
    <row r="13" spans="1:13" ht="15" customHeight="1">
      <c r="A13" s="851"/>
      <c r="B13" s="2079" t="s">
        <v>2403</v>
      </c>
      <c r="C13" s="2079"/>
      <c r="D13" s="2079"/>
      <c r="E13" s="870">
        <f>G83</f>
        <v>1614000</v>
      </c>
      <c r="G13" s="2089" t="s">
        <v>1817</v>
      </c>
      <c r="H13" s="2089"/>
      <c r="I13" s="869">
        <f>15%*(AND(G111="Yes",G113&lt;&gt;""))</f>
        <v>0.15</v>
      </c>
      <c r="M13" s="867"/>
    </row>
    <row r="14" spans="1:13" ht="15" customHeight="1">
      <c r="A14" s="851"/>
      <c r="B14" s="2079" t="s">
        <v>2404</v>
      </c>
      <c r="C14" s="2079"/>
      <c r="D14" s="2079"/>
      <c r="E14" s="865">
        <f>IF(G96&gt;G106,G96,0)</f>
        <v>0</v>
      </c>
      <c r="G14" s="1215" t="s">
        <v>2405</v>
      </c>
      <c r="H14" s="1215"/>
      <c r="I14" s="869">
        <f>IF(Application!AJ1031&gt;0,10%,IF(Application!AJ1035&gt;0,5%,0))</f>
        <v>0</v>
      </c>
      <c r="M14" s="867"/>
    </row>
    <row r="15" spans="1:13" ht="15" customHeight="1" thickBot="1">
      <c r="A15" s="851"/>
      <c r="B15" s="2086" t="s">
        <v>2406</v>
      </c>
      <c r="C15" s="2086"/>
      <c r="D15" s="2086"/>
      <c r="E15" s="920">
        <f>IF(E14&gt;0,0,G106)</f>
        <v>0</v>
      </c>
      <c r="G15" s="2092" t="s">
        <v>2407</v>
      </c>
      <c r="H15" s="2093"/>
      <c r="I15" s="922">
        <f>G123</f>
        <v>0</v>
      </c>
      <c r="M15" s="867"/>
    </row>
    <row r="16" spans="1:13" ht="15" customHeight="1">
      <c r="A16" s="851"/>
      <c r="B16" s="2087" t="s">
        <v>2408</v>
      </c>
      <c r="C16" s="2087"/>
      <c r="D16" s="2087"/>
      <c r="E16" s="921">
        <f>SUM(E9:E15)</f>
        <v>20364912</v>
      </c>
      <c r="G16" s="948" t="s">
        <v>2409</v>
      </c>
      <c r="H16" s="948"/>
      <c r="I16" s="923">
        <f>I11-((I11*I13)+(I11*I14)+(I11*I15))</f>
        <v>23418018.5</v>
      </c>
    </row>
    <row r="17" spans="1:20" ht="15" customHeight="1">
      <c r="A17" s="851"/>
      <c r="B17" s="851"/>
      <c r="E17" s="871"/>
      <c r="H17" s="872"/>
      <c r="I17" s="873"/>
    </row>
    <row r="18" spans="1:20" ht="15" customHeight="1">
      <c r="B18" s="874" t="str">
        <f>B9</f>
        <v>A. Unit Production Benefit</v>
      </c>
      <c r="C18" s="875"/>
      <c r="D18" s="875"/>
      <c r="E18" s="875"/>
      <c r="F18" s="875"/>
      <c r="G18" s="875"/>
      <c r="H18" s="875"/>
      <c r="I18" s="876"/>
      <c r="M18" s="871">
        <f>SUM(Cdlac[Quantity])</f>
        <v>52</v>
      </c>
      <c r="O18" s="894" t="s">
        <v>983</v>
      </c>
      <c r="P18" s="849">
        <f>MATCH(Application!T189,Application!BV490:BV547,0)</f>
        <v>35</v>
      </c>
      <c r="S18" s="871">
        <f>SUM(Cdlac[Population])</f>
        <v>0</v>
      </c>
    </row>
    <row r="19" spans="1:20" ht="15" customHeight="1">
      <c r="A19" s="851"/>
      <c r="B19" s="851"/>
      <c r="I19" s="877"/>
      <c r="L19" s="849" t="s">
        <v>2410</v>
      </c>
      <c r="M19" s="849" t="s">
        <v>2411</v>
      </c>
      <c r="N19" s="849" t="s">
        <v>2412</v>
      </c>
      <c r="O19" s="849" t="s">
        <v>2413</v>
      </c>
      <c r="P19" s="849" t="s">
        <v>2414</v>
      </c>
      <c r="Q19" s="849" t="s">
        <v>2415</v>
      </c>
      <c r="R19" s="849" t="s">
        <v>2416</v>
      </c>
      <c r="S19" s="849" t="s">
        <v>2417</v>
      </c>
      <c r="T19" s="849" t="s">
        <v>1047</v>
      </c>
    </row>
    <row r="20" spans="1:20" ht="15" customHeight="1">
      <c r="A20" s="854"/>
      <c r="C20" s="2090" t="s">
        <v>2418</v>
      </c>
      <c r="D20" s="2090" t="s">
        <v>2419</v>
      </c>
      <c r="E20" s="2090" t="s">
        <v>2420</v>
      </c>
      <c r="F20" s="2090" t="s">
        <v>2421</v>
      </c>
      <c r="G20" s="2090" t="s">
        <v>2422</v>
      </c>
      <c r="H20" s="878"/>
      <c r="I20" s="877"/>
      <c r="L20" s="849">
        <f>IFERROR(MIN(4,MATCH(Application!B718,UnitSizes,0)-1),"")</f>
        <v>1</v>
      </c>
      <c r="M20" s="871">
        <f>Application!G718</f>
        <v>6</v>
      </c>
      <c r="N20" s="879">
        <f>Application!AC718</f>
        <v>0.6</v>
      </c>
      <c r="O20" s="879">
        <f>IF(Cdlac[[#This Row],[Quantity]]&gt;0,IF(Cdlac[[#This Row],[Federal]],30%,IF($G$36,40%,Cdlac[[#This Row],[iAMI]])),"")</f>
        <v>0.6</v>
      </c>
      <c r="P20" s="871" cm="1">
        <f t="array" ref="P20">IF(Cdlac[[#This Row],[Quantity]]&gt;0,INDEX(TcacRents,$P$18,Cdlac[[#This Row],[Bedrooms]]+1)*Cdlac[[#This Row],[AMI]],"")</f>
        <v>1377.6</v>
      </c>
      <c r="Q20" s="871" cm="1">
        <f t="array" ref="Q20">IF(Cdlac[[#This Row],[Quantity]]&gt;0,INDEX(HudFmrs,$P$18,Cdlac[[#This Row],[Bedrooms]]+1),"")</f>
        <v>1917</v>
      </c>
      <c r="R20" s="871">
        <f>IF(Cdlac[[#This Row],[Quantity]]&gt;0,MAX(0,Cdlac[[#This Row],[Fair Market Rent]]-Cdlac[[#This Row],[Restricted Rent]]),"")</f>
        <v>539.40000000000009</v>
      </c>
      <c r="S20" s="849">
        <f>IF(Cdlac[[#This Row],[Quantity]]&gt;0,AND(Application!AK718&lt;&gt;"N/A",Application!AK718&lt;&gt;"")*Cdlac[[#This Row],[Quantity]],"")</f>
        <v>0</v>
      </c>
      <c r="T20" s="849" t="b">
        <f>AND('Subsidy Contract Calculation'!F4&gt;0,'Subsidy Contract Calculation'!C4="Federal",Cdlac[[#This Row],[Quantity]]&gt;0)</f>
        <v>0</v>
      </c>
    </row>
    <row r="21" spans="1:20" ht="15" customHeight="1">
      <c r="A21" s="854"/>
      <c r="C21" s="2091"/>
      <c r="D21" s="2091"/>
      <c r="E21" s="2091"/>
      <c r="F21" s="2091"/>
      <c r="G21" s="2091"/>
      <c r="H21" s="878"/>
      <c r="I21" s="877"/>
      <c r="L21" s="849">
        <f>IFERROR(MIN(4,MATCH(Application!B719,UnitSizes,0)-1),"")</f>
        <v>2</v>
      </c>
      <c r="M21" s="871">
        <f>Application!G719</f>
        <v>14</v>
      </c>
      <c r="N21" s="879">
        <f>Application!AC719</f>
        <v>0.6</v>
      </c>
      <c r="O21" s="879">
        <f>IF(Cdlac[[#This Row],[Quantity]]&gt;0,IF(Cdlac[[#This Row],[Federal]],30%,IF($G$36,40%,Cdlac[[#This Row],[iAMI]])),"")</f>
        <v>0.6</v>
      </c>
      <c r="P21" s="871" cm="1">
        <f t="array" ref="P21">IF(Cdlac[[#This Row],[Quantity]]&gt;0,INDEX(TcacRents,$P$18,Cdlac[[#This Row],[Bedrooms]]+1)*Cdlac[[#This Row],[AMI]],"")</f>
        <v>1652.3999999999999</v>
      </c>
      <c r="Q21" s="871" cm="1">
        <f t="array" ref="Q21">IF(Cdlac[[#This Row],[Quantity]]&gt;0,INDEX(HudFmrs,$P$18,Cdlac[[#This Row],[Bedrooms]]+1),"")</f>
        <v>2519</v>
      </c>
      <c r="R21" s="871">
        <f>IF(Cdlac[[#This Row],[Quantity]]&gt;0,MAX(0,Cdlac[[#This Row],[Fair Market Rent]]-Cdlac[[#This Row],[Restricted Rent]]),"")</f>
        <v>866.60000000000014</v>
      </c>
      <c r="S21" s="849">
        <f>IF(Cdlac[[#This Row],[Quantity]]&gt;0,AND(Application!AK719&lt;&gt;"N/A",Application!AK719&lt;&gt;"")*Cdlac[[#This Row],[Quantity]],"")</f>
        <v>0</v>
      </c>
      <c r="T21" s="849" t="b">
        <f>AND('Subsidy Contract Calculation'!F5&gt;0,'Subsidy Contract Calculation'!C5="Federal",Cdlac[[#This Row],[Quantity]]&gt;0)</f>
        <v>0</v>
      </c>
    </row>
    <row r="22" spans="1:20" ht="15" customHeight="1">
      <c r="C22" s="880">
        <v>0</v>
      </c>
      <c r="D22" s="881">
        <v>0.9</v>
      </c>
      <c r="E22" s="880">
        <f>SUMIFS(Cdlac[Quantity],Cdlac[Bedrooms],C22)</f>
        <v>0</v>
      </c>
      <c r="F22" s="880">
        <f>E22</f>
        <v>0</v>
      </c>
      <c r="G22" s="880">
        <f>D22*F22</f>
        <v>0</v>
      </c>
      <c r="L22" s="849">
        <f>IFERROR(MIN(4,MATCH(Application!B720,UnitSizes,0)-1),"")</f>
        <v>2</v>
      </c>
      <c r="M22" s="871">
        <f>Application!G720</f>
        <v>10</v>
      </c>
      <c r="N22" s="879">
        <f>Application!AC720</f>
        <v>0.3</v>
      </c>
      <c r="O22" s="879">
        <f>IF(Cdlac[[#This Row],[Quantity]]&gt;0,IF(Cdlac[[#This Row],[Federal]],30%,IF($G$36,40%,Cdlac[[#This Row],[iAMI]])),"")</f>
        <v>0.3</v>
      </c>
      <c r="P22" s="871" cm="1">
        <f t="array" ref="P22">IF(Cdlac[[#This Row],[Quantity]]&gt;0,INDEX(TcacRents,$P$18,Cdlac[[#This Row],[Bedrooms]]+1)*Cdlac[[#This Row],[AMI]],"")</f>
        <v>826.19999999999993</v>
      </c>
      <c r="Q22" s="871" cm="1">
        <f t="array" ref="Q22">IF(Cdlac[[#This Row],[Quantity]]&gt;0,INDEX(HudFmrs,$P$18,Cdlac[[#This Row],[Bedrooms]]+1),"")</f>
        <v>2519</v>
      </c>
      <c r="R22" s="871">
        <f>IF(Cdlac[[#This Row],[Quantity]]&gt;0,MAX(0,Cdlac[[#This Row],[Fair Market Rent]]-Cdlac[[#This Row],[Restricted Rent]]),"")</f>
        <v>1692.8000000000002</v>
      </c>
      <c r="S22" s="849">
        <f>IF(Cdlac[[#This Row],[Quantity]]&gt;0,AND(Application!AK720&lt;&gt;"N/A",Application!AK720&lt;&gt;"")*Cdlac[[#This Row],[Quantity]],"")</f>
        <v>0</v>
      </c>
      <c r="T22" s="849" t="b">
        <f>AND('Subsidy Contract Calculation'!F6&gt;0,'Subsidy Contract Calculation'!C6="Federal",Cdlac[[#This Row],[Quantity]]&gt;0)</f>
        <v>1</v>
      </c>
    </row>
    <row r="23" spans="1:20" ht="15" customHeight="1">
      <c r="C23" s="880">
        <v>1</v>
      </c>
      <c r="D23" s="881">
        <v>1</v>
      </c>
      <c r="E23" s="880">
        <f>SUMIFS(Cdlac[Quantity],Cdlac[Bedrooms],C23)</f>
        <v>6</v>
      </c>
      <c r="F23" s="880">
        <f>E23</f>
        <v>6</v>
      </c>
      <c r="G23" s="880">
        <f>D23*F23</f>
        <v>6</v>
      </c>
      <c r="L23" s="849">
        <f>IFERROR(MIN(4,MATCH(Application!B721,UnitSizes,0)-1),"")</f>
        <v>3</v>
      </c>
      <c r="M23" s="871">
        <f>Application!G721</f>
        <v>7</v>
      </c>
      <c r="N23" s="879">
        <f>Application!AC721</f>
        <v>0.6</v>
      </c>
      <c r="O23" s="879">
        <f>IF(Cdlac[[#This Row],[Quantity]]&gt;0,IF(Cdlac[[#This Row],[Federal]],30%,IF($G$36,40%,Cdlac[[#This Row],[iAMI]])),"")</f>
        <v>0.6</v>
      </c>
      <c r="P23" s="871" cm="1">
        <f t="array" ref="P23">IF(Cdlac[[#This Row],[Quantity]]&gt;0,INDEX(TcacRents,$P$18,Cdlac[[#This Row],[Bedrooms]]+1)*Cdlac[[#This Row],[AMI]],"")</f>
        <v>1909.1999999999998</v>
      </c>
      <c r="Q23" s="871" cm="1">
        <f t="array" ref="Q23">IF(Cdlac[[#This Row],[Quantity]]&gt;0,INDEX(HudFmrs,$P$18,Cdlac[[#This Row],[Bedrooms]]+1),"")</f>
        <v>3550</v>
      </c>
      <c r="R23" s="871">
        <f>IF(Cdlac[[#This Row],[Quantity]]&gt;0,MAX(0,Cdlac[[#This Row],[Fair Market Rent]]-Cdlac[[#This Row],[Restricted Rent]]),"")</f>
        <v>1640.8000000000002</v>
      </c>
      <c r="S23" s="849">
        <f>IF(Cdlac[[#This Row],[Quantity]]&gt;0,AND(Application!AK721&lt;&gt;"N/A",Application!AK721&lt;&gt;"")*Cdlac[[#This Row],[Quantity]],"")</f>
        <v>0</v>
      </c>
      <c r="T23" s="849" t="b">
        <f>AND('Subsidy Contract Calculation'!F7&gt;0,'Subsidy Contract Calculation'!C7="Federal",Cdlac[[#This Row],[Quantity]]&gt;0)</f>
        <v>0</v>
      </c>
    </row>
    <row r="24" spans="1:20" ht="15" customHeight="1">
      <c r="A24" s="882"/>
      <c r="C24" s="883">
        <v>2</v>
      </c>
      <c r="D24" s="881">
        <v>1.25</v>
      </c>
      <c r="E24" s="880">
        <f>SUMIFS(Cdlac[Quantity],Cdlac[Bedrooms],C24)</f>
        <v>24</v>
      </c>
      <c r="F24" s="883">
        <f>SUM(E24:E26)-SUM(F25:F26)</f>
        <v>31</v>
      </c>
      <c r="G24" s="880">
        <f>D24*F24</f>
        <v>38.75</v>
      </c>
      <c r="H24" s="882"/>
      <c r="I24" s="882"/>
      <c r="L24" s="849">
        <f>IFERROR(MIN(4,MATCH(Application!B722,UnitSizes,0)-1),"")</f>
        <v>3</v>
      </c>
      <c r="M24" s="871">
        <f>Application!G722</f>
        <v>15</v>
      </c>
      <c r="N24" s="879">
        <f>Application!AC722</f>
        <v>0.3</v>
      </c>
      <c r="O24" s="879">
        <f>IF(Cdlac[[#This Row],[Quantity]]&gt;0,IF(Cdlac[[#This Row],[Federal]],30%,IF($G$36,40%,Cdlac[[#This Row],[iAMI]])),"")</f>
        <v>0.3</v>
      </c>
      <c r="P24" s="871" cm="1">
        <f t="array" ref="P24">IF(Cdlac[[#This Row],[Quantity]]&gt;0,INDEX(TcacRents,$P$18,Cdlac[[#This Row],[Bedrooms]]+1)*Cdlac[[#This Row],[AMI]],"")</f>
        <v>954.59999999999991</v>
      </c>
      <c r="Q24" s="871" cm="1">
        <f t="array" ref="Q24">IF(Cdlac[[#This Row],[Quantity]]&gt;0,INDEX(HudFmrs,$P$18,Cdlac[[#This Row],[Bedrooms]]+1),"")</f>
        <v>3550</v>
      </c>
      <c r="R24" s="871">
        <f>IF(Cdlac[[#This Row],[Quantity]]&gt;0,MAX(0,Cdlac[[#This Row],[Fair Market Rent]]-Cdlac[[#This Row],[Restricted Rent]]),"")</f>
        <v>2595.4</v>
      </c>
      <c r="S24" s="849">
        <f>IF(Cdlac[[#This Row],[Quantity]]&gt;0,AND(Application!AK722&lt;&gt;"N/A",Application!AK722&lt;&gt;"")*Cdlac[[#This Row],[Quantity]],"")</f>
        <v>0</v>
      </c>
      <c r="T24" s="849" t="b">
        <f>AND('Subsidy Contract Calculation'!F8&gt;0,'Subsidy Contract Calculation'!C8="Federal",Cdlac[[#This Row],[Quantity]]&gt;0)</f>
        <v>1</v>
      </c>
    </row>
    <row r="25" spans="1:20" ht="15" customHeight="1">
      <c r="A25" s="882"/>
      <c r="C25" s="883">
        <v>3</v>
      </c>
      <c r="D25" s="881">
        <f>1.5+0.25*0</f>
        <v>1.5</v>
      </c>
      <c r="E25" s="880">
        <f>SUMIFS(Cdlac[Quantity],Cdlac[Bedrooms],C25)</f>
        <v>22</v>
      </c>
      <c r="F25" s="883">
        <f>MIN(E25,ROUNDDOWN(E27*30%,0))</f>
        <v>15</v>
      </c>
      <c r="G25" s="880">
        <f>D25*F25</f>
        <v>22.5</v>
      </c>
      <c r="H25" s="882"/>
      <c r="I25" s="882"/>
      <c r="L25" s="849" t="str">
        <f>IFERROR(MIN(4,MATCH(Application!B723,UnitSizes,0)-1),"")</f>
        <v/>
      </c>
      <c r="M25" s="871">
        <f>Application!G723</f>
        <v>0</v>
      </c>
      <c r="N25" s="879">
        <f>Application!AC723</f>
        <v>0</v>
      </c>
      <c r="O25" s="879" t="str">
        <f>IF(Cdlac[[#This Row],[Quantity]]&gt;0,IF(Cdlac[[#This Row],[Federal]],30%,IF($G$36,40%,Cdlac[[#This Row],[iAMI]])),"")</f>
        <v/>
      </c>
      <c r="P25" s="871" t="str" cm="1">
        <f t="array" ref="P25">IF(Cdlac[[#This Row],[Quantity]]&gt;0,INDEX(TcacRents,$P$18,Cdlac[[#This Row],[Bedrooms]]+1)*Cdlac[[#This Row],[AMI]],"")</f>
        <v/>
      </c>
      <c r="Q25" s="871" t="str" cm="1">
        <f t="array" ref="Q25">IF(Cdlac[[#This Row],[Quantity]]&gt;0,INDEX(HudFmrs,$P$18,Cdlac[[#This Row],[Bedrooms]]+1),"")</f>
        <v/>
      </c>
      <c r="R25" s="871" t="str">
        <f>IF(Cdlac[[#This Row],[Quantity]]&gt;0,MAX(0,Cdlac[[#This Row],[Fair Market Rent]]-Cdlac[[#This Row],[Restricted Rent]]),"")</f>
        <v/>
      </c>
      <c r="S25" s="849" t="str">
        <f>IF(Cdlac[[#This Row],[Quantity]]&gt;0,AND(Application!AK723&lt;&gt;"N/A",Application!AK723&lt;&gt;"")*Cdlac[[#This Row],[Quantity]],"")</f>
        <v/>
      </c>
      <c r="T25" s="849" t="b">
        <f>AND('Subsidy Contract Calculation'!F9&gt;0,'Subsidy Contract Calculation'!C9="Federal",Cdlac[[#This Row],[Quantity]]&gt;0)</f>
        <v>0</v>
      </c>
    </row>
    <row r="26" spans="1:20" ht="15" customHeight="1" thickBot="1">
      <c r="A26" s="882"/>
      <c r="C26" s="895">
        <v>4</v>
      </c>
      <c r="D26" s="896">
        <f>1.75+0.25*0</f>
        <v>1.75</v>
      </c>
      <c r="E26" s="897">
        <f>SUMIFS(Cdlac[Quantity],Cdlac[Bedrooms],C26)</f>
        <v>0</v>
      </c>
      <c r="F26" s="895">
        <f>MIN(E26,ROUNDDOWN(E27*10%,0))</f>
        <v>0</v>
      </c>
      <c r="G26" s="897">
        <f>D26*F26</f>
        <v>0</v>
      </c>
      <c r="H26" s="882"/>
      <c r="I26" s="882"/>
      <c r="L26" s="849" t="str">
        <f>IFERROR(MIN(4,MATCH(Application!B724,UnitSizes,0)-1),"")</f>
        <v/>
      </c>
      <c r="M26" s="871">
        <f>Application!G724</f>
        <v>0</v>
      </c>
      <c r="N26" s="879">
        <f>Application!AC724</f>
        <v>0</v>
      </c>
      <c r="O26" s="879" t="str">
        <f>IF(Cdlac[[#This Row],[Quantity]]&gt;0,IF(Cdlac[[#This Row],[Federal]],30%,IF($G$36,40%,Cdlac[[#This Row],[iAMI]])),"")</f>
        <v/>
      </c>
      <c r="P26" s="871" t="str" cm="1">
        <f t="array" ref="P26">IF(Cdlac[[#This Row],[Quantity]]&gt;0,INDEX(TcacRents,$P$18,Cdlac[[#This Row],[Bedrooms]]+1)*Cdlac[[#This Row],[AMI]],"")</f>
        <v/>
      </c>
      <c r="Q26" s="871" t="str" cm="1">
        <f t="array" ref="Q26">IF(Cdlac[[#This Row],[Quantity]]&gt;0,INDEX(HudFmrs,$P$18,Cdlac[[#This Row],[Bedrooms]]+1),"")</f>
        <v/>
      </c>
      <c r="R26" s="871" t="str">
        <f>IF(Cdlac[[#This Row],[Quantity]]&gt;0,MAX(0,Cdlac[[#This Row],[Fair Market Rent]]-Cdlac[[#This Row],[Restricted Rent]]),"")</f>
        <v/>
      </c>
      <c r="S26" s="849" t="str">
        <f>IF(Cdlac[[#This Row],[Quantity]]&gt;0,AND(Application!AK724&lt;&gt;"N/A",Application!AK724&lt;&gt;"")*Cdlac[[#This Row],[Quantity]],"")</f>
        <v/>
      </c>
      <c r="T26" s="849" t="b">
        <f>AND('Subsidy Contract Calculation'!F10&gt;0,'Subsidy Contract Calculation'!C10="Federal",Cdlac[[#This Row],[Quantity]]&gt;0)</f>
        <v>0</v>
      </c>
    </row>
    <row r="27" spans="1:20" ht="15" customHeight="1">
      <c r="A27" s="882"/>
      <c r="C27" s="2074" t="s">
        <v>2423</v>
      </c>
      <c r="D27" s="2075"/>
      <c r="E27" s="898">
        <f>SUM(E22:E26)</f>
        <v>52</v>
      </c>
      <c r="F27" s="898">
        <f>SUM(F22:F26)</f>
        <v>52</v>
      </c>
      <c r="G27" s="899">
        <f>SUMPRODUCT(D22:D26,F22:F26)</f>
        <v>67.25</v>
      </c>
      <c r="H27" s="882"/>
      <c r="I27" s="882"/>
      <c r="L27" s="849" t="str">
        <f>IFERROR(MIN(4,MATCH(Application!B725,UnitSizes,0)-1),"")</f>
        <v/>
      </c>
      <c r="M27" s="871">
        <f>Application!G725</f>
        <v>0</v>
      </c>
      <c r="N27" s="879">
        <f>Application!AC725</f>
        <v>0</v>
      </c>
      <c r="O27" s="879" t="str">
        <f>IF(Cdlac[[#This Row],[Quantity]]&gt;0,IF(Cdlac[[#This Row],[Federal]],30%,IF($G$36,40%,Cdlac[[#This Row],[iAMI]])),"")</f>
        <v/>
      </c>
      <c r="P27" s="871" t="str" cm="1">
        <f t="array" ref="P27">IF(Cdlac[[#This Row],[Quantity]]&gt;0,INDEX(TcacRents,$P$18,Cdlac[[#This Row],[Bedrooms]]+1)*Cdlac[[#This Row],[AMI]],"")</f>
        <v/>
      </c>
      <c r="Q27" s="871" t="str" cm="1">
        <f t="array" ref="Q27">IF(Cdlac[[#This Row],[Quantity]]&gt;0,INDEX(HudFmrs,$P$18,Cdlac[[#This Row],[Bedrooms]]+1),"")</f>
        <v/>
      </c>
      <c r="R27" s="871" t="str">
        <f>IF(Cdlac[[#This Row],[Quantity]]&gt;0,MAX(0,Cdlac[[#This Row],[Fair Market Rent]]-Cdlac[[#This Row],[Restricted Rent]]),"")</f>
        <v/>
      </c>
      <c r="S27" s="849" t="str">
        <f>IF(Cdlac[[#This Row],[Quantity]]&gt;0,AND(Application!AK725&lt;&gt;"N/A",Application!AK725&lt;&gt;"")*Cdlac[[#This Row],[Quantity]],"")</f>
        <v/>
      </c>
      <c r="T27" s="849" t="b">
        <f>AND('Subsidy Contract Calculation'!F11&gt;0,'Subsidy Contract Calculation'!C11="Federal",Cdlac[[#This Row],[Quantity]]&gt;0)</f>
        <v>0</v>
      </c>
    </row>
    <row r="28" spans="1:20" ht="15" customHeight="1">
      <c r="A28" s="882"/>
      <c r="C28" s="882"/>
      <c r="D28" s="882"/>
      <c r="E28" s="882"/>
      <c r="F28" s="882"/>
      <c r="G28" s="882"/>
      <c r="H28" s="882"/>
      <c r="I28" s="882"/>
      <c r="L28" s="849" t="str">
        <f>IFERROR(MIN(4,MATCH(Application!B726,UnitSizes,0)-1),"")</f>
        <v/>
      </c>
      <c r="M28" s="871">
        <f>Application!G726</f>
        <v>0</v>
      </c>
      <c r="N28" s="879">
        <f>Application!AC726</f>
        <v>0</v>
      </c>
      <c r="O28" s="879" t="str">
        <f>IF(Cdlac[[#This Row],[Quantity]]&gt;0,IF(Cdlac[[#This Row],[Federal]],30%,IF($G$36,40%,Cdlac[[#This Row],[iAMI]])),"")</f>
        <v/>
      </c>
      <c r="P28" s="871" t="str" cm="1">
        <f t="array" ref="P28">IF(Cdlac[[#This Row],[Quantity]]&gt;0,INDEX(TcacRents,$P$18,Cdlac[[#This Row],[Bedrooms]]+1)*Cdlac[[#This Row],[AMI]],"")</f>
        <v/>
      </c>
      <c r="Q28" s="871" t="str" cm="1">
        <f t="array" ref="Q28">IF(Cdlac[[#This Row],[Quantity]]&gt;0,INDEX(HudFmrs,$P$18,Cdlac[[#This Row],[Bedrooms]]+1),"")</f>
        <v/>
      </c>
      <c r="R28" s="871" t="str">
        <f>IF(Cdlac[[#This Row],[Quantity]]&gt;0,MAX(0,Cdlac[[#This Row],[Fair Market Rent]]-Cdlac[[#This Row],[Restricted Rent]]),"")</f>
        <v/>
      </c>
      <c r="S28" s="849" t="str">
        <f>IF(Cdlac[[#This Row],[Quantity]]&gt;0,AND(Application!AK726&lt;&gt;"N/A",Application!AK726&lt;&gt;"")*Cdlac[[#This Row],[Quantity]],"")</f>
        <v/>
      </c>
      <c r="T28" s="849" t="b">
        <f>AND('Subsidy Contract Calculation'!F12&gt;0,'Subsidy Contract Calculation'!C12="Federal",Cdlac[[#This Row],[Quantity]]&gt;0)</f>
        <v>0</v>
      </c>
    </row>
    <row r="29" spans="1:20" ht="15" customHeight="1">
      <c r="A29" s="882"/>
      <c r="E29" s="928" t="s">
        <v>2422</v>
      </c>
      <c r="G29" s="925">
        <f>G27</f>
        <v>67.25</v>
      </c>
      <c r="H29" s="882"/>
      <c r="I29" s="882"/>
      <c r="L29" s="849" t="str">
        <f>IFERROR(MIN(4,MATCH(Application!B727,UnitSizes,0)-1),"")</f>
        <v/>
      </c>
      <c r="M29" s="871">
        <f>Application!G727</f>
        <v>0</v>
      </c>
      <c r="N29" s="879">
        <f>Application!AC727</f>
        <v>0</v>
      </c>
      <c r="O29" s="879" t="str">
        <f>IF(Cdlac[[#This Row],[Quantity]]&gt;0,IF(Cdlac[[#This Row],[Federal]],30%,IF($G$36,40%,Cdlac[[#This Row],[iAMI]])),"")</f>
        <v/>
      </c>
      <c r="P29" s="871" t="str" cm="1">
        <f t="array" ref="P29">IF(Cdlac[[#This Row],[Quantity]]&gt;0,INDEX(TcacRents,$P$18,Cdlac[[#This Row],[Bedrooms]]+1)*Cdlac[[#This Row],[AMI]],"")</f>
        <v/>
      </c>
      <c r="Q29" s="871" t="str" cm="1">
        <f t="array" ref="Q29">IF(Cdlac[[#This Row],[Quantity]]&gt;0,INDEX(HudFmrs,$P$18,Cdlac[[#This Row],[Bedrooms]]+1),"")</f>
        <v/>
      </c>
      <c r="R29" s="871" t="str">
        <f>IF(Cdlac[[#This Row],[Quantity]]&gt;0,MAX(0,Cdlac[[#This Row],[Fair Market Rent]]-Cdlac[[#This Row],[Restricted Rent]]),"")</f>
        <v/>
      </c>
      <c r="S29" s="849" t="str">
        <f>IF(Cdlac[[#This Row],[Quantity]]&gt;0,AND(Application!AK727&lt;&gt;"N/A",Application!AK727&lt;&gt;"")*Cdlac[[#This Row],[Quantity]],"")</f>
        <v/>
      </c>
      <c r="T29" s="849" t="b">
        <f>AND('Subsidy Contract Calculation'!F13&gt;0,'Subsidy Contract Calculation'!C13="Federal",Cdlac[[#This Row],[Quantity]]&gt;0)</f>
        <v>0</v>
      </c>
    </row>
    <row r="30" spans="1:20" ht="15" customHeight="1">
      <c r="A30" s="882"/>
      <c r="E30" s="928" t="s">
        <v>2424</v>
      </c>
      <c r="F30" s="924" t="s">
        <v>2425</v>
      </c>
      <c r="G30" s="926">
        <v>50000</v>
      </c>
      <c r="H30" s="882"/>
      <c r="I30" s="882"/>
      <c r="L30" s="849" t="str">
        <f>IFERROR(MIN(4,MATCH(Application!B728,UnitSizes,0)-1),"")</f>
        <v/>
      </c>
      <c r="M30" s="871">
        <f>Application!G728</f>
        <v>0</v>
      </c>
      <c r="N30" s="879">
        <f>Application!AC728</f>
        <v>0</v>
      </c>
      <c r="O30" s="879" t="str">
        <f>IF(Cdlac[[#This Row],[Quantity]]&gt;0,IF(Cdlac[[#This Row],[Federal]],30%,IF($G$36,40%,Cdlac[[#This Row],[iAMI]])),"")</f>
        <v/>
      </c>
      <c r="P30" s="871" t="str" cm="1">
        <f t="array" ref="P30">IF(Cdlac[[#This Row],[Quantity]]&gt;0,INDEX(TcacRents,$P$18,Cdlac[[#This Row],[Bedrooms]]+1)*Cdlac[[#This Row],[AMI]],"")</f>
        <v/>
      </c>
      <c r="Q30" s="871" t="str" cm="1">
        <f t="array" ref="Q30">IF(Cdlac[[#This Row],[Quantity]]&gt;0,INDEX(HudFmrs,$P$18,Cdlac[[#This Row],[Bedrooms]]+1),"")</f>
        <v/>
      </c>
      <c r="R30" s="871" t="str">
        <f>IF(Cdlac[[#This Row],[Quantity]]&gt;0,MAX(0,Cdlac[[#This Row],[Fair Market Rent]]-Cdlac[[#This Row],[Restricted Rent]]),"")</f>
        <v/>
      </c>
      <c r="S30" s="849" t="str">
        <f>IF(Cdlac[[#This Row],[Quantity]]&gt;0,AND(Application!AK728&lt;&gt;"N/A",Application!AK728&lt;&gt;"")*Cdlac[[#This Row],[Quantity]],"")</f>
        <v/>
      </c>
      <c r="T30" s="849" t="b">
        <f>AND('Subsidy Contract Calculation'!F14&gt;0,'Subsidy Contract Calculation'!C14="Federal",Cdlac[[#This Row],[Quantity]]&gt;0)</f>
        <v>0</v>
      </c>
    </row>
    <row r="31" spans="1:20" ht="15" customHeight="1">
      <c r="A31" s="882"/>
      <c r="E31" s="929" t="s">
        <v>2426</v>
      </c>
      <c r="F31" s="851"/>
      <c r="G31" s="930">
        <f>G30*G29</f>
        <v>3362500</v>
      </c>
      <c r="H31" s="882"/>
      <c r="I31" s="882"/>
      <c r="L31" s="849" t="str">
        <f>IFERROR(MIN(4,MATCH(Application!B729,UnitSizes,0)-1),"")</f>
        <v/>
      </c>
      <c r="M31" s="871">
        <f>Application!G729</f>
        <v>0</v>
      </c>
      <c r="N31" s="879">
        <f>Application!AC729</f>
        <v>0</v>
      </c>
      <c r="O31" s="879" t="str">
        <f>IF(Cdlac[[#This Row],[Quantity]]&gt;0,IF(Cdlac[[#This Row],[Federal]],30%,IF($G$36,40%,Cdlac[[#This Row],[iAMI]])),"")</f>
        <v/>
      </c>
      <c r="P31" s="871" t="str" cm="1">
        <f t="array" ref="P31">IF(Cdlac[[#This Row],[Quantity]]&gt;0,INDEX(TcacRents,$P$18,Cdlac[[#This Row],[Bedrooms]]+1)*Cdlac[[#This Row],[AMI]],"")</f>
        <v/>
      </c>
      <c r="Q31" s="871" t="str" cm="1">
        <f t="array" ref="Q31">IF(Cdlac[[#This Row],[Quantity]]&gt;0,INDEX(HudFmrs,$P$18,Cdlac[[#This Row],[Bedrooms]]+1),"")</f>
        <v/>
      </c>
      <c r="R31" s="871" t="str">
        <f>IF(Cdlac[[#This Row],[Quantity]]&gt;0,MAX(0,Cdlac[[#This Row],[Fair Market Rent]]-Cdlac[[#This Row],[Restricted Rent]]),"")</f>
        <v/>
      </c>
      <c r="S31" s="849" t="str">
        <f>IF(Cdlac[[#This Row],[Quantity]]&gt;0,AND(Application!AK729&lt;&gt;"N/A",Application!AK729&lt;&gt;"")*Cdlac[[#This Row],[Quantity]],"")</f>
        <v/>
      </c>
      <c r="T31" s="849" t="b">
        <f>AND('Subsidy Contract Calculation'!F15&gt;0,'Subsidy Contract Calculation'!C15="Federal",Cdlac[[#This Row],[Quantity]]&gt;0)</f>
        <v>0</v>
      </c>
    </row>
    <row r="32" spans="1:20" ht="15" customHeight="1">
      <c r="A32" s="882"/>
      <c r="B32" s="882"/>
      <c r="C32" s="882"/>
      <c r="D32" s="882"/>
      <c r="E32" s="882"/>
      <c r="F32" s="882"/>
      <c r="G32" s="882"/>
      <c r="H32" s="882"/>
      <c r="I32" s="882"/>
      <c r="L32" s="849" t="str">
        <f>IFERROR(MIN(4,MATCH(Application!B730,UnitSizes,0)-1),"")</f>
        <v/>
      </c>
      <c r="M32" s="871">
        <f>Application!G730</f>
        <v>0</v>
      </c>
      <c r="N32" s="879">
        <f>Application!AC730</f>
        <v>0</v>
      </c>
      <c r="O32" s="879" t="str">
        <f>IF(Cdlac[[#This Row],[Quantity]]&gt;0,IF(Cdlac[[#This Row],[Federal]],30%,IF($G$36,40%,Cdlac[[#This Row],[iAMI]])),"")</f>
        <v/>
      </c>
      <c r="P32" s="871" t="str" cm="1">
        <f t="array" ref="P32">IF(Cdlac[[#This Row],[Quantity]]&gt;0,INDEX(TcacRents,$P$18,Cdlac[[#This Row],[Bedrooms]]+1)*Cdlac[[#This Row],[AMI]],"")</f>
        <v/>
      </c>
      <c r="Q32" s="871" t="str" cm="1">
        <f t="array" ref="Q32">IF(Cdlac[[#This Row],[Quantity]]&gt;0,INDEX(HudFmrs,$P$18,Cdlac[[#This Row],[Bedrooms]]+1),"")</f>
        <v/>
      </c>
      <c r="R32" s="871" t="str">
        <f>IF(Cdlac[[#This Row],[Quantity]]&gt;0,MAX(0,Cdlac[[#This Row],[Fair Market Rent]]-Cdlac[[#This Row],[Restricted Rent]]),"")</f>
        <v/>
      </c>
      <c r="S32" s="849" t="str">
        <f>IF(Cdlac[[#This Row],[Quantity]]&gt;0,AND(Application!AK730&lt;&gt;"N/A",Application!AK730&lt;&gt;"")*Cdlac[[#This Row],[Quantity]],"")</f>
        <v/>
      </c>
      <c r="T32" s="849" t="b">
        <f>AND('Subsidy Contract Calculation'!F16&gt;0,'Subsidy Contract Calculation'!C16="Federal",Cdlac[[#This Row],[Quantity]]&gt;0)</f>
        <v>0</v>
      </c>
    </row>
    <row r="33" spans="2:20" ht="15" customHeight="1">
      <c r="B33" s="874" t="str">
        <f>B10</f>
        <v>B. Rent Savings Benefit</v>
      </c>
      <c r="C33" s="875"/>
      <c r="D33" s="875"/>
      <c r="E33" s="875"/>
      <c r="F33" s="875"/>
      <c r="G33" s="875"/>
      <c r="H33" s="875"/>
      <c r="I33" s="876"/>
      <c r="L33" s="849" t="str">
        <f>IFERROR(MIN(4,MATCH(Application!B731,UnitSizes,0)-1),"")</f>
        <v/>
      </c>
      <c r="M33" s="871">
        <f>Application!G731</f>
        <v>0</v>
      </c>
      <c r="N33" s="879">
        <f>Application!AC731</f>
        <v>0</v>
      </c>
      <c r="O33" s="879" t="str">
        <f>IF(Cdlac[[#This Row],[Quantity]]&gt;0,IF(Cdlac[[#This Row],[Federal]],30%,IF($G$36,40%,Cdlac[[#This Row],[iAMI]])),"")</f>
        <v/>
      </c>
      <c r="P33" s="871" t="str" cm="1">
        <f t="array" ref="P33">IF(Cdlac[[#This Row],[Quantity]]&gt;0,INDEX(TcacRents,$P$18,Cdlac[[#This Row],[Bedrooms]]+1)*Cdlac[[#This Row],[AMI]],"")</f>
        <v/>
      </c>
      <c r="Q33" s="871" t="str" cm="1">
        <f t="array" ref="Q33">IF(Cdlac[[#This Row],[Quantity]]&gt;0,INDEX(HudFmrs,$P$18,Cdlac[[#This Row],[Bedrooms]]+1),"")</f>
        <v/>
      </c>
      <c r="R33" s="871" t="str">
        <f>IF(Cdlac[[#This Row],[Quantity]]&gt;0,MAX(0,Cdlac[[#This Row],[Fair Market Rent]]-Cdlac[[#This Row],[Restricted Rent]]),"")</f>
        <v/>
      </c>
      <c r="S33" s="849" t="str">
        <f>IF(Cdlac[[#This Row],[Quantity]]&gt;0,AND(Application!AK731&lt;&gt;"N/A",Application!AK731&lt;&gt;"")*Cdlac[[#This Row],[Quantity]],"")</f>
        <v/>
      </c>
      <c r="T33" s="849" t="b">
        <f>AND('Subsidy Contract Calculation'!F17&gt;0,'Subsidy Contract Calculation'!C17="Federal",Cdlac[[#This Row],[Quantity]]&gt;0)</f>
        <v>0</v>
      </c>
    </row>
    <row r="34" spans="2:20" ht="15" customHeight="1">
      <c r="L34" s="849" t="str">
        <f>IFERROR(MIN(4,MATCH(Application!B732,UnitSizes,0)-1),"")</f>
        <v/>
      </c>
      <c r="M34" s="871">
        <f>Application!G732</f>
        <v>0</v>
      </c>
      <c r="N34" s="879">
        <f>Application!AC732</f>
        <v>0</v>
      </c>
      <c r="O34" s="879" t="str">
        <f>IF(Cdlac[[#This Row],[Quantity]]&gt;0,IF(Cdlac[[#This Row],[Federal]],30%,IF($G$36,40%,Cdlac[[#This Row],[iAMI]])),"")</f>
        <v/>
      </c>
      <c r="P34" s="871" t="str" cm="1">
        <f t="array" ref="P34">IF(Cdlac[[#This Row],[Quantity]]&gt;0,INDEX(TcacRents,$P$18,Cdlac[[#This Row],[Bedrooms]]+1)*Cdlac[[#This Row],[AMI]],"")</f>
        <v/>
      </c>
      <c r="Q34" s="871" t="str" cm="1">
        <f t="array" ref="Q34">IF(Cdlac[[#This Row],[Quantity]]&gt;0,INDEX(HudFmrs,$P$18,Cdlac[[#This Row],[Bedrooms]]+1),"")</f>
        <v/>
      </c>
      <c r="R34" s="871" t="str">
        <f>IF(Cdlac[[#This Row],[Quantity]]&gt;0,MAX(0,Cdlac[[#This Row],[Fair Market Rent]]-Cdlac[[#This Row],[Restricted Rent]]),"")</f>
        <v/>
      </c>
      <c r="S34" s="849" t="str">
        <f>IF(Cdlac[[#This Row],[Quantity]]&gt;0,AND(Application!AK732&lt;&gt;"N/A",Application!AK732&lt;&gt;"")*Cdlac[[#This Row],[Quantity]],"")</f>
        <v/>
      </c>
      <c r="T34" s="849" t="b">
        <f>AND('Subsidy Contract Calculation'!F18&gt;0,'Subsidy Contract Calculation'!C18="Federal",Cdlac[[#This Row],[Quantity]]&gt;0)</f>
        <v>0</v>
      </c>
    </row>
    <row r="35" spans="2:20" ht="15" customHeight="1">
      <c r="E35" s="894" t="s">
        <v>2427</v>
      </c>
      <c r="G35" s="931" cm="1">
        <f t="array" ref="G35">SUMPRODUCT(Cdlac[Quantity],Cdlac[iAMI],IF(Cdlac[Federal],0,1))/SUMIFS(Cdlac[Quantity],Cdlac[Federal],FALSE)</f>
        <v>0.6</v>
      </c>
      <c r="L35" s="849" t="str">
        <f>IFERROR(MIN(4,MATCH(Application!B733,UnitSizes,0)-1),"")</f>
        <v/>
      </c>
      <c r="M35" s="871">
        <f>Application!G733</f>
        <v>0</v>
      </c>
      <c r="N35" s="879">
        <f>Application!AC733</f>
        <v>0</v>
      </c>
      <c r="O35" s="879" t="str">
        <f>IF(Cdlac[[#This Row],[Quantity]]&gt;0,IF(Cdlac[[#This Row],[Federal]],30%,IF($G$36,40%,Cdlac[[#This Row],[iAMI]])),"")</f>
        <v/>
      </c>
      <c r="P35" s="871" t="str" cm="1">
        <f t="array" ref="P35">IF(Cdlac[[#This Row],[Quantity]]&gt;0,INDEX(TcacRents,$P$18,Cdlac[[#This Row],[Bedrooms]]+1)*Cdlac[[#This Row],[AMI]],"")</f>
        <v/>
      </c>
      <c r="Q35" s="871" t="str" cm="1">
        <f t="array" ref="Q35">IF(Cdlac[[#This Row],[Quantity]]&gt;0,INDEX(HudFmrs,$P$18,Cdlac[[#This Row],[Bedrooms]]+1),"")</f>
        <v/>
      </c>
      <c r="R35" s="871" t="str">
        <f>IF(Cdlac[[#This Row],[Quantity]]&gt;0,MAX(0,Cdlac[[#This Row],[Fair Market Rent]]-Cdlac[[#This Row],[Restricted Rent]]),"")</f>
        <v/>
      </c>
      <c r="S35" s="849" t="str">
        <f>IF(Cdlac[[#This Row],[Quantity]]&gt;0,AND(Application!AK733&lt;&gt;"N/A",Application!AK733&lt;&gt;"")*Cdlac[[#This Row],[Quantity]],"")</f>
        <v/>
      </c>
      <c r="T35" s="849" t="b">
        <f>AND('Subsidy Contract Calculation'!F19&gt;0,'Subsidy Contract Calculation'!C19="Federal",Cdlac[[#This Row],[Quantity]]&gt;0)</f>
        <v>0</v>
      </c>
    </row>
    <row r="36" spans="2:20" ht="15" customHeight="1">
      <c r="E36" s="894" t="s">
        <v>2428</v>
      </c>
      <c r="G36" s="889" t="b">
        <f>G35&lt;40%</f>
        <v>0</v>
      </c>
      <c r="L36" s="849" t="str">
        <f>IFERROR(MIN(4,MATCH(Application!B734,UnitSizes,0)-1),"")</f>
        <v/>
      </c>
      <c r="M36" s="871">
        <f>Application!G734</f>
        <v>0</v>
      </c>
      <c r="N36" s="879">
        <f>Application!AC734</f>
        <v>0</v>
      </c>
      <c r="O36" s="879" t="str">
        <f>IF(Cdlac[[#This Row],[Quantity]]&gt;0,IF(Cdlac[[#This Row],[Federal]],30%,IF($G$36,40%,Cdlac[[#This Row],[iAMI]])),"")</f>
        <v/>
      </c>
      <c r="P36" s="871" t="str" cm="1">
        <f t="array" ref="P36">IF(Cdlac[[#This Row],[Quantity]]&gt;0,INDEX(TcacRents,$P$18,Cdlac[[#This Row],[Bedrooms]]+1)*Cdlac[[#This Row],[AMI]],"")</f>
        <v/>
      </c>
      <c r="Q36" s="871" t="str" cm="1">
        <f t="array" ref="Q36">IF(Cdlac[[#This Row],[Quantity]]&gt;0,INDEX(HudFmrs,$P$18,Cdlac[[#This Row],[Bedrooms]]+1),"")</f>
        <v/>
      </c>
      <c r="R36" s="871" t="str">
        <f>IF(Cdlac[[#This Row],[Quantity]]&gt;0,MAX(0,Cdlac[[#This Row],[Fair Market Rent]]-Cdlac[[#This Row],[Restricted Rent]]),"")</f>
        <v/>
      </c>
      <c r="S36" s="849" t="str">
        <f>IF(Cdlac[[#This Row],[Quantity]]&gt;0,AND(Application!AK734&lt;&gt;"N/A",Application!AK734&lt;&gt;"")*Cdlac[[#This Row],[Quantity]],"")</f>
        <v/>
      </c>
      <c r="T36" s="849" t="b">
        <f>AND('Subsidy Contract Calculation'!F20&gt;0,'Subsidy Contract Calculation'!C20="Federal",Cdlac[[#This Row],[Quantity]]&gt;0)</f>
        <v>0</v>
      </c>
    </row>
    <row r="37" spans="2:20" ht="15" customHeight="1">
      <c r="L37" s="849" t="str">
        <f>IFERROR(MIN(4,MATCH(Application!B735,UnitSizes,0)-1),"")</f>
        <v/>
      </c>
      <c r="M37" s="871">
        <f>Application!G735</f>
        <v>0</v>
      </c>
      <c r="N37" s="879">
        <f>Application!AC735</f>
        <v>0</v>
      </c>
      <c r="O37" s="879" t="str">
        <f>IF(Cdlac[[#This Row],[Quantity]]&gt;0,IF(Cdlac[[#This Row],[Federal]],30%,IF($G$36,40%,Cdlac[[#This Row],[iAMI]])),"")</f>
        <v/>
      </c>
      <c r="P37" s="871" t="str" cm="1">
        <f t="array" ref="P37">IF(Cdlac[[#This Row],[Quantity]]&gt;0,INDEX(TcacRents,$P$18,Cdlac[[#This Row],[Bedrooms]]+1)*Cdlac[[#This Row],[AMI]],"")</f>
        <v/>
      </c>
      <c r="Q37" s="871" t="str" cm="1">
        <f t="array" ref="Q37">IF(Cdlac[[#This Row],[Quantity]]&gt;0,INDEX(HudFmrs,$P$18,Cdlac[[#This Row],[Bedrooms]]+1),"")</f>
        <v/>
      </c>
      <c r="R37" s="871" t="str">
        <f>IF(Cdlac[[#This Row],[Quantity]]&gt;0,MAX(0,Cdlac[[#This Row],[Fair Market Rent]]-Cdlac[[#This Row],[Restricted Rent]]),"")</f>
        <v/>
      </c>
      <c r="S37" s="849" t="str">
        <f>IF(Cdlac[[#This Row],[Quantity]]&gt;0,AND(Application!AK735&lt;&gt;"N/A",Application!AK735&lt;&gt;"")*Cdlac[[#This Row],[Quantity]],"")</f>
        <v/>
      </c>
      <c r="T37" s="849" t="b">
        <f>AND('Subsidy Contract Calculation'!F21&gt;0,'Subsidy Contract Calculation'!C21="Federal",Cdlac[[#This Row],[Quantity]]&gt;0)</f>
        <v>0</v>
      </c>
    </row>
    <row r="38" spans="2:20" ht="15" customHeight="1">
      <c r="E38" s="894" t="s">
        <v>2429</v>
      </c>
      <c r="G38" s="886">
        <f>SUMPRODUCT(Cdlac[Quantity],Cdlac[Delta])</f>
        <v>82713.400000000009</v>
      </c>
      <c r="L38" s="849" t="str">
        <f>IFERROR(MIN(4,MATCH(Application!B736,UnitSizes,0)-1),"")</f>
        <v/>
      </c>
      <c r="M38" s="871">
        <f>Application!G736</f>
        <v>0</v>
      </c>
      <c r="N38" s="879">
        <f>Application!AC736</f>
        <v>0</v>
      </c>
      <c r="O38" s="879" t="str">
        <f>IF(Cdlac[[#This Row],[Quantity]]&gt;0,IF(Cdlac[[#This Row],[Federal]],30%,IF($G$36,40%,Cdlac[[#This Row],[iAMI]])),"")</f>
        <v/>
      </c>
      <c r="P38" s="871" t="str" cm="1">
        <f t="array" ref="P38">IF(Cdlac[[#This Row],[Quantity]]&gt;0,INDEX(TcacRents,$P$18,Cdlac[[#This Row],[Bedrooms]]+1)*Cdlac[[#This Row],[AMI]],"")</f>
        <v/>
      </c>
      <c r="Q38" s="871" t="str" cm="1">
        <f t="array" ref="Q38">IF(Cdlac[[#This Row],[Quantity]]&gt;0,INDEX(HudFmrs,$P$18,Cdlac[[#This Row],[Bedrooms]]+1),"")</f>
        <v/>
      </c>
      <c r="R38" s="871" t="str">
        <f>IF(Cdlac[[#This Row],[Quantity]]&gt;0,MAX(0,Cdlac[[#This Row],[Fair Market Rent]]-Cdlac[[#This Row],[Restricted Rent]]),"")</f>
        <v/>
      </c>
      <c r="S38" s="849" t="str">
        <f>IF(Cdlac[[#This Row],[Quantity]]&gt;0,AND(Application!AK736&lt;&gt;"N/A",Application!AK736&lt;&gt;"")*Cdlac[[#This Row],[Quantity]],"")</f>
        <v/>
      </c>
      <c r="T38" s="849" t="b">
        <f>AND('Subsidy Contract Calculation'!F22&gt;0,'Subsidy Contract Calculation'!C22="Federal",Cdlac[[#This Row],[Quantity]]&gt;0)</f>
        <v>0</v>
      </c>
    </row>
    <row r="39" spans="2:20" ht="15" customHeight="1">
      <c r="E39" s="928" t="s">
        <v>2430</v>
      </c>
      <c r="F39" s="924" t="s">
        <v>2425</v>
      </c>
      <c r="G39" s="932">
        <f>12*15</f>
        <v>180</v>
      </c>
      <c r="L39" s="849" t="str">
        <f>IFERROR(MIN(4,MATCH(Application!B737,UnitSizes,0)-1),"")</f>
        <v/>
      </c>
      <c r="M39" s="871">
        <f>Application!G737</f>
        <v>0</v>
      </c>
      <c r="N39" s="879">
        <f>Application!AC737</f>
        <v>0</v>
      </c>
      <c r="O39" s="879" t="str">
        <f>IF(Cdlac[[#This Row],[Quantity]]&gt;0,IF(Cdlac[[#This Row],[Federal]],30%,IF($G$36,40%,Cdlac[[#This Row],[iAMI]])),"")</f>
        <v/>
      </c>
      <c r="P39" s="871" t="str" cm="1">
        <f t="array" ref="P39">IF(Cdlac[[#This Row],[Quantity]]&gt;0,INDEX(TcacRents,$P$18,Cdlac[[#This Row],[Bedrooms]]+1)*Cdlac[[#This Row],[AMI]],"")</f>
        <v/>
      </c>
      <c r="Q39" s="871" t="str" cm="1">
        <f t="array" ref="Q39">IF(Cdlac[[#This Row],[Quantity]]&gt;0,INDEX(HudFmrs,$P$18,Cdlac[[#This Row],[Bedrooms]]+1),"")</f>
        <v/>
      </c>
      <c r="R39" s="871" t="str">
        <f>IF(Cdlac[[#This Row],[Quantity]]&gt;0,MAX(0,Cdlac[[#This Row],[Fair Market Rent]]-Cdlac[[#This Row],[Restricted Rent]]),"")</f>
        <v/>
      </c>
      <c r="S39" s="849" t="str">
        <f>IF(Cdlac[[#This Row],[Quantity]]&gt;0,AND(Application!AK737&lt;&gt;"N/A",Application!AK737&lt;&gt;"")*Cdlac[[#This Row],[Quantity]],"")</f>
        <v/>
      </c>
      <c r="T39" s="849" t="b">
        <f>AND('Subsidy Contract Calculation'!F23&gt;0,'Subsidy Contract Calculation'!C23="Federal",Cdlac[[#This Row],[Quantity]]&gt;0)</f>
        <v>0</v>
      </c>
    </row>
    <row r="40" spans="2:20" ht="15" customHeight="1">
      <c r="E40" s="933" t="s">
        <v>2431</v>
      </c>
      <c r="F40" s="851"/>
      <c r="G40" s="934">
        <f>G38*G39</f>
        <v>14888412.000000002</v>
      </c>
      <c r="L40" s="849" t="str">
        <f>IFERROR(MIN(4,MATCH(Application!B738,UnitSizes,0)-1),"")</f>
        <v/>
      </c>
      <c r="M40" s="871">
        <f>Application!G738</f>
        <v>0</v>
      </c>
      <c r="N40" s="879">
        <f>Application!AC738</f>
        <v>0</v>
      </c>
      <c r="O40" s="879" t="str">
        <f>IF(Cdlac[[#This Row],[Quantity]]&gt;0,IF(Cdlac[[#This Row],[Federal]],30%,IF($G$36,40%,Cdlac[[#This Row],[iAMI]])),"")</f>
        <v/>
      </c>
      <c r="P40" s="871" t="str" cm="1">
        <f t="array" ref="P40">IF(Cdlac[[#This Row],[Quantity]]&gt;0,INDEX(TcacRents,$P$18,Cdlac[[#This Row],[Bedrooms]]+1)*Cdlac[[#This Row],[AMI]],"")</f>
        <v/>
      </c>
      <c r="Q40" s="871" t="str" cm="1">
        <f t="array" ref="Q40">IF(Cdlac[[#This Row],[Quantity]]&gt;0,INDEX(HudFmrs,$P$18,Cdlac[[#This Row],[Bedrooms]]+1),"")</f>
        <v/>
      </c>
      <c r="R40" s="871" t="str">
        <f>IF(Cdlac[[#This Row],[Quantity]]&gt;0,MAX(0,Cdlac[[#This Row],[Fair Market Rent]]-Cdlac[[#This Row],[Restricted Rent]]),"")</f>
        <v/>
      </c>
      <c r="S40" s="849" t="str">
        <f>IF(Cdlac[[#This Row],[Quantity]]&gt;0,AND(Application!AK738&lt;&gt;"N/A",Application!AK738&lt;&gt;"")*Cdlac[[#This Row],[Quantity]],"")</f>
        <v/>
      </c>
      <c r="T40" s="849" t="b">
        <f>AND('Subsidy Contract Calculation'!F24&gt;0,'Subsidy Contract Calculation'!C24="Federal",Cdlac[[#This Row],[Quantity]]&gt;0)</f>
        <v>0</v>
      </c>
    </row>
    <row r="41" spans="2:20" ht="15" customHeight="1">
      <c r="L41" s="849" t="str">
        <f>IFERROR(MIN(4,MATCH(Application!B739,UnitSizes,0)-1),"")</f>
        <v/>
      </c>
      <c r="M41" s="871">
        <f>Application!G739</f>
        <v>0</v>
      </c>
      <c r="N41" s="879">
        <f>Application!AC739</f>
        <v>0</v>
      </c>
      <c r="O41" s="879" t="str">
        <f>IF(Cdlac[[#This Row],[Quantity]]&gt;0,IF(Cdlac[[#This Row],[Federal]],30%,IF($G$36,40%,Cdlac[[#This Row],[iAMI]])),"")</f>
        <v/>
      </c>
      <c r="P41" s="871" t="str" cm="1">
        <f t="array" ref="P41">IF(Cdlac[[#This Row],[Quantity]]&gt;0,INDEX(TcacRents,$P$18,Cdlac[[#This Row],[Bedrooms]]+1)*Cdlac[[#This Row],[AMI]],"")</f>
        <v/>
      </c>
      <c r="Q41" s="871" t="str" cm="1">
        <f t="array" ref="Q41">IF(Cdlac[[#This Row],[Quantity]]&gt;0,INDEX(HudFmrs,$P$18,Cdlac[[#This Row],[Bedrooms]]+1),"")</f>
        <v/>
      </c>
      <c r="R41" s="871" t="str">
        <f>IF(Cdlac[[#This Row],[Quantity]]&gt;0,MAX(0,Cdlac[[#This Row],[Fair Market Rent]]-Cdlac[[#This Row],[Restricted Rent]]),"")</f>
        <v/>
      </c>
      <c r="S41" s="849" t="str">
        <f>IF(Cdlac[[#This Row],[Quantity]]&gt;0,AND(Application!AK739&lt;&gt;"N/A",Application!AK739&lt;&gt;"")*Cdlac[[#This Row],[Quantity]],"")</f>
        <v/>
      </c>
      <c r="T41" s="849" t="b">
        <f>AND('Subsidy Contract Calculation'!F25&gt;0,'Subsidy Contract Calculation'!C25="Federal",Cdlac[[#This Row],[Quantity]]&gt;0)</f>
        <v>0</v>
      </c>
    </row>
    <row r="42" spans="2:20" ht="15" customHeight="1">
      <c r="B42" s="874" t="str">
        <f>B11</f>
        <v>C. Special Needs Population Benefit</v>
      </c>
      <c r="C42" s="875"/>
      <c r="D42" s="875"/>
      <c r="E42" s="875"/>
      <c r="F42" s="875"/>
      <c r="G42" s="875"/>
      <c r="H42" s="875"/>
      <c r="I42" s="876"/>
      <c r="L42" s="849" t="str">
        <f>IFERROR(MIN(4,MATCH(Application!B740,UnitSizes,0)-1),"")</f>
        <v/>
      </c>
      <c r="M42" s="871">
        <f>Application!G740</f>
        <v>0</v>
      </c>
      <c r="N42" s="879">
        <f>Application!AC740</f>
        <v>0</v>
      </c>
      <c r="O42" s="879" t="str">
        <f>IF(Cdlac[[#This Row],[Quantity]]&gt;0,IF(Cdlac[[#This Row],[Federal]],30%,IF($G$36,40%,Cdlac[[#This Row],[iAMI]])),"")</f>
        <v/>
      </c>
      <c r="P42" s="871" t="str" cm="1">
        <f t="array" ref="P42">IF(Cdlac[[#This Row],[Quantity]]&gt;0,INDEX(TcacRents,$P$18,Cdlac[[#This Row],[Bedrooms]]+1)*Cdlac[[#This Row],[AMI]],"")</f>
        <v/>
      </c>
      <c r="Q42" s="871" t="str" cm="1">
        <f t="array" ref="Q42">IF(Cdlac[[#This Row],[Quantity]]&gt;0,INDEX(HudFmrs,$P$18,Cdlac[[#This Row],[Bedrooms]]+1),"")</f>
        <v/>
      </c>
      <c r="R42" s="871" t="str">
        <f>IF(Cdlac[[#This Row],[Quantity]]&gt;0,MAX(0,Cdlac[[#This Row],[Fair Market Rent]]-Cdlac[[#This Row],[Restricted Rent]]),"")</f>
        <v/>
      </c>
      <c r="S42" s="849" t="str">
        <f>IF(Cdlac[[#This Row],[Quantity]]&gt;0,AND(Application!AK740&lt;&gt;"N/A",Application!AK740&lt;&gt;"")*Cdlac[[#This Row],[Quantity]],"")</f>
        <v/>
      </c>
      <c r="T42" s="849" t="b">
        <f>AND('Subsidy Contract Calculation'!F26&gt;0,'Subsidy Contract Calculation'!C26="Federal",Cdlac[[#This Row],[Quantity]]&gt;0)</f>
        <v>0</v>
      </c>
    </row>
    <row r="43" spans="2:20" ht="15" customHeight="1">
      <c r="L43" s="849" t="str">
        <f>IFERROR(MIN(4,MATCH(Application!B741,UnitSizes,0)-1),"")</f>
        <v/>
      </c>
      <c r="M43" s="871">
        <f>Application!G741</f>
        <v>0</v>
      </c>
      <c r="N43" s="879">
        <f>Application!AC741</f>
        <v>0</v>
      </c>
      <c r="O43" s="879" t="str">
        <f>IF(Cdlac[[#This Row],[Quantity]]&gt;0,IF(Cdlac[[#This Row],[Federal]],30%,IF($G$36,40%,Cdlac[[#This Row],[iAMI]])),"")</f>
        <v/>
      </c>
      <c r="P43" s="871" t="str" cm="1">
        <f t="array" ref="P43">IF(Cdlac[[#This Row],[Quantity]]&gt;0,INDEX(TcacRents,$P$18,Cdlac[[#This Row],[Bedrooms]]+1)*Cdlac[[#This Row],[AMI]],"")</f>
        <v/>
      </c>
      <c r="Q43" s="871" t="str" cm="1">
        <f t="array" ref="Q43">IF(Cdlac[[#This Row],[Quantity]]&gt;0,INDEX(HudFmrs,$P$18,Cdlac[[#This Row],[Bedrooms]]+1),"")</f>
        <v/>
      </c>
      <c r="R43" s="871" t="str">
        <f>IF(Cdlac[[#This Row],[Quantity]]&gt;0,MAX(0,Cdlac[[#This Row],[Fair Market Rent]]-Cdlac[[#This Row],[Restricted Rent]]),"")</f>
        <v/>
      </c>
      <c r="S43" s="849" t="str">
        <f>IF(Cdlac[[#This Row],[Quantity]]&gt;0,AND(Application!AK741&lt;&gt;"N/A",Application!AK741&lt;&gt;"")*Cdlac[[#This Row],[Quantity]],"")</f>
        <v/>
      </c>
      <c r="T43" s="849" t="b">
        <f>AND('Subsidy Contract Calculation'!F27&gt;0,'Subsidy Contract Calculation'!C27="Federal",Cdlac[[#This Row],[Quantity]]&gt;0)</f>
        <v>0</v>
      </c>
    </row>
    <row r="44" spans="2:20" ht="15" customHeight="1">
      <c r="E44" s="928" t="s">
        <v>2432</v>
      </c>
      <c r="G44" s="936">
        <f>S18</f>
        <v>0</v>
      </c>
      <c r="L44" s="849" t="str">
        <f>IFERROR(MIN(4,MATCH(Application!B752,UnitSizes,0)-1),"")</f>
        <v/>
      </c>
      <c r="M44" s="871">
        <f>Application!G752</f>
        <v>0</v>
      </c>
      <c r="N44" s="879">
        <f>Application!AC752</f>
        <v>0</v>
      </c>
      <c r="O44" s="890" t="str">
        <f>IF(Cdlac[[#This Row],[Quantity]]&gt;0,IF(Cdlac[[#This Row],[Federal]],30%,IF($G$36,40%,Cdlac[[#This Row],[iAMI]])),"")</f>
        <v/>
      </c>
      <c r="P44" s="871" t="str" cm="1">
        <f t="array" ref="P44">IF(Cdlac[[#This Row],[Quantity]]&gt;0,INDEX(TcacRents,$P$18,Cdlac[[#This Row],[Bedrooms]]+1)*Cdlac[[#This Row],[AMI]],"")</f>
        <v/>
      </c>
      <c r="Q44" s="871" t="str" cm="1">
        <f t="array" ref="Q44">IF(Cdlac[[#This Row],[Quantity]]&gt;0,INDEX(HudFmrs,$P$18,Cdlac[[#This Row],[Bedrooms]]+1),"")</f>
        <v/>
      </c>
      <c r="R44" s="871" t="str">
        <f>IF(Cdlac[[#This Row],[Quantity]]&gt;0,MAX(0,Cdlac[[#This Row],[Fair Market Rent]]-Cdlac[[#This Row],[Restricted Rent]]),"")</f>
        <v/>
      </c>
      <c r="S44" s="849" t="str">
        <f>IF(Cdlac[[#This Row],[Quantity]]&gt;0,AND(Application!AK752&lt;&gt;"N/A",Application!AK752&lt;&gt;"")*Cdlac[[#This Row],[Quantity]],"")</f>
        <v/>
      </c>
      <c r="T44" s="849" t="b">
        <f>AND('Subsidy Contract Calculation'!F38&gt;0,'Subsidy Contract Calculation'!C38="Federal",Cdlac[[#This Row],[Quantity]]&gt;0)</f>
        <v>0</v>
      </c>
    </row>
    <row r="45" spans="2:20" ht="15" customHeight="1">
      <c r="E45" s="928" t="s">
        <v>2433</v>
      </c>
      <c r="G45" s="936">
        <f>ROUNDDOWN(E27*50%,0)</f>
        <v>26</v>
      </c>
    </row>
    <row r="46" spans="2:20" ht="15" customHeight="1">
      <c r="E46" s="928"/>
      <c r="G46" s="936"/>
    </row>
    <row r="47" spans="2:20" ht="15" customHeight="1">
      <c r="E47" s="928" t="s">
        <v>2434</v>
      </c>
      <c r="G47" s="925">
        <f>MIN(G44:G45)</f>
        <v>0</v>
      </c>
    </row>
    <row r="48" spans="2:20" ht="15" customHeight="1">
      <c r="E48" s="928" t="s">
        <v>2424</v>
      </c>
      <c r="F48" s="924" t="s">
        <v>2425</v>
      </c>
      <c r="G48" s="935">
        <v>10000</v>
      </c>
    </row>
    <row r="49" spans="2:14" ht="15" customHeight="1">
      <c r="E49" s="929" t="s">
        <v>2435</v>
      </c>
      <c r="F49" s="851"/>
      <c r="G49" s="934">
        <f>G47*G48</f>
        <v>0</v>
      </c>
    </row>
    <row r="50" spans="2:14" ht="15" customHeight="1"/>
    <row r="51" spans="2:14" ht="15" customHeight="1">
      <c r="B51" s="874" t="str">
        <f>B12</f>
        <v>D. Extremely Low Income Benefit</v>
      </c>
      <c r="C51" s="875"/>
      <c r="D51" s="875"/>
      <c r="E51" s="875"/>
      <c r="F51" s="875"/>
      <c r="G51" s="875"/>
      <c r="H51" s="875"/>
      <c r="I51" s="876"/>
    </row>
    <row r="52" spans="2:14" ht="15" customHeight="1"/>
    <row r="53" spans="2:14" ht="15" customHeight="1">
      <c r="E53" s="928" t="s">
        <v>2436</v>
      </c>
      <c r="G53" s="887">
        <f>SUMIFS(Cdlac[Quantity],Cdlac[iAMI],"&lt;=30%")</f>
        <v>25</v>
      </c>
    </row>
    <row r="54" spans="2:14" ht="15" customHeight="1">
      <c r="E54" s="928" t="s">
        <v>2433</v>
      </c>
      <c r="G54" s="887">
        <f>ROUNDDOWN(E27*50%,0)</f>
        <v>26</v>
      </c>
    </row>
    <row r="55" spans="2:14" ht="15" customHeight="1">
      <c r="E55" s="928"/>
      <c r="G55" s="887"/>
    </row>
    <row r="56" spans="2:14" ht="15" customHeight="1">
      <c r="E56" s="928" t="s">
        <v>2434</v>
      </c>
      <c r="G56" s="925">
        <f>MIN(G53:G54)</f>
        <v>25</v>
      </c>
    </row>
    <row r="57" spans="2:14" ht="15" customHeight="1">
      <c r="E57" s="928" t="s">
        <v>2424</v>
      </c>
      <c r="F57" s="924" t="s">
        <v>2425</v>
      </c>
      <c r="G57" s="935">
        <v>20000</v>
      </c>
    </row>
    <row r="58" spans="2:14" ht="15" customHeight="1">
      <c r="E58" s="929" t="s">
        <v>2437</v>
      </c>
      <c r="F58" s="851"/>
      <c r="G58" s="934">
        <f>G56*G57</f>
        <v>500000</v>
      </c>
    </row>
    <row r="59" spans="2:14" ht="15" customHeight="1"/>
    <row r="60" spans="2:14" ht="15" customHeight="1">
      <c r="B60" s="874" t="str">
        <f>B13</f>
        <v>E. Sustainability Benefit</v>
      </c>
      <c r="C60" s="875"/>
      <c r="D60" s="875"/>
      <c r="E60" s="875"/>
      <c r="F60" s="875"/>
      <c r="G60" s="875"/>
      <c r="H60" s="875"/>
      <c r="I60" s="876"/>
    </row>
    <row r="61" spans="2:14" ht="15" customHeight="1" thickBot="1"/>
    <row r="62" spans="2:14" ht="15" customHeight="1">
      <c r="E62" s="894" t="s">
        <v>2438</v>
      </c>
      <c r="G62" s="925">
        <f>VLOOKUP('Points System'!$H$595,'Points System'!$AO$575:$AP$580,2,FALSE)</f>
        <v>3</v>
      </c>
      <c r="L62" s="938" t="str">
        <f>'Points System'!H627</f>
        <v>(i)</v>
      </c>
      <c r="M62" s="2076" t="s">
        <v>2302</v>
      </c>
      <c r="N62" s="2077"/>
    </row>
    <row r="63" spans="2:14" ht="15" customHeight="1">
      <c r="E63" s="894" t="s">
        <v>2424</v>
      </c>
      <c r="F63" s="924" t="s">
        <v>2425</v>
      </c>
      <c r="G63" s="884">
        <v>4000</v>
      </c>
      <c r="L63" s="939" t="str">
        <f>'Points System'!H639</f>
        <v>(ii)</v>
      </c>
      <c r="M63" s="2068" t="s">
        <v>2439</v>
      </c>
      <c r="N63" s="2069"/>
    </row>
    <row r="64" spans="2:14" ht="15" customHeight="1">
      <c r="E64" s="894" t="s">
        <v>2440</v>
      </c>
      <c r="F64" s="924" t="s">
        <v>2425</v>
      </c>
      <c r="G64" s="937">
        <f>G27</f>
        <v>67.25</v>
      </c>
      <c r="L64" s="939" t="str">
        <f>'Points System'!H674</f>
        <v>(ii)</v>
      </c>
      <c r="M64" s="2068" t="s">
        <v>2441</v>
      </c>
      <c r="N64" s="2069"/>
    </row>
    <row r="65" spans="2:14" ht="15" customHeight="1">
      <c r="E65" s="929" t="s">
        <v>2442</v>
      </c>
      <c r="F65" s="851"/>
      <c r="G65" s="934">
        <f>G62*G63*G64</f>
        <v>807000</v>
      </c>
      <c r="L65" s="939" t="str">
        <f>IF(OR('Points System'!H698="(ii)",'Points System'!H698="(i)"),"(i)","N/A")</f>
        <v>(i)</v>
      </c>
      <c r="M65" s="2068" t="s">
        <v>2443</v>
      </c>
      <c r="N65" s="2069"/>
    </row>
    <row r="66" spans="2:14" ht="15" customHeight="1">
      <c r="C66" s="885"/>
      <c r="G66" s="925"/>
      <c r="L66" s="940" t="str">
        <f>'Points System'!H712</f>
        <v>N/A</v>
      </c>
      <c r="M66" s="2068" t="s">
        <v>2343</v>
      </c>
      <c r="N66" s="2069"/>
    </row>
    <row r="67" spans="2:14" ht="15" customHeight="1">
      <c r="E67" s="894" t="s">
        <v>2444</v>
      </c>
      <c r="G67" s="937">
        <f>COUNTIFS(L62:L69,"(i)")</f>
        <v>3</v>
      </c>
      <c r="L67" s="939" t="str">
        <f>'Points System'!H724</f>
        <v>N/A</v>
      </c>
      <c r="M67" s="2068" t="s">
        <v>2445</v>
      </c>
      <c r="N67" s="2069"/>
    </row>
    <row r="68" spans="2:14" ht="15" customHeight="1">
      <c r="E68" s="894" t="s">
        <v>2424</v>
      </c>
      <c r="F68" s="924" t="s">
        <v>2425</v>
      </c>
      <c r="G68" s="935">
        <v>4000</v>
      </c>
      <c r="L68" s="939" t="str">
        <f>'Points System'!H740</f>
        <v>(i)</v>
      </c>
      <c r="M68" s="2068" t="s">
        <v>2446</v>
      </c>
      <c r="N68" s="2069"/>
    </row>
    <row r="69" spans="2:14" ht="15" customHeight="1" thickBot="1">
      <c r="E69" s="929" t="s">
        <v>2447</v>
      </c>
      <c r="F69" s="851"/>
      <c r="G69" s="934">
        <f>G64*G67*G68</f>
        <v>807000</v>
      </c>
      <c r="L69" s="941" t="str">
        <f>'Points System'!H752</f>
        <v>(ii)</v>
      </c>
      <c r="M69" s="2070" t="s">
        <v>2347</v>
      </c>
      <c r="N69" s="2071"/>
    </row>
    <row r="70" spans="2:14" ht="15" customHeight="1"/>
    <row r="71" spans="2:14" ht="15" customHeight="1">
      <c r="C71" s="888" t="s">
        <v>2448</v>
      </c>
    </row>
    <row r="72" spans="2:14" ht="15" customHeight="1">
      <c r="C72" s="885" t="s">
        <v>2449</v>
      </c>
      <c r="G72" s="848"/>
    </row>
    <row r="73" spans="2:14" ht="15" customHeight="1">
      <c r="C73" s="885" t="s">
        <v>2450</v>
      </c>
      <c r="G73" s="848"/>
    </row>
    <row r="74" spans="2:14" ht="15" customHeight="1">
      <c r="C74" s="885" t="s">
        <v>2451</v>
      </c>
      <c r="G74" s="848"/>
    </row>
    <row r="75" spans="2:14" ht="15" customHeight="1">
      <c r="C75" s="885" t="s">
        <v>2452</v>
      </c>
      <c r="G75" s="848"/>
    </row>
    <row r="76" spans="2:14" ht="15" customHeight="1"/>
    <row r="77" spans="2:14" ht="15" customHeight="1">
      <c r="B77" s="886"/>
      <c r="C77" s="885"/>
      <c r="E77" s="894" t="s">
        <v>2453</v>
      </c>
      <c r="G77" s="887" t="b">
        <f>COUNTIFS(G72:G75,"Yes")&gt;=1</f>
        <v>0</v>
      </c>
    </row>
    <row r="78" spans="2:14" ht="15" customHeight="1">
      <c r="E78" s="885"/>
    </row>
    <row r="79" spans="2:14" ht="15" customHeight="1">
      <c r="E79" s="894" t="s">
        <v>2440</v>
      </c>
      <c r="F79" s="924" t="s">
        <v>2425</v>
      </c>
      <c r="G79" s="925">
        <f>G27</f>
        <v>67.25</v>
      </c>
    </row>
    <row r="80" spans="2:14" ht="15" customHeight="1">
      <c r="E80" s="894" t="s">
        <v>2424</v>
      </c>
      <c r="F80" s="924" t="s">
        <v>2425</v>
      </c>
      <c r="G80" s="935">
        <v>25000</v>
      </c>
    </row>
    <row r="81" spans="2:14" ht="15" customHeight="1">
      <c r="E81" s="929" t="s">
        <v>2454</v>
      </c>
      <c r="F81" s="851"/>
      <c r="G81" s="934">
        <f>G77*G80*G64</f>
        <v>0</v>
      </c>
    </row>
    <row r="82" spans="2:14" ht="15" customHeight="1">
      <c r="C82" s="885"/>
      <c r="E82" s="885"/>
    </row>
    <row r="83" spans="2:14" ht="15" customHeight="1">
      <c r="E83" s="929" t="s">
        <v>2455</v>
      </c>
      <c r="G83" s="934">
        <f>G81+G69+G65</f>
        <v>1614000</v>
      </c>
    </row>
    <row r="84" spans="2:14" ht="15" customHeight="1"/>
    <row r="85" spans="2:14" ht="15" customHeight="1">
      <c r="B85" s="874" t="str">
        <f>B14</f>
        <v>F. Opportunity Benefit</v>
      </c>
      <c r="C85" s="875"/>
      <c r="D85" s="875"/>
      <c r="E85" s="875"/>
      <c r="F85" s="875"/>
      <c r="G85" s="875"/>
      <c r="H85" s="875"/>
      <c r="I85" s="876"/>
    </row>
    <row r="86" spans="2:14" ht="15" customHeight="1" thickBot="1"/>
    <row r="87" spans="2:14" ht="15" customHeight="1">
      <c r="C87" s="885" t="s">
        <v>2456</v>
      </c>
      <c r="G87" s="848" t="s">
        <v>837</v>
      </c>
      <c r="L87" s="2072" t="s">
        <v>931</v>
      </c>
      <c r="M87" s="2073"/>
      <c r="N87" s="942">
        <v>30000</v>
      </c>
    </row>
    <row r="88" spans="2:14" ht="15" customHeight="1">
      <c r="C88" s="885" t="s">
        <v>2457</v>
      </c>
      <c r="G88" s="889" t="str">
        <f>IF(Application!D211="Large Family","Yes","No")</f>
        <v>Yes</v>
      </c>
      <c r="L88" s="2064" t="s">
        <v>935</v>
      </c>
      <c r="M88" s="2065"/>
      <c r="N88" s="943">
        <v>20000</v>
      </c>
    </row>
    <row r="89" spans="2:14" ht="15" customHeight="1" thickBot="1">
      <c r="C89" s="885" t="s">
        <v>2458</v>
      </c>
      <c r="G89" s="848"/>
      <c r="L89" s="2066" t="s">
        <v>942</v>
      </c>
      <c r="M89" s="2067"/>
      <c r="N89" s="944">
        <v>10000</v>
      </c>
    </row>
    <row r="90" spans="2:14" ht="15" customHeight="1">
      <c r="C90" s="885" t="s">
        <v>2459</v>
      </c>
      <c r="G90" s="849" t="str">
        <f>Application!T193</f>
        <v>Low Resource</v>
      </c>
    </row>
    <row r="91" spans="2:14" ht="15" customHeight="1">
      <c r="C91" s="885"/>
    </row>
    <row r="92" spans="2:14" ht="15" customHeight="1">
      <c r="E92" s="894" t="s">
        <v>2453</v>
      </c>
      <c r="G92" s="887" t="b">
        <f>AND(COUNTIFS(G88:G89,"Yes")&gt;=1,G87="Yes")</f>
        <v>1</v>
      </c>
    </row>
    <row r="93" spans="2:14" ht="15" customHeight="1">
      <c r="E93" s="894"/>
      <c r="G93" s="887"/>
    </row>
    <row r="94" spans="2:14" ht="15" customHeight="1">
      <c r="E94" s="894" t="s">
        <v>2424</v>
      </c>
      <c r="G94" s="886">
        <f>IFERROR(INDEX(N87:N89,MATCH(LEFT(G90,17),L87:L89,0)),0)</f>
        <v>0</v>
      </c>
    </row>
    <row r="95" spans="2:14" ht="15" customHeight="1">
      <c r="E95" s="894" t="str">
        <f>E64</f>
        <v>Bedroom-Adjusted Low-Income Units</v>
      </c>
      <c r="F95" s="924" t="s">
        <v>2425</v>
      </c>
      <c r="G95" s="925">
        <f>G27</f>
        <v>67.25</v>
      </c>
    </row>
    <row r="96" spans="2:14" ht="15" customHeight="1">
      <c r="D96" s="851"/>
      <c r="E96" s="929" t="s">
        <v>2460</v>
      </c>
      <c r="F96" s="851"/>
      <c r="G96" s="934">
        <f>G95*G94*G92</f>
        <v>0</v>
      </c>
    </row>
    <row r="97" spans="2:9" ht="15" customHeight="1"/>
    <row r="98" spans="2:9" ht="15" customHeight="1">
      <c r="B98" s="874" t="s">
        <v>2461</v>
      </c>
      <c r="C98" s="875"/>
      <c r="D98" s="875"/>
      <c r="E98" s="875"/>
      <c r="F98" s="875"/>
      <c r="G98" s="875"/>
      <c r="H98" s="875"/>
      <c r="I98" s="876"/>
    </row>
    <row r="99" spans="2:9" ht="15" customHeight="1"/>
    <row r="100" spans="2:9" ht="15" customHeight="1">
      <c r="F100" s="927" t="s">
        <v>2462</v>
      </c>
      <c r="G100" s="848"/>
    </row>
    <row r="101" spans="2:9" ht="15" customHeight="1">
      <c r="F101" s="927"/>
    </row>
    <row r="102" spans="2:9" ht="15" customHeight="1">
      <c r="E102" s="894" t="s">
        <v>2453</v>
      </c>
      <c r="G102" s="887" t="b">
        <f>G100="Yes"</f>
        <v>0</v>
      </c>
    </row>
    <row r="103" spans="2:9" ht="15" customHeight="1"/>
    <row r="104" spans="2:9" ht="15" customHeight="1">
      <c r="E104" s="894" t="str">
        <f>E64</f>
        <v>Bedroom-Adjusted Low-Income Units</v>
      </c>
      <c r="G104" s="925">
        <f>G27</f>
        <v>67.25</v>
      </c>
    </row>
    <row r="105" spans="2:9" ht="15" customHeight="1">
      <c r="E105" s="894" t="s">
        <v>2424</v>
      </c>
      <c r="F105" s="924" t="s">
        <v>2425</v>
      </c>
      <c r="G105" s="855">
        <v>20000</v>
      </c>
    </row>
    <row r="106" spans="2:9" ht="15" customHeight="1">
      <c r="E106" s="929" t="s">
        <v>2463</v>
      </c>
      <c r="F106" s="851"/>
      <c r="G106" s="934">
        <f>G102*G105*G104</f>
        <v>0</v>
      </c>
    </row>
    <row r="107" spans="2:9" ht="15" customHeight="1"/>
    <row r="108" spans="2:9" ht="15" customHeight="1">
      <c r="B108" s="874" t="s">
        <v>1817</v>
      </c>
      <c r="C108" s="875"/>
      <c r="D108" s="875"/>
      <c r="E108" s="875"/>
      <c r="F108" s="875"/>
      <c r="G108" s="875"/>
      <c r="H108" s="875"/>
      <c r="I108" s="876"/>
    </row>
    <row r="109" spans="2:9" ht="15" customHeight="1"/>
    <row r="110" spans="2:9" ht="15" customHeight="1">
      <c r="C110" s="2061" t="s">
        <v>2464</v>
      </c>
      <c r="D110" s="2061"/>
      <c r="E110" s="2061"/>
      <c r="F110" s="2061"/>
    </row>
    <row r="111" spans="2:9" ht="15" customHeight="1">
      <c r="C111" s="2061"/>
      <c r="D111" s="2061"/>
      <c r="E111" s="2061"/>
      <c r="F111" s="2061"/>
      <c r="G111" s="848" t="s">
        <v>837</v>
      </c>
    </row>
    <row r="112" spans="2:9" ht="15" customHeight="1"/>
    <row r="113" spans="2:9" ht="15" customHeight="1">
      <c r="C113" s="849" t="s">
        <v>2465</v>
      </c>
      <c r="G113" s="2062" t="s">
        <v>2466</v>
      </c>
      <c r="H113" s="2062"/>
    </row>
    <row r="114" spans="2:9" ht="15" customHeight="1">
      <c r="G114" s="2062"/>
      <c r="H114" s="2062"/>
    </row>
    <row r="115" spans="2:9" ht="15" customHeight="1">
      <c r="G115" s="2063"/>
      <c r="H115" s="2063"/>
    </row>
    <row r="116" spans="2:9" ht="15" customHeight="1">
      <c r="G116" s="1028"/>
      <c r="H116" s="1028"/>
    </row>
    <row r="117" spans="2:9" ht="15" customHeight="1">
      <c r="B117" s="874" t="s">
        <v>2467</v>
      </c>
      <c r="C117" s="875"/>
      <c r="D117" s="875"/>
      <c r="E117" s="875"/>
      <c r="F117" s="875"/>
      <c r="G117" s="875"/>
      <c r="H117" s="875"/>
      <c r="I117" s="876"/>
    </row>
    <row r="118" spans="2:9" ht="15" customHeight="1"/>
    <row r="119" spans="2:9" ht="15" customHeight="1">
      <c r="E119" s="894" t="s">
        <v>983</v>
      </c>
      <c r="G119" s="849" t="str">
        <f>IF(Application!T189="","",Application!T189)</f>
        <v>San Benito</v>
      </c>
    </row>
    <row r="120" spans="2:9" ht="15" customHeight="1">
      <c r="E120" s="894"/>
      <c r="G120" s="886"/>
    </row>
    <row r="121" spans="2:9" ht="15" customHeight="1">
      <c r="E121" s="894" t="str">
        <f>"2-Bedroom "&amp;G119&amp;" County Basis Limit"</f>
        <v>2-Bedroom San Benito County Basis Limit</v>
      </c>
      <c r="G121" s="886">
        <f>Application!R987</f>
        <v>489600</v>
      </c>
    </row>
    <row r="122" spans="2:9" ht="15" customHeight="1">
      <c r="E122" s="894" t="s">
        <v>2468</v>
      </c>
      <c r="G122" s="886">
        <f>MEDIAN((Application!BR806:BR863))</f>
        <v>489600</v>
      </c>
    </row>
    <row r="123" spans="2:9" ht="15" customHeight="1">
      <c r="D123" s="851"/>
      <c r="E123" s="929" t="s">
        <v>2469</v>
      </c>
      <c r="F123" s="945"/>
      <c r="G123" s="946">
        <f>((G121-G122)/G122)*0.25</f>
        <v>0</v>
      </c>
      <c r="H123" s="847"/>
      <c r="I123" s="847"/>
    </row>
    <row r="124" spans="2:9" ht="15" customHeight="1">
      <c r="D124" s="850"/>
      <c r="E124" s="85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Ryan Andrusz</cp:lastModifiedBy>
  <cp:revision/>
  <dcterms:created xsi:type="dcterms:W3CDTF">2007-12-27T18:26:28Z</dcterms:created>
  <dcterms:modified xsi:type="dcterms:W3CDTF">2024-08-24T17:29:20Z</dcterms:modified>
  <cp:category/>
  <cp:contentStatus/>
</cp:coreProperties>
</file>